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drawings/drawing7.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8.xml" ContentType="application/vnd.openxmlformats-officedocument.drawing+xml"/>
  <Override PartName="/xl/charts/chart1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3.xml" ContentType="application/vnd.ms-office.chartstyle+xml"/>
  <Override PartName="/xl/charts/colors3.xml" ContentType="application/vnd.ms-office.chartcolorstyle+xml"/>
  <Override PartName="/xl/charts/chart16.xml" ContentType="application/vnd.openxmlformats-officedocument.drawingml.chart+xml"/>
  <Override PartName="/xl/charts/style4.xml" ContentType="application/vnd.ms-office.chartstyle+xml"/>
  <Override PartName="/xl/charts/colors4.xml" ContentType="application/vnd.ms-office.chartcolorstyle+xml"/>
  <Override PartName="/xl/charts/chart17.xml" ContentType="application/vnd.openxmlformats-officedocument.drawingml.chart+xml"/>
  <Override PartName="/xl/charts/style5.xml" ContentType="application/vnd.ms-office.chartstyle+xml"/>
  <Override PartName="/xl/charts/colors5.xml" ContentType="application/vnd.ms-office.chartcolorstyle+xml"/>
  <Override PartName="/xl/charts/chart1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Z:\vehicles\1912- 2020 Tesla Model 3 (NHTSA)\2-Instrumentation_and_Test_Plan\"/>
    </mc:Choice>
  </mc:AlternateContent>
  <xr:revisionPtr revIDLastSave="0" documentId="13_ncr:1_{C319E8ED-E208-4FC8-9A96-21780BD052AD}" xr6:coauthVersionLast="47" xr6:coauthVersionMax="47" xr10:uidLastSave="{00000000-0000-0000-0000-000000000000}"/>
  <bookViews>
    <workbookView xWindow="13215" yWindow="7710" windowWidth="38700" windowHeight="13665" activeTab="2" xr2:uid="{00000000-000D-0000-FFFF-FFFF00000000}"/>
  </bookViews>
  <sheets>
    <sheet name="TestPlan" sheetId="51" r:id="rId1"/>
    <sheet name="TestInfoInstru" sheetId="52" r:id="rId2"/>
    <sheet name="TestSummary" sheetId="49" r:id="rId3"/>
    <sheet name="TestSummary_G2" sheetId="74" r:id="rId4"/>
    <sheet name="TestSummary_D3" sheetId="77" r:id="rId5"/>
    <sheet name="Channel Names" sheetId="78" r:id="rId6"/>
    <sheet name="ANL cert calcs" sheetId="76" r:id="rId7"/>
    <sheet name="J1634 Calcs_new" sheetId="75" r:id="rId8"/>
    <sheet name="AVTEReporting" sheetId="50" r:id="rId9"/>
    <sheet name="J1634ShortcutWorksheet" sheetId="32" r:id="rId10"/>
    <sheet name="Vehicle Distance" sheetId="36" r:id="rId11"/>
    <sheet name="Accessory Load" sheetId="34" r:id="rId12"/>
    <sheet name="Charge Summary" sheetId="70" r:id="rId13"/>
    <sheet name="J1634 Calcs_old" sheetId="57" r:id="rId14"/>
  </sheets>
  <externalReferences>
    <externalReference r:id="rId15"/>
  </externalReferences>
  <definedNames>
    <definedName name="A" localSheetId="7">[1]SpdtoABCcalcFocus!$Q$2</definedName>
    <definedName name="A" localSheetId="13">[1]SpdtoABCcalcFocus!$Q$2</definedName>
    <definedName name="A" localSheetId="1">[1]SpdtoABCcalcFocus!$Q$2</definedName>
    <definedName name="A" localSheetId="0">[1]SpdtoABCcalcFocus!$Q$2</definedName>
    <definedName name="A">[1]SpdtoABCcalcFocus!$Q$2</definedName>
    <definedName name="Acold" localSheetId="7">[1]SpdtoABCcalcFocus!$Q$3</definedName>
    <definedName name="Acold" localSheetId="13">[1]SpdtoABCcalcFocus!$Q$3</definedName>
    <definedName name="Acold" localSheetId="1">[1]SpdtoABCcalcFocus!$Q$3</definedName>
    <definedName name="Acold" localSheetId="0">[1]SpdtoABCcalcFocus!$Q$3</definedName>
    <definedName name="Acold">[1]SpdtoABCcalcFocus!$Q$3</definedName>
    <definedName name="B" localSheetId="7">[1]SpdtoABCcalcFocus!$R$2</definedName>
    <definedName name="B" localSheetId="13">[1]SpdtoABCcalcFocus!$R$2</definedName>
    <definedName name="B" localSheetId="1">[1]SpdtoABCcalcFocus!$R$2</definedName>
    <definedName name="B" localSheetId="0">[1]SpdtoABCcalcFocus!$R$2</definedName>
    <definedName name="B">[1]SpdtoABCcalcFocus!$R$2</definedName>
    <definedName name="Bcold" localSheetId="7">[1]SpdtoABCcalcFocus!$R$3</definedName>
    <definedName name="Bcold" localSheetId="13">[1]SpdtoABCcalcFocus!$R$3</definedName>
    <definedName name="Bcold" localSheetId="1">[1]SpdtoABCcalcFocus!$R$3</definedName>
    <definedName name="Bcold" localSheetId="0">[1]SpdtoABCcalcFocus!$R$3</definedName>
    <definedName name="Bcold">[1]SpdtoABCcalcFocus!$R$3</definedName>
    <definedName name="Ccoef" localSheetId="7">[1]SpdtoABCcalcFocus!$S$2</definedName>
    <definedName name="Ccoef" localSheetId="13">[1]SpdtoABCcalcFocus!$S$2</definedName>
    <definedName name="Ccoef" localSheetId="1">[1]SpdtoABCcalcFocus!$S$2</definedName>
    <definedName name="Ccoef" localSheetId="0">[1]SpdtoABCcalcFocus!$S$2</definedName>
    <definedName name="Ccoef">[1]SpdtoABCcalcFocus!$S$2</definedName>
    <definedName name="Ccold" localSheetId="7">[1]SpdtoABCcalcFocus!$S$3</definedName>
    <definedName name="Ccold" localSheetId="13">[1]SpdtoABCcalcFocus!$S$3</definedName>
    <definedName name="Ccold" localSheetId="1">[1]SpdtoABCcalcFocus!$S$3</definedName>
    <definedName name="Ccold" localSheetId="0">[1]SpdtoABCcalcFocus!$S$3</definedName>
    <definedName name="Ccold">[1]SpdtoABCcalcFocus!$S$3</definedName>
    <definedName name="m" localSheetId="7">[1]SpdtoABCcalcFocus!$P$2</definedName>
    <definedName name="m" localSheetId="13">[1]SpdtoABCcalcFocus!$P$2</definedName>
    <definedName name="m" localSheetId="1">[1]SpdtoABCcalcFocus!$P$2</definedName>
    <definedName name="m" localSheetId="0">[1]SpdtoABCcalcFocus!$P$2</definedName>
    <definedName name="m">[1]SpdtoABCcalcFocus!$P$2</definedName>
    <definedName name="_xlnm.Print_Area" localSheetId="11">'Accessory Load'!$A$1:$B$77</definedName>
    <definedName name="_xlnm.Print_Area" localSheetId="0">TestPlan!$A$2:$P$95</definedName>
    <definedName name="_xlnm.Print_Area" localSheetId="4">TestSummary_D3!$A$2:$AJ$267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K7" i="75" l="1"/>
  <c r="AJ7" i="75"/>
  <c r="Z20" i="75"/>
  <c r="Z19" i="75"/>
  <c r="Z68" i="75"/>
  <c r="Z67" i="75"/>
  <c r="Z66" i="75"/>
  <c r="Z55" i="75"/>
  <c r="Z54" i="75"/>
  <c r="Z34" i="75"/>
  <c r="Z53" i="75"/>
  <c r="C18" i="76"/>
  <c r="S219" i="49"/>
  <c r="S217" i="49"/>
  <c r="S216" i="49"/>
  <c r="S215" i="49"/>
  <c r="S213" i="49"/>
  <c r="S212" i="49"/>
  <c r="S210" i="49"/>
  <c r="S209" i="49"/>
  <c r="S208" i="49"/>
  <c r="S206" i="49"/>
  <c r="S205" i="49"/>
  <c r="S203" i="49"/>
  <c r="S202" i="49"/>
  <c r="S201" i="49"/>
  <c r="C19" i="76"/>
  <c r="S53" i="75"/>
  <c r="R55" i="75"/>
  <c r="R32" i="75"/>
  <c r="B19" i="76"/>
  <c r="BD110" i="75" l="1"/>
  <c r="BD109" i="75"/>
  <c r="BD108" i="75"/>
  <c r="BD107" i="75"/>
  <c r="H37" i="70" l="1"/>
  <c r="H36" i="70"/>
  <c r="H35" i="70"/>
  <c r="H34" i="70"/>
  <c r="C29" i="70"/>
  <c r="D29" i="70"/>
  <c r="E29" i="70"/>
  <c r="F29" i="70"/>
  <c r="G29" i="70"/>
  <c r="H29" i="70"/>
  <c r="I29" i="70"/>
  <c r="J29" i="70"/>
  <c r="K29" i="70"/>
  <c r="L29" i="70"/>
  <c r="M29" i="70"/>
  <c r="B29" i="70"/>
  <c r="M23" i="70"/>
  <c r="M22" i="70"/>
  <c r="M21" i="70"/>
  <c r="M20" i="70"/>
  <c r="M19" i="70"/>
  <c r="M18" i="70"/>
  <c r="M17" i="70"/>
  <c r="M16" i="70"/>
  <c r="M15" i="70"/>
  <c r="M14" i="70"/>
  <c r="M12" i="70"/>
  <c r="M11" i="70"/>
  <c r="M3" i="70"/>
  <c r="M2" i="70"/>
  <c r="F36" i="70"/>
  <c r="E36" i="70" s="1"/>
  <c r="F37" i="70"/>
  <c r="E37" i="70" s="1"/>
  <c r="F35" i="70"/>
  <c r="E35" i="70" s="1"/>
  <c r="F34" i="70"/>
  <c r="E34" i="70" s="1"/>
  <c r="E39" i="70" s="1"/>
  <c r="P89" i="75"/>
  <c r="P88" i="75"/>
  <c r="P87" i="75"/>
  <c r="P86" i="75"/>
  <c r="P85" i="75"/>
  <c r="P84" i="75"/>
  <c r="P83" i="75"/>
  <c r="P82" i="75"/>
  <c r="O25" i="75"/>
  <c r="N25" i="75"/>
  <c r="M25" i="75"/>
  <c r="L25" i="75"/>
  <c r="K25" i="75"/>
  <c r="J25" i="75"/>
  <c r="I25" i="75"/>
  <c r="H25" i="75"/>
  <c r="G25" i="75"/>
  <c r="F25" i="75"/>
  <c r="E25" i="75"/>
  <c r="D25" i="75"/>
  <c r="C25" i="75"/>
  <c r="B25" i="75"/>
  <c r="O24" i="75"/>
  <c r="N24" i="75"/>
  <c r="M24" i="75"/>
  <c r="L24" i="75"/>
  <c r="K24" i="75"/>
  <c r="J24" i="75"/>
  <c r="I24" i="75"/>
  <c r="H24" i="75"/>
  <c r="G24" i="75"/>
  <c r="F24" i="75"/>
  <c r="E24" i="75"/>
  <c r="D24" i="75"/>
  <c r="C24" i="75"/>
  <c r="B24" i="75"/>
  <c r="O23" i="75"/>
  <c r="N23" i="75"/>
  <c r="M23" i="75"/>
  <c r="L23" i="75"/>
  <c r="K23" i="75"/>
  <c r="J23" i="75"/>
  <c r="I23" i="75"/>
  <c r="H23" i="75"/>
  <c r="G23" i="75"/>
  <c r="F23" i="75"/>
  <c r="E23" i="75"/>
  <c r="D23" i="75"/>
  <c r="C23" i="75"/>
  <c r="B23" i="75"/>
  <c r="O22" i="75"/>
  <c r="N22" i="75"/>
  <c r="M22" i="75"/>
  <c r="L22" i="75"/>
  <c r="K22" i="75"/>
  <c r="J22" i="75"/>
  <c r="I22" i="75"/>
  <c r="H22" i="75"/>
  <c r="G22" i="75"/>
  <c r="F22" i="75"/>
  <c r="E22" i="75"/>
  <c r="D22" i="75"/>
  <c r="C22" i="75"/>
  <c r="B22" i="75"/>
  <c r="O21" i="75"/>
  <c r="N21" i="75"/>
  <c r="M21" i="75"/>
  <c r="L21" i="75"/>
  <c r="K21" i="75"/>
  <c r="J21" i="75"/>
  <c r="I21" i="75"/>
  <c r="H21" i="75"/>
  <c r="G21" i="75"/>
  <c r="F21" i="75"/>
  <c r="E21" i="75"/>
  <c r="D21" i="75"/>
  <c r="C21" i="75"/>
  <c r="B21" i="75"/>
  <c r="O74" i="75"/>
  <c r="O73" i="75"/>
  <c r="O72" i="75"/>
  <c r="O71" i="75"/>
  <c r="O67" i="75"/>
  <c r="O66" i="75"/>
  <c r="O65" i="75"/>
  <c r="O64" i="75"/>
  <c r="O59" i="75"/>
  <c r="O58" i="75"/>
  <c r="O57" i="75"/>
  <c r="O56" i="75"/>
  <c r="O55" i="75"/>
  <c r="O54" i="75"/>
  <c r="O53" i="75"/>
  <c r="O52" i="75"/>
  <c r="O44" i="75"/>
  <c r="O43" i="75"/>
  <c r="O42" i="75"/>
  <c r="O41" i="75"/>
  <c r="O38" i="75"/>
  <c r="O37" i="75"/>
  <c r="O36" i="75"/>
  <c r="O35" i="75"/>
  <c r="O34" i="75"/>
  <c r="O33" i="75"/>
  <c r="O32" i="75"/>
  <c r="O31" i="75"/>
  <c r="O20" i="75"/>
  <c r="O19" i="75"/>
  <c r="O18" i="75"/>
  <c r="O17" i="75"/>
  <c r="O13" i="75"/>
  <c r="O12" i="75"/>
  <c r="O11" i="75"/>
  <c r="O10" i="75"/>
  <c r="O6" i="75"/>
  <c r="N74" i="75"/>
  <c r="N73" i="75"/>
  <c r="N72" i="75"/>
  <c r="N71" i="75"/>
  <c r="N67" i="75"/>
  <c r="N66" i="75"/>
  <c r="N65" i="75"/>
  <c r="N64" i="75"/>
  <c r="N59" i="75"/>
  <c r="N58" i="75"/>
  <c r="N57" i="75"/>
  <c r="N56" i="75"/>
  <c r="N55" i="75"/>
  <c r="N54" i="75"/>
  <c r="N53" i="75"/>
  <c r="N52" i="75"/>
  <c r="N44" i="75"/>
  <c r="N43" i="75"/>
  <c r="N42" i="75"/>
  <c r="N41" i="75"/>
  <c r="N38" i="75"/>
  <c r="N37" i="75"/>
  <c r="N36" i="75"/>
  <c r="N35" i="75"/>
  <c r="N34" i="75"/>
  <c r="N33" i="75"/>
  <c r="N32" i="75"/>
  <c r="N31" i="75"/>
  <c r="N20" i="75"/>
  <c r="N19" i="75"/>
  <c r="N18" i="75"/>
  <c r="N17" i="75"/>
  <c r="N13" i="75"/>
  <c r="N12" i="75"/>
  <c r="N11" i="75"/>
  <c r="N10" i="75"/>
  <c r="N6" i="75"/>
  <c r="M74" i="75"/>
  <c r="M73" i="75"/>
  <c r="M72" i="75"/>
  <c r="M71" i="75"/>
  <c r="M67" i="75"/>
  <c r="M66" i="75"/>
  <c r="M65" i="75"/>
  <c r="M64" i="75"/>
  <c r="M59" i="75"/>
  <c r="M58" i="75"/>
  <c r="M57" i="75"/>
  <c r="M56" i="75"/>
  <c r="M55" i="75"/>
  <c r="M54" i="75"/>
  <c r="M53" i="75"/>
  <c r="M52" i="75"/>
  <c r="M44" i="75"/>
  <c r="M43" i="75"/>
  <c r="M42" i="75"/>
  <c r="M41" i="75"/>
  <c r="M38" i="75"/>
  <c r="M37" i="75"/>
  <c r="M36" i="75"/>
  <c r="M35" i="75"/>
  <c r="M34" i="75"/>
  <c r="M33" i="75"/>
  <c r="M32" i="75"/>
  <c r="M31" i="75"/>
  <c r="M20" i="75"/>
  <c r="M19" i="75"/>
  <c r="M18" i="75"/>
  <c r="M17" i="75"/>
  <c r="M13" i="75"/>
  <c r="M12" i="75"/>
  <c r="M11" i="75"/>
  <c r="M10" i="75"/>
  <c r="M6" i="75"/>
  <c r="S154" i="49"/>
  <c r="S155" i="49"/>
  <c r="S156" i="49"/>
  <c r="S157" i="49"/>
  <c r="S158" i="49" s="1"/>
  <c r="S159" i="49"/>
  <c r="S160" i="49"/>
  <c r="S161" i="49" s="1"/>
  <c r="S162" i="49"/>
  <c r="S163" i="49"/>
  <c r="S164" i="49"/>
  <c r="S165" i="49"/>
  <c r="S166" i="49"/>
  <c r="S167" i="49"/>
  <c r="S168" i="49"/>
  <c r="S169" i="49"/>
  <c r="S170" i="49"/>
  <c r="S171" i="49"/>
  <c r="S172" i="49"/>
  <c r="S153" i="49"/>
  <c r="S173" i="49"/>
  <c r="V4" i="49"/>
  <c r="W75" i="75" l="1"/>
  <c r="W74" i="75"/>
  <c r="L74" i="75"/>
  <c r="K74" i="75"/>
  <c r="AL10" i="75" s="1"/>
  <c r="J74" i="75"/>
  <c r="I74" i="75"/>
  <c r="H74" i="75"/>
  <c r="G74" i="75"/>
  <c r="F74" i="75"/>
  <c r="E74" i="75"/>
  <c r="D74" i="75"/>
  <c r="C74" i="75"/>
  <c r="B74" i="75"/>
  <c r="L73" i="75"/>
  <c r="K73" i="75"/>
  <c r="AL9" i="75" s="1"/>
  <c r="J73" i="75"/>
  <c r="I73" i="75"/>
  <c r="H73" i="75"/>
  <c r="G73" i="75"/>
  <c r="F73" i="75"/>
  <c r="E73" i="75"/>
  <c r="D73" i="75"/>
  <c r="C73" i="75"/>
  <c r="B73" i="75"/>
  <c r="L72" i="75"/>
  <c r="K72" i="75"/>
  <c r="AL8" i="75" s="1"/>
  <c r="J72" i="75"/>
  <c r="I72" i="75"/>
  <c r="H72" i="75"/>
  <c r="G72" i="75"/>
  <c r="F72" i="75"/>
  <c r="E72" i="75"/>
  <c r="D72" i="75"/>
  <c r="C72" i="75"/>
  <c r="B72" i="75"/>
  <c r="L71" i="75"/>
  <c r="K71" i="75"/>
  <c r="AL7" i="75" s="1"/>
  <c r="J71" i="75"/>
  <c r="I71" i="75"/>
  <c r="H71" i="75"/>
  <c r="G71" i="75"/>
  <c r="F71" i="75"/>
  <c r="E71" i="75"/>
  <c r="D71" i="75"/>
  <c r="C71" i="75"/>
  <c r="B71" i="75"/>
  <c r="W68" i="75"/>
  <c r="R68" i="75"/>
  <c r="W67" i="75"/>
  <c r="L67" i="75"/>
  <c r="K67" i="75"/>
  <c r="J67" i="75"/>
  <c r="I67" i="75"/>
  <c r="H67" i="75"/>
  <c r="G67" i="75"/>
  <c r="F67" i="75"/>
  <c r="E67" i="75"/>
  <c r="D67" i="75"/>
  <c r="C67" i="75"/>
  <c r="B67" i="75"/>
  <c r="R66" i="75"/>
  <c r="L66" i="75"/>
  <c r="K66" i="75"/>
  <c r="AI9" i="75" s="1"/>
  <c r="J66" i="75"/>
  <c r="I66" i="75"/>
  <c r="H66" i="75"/>
  <c r="G66" i="75"/>
  <c r="F66" i="75"/>
  <c r="E66" i="75"/>
  <c r="D66" i="75"/>
  <c r="C66" i="75"/>
  <c r="B66" i="75"/>
  <c r="L65" i="75"/>
  <c r="K65" i="75"/>
  <c r="AI8" i="75" s="1"/>
  <c r="J65" i="75"/>
  <c r="I65" i="75"/>
  <c r="H65" i="75"/>
  <c r="G65" i="75"/>
  <c r="F65" i="75"/>
  <c r="E65" i="75"/>
  <c r="D65" i="75"/>
  <c r="C65" i="75"/>
  <c r="B65" i="75"/>
  <c r="L64" i="75"/>
  <c r="K64" i="75"/>
  <c r="AI7" i="75" s="1"/>
  <c r="J64" i="75"/>
  <c r="I64" i="75"/>
  <c r="H64" i="75"/>
  <c r="G64" i="75"/>
  <c r="F64" i="75"/>
  <c r="E64" i="75"/>
  <c r="D64" i="75"/>
  <c r="C64" i="75"/>
  <c r="B64" i="75"/>
  <c r="L59" i="75"/>
  <c r="K59" i="75"/>
  <c r="J59" i="75"/>
  <c r="BA44" i="75" s="1"/>
  <c r="I59" i="75"/>
  <c r="AZ44" i="75" s="1"/>
  <c r="H59" i="75"/>
  <c r="G59" i="75"/>
  <c r="F59" i="75"/>
  <c r="E59" i="75"/>
  <c r="D59" i="75"/>
  <c r="C59" i="75"/>
  <c r="B59" i="75"/>
  <c r="L58" i="75"/>
  <c r="K58" i="75"/>
  <c r="J58" i="75"/>
  <c r="I58" i="75"/>
  <c r="H58" i="75"/>
  <c r="G58" i="75"/>
  <c r="F58" i="75"/>
  <c r="E58" i="75"/>
  <c r="D58" i="75"/>
  <c r="C58" i="75"/>
  <c r="B58" i="75"/>
  <c r="L57" i="75"/>
  <c r="K57" i="75"/>
  <c r="J57" i="75"/>
  <c r="BA46" i="75" s="1"/>
  <c r="I57" i="75"/>
  <c r="AZ43" i="75" s="1"/>
  <c r="H57" i="75"/>
  <c r="G57" i="75"/>
  <c r="F57" i="75"/>
  <c r="E57" i="75"/>
  <c r="D57" i="75"/>
  <c r="C57" i="75"/>
  <c r="B57" i="75"/>
  <c r="L56" i="75"/>
  <c r="K56" i="75"/>
  <c r="J56" i="75"/>
  <c r="I56" i="75"/>
  <c r="H56" i="75"/>
  <c r="G56" i="75"/>
  <c r="F56" i="75"/>
  <c r="E56" i="75"/>
  <c r="D56" i="75"/>
  <c r="C56" i="75"/>
  <c r="B56" i="75"/>
  <c r="W55" i="75"/>
  <c r="L55" i="75"/>
  <c r="K55" i="75"/>
  <c r="J55" i="75"/>
  <c r="I55" i="75"/>
  <c r="H55" i="75"/>
  <c r="G55" i="75"/>
  <c r="F55" i="75"/>
  <c r="E55" i="75"/>
  <c r="D55" i="75"/>
  <c r="C55" i="75"/>
  <c r="B55" i="75"/>
  <c r="W54" i="75"/>
  <c r="L54" i="75"/>
  <c r="K54" i="75"/>
  <c r="J54" i="75"/>
  <c r="BA42" i="75" s="1"/>
  <c r="I54" i="75"/>
  <c r="AZ42" i="75" s="1"/>
  <c r="H54" i="75"/>
  <c r="G54" i="75"/>
  <c r="F54" i="75"/>
  <c r="E54" i="75"/>
  <c r="D54" i="75"/>
  <c r="C54" i="75"/>
  <c r="B54" i="75"/>
  <c r="R53" i="75"/>
  <c r="L53" i="75"/>
  <c r="K53" i="75"/>
  <c r="J53" i="75"/>
  <c r="BA45" i="75" s="1"/>
  <c r="I53" i="75"/>
  <c r="AZ45" i="75" s="1"/>
  <c r="H53" i="75"/>
  <c r="G53" i="75"/>
  <c r="F53" i="75"/>
  <c r="E53" i="75"/>
  <c r="D53" i="75"/>
  <c r="C53" i="75"/>
  <c r="B53" i="75"/>
  <c r="AI52" i="75"/>
  <c r="R52" i="75"/>
  <c r="L52" i="75"/>
  <c r="K52" i="75"/>
  <c r="J52" i="75"/>
  <c r="BA41" i="75" s="1"/>
  <c r="I52" i="75"/>
  <c r="AZ41" i="75" s="1"/>
  <c r="H52" i="75"/>
  <c r="G52" i="75"/>
  <c r="F52" i="75"/>
  <c r="E52" i="75"/>
  <c r="D52" i="75"/>
  <c r="C52" i="75"/>
  <c r="B52" i="75"/>
  <c r="AI51" i="75"/>
  <c r="AS49" i="75"/>
  <c r="AR49" i="75"/>
  <c r="BB48" i="75"/>
  <c r="AX48" i="75"/>
  <c r="AV48" i="75"/>
  <c r="AT48" i="75"/>
  <c r="AP48" i="75"/>
  <c r="BB47" i="75"/>
  <c r="AX47" i="75"/>
  <c r="AV47" i="75"/>
  <c r="AT47" i="75"/>
  <c r="AP47" i="75"/>
  <c r="AT46" i="75"/>
  <c r="AP46" i="75"/>
  <c r="AT45" i="75"/>
  <c r="AP45" i="75"/>
  <c r="W45" i="75"/>
  <c r="Z45" i="75" s="1"/>
  <c r="AT44" i="75"/>
  <c r="AP44" i="75"/>
  <c r="W44" i="75"/>
  <c r="Z44" i="75" s="1"/>
  <c r="L44" i="75"/>
  <c r="K44" i="75"/>
  <c r="AK10" i="75" s="1"/>
  <c r="J44" i="75"/>
  <c r="I44" i="75"/>
  <c r="H44" i="75"/>
  <c r="G44" i="75"/>
  <c r="F44" i="75"/>
  <c r="E44" i="75"/>
  <c r="D44" i="75"/>
  <c r="C44" i="75"/>
  <c r="B44" i="75"/>
  <c r="AT43" i="75"/>
  <c r="AP43" i="75"/>
  <c r="R43" i="75"/>
  <c r="R73" i="75" s="1"/>
  <c r="L43" i="75"/>
  <c r="K43" i="75"/>
  <c r="AK9" i="75" s="1"/>
  <c r="J43" i="75"/>
  <c r="I43" i="75"/>
  <c r="H43" i="75"/>
  <c r="G43" i="75"/>
  <c r="F43" i="75"/>
  <c r="E43" i="75"/>
  <c r="D43" i="75"/>
  <c r="C43" i="75"/>
  <c r="B43" i="75"/>
  <c r="AT42" i="75"/>
  <c r="AP42" i="75"/>
  <c r="R42" i="75"/>
  <c r="R72" i="75" s="1"/>
  <c r="L42" i="75"/>
  <c r="K42" i="75"/>
  <c r="J42" i="75"/>
  <c r="I42" i="75"/>
  <c r="H42" i="75"/>
  <c r="G42" i="75"/>
  <c r="F42" i="75"/>
  <c r="E42" i="75"/>
  <c r="D42" i="75"/>
  <c r="C42" i="75"/>
  <c r="B42" i="75"/>
  <c r="AT41" i="75"/>
  <c r="AP41" i="75"/>
  <c r="L41" i="75"/>
  <c r="K41" i="75"/>
  <c r="J41" i="75"/>
  <c r="I41" i="75"/>
  <c r="H41" i="75"/>
  <c r="G41" i="75"/>
  <c r="F41" i="75"/>
  <c r="E41" i="75"/>
  <c r="D41" i="75"/>
  <c r="C41" i="75"/>
  <c r="B41" i="75"/>
  <c r="L38" i="75"/>
  <c r="K38" i="75"/>
  <c r="L89" i="75" s="1"/>
  <c r="J38" i="75"/>
  <c r="I38" i="75"/>
  <c r="H38" i="75"/>
  <c r="G38" i="75"/>
  <c r="F38" i="75"/>
  <c r="E38" i="75"/>
  <c r="D38" i="75"/>
  <c r="C38" i="75"/>
  <c r="J89" i="75" s="1"/>
  <c r="B38" i="75"/>
  <c r="L37" i="75"/>
  <c r="K37" i="75"/>
  <c r="L88" i="75" s="1"/>
  <c r="J37" i="75"/>
  <c r="I37" i="75"/>
  <c r="H37" i="75"/>
  <c r="G37" i="75"/>
  <c r="F37" i="75"/>
  <c r="E37" i="75"/>
  <c r="D37" i="75"/>
  <c r="C37" i="75"/>
  <c r="J88" i="75" s="1"/>
  <c r="B37" i="75"/>
  <c r="AR36" i="75"/>
  <c r="AN36" i="75"/>
  <c r="L36" i="75"/>
  <c r="K36" i="75"/>
  <c r="L87" i="75" s="1"/>
  <c r="J36" i="75"/>
  <c r="I36" i="75"/>
  <c r="H36" i="75"/>
  <c r="G36" i="75"/>
  <c r="F36" i="75"/>
  <c r="E36" i="75"/>
  <c r="D36" i="75"/>
  <c r="C36" i="75"/>
  <c r="J87" i="75" s="1"/>
  <c r="B36" i="75"/>
  <c r="L35" i="75"/>
  <c r="K35" i="75"/>
  <c r="L86" i="75" s="1"/>
  <c r="J35" i="75"/>
  <c r="I35" i="75"/>
  <c r="H35" i="75"/>
  <c r="G35" i="75"/>
  <c r="F35" i="75"/>
  <c r="E35" i="75"/>
  <c r="D35" i="75"/>
  <c r="C35" i="75"/>
  <c r="J86" i="75" s="1"/>
  <c r="B35" i="75"/>
  <c r="W34" i="75"/>
  <c r="R34" i="75"/>
  <c r="S73" i="75" s="1"/>
  <c r="L34" i="75"/>
  <c r="K34" i="75"/>
  <c r="AJ10" i="75" s="1"/>
  <c r="AJ33" i="75" s="1"/>
  <c r="J34" i="75"/>
  <c r="I34" i="75"/>
  <c r="H34" i="75"/>
  <c r="G34" i="75"/>
  <c r="F34" i="75"/>
  <c r="E34" i="75"/>
  <c r="D34" i="75"/>
  <c r="C34" i="75"/>
  <c r="J85" i="75" s="1"/>
  <c r="B34" i="75"/>
  <c r="W33" i="75"/>
  <c r="L33" i="75"/>
  <c r="K33" i="75"/>
  <c r="AJ9" i="75" s="1"/>
  <c r="AJ32" i="75" s="1"/>
  <c r="J33" i="75"/>
  <c r="I33" i="75"/>
  <c r="H33" i="75"/>
  <c r="G33" i="75"/>
  <c r="F33" i="75"/>
  <c r="E33" i="75"/>
  <c r="D33" i="75"/>
  <c r="C33" i="75"/>
  <c r="J84" i="75" s="1"/>
  <c r="B33" i="75"/>
  <c r="S32" i="75"/>
  <c r="L32" i="75"/>
  <c r="K32" i="75"/>
  <c r="J32" i="75"/>
  <c r="I32" i="75"/>
  <c r="H32" i="75"/>
  <c r="G32" i="75"/>
  <c r="F32" i="75"/>
  <c r="E32" i="75"/>
  <c r="D32" i="75"/>
  <c r="C32" i="75"/>
  <c r="J83" i="75" s="1"/>
  <c r="B32" i="75"/>
  <c r="R31" i="75"/>
  <c r="S72" i="75" s="1"/>
  <c r="L31" i="75"/>
  <c r="K31" i="75"/>
  <c r="AJ30" i="75" s="1"/>
  <c r="J31" i="75"/>
  <c r="I31" i="75"/>
  <c r="H31" i="75"/>
  <c r="G31" i="75"/>
  <c r="F31" i="75"/>
  <c r="E31" i="75"/>
  <c r="D31" i="75"/>
  <c r="C31" i="75"/>
  <c r="J82" i="75" s="1"/>
  <c r="B31" i="75"/>
  <c r="W20" i="75"/>
  <c r="L20" i="75"/>
  <c r="K20" i="75"/>
  <c r="J20" i="75"/>
  <c r="I20" i="75"/>
  <c r="H20" i="75"/>
  <c r="G20" i="75"/>
  <c r="F20" i="75"/>
  <c r="E20" i="75"/>
  <c r="D20" i="75"/>
  <c r="C20" i="75"/>
  <c r="B20" i="75"/>
  <c r="W19" i="75"/>
  <c r="L19" i="75"/>
  <c r="K19" i="75"/>
  <c r="J19" i="75"/>
  <c r="I19" i="75"/>
  <c r="H19" i="75"/>
  <c r="G19" i="75"/>
  <c r="F19" i="75"/>
  <c r="E19" i="75"/>
  <c r="D19" i="75"/>
  <c r="C19" i="75"/>
  <c r="B19" i="75"/>
  <c r="R18" i="75"/>
  <c r="L18" i="75"/>
  <c r="K18" i="75"/>
  <c r="J18" i="75"/>
  <c r="I18" i="75"/>
  <c r="H18" i="75"/>
  <c r="G18" i="75"/>
  <c r="F18" i="75"/>
  <c r="E18" i="75"/>
  <c r="D18" i="75"/>
  <c r="C18" i="75"/>
  <c r="B18" i="75"/>
  <c r="R17" i="75"/>
  <c r="L17" i="75"/>
  <c r="K17" i="75"/>
  <c r="J17" i="75"/>
  <c r="I17" i="75"/>
  <c r="H17" i="75"/>
  <c r="G17" i="75"/>
  <c r="F17" i="75"/>
  <c r="E17" i="75"/>
  <c r="D17" i="75"/>
  <c r="C17" i="75"/>
  <c r="B17" i="75"/>
  <c r="W13" i="75"/>
  <c r="Z13" i="75" s="1"/>
  <c r="L13" i="75"/>
  <c r="K13" i="75"/>
  <c r="AG10" i="75" s="1"/>
  <c r="J13" i="75"/>
  <c r="I13" i="75"/>
  <c r="H13" i="75"/>
  <c r="G13" i="75"/>
  <c r="F13" i="75"/>
  <c r="E13" i="75"/>
  <c r="D13" i="75"/>
  <c r="C13" i="75"/>
  <c r="B13" i="75"/>
  <c r="W12" i="75"/>
  <c r="Z12" i="75" s="1"/>
  <c r="L12" i="75"/>
  <c r="K12" i="75"/>
  <c r="AG9" i="75" s="1"/>
  <c r="J12" i="75"/>
  <c r="I12" i="75"/>
  <c r="H12" i="75"/>
  <c r="G12" i="75"/>
  <c r="F12" i="75"/>
  <c r="E12" i="75"/>
  <c r="D12" i="75"/>
  <c r="C12" i="75"/>
  <c r="B12" i="75"/>
  <c r="R11" i="75"/>
  <c r="L11" i="75"/>
  <c r="K11" i="75"/>
  <c r="AG8" i="75" s="1"/>
  <c r="J11" i="75"/>
  <c r="I11" i="75"/>
  <c r="H11" i="75"/>
  <c r="G11" i="75"/>
  <c r="F11" i="75"/>
  <c r="E11" i="75"/>
  <c r="D11" i="75"/>
  <c r="C11" i="75"/>
  <c r="B11" i="75"/>
  <c r="R10" i="75"/>
  <c r="L10" i="75"/>
  <c r="K10" i="75"/>
  <c r="AG7" i="75" s="1"/>
  <c r="J10" i="75"/>
  <c r="I10" i="75"/>
  <c r="H10" i="75"/>
  <c r="G10" i="75"/>
  <c r="F10" i="75"/>
  <c r="E10" i="75"/>
  <c r="D10" i="75"/>
  <c r="C10" i="75"/>
  <c r="B10" i="75"/>
  <c r="L6" i="75"/>
  <c r="K6" i="75"/>
  <c r="J6" i="75"/>
  <c r="I6" i="75"/>
  <c r="H6" i="75"/>
  <c r="G6" i="75"/>
  <c r="F6" i="75"/>
  <c r="E6" i="75"/>
  <c r="D6" i="75"/>
  <c r="C6" i="75"/>
  <c r="B6" i="75"/>
  <c r="O61" i="57"/>
  <c r="O58" i="57"/>
  <c r="F295" i="49"/>
  <c r="F294" i="49"/>
  <c r="F293" i="49"/>
  <c r="F292" i="49"/>
  <c r="F291" i="49"/>
  <c r="F290" i="49"/>
  <c r="F288" i="49"/>
  <c r="F287" i="49"/>
  <c r="F286" i="49"/>
  <c r="F285" i="49"/>
  <c r="F284" i="49"/>
  <c r="F283" i="49"/>
  <c r="F282" i="49"/>
  <c r="F281" i="49"/>
  <c r="F280" i="49"/>
  <c r="F279" i="49"/>
  <c r="F278" i="49"/>
  <c r="F277" i="49"/>
  <c r="F276" i="49"/>
  <c r="F275" i="49"/>
  <c r="F274" i="49"/>
  <c r="F273" i="49"/>
  <c r="F272" i="49"/>
  <c r="F271" i="49"/>
  <c r="F270" i="49"/>
  <c r="F268" i="49"/>
  <c r="F267" i="49"/>
  <c r="F266" i="49"/>
  <c r="F264" i="49"/>
  <c r="F262" i="49"/>
  <c r="F261" i="49"/>
  <c r="F260" i="49"/>
  <c r="F259" i="49"/>
  <c r="F258" i="49"/>
  <c r="F257" i="49"/>
  <c r="F256" i="49"/>
  <c r="F255" i="49"/>
  <c r="F254" i="49"/>
  <c r="F253" i="49"/>
  <c r="F252" i="49"/>
  <c r="F251" i="49"/>
  <c r="F250" i="49"/>
  <c r="F249" i="49"/>
  <c r="F248" i="49"/>
  <c r="F247" i="49"/>
  <c r="F246" i="49"/>
  <c r="F245" i="49"/>
  <c r="F244" i="49"/>
  <c r="F242" i="49"/>
  <c r="F241" i="49"/>
  <c r="F240" i="49"/>
  <c r="F239" i="49"/>
  <c r="F238" i="49"/>
  <c r="F237" i="49"/>
  <c r="F236" i="49"/>
  <c r="F235" i="49"/>
  <c r="F234" i="49"/>
  <c r="F233" i="49"/>
  <c r="F232" i="49"/>
  <c r="F231" i="49"/>
  <c r="F230" i="49"/>
  <c r="F229" i="49"/>
  <c r="F228" i="49"/>
  <c r="F227" i="49"/>
  <c r="F226" i="49"/>
  <c r="F225" i="49"/>
  <c r="F224" i="49"/>
  <c r="F223" i="49"/>
  <c r="F222" i="49"/>
  <c r="F9" i="49"/>
  <c r="F10" i="49"/>
  <c r="F11" i="49"/>
  <c r="F13" i="49"/>
  <c r="F14" i="49"/>
  <c r="F15" i="49"/>
  <c r="F16" i="49"/>
  <c r="F17" i="49"/>
  <c r="F18" i="49"/>
  <c r="F19" i="49"/>
  <c r="F20" i="49"/>
  <c r="F21" i="49"/>
  <c r="F22" i="49"/>
  <c r="F23" i="49"/>
  <c r="F24" i="49"/>
  <c r="F25" i="49"/>
  <c r="F26" i="49"/>
  <c r="F27" i="49"/>
  <c r="F28" i="49"/>
  <c r="F29" i="49"/>
  <c r="F30" i="49"/>
  <c r="F31" i="49"/>
  <c r="F33" i="49"/>
  <c r="F34" i="49"/>
  <c r="F35" i="49"/>
  <c r="F36" i="49"/>
  <c r="F37" i="49"/>
  <c r="F38" i="49"/>
  <c r="F39" i="49"/>
  <c r="F40" i="49"/>
  <c r="F41" i="49"/>
  <c r="F42" i="49"/>
  <c r="F43" i="49"/>
  <c r="F44" i="49"/>
  <c r="F45" i="49"/>
  <c r="F46" i="49"/>
  <c r="F47" i="49"/>
  <c r="F48" i="49"/>
  <c r="F49" i="49"/>
  <c r="F50" i="49"/>
  <c r="F51" i="49"/>
  <c r="F52" i="49"/>
  <c r="F53" i="49"/>
  <c r="F54" i="49"/>
  <c r="F55" i="49"/>
  <c r="F57" i="49"/>
  <c r="F58" i="49"/>
  <c r="F59" i="49"/>
  <c r="F60" i="49"/>
  <c r="F61" i="49"/>
  <c r="F62" i="49"/>
  <c r="F63" i="49"/>
  <c r="F65" i="49"/>
  <c r="F66" i="49"/>
  <c r="F67" i="49"/>
  <c r="F68" i="49"/>
  <c r="F69" i="49"/>
  <c r="F70" i="49"/>
  <c r="F71" i="49"/>
  <c r="F72" i="49"/>
  <c r="F73" i="49"/>
  <c r="F74" i="49"/>
  <c r="F75" i="49"/>
  <c r="F76" i="49"/>
  <c r="F77" i="49"/>
  <c r="F78" i="49"/>
  <c r="F79" i="49"/>
  <c r="F80" i="49"/>
  <c r="F81" i="49"/>
  <c r="F82" i="49"/>
  <c r="F83" i="49"/>
  <c r="F84" i="49"/>
  <c r="F85" i="49"/>
  <c r="F86" i="49"/>
  <c r="F87" i="49"/>
  <c r="F89" i="49"/>
  <c r="F90" i="49"/>
  <c r="F91" i="49"/>
  <c r="F92" i="49"/>
  <c r="F93" i="49"/>
  <c r="F94" i="49"/>
  <c r="F95" i="49"/>
  <c r="F96" i="49"/>
  <c r="F97" i="49"/>
  <c r="F98" i="49"/>
  <c r="F100" i="49"/>
  <c r="F101" i="49"/>
  <c r="F102" i="49"/>
  <c r="F103" i="49"/>
  <c r="F104" i="49"/>
  <c r="F105" i="49"/>
  <c r="F106" i="49"/>
  <c r="F107" i="49"/>
  <c r="F108" i="49"/>
  <c r="F109" i="49"/>
  <c r="F110" i="49"/>
  <c r="F111" i="49"/>
  <c r="F112" i="49"/>
  <c r="F113" i="49"/>
  <c r="F115" i="49"/>
  <c r="F116" i="49"/>
  <c r="F117" i="49"/>
  <c r="F118" i="49"/>
  <c r="F119" i="49"/>
  <c r="F120" i="49"/>
  <c r="F121" i="49"/>
  <c r="F122" i="49"/>
  <c r="F123" i="49"/>
  <c r="F124" i="49"/>
  <c r="F125" i="49"/>
  <c r="F126" i="49"/>
  <c r="F127" i="49"/>
  <c r="F128" i="49"/>
  <c r="F129" i="49"/>
  <c r="F130" i="49"/>
  <c r="F131" i="49"/>
  <c r="F132" i="49"/>
  <c r="F133" i="49"/>
  <c r="F134" i="49"/>
  <c r="F135" i="49"/>
  <c r="F136" i="49"/>
  <c r="F137" i="49"/>
  <c r="F139" i="49"/>
  <c r="F140" i="49"/>
  <c r="F141" i="49"/>
  <c r="F142" i="49"/>
  <c r="F143" i="49"/>
  <c r="F144" i="49"/>
  <c r="F145" i="49"/>
  <c r="F146" i="49"/>
  <c r="F147" i="49"/>
  <c r="F148" i="49"/>
  <c r="F149" i="49"/>
  <c r="F150" i="49"/>
  <c r="F152" i="49"/>
  <c r="F153" i="49"/>
  <c r="F154" i="49"/>
  <c r="F155" i="49"/>
  <c r="F156" i="49"/>
  <c r="F157" i="49"/>
  <c r="F158" i="49"/>
  <c r="F159" i="49"/>
  <c r="F160" i="49"/>
  <c r="F161" i="49"/>
  <c r="F162" i="49"/>
  <c r="F163" i="49"/>
  <c r="F164" i="49"/>
  <c r="F165" i="49"/>
  <c r="F166" i="49"/>
  <c r="F167" i="49"/>
  <c r="F168" i="49"/>
  <c r="F169" i="49"/>
  <c r="F170" i="49"/>
  <c r="F171" i="49"/>
  <c r="F172" i="49"/>
  <c r="F173" i="49"/>
  <c r="F174" i="49"/>
  <c r="F176" i="49"/>
  <c r="F177" i="49"/>
  <c r="F178" i="49"/>
  <c r="F179" i="49"/>
  <c r="F180" i="49"/>
  <c r="F181" i="49"/>
  <c r="F182" i="49"/>
  <c r="F183" i="49"/>
  <c r="F184" i="49"/>
  <c r="F185" i="49"/>
  <c r="F186" i="49"/>
  <c r="F187" i="49"/>
  <c r="F188" i="49"/>
  <c r="F189" i="49"/>
  <c r="F190" i="49"/>
  <c r="F191" i="49"/>
  <c r="F192" i="49"/>
  <c r="F193" i="49"/>
  <c r="F194" i="49"/>
  <c r="F195" i="49"/>
  <c r="F196" i="49"/>
  <c r="F198" i="49"/>
  <c r="F199" i="49"/>
  <c r="F200" i="49"/>
  <c r="F201" i="49"/>
  <c r="F202" i="49"/>
  <c r="F203" i="49"/>
  <c r="F204" i="49"/>
  <c r="F205" i="49"/>
  <c r="F206" i="49"/>
  <c r="F207" i="49"/>
  <c r="F208" i="49"/>
  <c r="F209" i="49"/>
  <c r="F210" i="49"/>
  <c r="F211" i="49"/>
  <c r="F212" i="49"/>
  <c r="F213" i="49"/>
  <c r="F214" i="49"/>
  <c r="F215" i="49"/>
  <c r="F216" i="49"/>
  <c r="F217" i="49"/>
  <c r="F218" i="49"/>
  <c r="F219" i="49"/>
  <c r="F220" i="49"/>
  <c r="S222" i="49"/>
  <c r="X222" i="49"/>
  <c r="Y222" i="49"/>
  <c r="AB222" i="49"/>
  <c r="AC222" i="49" s="1"/>
  <c r="AF222" i="49"/>
  <c r="AJ222" i="49"/>
  <c r="AK222" i="49" s="1"/>
  <c r="AN222" i="49"/>
  <c r="AO222" i="49" s="1"/>
  <c r="AR222" i="49"/>
  <c r="AS222" i="49" s="1"/>
  <c r="AV222" i="49"/>
  <c r="AW222" i="49"/>
  <c r="AZ222" i="49"/>
  <c r="BA222" i="49"/>
  <c r="BD222" i="49"/>
  <c r="BI222" i="49"/>
  <c r="BL222" i="49"/>
  <c r="BO222" i="49"/>
  <c r="S223" i="49"/>
  <c r="S224" i="49" s="1"/>
  <c r="X223" i="49"/>
  <c r="Y223" i="49"/>
  <c r="AB223" i="49"/>
  <c r="AC223" i="49"/>
  <c r="AF223" i="49"/>
  <c r="AG223" i="49" s="1"/>
  <c r="AJ223" i="49"/>
  <c r="AK223" i="49" s="1"/>
  <c r="AN223" i="49"/>
  <c r="AO223" i="49" s="1"/>
  <c r="AR223" i="49"/>
  <c r="AS223" i="49" s="1"/>
  <c r="AV223" i="49"/>
  <c r="AW223" i="49" s="1"/>
  <c r="AZ223" i="49"/>
  <c r="BA223" i="49"/>
  <c r="BD223" i="49"/>
  <c r="BF223" i="49" s="1"/>
  <c r="BI223" i="49"/>
  <c r="BL223" i="49"/>
  <c r="BL224" i="49" s="1"/>
  <c r="BO223" i="49"/>
  <c r="BO224" i="49" s="1"/>
  <c r="J224" i="49"/>
  <c r="K224" i="49"/>
  <c r="L224" i="49"/>
  <c r="M224" i="49"/>
  <c r="R224" i="49"/>
  <c r="S225" i="49" s="1"/>
  <c r="T224" i="49"/>
  <c r="U224" i="49"/>
  <c r="V224" i="49"/>
  <c r="W224" i="49"/>
  <c r="Z224" i="49"/>
  <c r="AA224" i="49"/>
  <c r="AB224" i="49"/>
  <c r="AD224" i="49"/>
  <c r="AE224" i="49"/>
  <c r="AH224" i="49"/>
  <c r="AI224" i="49"/>
  <c r="AL224" i="49"/>
  <c r="AM224" i="49"/>
  <c r="AP224" i="49"/>
  <c r="AQ224" i="49"/>
  <c r="AT224" i="49"/>
  <c r="AU224" i="49"/>
  <c r="AX224" i="49"/>
  <c r="AY224" i="49"/>
  <c r="BB224" i="49"/>
  <c r="BC224" i="49"/>
  <c r="BE224" i="49"/>
  <c r="X225" i="49"/>
  <c r="Y225" i="49" s="1"/>
  <c r="AB225" i="49"/>
  <c r="AC225" i="49" s="1"/>
  <c r="AF225" i="49"/>
  <c r="AG225" i="49" s="1"/>
  <c r="AJ225" i="49"/>
  <c r="AK225" i="49" s="1"/>
  <c r="AN225" i="49"/>
  <c r="AO225" i="49" s="1"/>
  <c r="AR225" i="49"/>
  <c r="AS225" i="49" s="1"/>
  <c r="AV225" i="49"/>
  <c r="AW225" i="49"/>
  <c r="AZ225" i="49"/>
  <c r="BA225" i="49"/>
  <c r="BD225" i="49"/>
  <c r="BF225" i="49" s="1"/>
  <c r="BI225" i="49"/>
  <c r="BL225" i="49"/>
  <c r="BO225" i="49"/>
  <c r="B4" i="49"/>
  <c r="B5" i="49"/>
  <c r="B5" i="52"/>
  <c r="L82" i="75" l="1"/>
  <c r="AW45" i="75"/>
  <c r="C16" i="76"/>
  <c r="AV41" i="75"/>
  <c r="B12" i="76"/>
  <c r="AV45" i="75"/>
  <c r="B16" i="76"/>
  <c r="AV42" i="75"/>
  <c r="B13" i="76"/>
  <c r="AV43" i="75"/>
  <c r="B14" i="76"/>
  <c r="AV44" i="75"/>
  <c r="B15" i="76"/>
  <c r="AV46" i="75"/>
  <c r="B17" i="76"/>
  <c r="AW46" i="75"/>
  <c r="C17" i="76"/>
  <c r="AW44" i="75"/>
  <c r="C15" i="76"/>
  <c r="AW42" i="75"/>
  <c r="C13" i="76"/>
  <c r="AW41" i="75"/>
  <c r="C12" i="76"/>
  <c r="AW43" i="75"/>
  <c r="C14" i="76"/>
  <c r="B18" i="76"/>
  <c r="AH7" i="75"/>
  <c r="AH30" i="75" s="1"/>
  <c r="AH8" i="75"/>
  <c r="L83" i="75"/>
  <c r="AH9" i="75"/>
  <c r="AH32" i="75" s="1"/>
  <c r="L84" i="75"/>
  <c r="AH10" i="75"/>
  <c r="AH33" i="75" s="1"/>
  <c r="L85" i="75"/>
  <c r="AZ46" i="75"/>
  <c r="BB46" i="75" s="1"/>
  <c r="X43" i="75"/>
  <c r="Y43" i="75" s="1"/>
  <c r="Z43" i="75" s="1"/>
  <c r="W14" i="75"/>
  <c r="AG48" i="75" s="1"/>
  <c r="S17" i="75"/>
  <c r="X11" i="75"/>
  <c r="Y11" i="75" s="1"/>
  <c r="Z11" i="75" s="1"/>
  <c r="X18" i="75"/>
  <c r="Y18" i="75" s="1"/>
  <c r="Z18" i="75" s="1"/>
  <c r="S10" i="75"/>
  <c r="X66" i="75"/>
  <c r="Y66" i="75" s="1"/>
  <c r="S11" i="75"/>
  <c r="Z33" i="75"/>
  <c r="AA33" i="75" s="1"/>
  <c r="AJ37" i="75" s="1"/>
  <c r="S52" i="75"/>
  <c r="W56" i="75"/>
  <c r="R65" i="75"/>
  <c r="W69" i="75" s="1"/>
  <c r="AI48" i="75" s="1"/>
  <c r="W21" i="75"/>
  <c r="AH48" i="75" s="1"/>
  <c r="S31" i="75"/>
  <c r="W35" i="75"/>
  <c r="AJ48" i="75" s="1"/>
  <c r="S34" i="75"/>
  <c r="S42" i="75"/>
  <c r="S65" i="75"/>
  <c r="X32" i="75"/>
  <c r="Y32" i="75" s="1"/>
  <c r="BB44" i="75"/>
  <c r="BB45" i="75"/>
  <c r="BB41" i="75"/>
  <c r="AZ36" i="75"/>
  <c r="BB42" i="75"/>
  <c r="AI10" i="75"/>
  <c r="AI33" i="75" s="1"/>
  <c r="AI32" i="75"/>
  <c r="AK33" i="75"/>
  <c r="AG32" i="75"/>
  <c r="AG30" i="75"/>
  <c r="AK32" i="75"/>
  <c r="AL30" i="75"/>
  <c r="AL33" i="75"/>
  <c r="AK8" i="75"/>
  <c r="AG33" i="75"/>
  <c r="AA34" i="75"/>
  <c r="AJ38" i="75" s="1"/>
  <c r="Z74" i="75"/>
  <c r="AA74" i="75" s="1"/>
  <c r="AL37" i="75" s="1"/>
  <c r="Z75" i="75"/>
  <c r="AA75" i="75" s="1"/>
  <c r="AL38" i="75" s="1"/>
  <c r="AI30" i="75"/>
  <c r="AL32" i="75"/>
  <c r="AK30" i="75"/>
  <c r="W76" i="75"/>
  <c r="AL48" i="75" s="1"/>
  <c r="X73" i="75"/>
  <c r="S18" i="75"/>
  <c r="BA43" i="75"/>
  <c r="BB43" i="75" s="1"/>
  <c r="AJ8" i="75"/>
  <c r="AJ31" i="75" s="1"/>
  <c r="S55" i="75"/>
  <c r="S66" i="75"/>
  <c r="W46" i="75"/>
  <c r="AK48" i="75" s="1"/>
  <c r="X53" i="75"/>
  <c r="S43" i="75"/>
  <c r="X224" i="49"/>
  <c r="Y224" i="49" s="1"/>
  <c r="BD224" i="49"/>
  <c r="BF224" i="49" s="1"/>
  <c r="AZ224" i="49"/>
  <c r="AV224" i="49"/>
  <c r="AW224" i="49" s="1"/>
  <c r="AR224" i="49"/>
  <c r="AS224" i="49" s="1"/>
  <c r="AF224" i="49"/>
  <c r="AG224" i="49" s="1"/>
  <c r="BI224" i="49"/>
  <c r="AJ224" i="49"/>
  <c r="AK224" i="49" s="1"/>
  <c r="BA224" i="49"/>
  <c r="AC224" i="49"/>
  <c r="AN224" i="49"/>
  <c r="AO224" i="49" s="1"/>
  <c r="BF222" i="49"/>
  <c r="AG222" i="49"/>
  <c r="AX43" i="75" l="1"/>
  <c r="BG43" i="75" s="1"/>
  <c r="AX41" i="75"/>
  <c r="BF41" i="75" s="1"/>
  <c r="AX46" i="75"/>
  <c r="BG46" i="75" s="1"/>
  <c r="D16" i="76"/>
  <c r="E16" i="76" s="1"/>
  <c r="AX45" i="75"/>
  <c r="BG45" i="75" s="1"/>
  <c r="D15" i="76"/>
  <c r="E15" i="76" s="1"/>
  <c r="AV49" i="75"/>
  <c r="BG49" i="75" s="1"/>
  <c r="AX42" i="75"/>
  <c r="BG42" i="75" s="1"/>
  <c r="D14" i="76"/>
  <c r="D13" i="76"/>
  <c r="AV36" i="75"/>
  <c r="D12" i="76"/>
  <c r="AX44" i="75"/>
  <c r="BF44" i="75" s="1"/>
  <c r="D17" i="76"/>
  <c r="E17" i="76" s="1"/>
  <c r="AB54" i="75"/>
  <c r="AB19" i="75"/>
  <c r="AH14" i="75" s="1"/>
  <c r="AB12" i="75"/>
  <c r="AG14" i="75" s="1"/>
  <c r="AB18" i="75"/>
  <c r="AH13" i="75" s="1"/>
  <c r="AB13" i="75"/>
  <c r="AG15" i="75" s="1"/>
  <c r="AB20" i="75"/>
  <c r="AH15" i="75" s="1"/>
  <c r="AB55" i="75"/>
  <c r="AB43" i="75"/>
  <c r="AK13" i="75" s="1"/>
  <c r="AB66" i="75"/>
  <c r="AI13" i="75" s="1"/>
  <c r="AB33" i="75"/>
  <c r="AJ14" i="75" s="1"/>
  <c r="BF43" i="75"/>
  <c r="AB34" i="75"/>
  <c r="AJ15" i="75" s="1"/>
  <c r="Z32" i="75"/>
  <c r="AB32" i="75" s="1"/>
  <c r="AJ13" i="75" s="1"/>
  <c r="AJ18" i="75" s="1"/>
  <c r="AA13" i="75"/>
  <c r="AG38" i="75" s="1"/>
  <c r="AG43" i="75" s="1"/>
  <c r="AA12" i="75"/>
  <c r="AG37" i="75" s="1"/>
  <c r="AG42" i="75" s="1"/>
  <c r="AJ43" i="75"/>
  <c r="AK31" i="75"/>
  <c r="AG31" i="75"/>
  <c r="AB11" i="75"/>
  <c r="AG13" i="75" s="1"/>
  <c r="AA11" i="75"/>
  <c r="AG36" i="75" s="1"/>
  <c r="AA55" i="75"/>
  <c r="AA54" i="75"/>
  <c r="AL31" i="75"/>
  <c r="AH31" i="75"/>
  <c r="AA68" i="75"/>
  <c r="AI38" i="75" s="1"/>
  <c r="AA67" i="75"/>
  <c r="AI37" i="75" s="1"/>
  <c r="AA66" i="75"/>
  <c r="AI36" i="75" s="1"/>
  <c r="AB75" i="75"/>
  <c r="AL15" i="75" s="1"/>
  <c r="Y73" i="75"/>
  <c r="Z73" i="75" s="1"/>
  <c r="AA18" i="75"/>
  <c r="AH36" i="75" s="1"/>
  <c r="AA19" i="75"/>
  <c r="AH37" i="75" s="1"/>
  <c r="AH42" i="75" s="1"/>
  <c r="AA20" i="75"/>
  <c r="AH38" i="75" s="1"/>
  <c r="AH43" i="75" s="1"/>
  <c r="Y53" i="75"/>
  <c r="AB44" i="75"/>
  <c r="AK14" i="75" s="1"/>
  <c r="AA45" i="75"/>
  <c r="AK38" i="75" s="1"/>
  <c r="AK43" i="75" s="1"/>
  <c r="AA44" i="75"/>
  <c r="AK37" i="75" s="1"/>
  <c r="AK42" i="75" s="1"/>
  <c r="AA43" i="75"/>
  <c r="AK36" i="75" s="1"/>
  <c r="AB68" i="75"/>
  <c r="AI15" i="75" s="1"/>
  <c r="AB74" i="75"/>
  <c r="AL14" i="75" s="1"/>
  <c r="AI31" i="75"/>
  <c r="AB45" i="75"/>
  <c r="AK15" i="75" s="1"/>
  <c r="AB67" i="75"/>
  <c r="AI14" i="75" s="1"/>
  <c r="AF45" i="57"/>
  <c r="AF44" i="57"/>
  <c r="AO29" i="57"/>
  <c r="AK29" i="57"/>
  <c r="L12" i="70"/>
  <c r="L11" i="70"/>
  <c r="L3" i="70"/>
  <c r="L2" i="70"/>
  <c r="K12" i="70"/>
  <c r="K11" i="70"/>
  <c r="K3" i="70"/>
  <c r="K2" i="70"/>
  <c r="J12" i="70"/>
  <c r="J11" i="70"/>
  <c r="J3" i="70"/>
  <c r="J2" i="70"/>
  <c r="Y210" i="49"/>
  <c r="BG41" i="75" l="1"/>
  <c r="BF45" i="75"/>
  <c r="BF49" i="75"/>
  <c r="BF46" i="75"/>
  <c r="BF42" i="75"/>
  <c r="BG44" i="75"/>
  <c r="E12" i="76"/>
  <c r="B26" i="76"/>
  <c r="C26" i="76" s="1"/>
  <c r="F14" i="76" s="1"/>
  <c r="B31" i="76"/>
  <c r="E13" i="76"/>
  <c r="E14" i="76"/>
  <c r="AH19" i="75"/>
  <c r="AI18" i="75"/>
  <c r="AK19" i="75"/>
  <c r="AI19" i="75"/>
  <c r="AG19" i="75"/>
  <c r="AL19" i="75"/>
  <c r="AJ20" i="75"/>
  <c r="AH18" i="75"/>
  <c r="AA32" i="75"/>
  <c r="AJ36" i="75" s="1"/>
  <c r="AJ41" i="75" s="1"/>
  <c r="AK18" i="75"/>
  <c r="AJ19" i="75"/>
  <c r="AK20" i="75"/>
  <c r="AH20" i="75"/>
  <c r="AL20" i="75"/>
  <c r="AI20" i="75"/>
  <c r="AG20" i="75"/>
  <c r="AG18" i="75"/>
  <c r="AB53" i="75"/>
  <c r="AA53" i="75"/>
  <c r="AB73" i="75"/>
  <c r="AL13" i="75" s="1"/>
  <c r="AL18" i="75" s="1"/>
  <c r="AA73" i="75"/>
  <c r="AL36" i="75" s="1"/>
  <c r="AP42" i="57"/>
  <c r="AO42" i="57"/>
  <c r="AQ41" i="57"/>
  <c r="AQ40" i="57"/>
  <c r="AQ39" i="57"/>
  <c r="AQ38" i="57"/>
  <c r="AQ37" i="57"/>
  <c r="AQ36" i="57"/>
  <c r="AQ35" i="57"/>
  <c r="AQ34" i="57"/>
  <c r="L6" i="57"/>
  <c r="AM34" i="57"/>
  <c r="AM35" i="57"/>
  <c r="AM36" i="57"/>
  <c r="AM37" i="57"/>
  <c r="AM38" i="57"/>
  <c r="AM39" i="57"/>
  <c r="AM40" i="57"/>
  <c r="AM41" i="57"/>
  <c r="O59" i="57"/>
  <c r="O46" i="57"/>
  <c r="P46" i="57" s="1"/>
  <c r="T68" i="57"/>
  <c r="T67" i="57"/>
  <c r="D67" i="57"/>
  <c r="C67" i="57"/>
  <c r="B67" i="57"/>
  <c r="D66" i="57"/>
  <c r="C66" i="57"/>
  <c r="B66" i="57"/>
  <c r="J65" i="57"/>
  <c r="H65" i="57"/>
  <c r="F65" i="57"/>
  <c r="D65" i="57"/>
  <c r="C65" i="57"/>
  <c r="B65" i="57"/>
  <c r="D64" i="57"/>
  <c r="C64" i="57"/>
  <c r="B64" i="57"/>
  <c r="T61" i="57"/>
  <c r="T60" i="57"/>
  <c r="D60" i="57"/>
  <c r="C60" i="57"/>
  <c r="B60" i="57"/>
  <c r="D59" i="57"/>
  <c r="C59" i="57"/>
  <c r="B59" i="57"/>
  <c r="J58" i="57"/>
  <c r="H58" i="57"/>
  <c r="F58" i="57"/>
  <c r="D58" i="57"/>
  <c r="C58" i="57"/>
  <c r="B58" i="57"/>
  <c r="D57" i="57"/>
  <c r="C57" i="57"/>
  <c r="B57" i="57"/>
  <c r="D52" i="57"/>
  <c r="C52" i="57"/>
  <c r="B52" i="57"/>
  <c r="J51" i="57"/>
  <c r="H51" i="57"/>
  <c r="F51" i="57"/>
  <c r="D51" i="57"/>
  <c r="C51" i="57"/>
  <c r="B51" i="57"/>
  <c r="D50" i="57"/>
  <c r="C50" i="57"/>
  <c r="B50" i="57"/>
  <c r="D49" i="57"/>
  <c r="C49" i="57"/>
  <c r="B49" i="57"/>
  <c r="T48" i="57"/>
  <c r="O48" i="57"/>
  <c r="D48" i="57"/>
  <c r="C48" i="57"/>
  <c r="B48" i="57"/>
  <c r="T47" i="57"/>
  <c r="D47" i="57"/>
  <c r="C47" i="57"/>
  <c r="B47" i="57"/>
  <c r="J46" i="57"/>
  <c r="AX38" i="57" s="1"/>
  <c r="H46" i="57"/>
  <c r="F46" i="57"/>
  <c r="D46" i="57"/>
  <c r="C46" i="57"/>
  <c r="B46" i="57"/>
  <c r="D45" i="57"/>
  <c r="C45" i="57"/>
  <c r="B45" i="57"/>
  <c r="O36" i="57"/>
  <c r="O66" i="57" s="1"/>
  <c r="O18" i="57"/>
  <c r="O11" i="57"/>
  <c r="O27" i="57"/>
  <c r="P59" i="57" s="1"/>
  <c r="O25" i="57"/>
  <c r="P25" i="57" s="1"/>
  <c r="D37" i="57"/>
  <c r="C37" i="57"/>
  <c r="B37" i="57"/>
  <c r="D36" i="57"/>
  <c r="C36" i="57"/>
  <c r="B36" i="57"/>
  <c r="J35" i="57"/>
  <c r="H35" i="57"/>
  <c r="F35" i="57"/>
  <c r="E35" i="57"/>
  <c r="D35" i="57"/>
  <c r="C35" i="57"/>
  <c r="B35" i="57"/>
  <c r="D34" i="57"/>
  <c r="C34" i="57"/>
  <c r="B34" i="57"/>
  <c r="H31" i="57"/>
  <c r="D31" i="57"/>
  <c r="C31" i="57"/>
  <c r="B31" i="57"/>
  <c r="J30" i="57"/>
  <c r="AT39" i="57" s="1"/>
  <c r="H30" i="57"/>
  <c r="F30" i="57"/>
  <c r="D30" i="57"/>
  <c r="C30" i="57"/>
  <c r="B30" i="57"/>
  <c r="H29" i="57"/>
  <c r="D29" i="57"/>
  <c r="C29" i="57"/>
  <c r="B29" i="57"/>
  <c r="H28" i="57"/>
  <c r="D28" i="57"/>
  <c r="C28" i="57"/>
  <c r="B28" i="57"/>
  <c r="D27" i="57"/>
  <c r="C27" i="57"/>
  <c r="B27" i="57"/>
  <c r="D26" i="57"/>
  <c r="C26" i="57"/>
  <c r="B26" i="57"/>
  <c r="J25" i="57"/>
  <c r="AT38" i="57" s="1"/>
  <c r="H25" i="57"/>
  <c r="F25" i="57"/>
  <c r="D25" i="57"/>
  <c r="C25" i="57"/>
  <c r="B25" i="57"/>
  <c r="D24" i="57"/>
  <c r="C24" i="57"/>
  <c r="B24" i="57"/>
  <c r="D20" i="57"/>
  <c r="C20" i="57"/>
  <c r="B20" i="57"/>
  <c r="D19" i="57"/>
  <c r="C19" i="57"/>
  <c r="B19" i="57"/>
  <c r="J18" i="57"/>
  <c r="H18" i="57"/>
  <c r="F18" i="57"/>
  <c r="D18" i="57"/>
  <c r="C18" i="57"/>
  <c r="B18" i="57"/>
  <c r="D17" i="57"/>
  <c r="C17" i="57"/>
  <c r="B17" i="57"/>
  <c r="D13" i="57"/>
  <c r="C13" i="57"/>
  <c r="B13" i="57"/>
  <c r="D12" i="57"/>
  <c r="C12" i="57"/>
  <c r="B12" i="57"/>
  <c r="J11" i="57"/>
  <c r="H11" i="57"/>
  <c r="F11" i="57"/>
  <c r="D11" i="57"/>
  <c r="C11" i="57"/>
  <c r="B11" i="57"/>
  <c r="D10" i="57"/>
  <c r="C10" i="57"/>
  <c r="B10" i="57"/>
  <c r="K6" i="57"/>
  <c r="J6" i="57"/>
  <c r="I6" i="57"/>
  <c r="H6" i="57"/>
  <c r="G6" i="57"/>
  <c r="F6" i="57"/>
  <c r="E6" i="57"/>
  <c r="D6" i="57"/>
  <c r="C6" i="57"/>
  <c r="B6" i="57"/>
  <c r="F13" i="76" l="1"/>
  <c r="B29" i="76"/>
  <c r="C29" i="76" s="1"/>
  <c r="C31" i="76"/>
  <c r="D31" i="76" s="1"/>
  <c r="E31" i="76" s="1"/>
  <c r="H31" i="76"/>
  <c r="E26" i="76"/>
  <c r="D26" i="76"/>
  <c r="F15" i="76"/>
  <c r="F12" i="76"/>
  <c r="AK41" i="75"/>
  <c r="AG41" i="75"/>
  <c r="AH41" i="75"/>
  <c r="AJ42" i="75"/>
  <c r="P66" i="57"/>
  <c r="P48" i="57"/>
  <c r="B30" i="76" l="1"/>
  <c r="C30" i="76" s="1"/>
  <c r="D30" i="76" s="1"/>
  <c r="E30" i="76" s="1"/>
  <c r="BO295" i="49"/>
  <c r="BL295" i="49"/>
  <c r="BI295" i="49"/>
  <c r="BD295" i="49"/>
  <c r="BF295" i="49" s="1"/>
  <c r="AZ295" i="49"/>
  <c r="BA295" i="49" s="1"/>
  <c r="AV295" i="49"/>
  <c r="AW295" i="49" s="1"/>
  <c r="AR295" i="49"/>
  <c r="AS295" i="49" s="1"/>
  <c r="AN295" i="49"/>
  <c r="AO295" i="49" s="1"/>
  <c r="AJ295" i="49"/>
  <c r="AK295" i="49" s="1"/>
  <c r="AF295" i="49"/>
  <c r="AG295" i="49" s="1"/>
  <c r="AB295" i="49"/>
  <c r="AC295" i="49" s="1"/>
  <c r="X295" i="49"/>
  <c r="Y295" i="49" s="1"/>
  <c r="S295" i="49"/>
  <c r="BO294" i="49"/>
  <c r="BL294" i="49"/>
  <c r="BI294" i="49"/>
  <c r="BD294" i="49"/>
  <c r="BF294" i="49" s="1"/>
  <c r="AZ294" i="49"/>
  <c r="BA294" i="49" s="1"/>
  <c r="AV294" i="49"/>
  <c r="AW294" i="49" s="1"/>
  <c r="AR294" i="49"/>
  <c r="AS294" i="49" s="1"/>
  <c r="AN294" i="49"/>
  <c r="AO294" i="49" s="1"/>
  <c r="AJ294" i="49"/>
  <c r="AK294" i="49" s="1"/>
  <c r="AF294" i="49"/>
  <c r="AG294" i="49" s="1"/>
  <c r="AB294" i="49"/>
  <c r="AC294" i="49" s="1"/>
  <c r="X294" i="49"/>
  <c r="Y294" i="49" s="1"/>
  <c r="S294" i="49"/>
  <c r="BO293" i="49"/>
  <c r="BL293" i="49"/>
  <c r="BI293" i="49"/>
  <c r="BD293" i="49"/>
  <c r="BF293" i="49" s="1"/>
  <c r="AZ293" i="49"/>
  <c r="BA293" i="49" s="1"/>
  <c r="AV293" i="49"/>
  <c r="AW293" i="49" s="1"/>
  <c r="AR293" i="49"/>
  <c r="AS293" i="49" s="1"/>
  <c r="AN293" i="49"/>
  <c r="AO293" i="49" s="1"/>
  <c r="AJ293" i="49"/>
  <c r="AK293" i="49" s="1"/>
  <c r="AF293" i="49"/>
  <c r="AG293" i="49" s="1"/>
  <c r="AB293" i="49"/>
  <c r="AC293" i="49" s="1"/>
  <c r="X293" i="49"/>
  <c r="Y293" i="49" s="1"/>
  <c r="S293" i="49"/>
  <c r="BO292" i="49"/>
  <c r="BL292" i="49"/>
  <c r="BI292" i="49"/>
  <c r="BD292" i="49"/>
  <c r="BF292" i="49" s="1"/>
  <c r="AZ292" i="49"/>
  <c r="BA292" i="49" s="1"/>
  <c r="AV292" i="49"/>
  <c r="AW292" i="49" s="1"/>
  <c r="AR292" i="49"/>
  <c r="AS292" i="49" s="1"/>
  <c r="AN292" i="49"/>
  <c r="AO292" i="49" s="1"/>
  <c r="AJ292" i="49"/>
  <c r="AK292" i="49" s="1"/>
  <c r="AF292" i="49"/>
  <c r="AG292" i="49" s="1"/>
  <c r="AB292" i="49"/>
  <c r="AC292" i="49" s="1"/>
  <c r="X292" i="49"/>
  <c r="Y292" i="49" s="1"/>
  <c r="S292" i="49"/>
  <c r="BO291" i="49"/>
  <c r="BL291" i="49"/>
  <c r="BI291" i="49"/>
  <c r="BD291" i="49"/>
  <c r="BF291" i="49" s="1"/>
  <c r="AZ291" i="49"/>
  <c r="BA291" i="49" s="1"/>
  <c r="AV291" i="49"/>
  <c r="AW291" i="49" s="1"/>
  <c r="AR291" i="49"/>
  <c r="AS291" i="49" s="1"/>
  <c r="AN291" i="49"/>
  <c r="AO291" i="49" s="1"/>
  <c r="AJ291" i="49"/>
  <c r="AK291" i="49" s="1"/>
  <c r="AF291" i="49"/>
  <c r="AG291" i="49" s="1"/>
  <c r="AB291" i="49"/>
  <c r="AC291" i="49" s="1"/>
  <c r="X291" i="49"/>
  <c r="Y291" i="49" s="1"/>
  <c r="S291" i="49"/>
  <c r="BO290" i="49"/>
  <c r="BL290" i="49"/>
  <c r="BI290" i="49"/>
  <c r="BD290" i="49"/>
  <c r="BF290" i="49" s="1"/>
  <c r="AZ290" i="49"/>
  <c r="BA290" i="49" s="1"/>
  <c r="AV290" i="49"/>
  <c r="AW290" i="49" s="1"/>
  <c r="AR290" i="49"/>
  <c r="AS290" i="49" s="1"/>
  <c r="AN290" i="49"/>
  <c r="AO290" i="49" s="1"/>
  <c r="AJ290" i="49"/>
  <c r="AK290" i="49" s="1"/>
  <c r="AF290" i="49"/>
  <c r="AG290" i="49" s="1"/>
  <c r="AB290" i="49"/>
  <c r="AC290" i="49" s="1"/>
  <c r="X290" i="49"/>
  <c r="Y290" i="49" s="1"/>
  <c r="S290" i="49"/>
  <c r="BO288" i="49"/>
  <c r="BL288" i="49"/>
  <c r="O35" i="57" s="1"/>
  <c r="O65" i="57" s="1"/>
  <c r="T69" i="57" s="1"/>
  <c r="AI41" i="57" s="1"/>
  <c r="BI288" i="49"/>
  <c r="BD288" i="49"/>
  <c r="BF288" i="49" s="1"/>
  <c r="AZ288" i="49"/>
  <c r="BA288" i="49" s="1"/>
  <c r="AV288" i="49"/>
  <c r="AW288" i="49" s="1"/>
  <c r="AR288" i="49"/>
  <c r="AS288" i="49" s="1"/>
  <c r="AN288" i="49"/>
  <c r="AO288" i="49" s="1"/>
  <c r="AJ288" i="49"/>
  <c r="AK288" i="49" s="1"/>
  <c r="AF288" i="49"/>
  <c r="AG288" i="49" s="1"/>
  <c r="AB288" i="49"/>
  <c r="AC288" i="49" s="1"/>
  <c r="X288" i="49"/>
  <c r="Y288" i="49" s="1"/>
  <c r="S288" i="49"/>
  <c r="BO287" i="49"/>
  <c r="BL287" i="49"/>
  <c r="BI287" i="49"/>
  <c r="BD287" i="49"/>
  <c r="BF287" i="49" s="1"/>
  <c r="AZ287" i="49"/>
  <c r="BA287" i="49" s="1"/>
  <c r="AV287" i="49"/>
  <c r="AW287" i="49" s="1"/>
  <c r="AR287" i="49"/>
  <c r="AS287" i="49" s="1"/>
  <c r="AN287" i="49"/>
  <c r="AO287" i="49" s="1"/>
  <c r="AJ287" i="49"/>
  <c r="AK287" i="49" s="1"/>
  <c r="AF287" i="49"/>
  <c r="AG287" i="49" s="1"/>
  <c r="AB287" i="49"/>
  <c r="AC287" i="49" s="1"/>
  <c r="X287" i="49"/>
  <c r="Y287" i="49" s="1"/>
  <c r="BE286" i="49"/>
  <c r="BC286" i="49"/>
  <c r="BB286" i="49"/>
  <c r="AY286" i="49"/>
  <c r="AX286" i="49"/>
  <c r="AU286" i="49"/>
  <c r="AT286" i="49"/>
  <c r="AQ286" i="49"/>
  <c r="AP286" i="49"/>
  <c r="AM286" i="49"/>
  <c r="AL286" i="49"/>
  <c r="AI286" i="49"/>
  <c r="AH286" i="49"/>
  <c r="AE286" i="49"/>
  <c r="AD286" i="49"/>
  <c r="AA286" i="49"/>
  <c r="Z286" i="49"/>
  <c r="W286" i="49"/>
  <c r="V286" i="49"/>
  <c r="U286" i="49"/>
  <c r="T286" i="49"/>
  <c r="R286" i="49"/>
  <c r="M286" i="49"/>
  <c r="L286" i="49"/>
  <c r="K286" i="49"/>
  <c r="J286" i="49"/>
  <c r="BO285" i="49"/>
  <c r="BL285" i="49"/>
  <c r="BI285" i="49"/>
  <c r="BD285" i="49"/>
  <c r="BF285" i="49" s="1"/>
  <c r="AZ285" i="49"/>
  <c r="BA285" i="49" s="1"/>
  <c r="AV285" i="49"/>
  <c r="AW285" i="49" s="1"/>
  <c r="AR285" i="49"/>
  <c r="AS285" i="49" s="1"/>
  <c r="AN285" i="49"/>
  <c r="AO285" i="49" s="1"/>
  <c r="AJ285" i="49"/>
  <c r="AK285" i="49" s="1"/>
  <c r="AF285" i="49"/>
  <c r="AG285" i="49" s="1"/>
  <c r="AB285" i="49"/>
  <c r="AC285" i="49" s="1"/>
  <c r="X285" i="49"/>
  <c r="Y285" i="49" s="1"/>
  <c r="S285" i="49"/>
  <c r="S286" i="49" s="1"/>
  <c r="BO284" i="49"/>
  <c r="BL284" i="49"/>
  <c r="BI284" i="49"/>
  <c r="BD284" i="49"/>
  <c r="BF284" i="49" s="1"/>
  <c r="AZ284" i="49"/>
  <c r="BA284" i="49" s="1"/>
  <c r="AV284" i="49"/>
  <c r="AW284" i="49" s="1"/>
  <c r="AR284" i="49"/>
  <c r="AS284" i="49" s="1"/>
  <c r="AN284" i="49"/>
  <c r="AO284" i="49" s="1"/>
  <c r="AJ284" i="49"/>
  <c r="AK284" i="49" s="1"/>
  <c r="AF284" i="49"/>
  <c r="AB284" i="49"/>
  <c r="AC284" i="49" s="1"/>
  <c r="X284" i="49"/>
  <c r="Y284" i="49" s="1"/>
  <c r="S284" i="49"/>
  <c r="BO283" i="49"/>
  <c r="BL283" i="49"/>
  <c r="BI283" i="49"/>
  <c r="BD283" i="49"/>
  <c r="BF283" i="49" s="1"/>
  <c r="AZ283" i="49"/>
  <c r="BA283" i="49" s="1"/>
  <c r="AV283" i="49"/>
  <c r="AW283" i="49" s="1"/>
  <c r="AR283" i="49"/>
  <c r="AS283" i="49" s="1"/>
  <c r="AN283" i="49"/>
  <c r="AO283" i="49" s="1"/>
  <c r="AJ283" i="49"/>
  <c r="AK283" i="49" s="1"/>
  <c r="AF283" i="49"/>
  <c r="AG283" i="49" s="1"/>
  <c r="AB283" i="49"/>
  <c r="AC283" i="49" s="1"/>
  <c r="X283" i="49"/>
  <c r="Y283" i="49" s="1"/>
  <c r="S283" i="49"/>
  <c r="BO282" i="49"/>
  <c r="BL282" i="49"/>
  <c r="BI282" i="49"/>
  <c r="BD282" i="49"/>
  <c r="BF282" i="49" s="1"/>
  <c r="AZ282" i="49"/>
  <c r="BA282" i="49" s="1"/>
  <c r="AV282" i="49"/>
  <c r="AW282" i="49" s="1"/>
  <c r="AR282" i="49"/>
  <c r="AS282" i="49" s="1"/>
  <c r="AN282" i="49"/>
  <c r="AO282" i="49" s="1"/>
  <c r="AJ282" i="49"/>
  <c r="AK282" i="49" s="1"/>
  <c r="AF282" i="49"/>
  <c r="AG282" i="49" s="1"/>
  <c r="AB282" i="49"/>
  <c r="AC282" i="49" s="1"/>
  <c r="X282" i="49"/>
  <c r="Y282" i="49" s="1"/>
  <c r="S282" i="49"/>
  <c r="BO281" i="49"/>
  <c r="BL281" i="49"/>
  <c r="BI281" i="49"/>
  <c r="BD281" i="49"/>
  <c r="BF281" i="49" s="1"/>
  <c r="AZ281" i="49"/>
  <c r="BA281" i="49" s="1"/>
  <c r="AV281" i="49"/>
  <c r="AW281" i="49" s="1"/>
  <c r="AR281" i="49"/>
  <c r="AS281" i="49" s="1"/>
  <c r="AN281" i="49"/>
  <c r="AO281" i="49" s="1"/>
  <c r="AJ281" i="49"/>
  <c r="AK281" i="49" s="1"/>
  <c r="AF281" i="49"/>
  <c r="AG281" i="49" s="1"/>
  <c r="AB281" i="49"/>
  <c r="AC281" i="49" s="1"/>
  <c r="X281" i="49"/>
  <c r="Y281" i="49" s="1"/>
  <c r="S281" i="49"/>
  <c r="BO280" i="49"/>
  <c r="BL280" i="49"/>
  <c r="BI280" i="49"/>
  <c r="BD280" i="49"/>
  <c r="BF280" i="49" s="1"/>
  <c r="AZ280" i="49"/>
  <c r="BA280" i="49" s="1"/>
  <c r="AV280" i="49"/>
  <c r="AW280" i="49" s="1"/>
  <c r="AR280" i="49"/>
  <c r="AS280" i="49" s="1"/>
  <c r="AN280" i="49"/>
  <c r="AO280" i="49" s="1"/>
  <c r="AJ280" i="49"/>
  <c r="AK280" i="49" s="1"/>
  <c r="AF280" i="49"/>
  <c r="AG280" i="49" s="1"/>
  <c r="AB280" i="49"/>
  <c r="AC280" i="49" s="1"/>
  <c r="X280" i="49"/>
  <c r="Y280" i="49" s="1"/>
  <c r="BE279" i="49"/>
  <c r="BC279" i="49"/>
  <c r="BB279" i="49"/>
  <c r="AY279" i="49"/>
  <c r="AX279" i="49"/>
  <c r="AU279" i="49"/>
  <c r="AT279" i="49"/>
  <c r="AQ279" i="49"/>
  <c r="AP279" i="49"/>
  <c r="AM279" i="49"/>
  <c r="AL279" i="49"/>
  <c r="AI279" i="49"/>
  <c r="AH279" i="49"/>
  <c r="AE279" i="49"/>
  <c r="AD279" i="49"/>
  <c r="AA279" i="49"/>
  <c r="Z279" i="49"/>
  <c r="W279" i="49"/>
  <c r="V279" i="49"/>
  <c r="U279" i="49"/>
  <c r="T279" i="49"/>
  <c r="R279" i="49"/>
  <c r="M279" i="49"/>
  <c r="L279" i="49"/>
  <c r="K279" i="49"/>
  <c r="J279" i="49"/>
  <c r="BO278" i="49"/>
  <c r="BO277" i="49" s="1"/>
  <c r="BO279" i="49" s="1"/>
  <c r="BL278" i="49"/>
  <c r="BL277" i="49" s="1"/>
  <c r="BL279" i="49" s="1"/>
  <c r="BI278" i="49"/>
  <c r="BI277" i="49" s="1"/>
  <c r="BI279" i="49" s="1"/>
  <c r="BD278" i="49"/>
  <c r="BF278" i="49" s="1"/>
  <c r="AZ278" i="49"/>
  <c r="BA278" i="49" s="1"/>
  <c r="AV278" i="49"/>
  <c r="AV277" i="49" s="1"/>
  <c r="AW277" i="49" s="1"/>
  <c r="AR278" i="49"/>
  <c r="AS278" i="49" s="1"/>
  <c r="AN278" i="49"/>
  <c r="AO278" i="49" s="1"/>
  <c r="AJ278" i="49"/>
  <c r="AK278" i="49" s="1"/>
  <c r="AF278" i="49"/>
  <c r="AF277" i="49" s="1"/>
  <c r="AG277" i="49" s="1"/>
  <c r="AB278" i="49"/>
  <c r="AC278" i="49" s="1"/>
  <c r="X278" i="49"/>
  <c r="Y278" i="49" s="1"/>
  <c r="S278" i="49"/>
  <c r="S279" i="49" s="1"/>
  <c r="BE276" i="49"/>
  <c r="BC276" i="49"/>
  <c r="BB276" i="49"/>
  <c r="AY276" i="49"/>
  <c r="AX276" i="49"/>
  <c r="AU276" i="49"/>
  <c r="AT276" i="49"/>
  <c r="AQ276" i="49"/>
  <c r="AP276" i="49"/>
  <c r="AM276" i="49"/>
  <c r="AL276" i="49"/>
  <c r="AI276" i="49"/>
  <c r="AH276" i="49"/>
  <c r="AE276" i="49"/>
  <c r="AD276" i="49"/>
  <c r="AA276" i="49"/>
  <c r="Z276" i="49"/>
  <c r="W276" i="49"/>
  <c r="H36" i="57" s="1"/>
  <c r="V276" i="49"/>
  <c r="U276" i="49"/>
  <c r="T276" i="49"/>
  <c r="R276" i="49"/>
  <c r="M276" i="49"/>
  <c r="L276" i="49"/>
  <c r="K276" i="49"/>
  <c r="J276" i="49"/>
  <c r="BO275" i="49"/>
  <c r="BL275" i="49"/>
  <c r="BI275" i="49"/>
  <c r="BD275" i="49"/>
  <c r="BF275" i="49" s="1"/>
  <c r="AZ275" i="49"/>
  <c r="BA275" i="49" s="1"/>
  <c r="AV275" i="49"/>
  <c r="AW275" i="49" s="1"/>
  <c r="AR275" i="49"/>
  <c r="AS275" i="49" s="1"/>
  <c r="AN275" i="49"/>
  <c r="AO275" i="49" s="1"/>
  <c r="AJ275" i="49"/>
  <c r="AK275" i="49" s="1"/>
  <c r="AF275" i="49"/>
  <c r="AG275" i="49" s="1"/>
  <c r="AB275" i="49"/>
  <c r="AC275" i="49" s="1"/>
  <c r="X275" i="49"/>
  <c r="Y275" i="49" s="1"/>
  <c r="S275" i="49"/>
  <c r="S276" i="49" s="1"/>
  <c r="BO274" i="49"/>
  <c r="BL274" i="49"/>
  <c r="BI274" i="49"/>
  <c r="BD274" i="49"/>
  <c r="BF274" i="49" s="1"/>
  <c r="AZ274" i="49"/>
  <c r="BA274" i="49" s="1"/>
  <c r="AV274" i="49"/>
  <c r="AW274" i="49" s="1"/>
  <c r="AR274" i="49"/>
  <c r="AS274" i="49" s="1"/>
  <c r="AN274" i="49"/>
  <c r="AO274" i="49" s="1"/>
  <c r="AJ274" i="49"/>
  <c r="AK274" i="49" s="1"/>
  <c r="AF274" i="49"/>
  <c r="AG274" i="49" s="1"/>
  <c r="AB274" i="49"/>
  <c r="AC274" i="49" s="1"/>
  <c r="X274" i="49"/>
  <c r="Y274" i="49" s="1"/>
  <c r="S274" i="49"/>
  <c r="BO273" i="49"/>
  <c r="BL273" i="49"/>
  <c r="BI273" i="49"/>
  <c r="BD273" i="49"/>
  <c r="BF273" i="49" s="1"/>
  <c r="AZ273" i="49"/>
  <c r="BA273" i="49" s="1"/>
  <c r="AV273" i="49"/>
  <c r="AW273" i="49" s="1"/>
  <c r="AR273" i="49"/>
  <c r="AS273" i="49" s="1"/>
  <c r="AN273" i="49"/>
  <c r="AO273" i="49" s="1"/>
  <c r="AJ273" i="49"/>
  <c r="AK273" i="49" s="1"/>
  <c r="AF273" i="49"/>
  <c r="AG273" i="49" s="1"/>
  <c r="AB273" i="49"/>
  <c r="AC273" i="49" s="1"/>
  <c r="L35" i="57" s="1"/>
  <c r="X273" i="49"/>
  <c r="BE272" i="49"/>
  <c r="BC272" i="49"/>
  <c r="BB272" i="49"/>
  <c r="AY272" i="49"/>
  <c r="AX272" i="49"/>
  <c r="AU272" i="49"/>
  <c r="AT272" i="49"/>
  <c r="AQ272" i="49"/>
  <c r="AP272" i="49"/>
  <c r="AM272" i="49"/>
  <c r="AL272" i="49"/>
  <c r="AI272" i="49"/>
  <c r="AH272" i="49"/>
  <c r="AE272" i="49"/>
  <c r="AD272" i="49"/>
  <c r="AA272" i="49"/>
  <c r="Z272" i="49"/>
  <c r="W272" i="49"/>
  <c r="V272" i="49"/>
  <c r="U272" i="49"/>
  <c r="T272" i="49"/>
  <c r="R272" i="49"/>
  <c r="M272" i="49"/>
  <c r="L272" i="49"/>
  <c r="K272" i="49"/>
  <c r="J272" i="49"/>
  <c r="BO271" i="49"/>
  <c r="BL271" i="49"/>
  <c r="BI271" i="49"/>
  <c r="BD271" i="49"/>
  <c r="BF271" i="49" s="1"/>
  <c r="AZ271" i="49"/>
  <c r="BA271" i="49" s="1"/>
  <c r="AV271" i="49"/>
  <c r="AW271" i="49" s="1"/>
  <c r="AR271" i="49"/>
  <c r="AS271" i="49" s="1"/>
  <c r="AN271" i="49"/>
  <c r="AO271" i="49" s="1"/>
  <c r="AJ271" i="49"/>
  <c r="AK271" i="49" s="1"/>
  <c r="AF271" i="49"/>
  <c r="AG271" i="49" s="1"/>
  <c r="AB271" i="49"/>
  <c r="AC271" i="49" s="1"/>
  <c r="X271" i="49"/>
  <c r="Y271" i="49" s="1"/>
  <c r="S271" i="49"/>
  <c r="S272" i="49" s="1"/>
  <c r="BO270" i="49"/>
  <c r="BL270" i="49"/>
  <c r="BI270" i="49"/>
  <c r="BD270" i="49"/>
  <c r="AZ270" i="49"/>
  <c r="BA270" i="49" s="1"/>
  <c r="AV270" i="49"/>
  <c r="AW270" i="49" s="1"/>
  <c r="AR270" i="49"/>
  <c r="AS270" i="49" s="1"/>
  <c r="AN270" i="49"/>
  <c r="AO270" i="49" s="1"/>
  <c r="AJ270" i="49"/>
  <c r="AK270" i="49" s="1"/>
  <c r="AF270" i="49"/>
  <c r="AG270" i="49" s="1"/>
  <c r="AB270" i="49"/>
  <c r="AC270" i="49" s="1"/>
  <c r="X270" i="49"/>
  <c r="S270" i="49"/>
  <c r="BO268" i="49"/>
  <c r="BL268" i="49"/>
  <c r="BI268" i="49"/>
  <c r="BD268" i="49"/>
  <c r="BF268" i="49" s="1"/>
  <c r="AZ268" i="49"/>
  <c r="BA268" i="49" s="1"/>
  <c r="AV268" i="49"/>
  <c r="AW268" i="49" s="1"/>
  <c r="AR268" i="49"/>
  <c r="AS268" i="49" s="1"/>
  <c r="AN268" i="49"/>
  <c r="AO268" i="49" s="1"/>
  <c r="AJ268" i="49"/>
  <c r="AK268" i="49" s="1"/>
  <c r="AF268" i="49"/>
  <c r="AG268" i="49" s="1"/>
  <c r="AB268" i="49"/>
  <c r="AC268" i="49" s="1"/>
  <c r="X268" i="49"/>
  <c r="Y268" i="49" s="1"/>
  <c r="S268" i="49"/>
  <c r="BO267" i="49"/>
  <c r="BL267" i="49"/>
  <c r="BI267" i="49"/>
  <c r="BD267" i="49"/>
  <c r="BF267" i="49" s="1"/>
  <c r="AZ267" i="49"/>
  <c r="BA267" i="49" s="1"/>
  <c r="AV267" i="49"/>
  <c r="AW267" i="49" s="1"/>
  <c r="AR267" i="49"/>
  <c r="AS267" i="49" s="1"/>
  <c r="AN267" i="49"/>
  <c r="AO267" i="49" s="1"/>
  <c r="AJ267" i="49"/>
  <c r="AK267" i="49" s="1"/>
  <c r="AF267" i="49"/>
  <c r="AG267" i="49" s="1"/>
  <c r="AB267" i="49"/>
  <c r="AC267" i="49" s="1"/>
  <c r="X267" i="49"/>
  <c r="Y267" i="49" s="1"/>
  <c r="S267" i="49"/>
  <c r="BO266" i="49"/>
  <c r="BL266" i="49"/>
  <c r="BI266" i="49"/>
  <c r="BD266" i="49"/>
  <c r="BF266" i="49" s="1"/>
  <c r="AZ266" i="49"/>
  <c r="BA266" i="49" s="1"/>
  <c r="AV266" i="49"/>
  <c r="AW266" i="49" s="1"/>
  <c r="AR266" i="49"/>
  <c r="AS266" i="49" s="1"/>
  <c r="AN266" i="49"/>
  <c r="AO266" i="49" s="1"/>
  <c r="AJ266" i="49"/>
  <c r="AK266" i="49" s="1"/>
  <c r="AF266" i="49"/>
  <c r="AG266" i="49" s="1"/>
  <c r="AB266" i="49"/>
  <c r="AC266" i="49" s="1"/>
  <c r="X266" i="49"/>
  <c r="Y266" i="49" s="1"/>
  <c r="S266" i="49"/>
  <c r="BO264" i="49"/>
  <c r="BL264" i="49"/>
  <c r="BI264" i="49"/>
  <c r="BD264" i="49"/>
  <c r="BF264" i="49" s="1"/>
  <c r="AZ264" i="49"/>
  <c r="BA264" i="49" s="1"/>
  <c r="AV264" i="49"/>
  <c r="AW264" i="49" s="1"/>
  <c r="AR264" i="49"/>
  <c r="AS264" i="49" s="1"/>
  <c r="AN264" i="49"/>
  <c r="AO264" i="49" s="1"/>
  <c r="AJ264" i="49"/>
  <c r="AK264" i="49" s="1"/>
  <c r="AF264" i="49"/>
  <c r="AG264" i="49" s="1"/>
  <c r="AB264" i="49"/>
  <c r="AC264" i="49" s="1"/>
  <c r="X264" i="49"/>
  <c r="Y264" i="49" s="1"/>
  <c r="S264" i="49"/>
  <c r="BO262" i="49"/>
  <c r="L16" i="70" s="1"/>
  <c r="BL262" i="49"/>
  <c r="L15" i="70" s="1"/>
  <c r="BI262" i="49"/>
  <c r="BD262" i="49"/>
  <c r="AZ262" i="49"/>
  <c r="AV262" i="49"/>
  <c r="AR262" i="49"/>
  <c r="AN262" i="49"/>
  <c r="AJ262" i="49"/>
  <c r="AF262" i="49"/>
  <c r="AB262" i="49"/>
  <c r="AC262" i="49" s="1"/>
  <c r="X262" i="49"/>
  <c r="S262" i="49"/>
  <c r="H30" i="76" l="1"/>
  <c r="H37" i="57"/>
  <c r="L26" i="70"/>
  <c r="H34" i="57"/>
  <c r="F34" i="57"/>
  <c r="E34" i="57"/>
  <c r="F36" i="57"/>
  <c r="E36" i="57"/>
  <c r="F37" i="57"/>
  <c r="E37" i="57"/>
  <c r="S280" i="49"/>
  <c r="J37" i="57"/>
  <c r="AW262" i="49"/>
  <c r="L22" i="70"/>
  <c r="BA262" i="49"/>
  <c r="L21" i="70"/>
  <c r="Y273" i="49"/>
  <c r="BF262" i="49"/>
  <c r="L23" i="70"/>
  <c r="Y262" i="49"/>
  <c r="L14" i="70"/>
  <c r="AS262" i="49"/>
  <c r="L20" i="70"/>
  <c r="S273" i="49"/>
  <c r="J34" i="57"/>
  <c r="AG262" i="49"/>
  <c r="L17" i="70"/>
  <c r="S277" i="49"/>
  <c r="J36" i="57"/>
  <c r="AK262" i="49"/>
  <c r="L18" i="70"/>
  <c r="AO262" i="49"/>
  <c r="L19" i="70"/>
  <c r="L27" i="70" s="1"/>
  <c r="BO286" i="49"/>
  <c r="BL286" i="49"/>
  <c r="BI286" i="49"/>
  <c r="AF286" i="49"/>
  <c r="AG286" i="49" s="1"/>
  <c r="BO276" i="49"/>
  <c r="BL276" i="49"/>
  <c r="BI276" i="49"/>
  <c r="BO272" i="49"/>
  <c r="BL272" i="49"/>
  <c r="BI272" i="49"/>
  <c r="BD272" i="49"/>
  <c r="BF272" i="49" s="1"/>
  <c r="X272" i="49"/>
  <c r="X276" i="49"/>
  <c r="BD276" i="49"/>
  <c r="BF276" i="49" s="1"/>
  <c r="BD286" i="49"/>
  <c r="BF286" i="49" s="1"/>
  <c r="AZ286" i="49"/>
  <c r="BA286" i="49" s="1"/>
  <c r="AV286" i="49"/>
  <c r="AW286" i="49" s="1"/>
  <c r="AR286" i="49"/>
  <c r="AS286" i="49" s="1"/>
  <c r="AN286" i="49"/>
  <c r="AO286" i="49" s="1"/>
  <c r="AJ286" i="49"/>
  <c r="AK286" i="49" s="1"/>
  <c r="AG284" i="49"/>
  <c r="AB286" i="49"/>
  <c r="AC286" i="49" s="1"/>
  <c r="X286" i="49"/>
  <c r="Y286" i="49" s="1"/>
  <c r="S287" i="49"/>
  <c r="AW278" i="49"/>
  <c r="AR277" i="49"/>
  <c r="AS277" i="49" s="1"/>
  <c r="AN277" i="49"/>
  <c r="AO277" i="49" s="1"/>
  <c r="AG278" i="49"/>
  <c r="AB277" i="49"/>
  <c r="AC277" i="49" s="1"/>
  <c r="X277" i="49"/>
  <c r="X279" i="49" s="1"/>
  <c r="AV279" i="49"/>
  <c r="AW279" i="49" s="1"/>
  <c r="AF279" i="49"/>
  <c r="AG279" i="49" s="1"/>
  <c r="AZ276" i="49"/>
  <c r="BA276" i="49" s="1"/>
  <c r="AV276" i="49"/>
  <c r="AW276" i="49" s="1"/>
  <c r="AR276" i="49"/>
  <c r="AS276" i="49" s="1"/>
  <c r="AN276" i="49"/>
  <c r="AO276" i="49" s="1"/>
  <c r="AJ276" i="49"/>
  <c r="AK276" i="49" s="1"/>
  <c r="AF276" i="49"/>
  <c r="AG276" i="49" s="1"/>
  <c r="AB276" i="49"/>
  <c r="AC276" i="49" s="1"/>
  <c r="L36" i="57" s="1"/>
  <c r="BF270" i="49"/>
  <c r="AZ272" i="49"/>
  <c r="BA272" i="49" s="1"/>
  <c r="AV272" i="49"/>
  <c r="AW272" i="49" s="1"/>
  <c r="AR272" i="49"/>
  <c r="AS272" i="49" s="1"/>
  <c r="AN272" i="49"/>
  <c r="AO272" i="49" s="1"/>
  <c r="AJ272" i="49"/>
  <c r="AK272" i="49" s="1"/>
  <c r="AF272" i="49"/>
  <c r="AG272" i="49" s="1"/>
  <c r="AB272" i="49"/>
  <c r="AC272" i="49" s="1"/>
  <c r="L34" i="57" s="1"/>
  <c r="Y270" i="49"/>
  <c r="AJ277" i="49"/>
  <c r="BD277" i="49"/>
  <c r="AZ277" i="49"/>
  <c r="BO261" i="49"/>
  <c r="BL261" i="49"/>
  <c r="BI261" i="49"/>
  <c r="BD261" i="49"/>
  <c r="BF261" i="49" s="1"/>
  <c r="AZ261" i="49"/>
  <c r="BA261" i="49" s="1"/>
  <c r="AV261" i="49"/>
  <c r="AW261" i="49" s="1"/>
  <c r="AR261" i="49"/>
  <c r="AS261" i="49" s="1"/>
  <c r="AN261" i="49"/>
  <c r="AO261" i="49" s="1"/>
  <c r="AJ261" i="49"/>
  <c r="AK261" i="49" s="1"/>
  <c r="AF261" i="49"/>
  <c r="AG261" i="49" s="1"/>
  <c r="AB261" i="49"/>
  <c r="AC261" i="49" s="1"/>
  <c r="X261" i="49"/>
  <c r="Y261" i="49" s="1"/>
  <c r="BE260" i="49"/>
  <c r="BC260" i="49"/>
  <c r="BB260" i="49"/>
  <c r="AY260" i="49"/>
  <c r="AX260" i="49"/>
  <c r="AU260" i="49"/>
  <c r="AT260" i="49"/>
  <c r="AQ260" i="49"/>
  <c r="AP260" i="49"/>
  <c r="AM260" i="49"/>
  <c r="AL260" i="49"/>
  <c r="AI260" i="49"/>
  <c r="AH260" i="49"/>
  <c r="AE260" i="49"/>
  <c r="AD260" i="49"/>
  <c r="AA260" i="49"/>
  <c r="Z260" i="49"/>
  <c r="W260" i="49"/>
  <c r="V260" i="49"/>
  <c r="U260" i="49"/>
  <c r="T260" i="49"/>
  <c r="R260" i="49"/>
  <c r="S261" i="49" s="1"/>
  <c r="M260" i="49"/>
  <c r="L260" i="49"/>
  <c r="K260" i="49"/>
  <c r="J260" i="49"/>
  <c r="BO259" i="49"/>
  <c r="BL259" i="49"/>
  <c r="BI259" i="49"/>
  <c r="BD259" i="49"/>
  <c r="BF259" i="49" s="1"/>
  <c r="AZ259" i="49"/>
  <c r="BA259" i="49" s="1"/>
  <c r="AV259" i="49"/>
  <c r="AW259" i="49" s="1"/>
  <c r="AR259" i="49"/>
  <c r="AS259" i="49" s="1"/>
  <c r="AN259" i="49"/>
  <c r="AO259" i="49" s="1"/>
  <c r="AJ259" i="49"/>
  <c r="AK259" i="49" s="1"/>
  <c r="AF259" i="49"/>
  <c r="AG259" i="49" s="1"/>
  <c r="AB259" i="49"/>
  <c r="AC259" i="49" s="1"/>
  <c r="X259" i="49"/>
  <c r="Y259" i="49" s="1"/>
  <c r="S259" i="49"/>
  <c r="S260" i="49" s="1"/>
  <c r="BO258" i="49"/>
  <c r="BL258" i="49"/>
  <c r="BI258" i="49"/>
  <c r="BD258" i="49"/>
  <c r="BF258" i="49" s="1"/>
  <c r="AZ258" i="49"/>
  <c r="BA258" i="49" s="1"/>
  <c r="AV258" i="49"/>
  <c r="AW258" i="49" s="1"/>
  <c r="AR258" i="49"/>
  <c r="AS258" i="49" s="1"/>
  <c r="AN258" i="49"/>
  <c r="AO258" i="49" s="1"/>
  <c r="AJ258" i="49"/>
  <c r="AK258" i="49" s="1"/>
  <c r="AF258" i="49"/>
  <c r="AB258" i="49"/>
  <c r="AC258" i="49" s="1"/>
  <c r="X258" i="49"/>
  <c r="Y258" i="49" s="1"/>
  <c r="BE257" i="49"/>
  <c r="BC257" i="49"/>
  <c r="BB257" i="49"/>
  <c r="AY257" i="49"/>
  <c r="AX257" i="49"/>
  <c r="AU257" i="49"/>
  <c r="AT257" i="49"/>
  <c r="AQ257" i="49"/>
  <c r="AP257" i="49"/>
  <c r="AM257" i="49"/>
  <c r="AL257" i="49"/>
  <c r="AI257" i="49"/>
  <c r="AH257" i="49"/>
  <c r="AE257" i="49"/>
  <c r="AD257" i="49"/>
  <c r="AA257" i="49"/>
  <c r="Z257" i="49"/>
  <c r="W257" i="49"/>
  <c r="V257" i="49"/>
  <c r="U257" i="49"/>
  <c r="T257" i="49"/>
  <c r="R257" i="49"/>
  <c r="S258" i="49" s="1"/>
  <c r="M257" i="49"/>
  <c r="L257" i="49"/>
  <c r="K257" i="49"/>
  <c r="J257" i="49"/>
  <c r="BO256" i="49"/>
  <c r="BL256" i="49"/>
  <c r="BI256" i="49"/>
  <c r="BD256" i="49"/>
  <c r="BF256" i="49" s="1"/>
  <c r="AZ256" i="49"/>
  <c r="BA256" i="49" s="1"/>
  <c r="AV256" i="49"/>
  <c r="AW256" i="49" s="1"/>
  <c r="AR256" i="49"/>
  <c r="AS256" i="49" s="1"/>
  <c r="AN256" i="49"/>
  <c r="AO256" i="49" s="1"/>
  <c r="AJ256" i="49"/>
  <c r="AK256" i="49" s="1"/>
  <c r="AF256" i="49"/>
  <c r="AG256" i="49" s="1"/>
  <c r="AB256" i="49"/>
  <c r="AC256" i="49" s="1"/>
  <c r="X256" i="49"/>
  <c r="Y256" i="49" s="1"/>
  <c r="S256" i="49"/>
  <c r="S257" i="49" s="1"/>
  <c r="BO255" i="49"/>
  <c r="BL255" i="49"/>
  <c r="BI255" i="49"/>
  <c r="BD255" i="49"/>
  <c r="BF255" i="49" s="1"/>
  <c r="AZ255" i="49"/>
  <c r="BA255" i="49" s="1"/>
  <c r="AV255" i="49"/>
  <c r="AR255" i="49"/>
  <c r="AS255" i="49" s="1"/>
  <c r="AN255" i="49"/>
  <c r="AO255" i="49" s="1"/>
  <c r="AJ255" i="49"/>
  <c r="AK255" i="49" s="1"/>
  <c r="AF255" i="49"/>
  <c r="AB255" i="49"/>
  <c r="AC255" i="49" s="1"/>
  <c r="X255" i="49"/>
  <c r="Y255" i="49" s="1"/>
  <c r="S255" i="49"/>
  <c r="BO254" i="49"/>
  <c r="BL254" i="49"/>
  <c r="BI254" i="49"/>
  <c r="BD254" i="49"/>
  <c r="BF254" i="49" s="1"/>
  <c r="AZ254" i="49"/>
  <c r="BA254" i="49" s="1"/>
  <c r="AV254" i="49"/>
  <c r="AW254" i="49" s="1"/>
  <c r="AR254" i="49"/>
  <c r="AS254" i="49" s="1"/>
  <c r="AN254" i="49"/>
  <c r="AO254" i="49" s="1"/>
  <c r="AJ254" i="49"/>
  <c r="AK254" i="49" s="1"/>
  <c r="AF254" i="49"/>
  <c r="AG254" i="49" s="1"/>
  <c r="AB254" i="49"/>
  <c r="AC254" i="49" s="1"/>
  <c r="X254" i="49"/>
  <c r="Y254" i="49" s="1"/>
  <c r="BE253" i="49"/>
  <c r="BC253" i="49"/>
  <c r="BB253" i="49"/>
  <c r="AY253" i="49"/>
  <c r="AX253" i="49"/>
  <c r="AU253" i="49"/>
  <c r="AT253" i="49"/>
  <c r="AQ253" i="49"/>
  <c r="AP253" i="49"/>
  <c r="AM253" i="49"/>
  <c r="AL253" i="49"/>
  <c r="AI253" i="49"/>
  <c r="AH253" i="49"/>
  <c r="AE253" i="49"/>
  <c r="AD253" i="49"/>
  <c r="AA253" i="49"/>
  <c r="Z253" i="49"/>
  <c r="W253" i="49"/>
  <c r="V253" i="49"/>
  <c r="U253" i="49"/>
  <c r="T253" i="49"/>
  <c r="R253" i="49"/>
  <c r="M253" i="49"/>
  <c r="L253" i="49"/>
  <c r="K253" i="49"/>
  <c r="J253" i="49"/>
  <c r="BO252" i="49"/>
  <c r="BO251" i="49" s="1"/>
  <c r="BO253" i="49" s="1"/>
  <c r="BL252" i="49"/>
  <c r="BL251" i="49" s="1"/>
  <c r="BL253" i="49" s="1"/>
  <c r="BI252" i="49"/>
  <c r="BI251" i="49" s="1"/>
  <c r="BI253" i="49" s="1"/>
  <c r="BD252" i="49"/>
  <c r="BF252" i="49" s="1"/>
  <c r="AZ252" i="49"/>
  <c r="AZ251" i="49" s="1"/>
  <c r="BA251" i="49" s="1"/>
  <c r="AV252" i="49"/>
  <c r="AW252" i="49" s="1"/>
  <c r="AR252" i="49"/>
  <c r="AS252" i="49" s="1"/>
  <c r="AN252" i="49"/>
  <c r="AO252" i="49" s="1"/>
  <c r="AJ252" i="49"/>
  <c r="AJ251" i="49" s="1"/>
  <c r="AK251" i="49" s="1"/>
  <c r="AF252" i="49"/>
  <c r="AG252" i="49" s="1"/>
  <c r="AB252" i="49"/>
  <c r="AC252" i="49" s="1"/>
  <c r="X252" i="49"/>
  <c r="Y252" i="49" s="1"/>
  <c r="S252" i="49"/>
  <c r="S253" i="49" s="1"/>
  <c r="S251" i="49"/>
  <c r="BO250" i="49"/>
  <c r="BL250" i="49"/>
  <c r="BI250" i="49"/>
  <c r="BD250" i="49"/>
  <c r="BF250" i="49" s="1"/>
  <c r="AZ250" i="49"/>
  <c r="BA250" i="49" s="1"/>
  <c r="AV250" i="49"/>
  <c r="AW250" i="49" s="1"/>
  <c r="AR250" i="49"/>
  <c r="AS250" i="49" s="1"/>
  <c r="AN250" i="49"/>
  <c r="AO250" i="49" s="1"/>
  <c r="AJ250" i="49"/>
  <c r="AK250" i="49" s="1"/>
  <c r="AF250" i="49"/>
  <c r="AG250" i="49" s="1"/>
  <c r="AB250" i="49"/>
  <c r="AC250" i="49" s="1"/>
  <c r="X250" i="49"/>
  <c r="Y250" i="49" s="1"/>
  <c r="BE249" i="49"/>
  <c r="BC249" i="49"/>
  <c r="BB249" i="49"/>
  <c r="AY249" i="49"/>
  <c r="AX249" i="49"/>
  <c r="AU249" i="49"/>
  <c r="AT249" i="49"/>
  <c r="AQ249" i="49"/>
  <c r="AP249" i="49"/>
  <c r="AM249" i="49"/>
  <c r="AL249" i="49"/>
  <c r="AI249" i="49"/>
  <c r="AH249" i="49"/>
  <c r="AE249" i="49"/>
  <c r="AD249" i="49"/>
  <c r="AA249" i="49"/>
  <c r="Z249" i="49"/>
  <c r="W249" i="49"/>
  <c r="V249" i="49"/>
  <c r="U249" i="49"/>
  <c r="T249" i="49"/>
  <c r="R249" i="49"/>
  <c r="M249" i="49"/>
  <c r="L249" i="49"/>
  <c r="K249" i="49"/>
  <c r="J249" i="49"/>
  <c r="BO248" i="49"/>
  <c r="BL248" i="49"/>
  <c r="BI248" i="49"/>
  <c r="BD248" i="49"/>
  <c r="BF248" i="49" s="1"/>
  <c r="AZ248" i="49"/>
  <c r="BA248" i="49" s="1"/>
  <c r="AV248" i="49"/>
  <c r="AW248" i="49" s="1"/>
  <c r="AR248" i="49"/>
  <c r="AS248" i="49" s="1"/>
  <c r="AN248" i="49"/>
  <c r="AO248" i="49" s="1"/>
  <c r="AJ248" i="49"/>
  <c r="AK248" i="49" s="1"/>
  <c r="AF248" i="49"/>
  <c r="AG248" i="49" s="1"/>
  <c r="AB248" i="49"/>
  <c r="AC248" i="49" s="1"/>
  <c r="X248" i="49"/>
  <c r="Y248" i="49" s="1"/>
  <c r="S248" i="49"/>
  <c r="S249" i="49" s="1"/>
  <c r="BO247" i="49"/>
  <c r="BL247" i="49"/>
  <c r="BI247" i="49"/>
  <c r="BD247" i="49"/>
  <c r="BF247" i="49" s="1"/>
  <c r="AZ247" i="49"/>
  <c r="BA247" i="49" s="1"/>
  <c r="AV247" i="49"/>
  <c r="AW247" i="49" s="1"/>
  <c r="AR247" i="49"/>
  <c r="AS247" i="49" s="1"/>
  <c r="AN247" i="49"/>
  <c r="AO247" i="49" s="1"/>
  <c r="AJ247" i="49"/>
  <c r="AK247" i="49" s="1"/>
  <c r="AF247" i="49"/>
  <c r="AG247" i="49" s="1"/>
  <c r="AB247" i="49"/>
  <c r="AC247" i="49" s="1"/>
  <c r="X247" i="49"/>
  <c r="Y247" i="49" s="1"/>
  <c r="BE246" i="49"/>
  <c r="BC246" i="49"/>
  <c r="BB246" i="49"/>
  <c r="AY246" i="49"/>
  <c r="AX246" i="49"/>
  <c r="AU246" i="49"/>
  <c r="AT246" i="49"/>
  <c r="AQ246" i="49"/>
  <c r="AP246" i="49"/>
  <c r="AM246" i="49"/>
  <c r="AL246" i="49"/>
  <c r="AI246" i="49"/>
  <c r="AH246" i="49"/>
  <c r="AE246" i="49"/>
  <c r="AD246" i="49"/>
  <c r="AA246" i="49"/>
  <c r="Z246" i="49"/>
  <c r="W246" i="49"/>
  <c r="V246" i="49"/>
  <c r="U246" i="49"/>
  <c r="T246" i="49"/>
  <c r="R246" i="49"/>
  <c r="S247" i="49" s="1"/>
  <c r="M246" i="49"/>
  <c r="L246" i="49"/>
  <c r="K246" i="49"/>
  <c r="J246" i="49"/>
  <c r="BO245" i="49"/>
  <c r="BL245" i="49"/>
  <c r="BI245" i="49"/>
  <c r="BD245" i="49"/>
  <c r="BF245" i="49" s="1"/>
  <c r="AZ245" i="49"/>
  <c r="BA245" i="49" s="1"/>
  <c r="AV245" i="49"/>
  <c r="AW245" i="49" s="1"/>
  <c r="AR245" i="49"/>
  <c r="AS245" i="49" s="1"/>
  <c r="AN245" i="49"/>
  <c r="AO245" i="49" s="1"/>
  <c r="AJ245" i="49"/>
  <c r="AK245" i="49" s="1"/>
  <c r="AF245" i="49"/>
  <c r="AG245" i="49" s="1"/>
  <c r="AB245" i="49"/>
  <c r="AC245" i="49" s="1"/>
  <c r="X245" i="49"/>
  <c r="Y245" i="49" s="1"/>
  <c r="S245" i="49"/>
  <c r="S246" i="49" s="1"/>
  <c r="BO244" i="49"/>
  <c r="BL244" i="49"/>
  <c r="BI244" i="49"/>
  <c r="BD244" i="49"/>
  <c r="BF244" i="49" s="1"/>
  <c r="AZ244" i="49"/>
  <c r="BA244" i="49" s="1"/>
  <c r="AV244" i="49"/>
  <c r="AR244" i="49"/>
  <c r="AN244" i="49"/>
  <c r="AO244" i="49" s="1"/>
  <c r="AJ244" i="49"/>
  <c r="AK244" i="49" s="1"/>
  <c r="AF244" i="49"/>
  <c r="AB244" i="49"/>
  <c r="AC244" i="49" s="1"/>
  <c r="X244" i="49"/>
  <c r="Y244" i="49" s="1"/>
  <c r="S244" i="49"/>
  <c r="E30" i="57"/>
  <c r="BE242" i="49"/>
  <c r="BC242" i="49"/>
  <c r="BB242" i="49"/>
  <c r="AY242" i="49"/>
  <c r="AX242" i="49"/>
  <c r="AU242" i="49"/>
  <c r="AT242" i="49"/>
  <c r="AQ242" i="49"/>
  <c r="AP242" i="49"/>
  <c r="AM242" i="49"/>
  <c r="AL242" i="49"/>
  <c r="AI242" i="49"/>
  <c r="AH242" i="49"/>
  <c r="AE242" i="49"/>
  <c r="AD242" i="49"/>
  <c r="AA242" i="49"/>
  <c r="Z242" i="49"/>
  <c r="W242" i="49"/>
  <c r="V242" i="49"/>
  <c r="U242" i="49"/>
  <c r="T242" i="49"/>
  <c r="R242" i="49"/>
  <c r="M242" i="49"/>
  <c r="L242" i="49"/>
  <c r="K242" i="49"/>
  <c r="J242" i="49"/>
  <c r="BO241" i="49"/>
  <c r="BL241" i="49"/>
  <c r="BI241" i="49"/>
  <c r="BD241" i="49"/>
  <c r="BF241" i="49" s="1"/>
  <c r="AZ241" i="49"/>
  <c r="BA241" i="49" s="1"/>
  <c r="AV241" i="49"/>
  <c r="AW241" i="49" s="1"/>
  <c r="AR241" i="49"/>
  <c r="AS241" i="49" s="1"/>
  <c r="AN241" i="49"/>
  <c r="AO241" i="49" s="1"/>
  <c r="AJ241" i="49"/>
  <c r="AK241" i="49" s="1"/>
  <c r="AF241" i="49"/>
  <c r="AG241" i="49" s="1"/>
  <c r="AB241" i="49"/>
  <c r="AC241" i="49" s="1"/>
  <c r="X241" i="49"/>
  <c r="Y241" i="49" s="1"/>
  <c r="S241" i="49"/>
  <c r="S242" i="49" s="1"/>
  <c r="BO240" i="49"/>
  <c r="BL240" i="49"/>
  <c r="BI240" i="49"/>
  <c r="BD240" i="49"/>
  <c r="AZ240" i="49"/>
  <c r="BA240" i="49" s="1"/>
  <c r="AV240" i="49"/>
  <c r="AW240" i="49" s="1"/>
  <c r="AR240" i="49"/>
  <c r="AS240" i="49" s="1"/>
  <c r="AN240" i="49"/>
  <c r="AO240" i="49" s="1"/>
  <c r="AJ240" i="49"/>
  <c r="AK240" i="49" s="1"/>
  <c r="AF240" i="49"/>
  <c r="AG240" i="49" s="1"/>
  <c r="AB240" i="49"/>
  <c r="AC240" i="49" s="1"/>
  <c r="X240" i="49"/>
  <c r="BE239" i="49"/>
  <c r="BC239" i="49"/>
  <c r="BB239" i="49"/>
  <c r="AY239" i="49"/>
  <c r="AX239" i="49"/>
  <c r="AU239" i="49"/>
  <c r="AT239" i="49"/>
  <c r="AQ239" i="49"/>
  <c r="AP239" i="49"/>
  <c r="AM239" i="49"/>
  <c r="AL239" i="49"/>
  <c r="AI239" i="49"/>
  <c r="AH239" i="49"/>
  <c r="AE239" i="49"/>
  <c r="AD239" i="49"/>
  <c r="AA239" i="49"/>
  <c r="Z239" i="49"/>
  <c r="W239" i="49"/>
  <c r="V239" i="49"/>
  <c r="U239" i="49"/>
  <c r="T239" i="49"/>
  <c r="R239" i="49"/>
  <c r="M239" i="49"/>
  <c r="L239" i="49"/>
  <c r="K239" i="49"/>
  <c r="J239" i="49"/>
  <c r="BO238" i="49"/>
  <c r="BL238" i="49"/>
  <c r="BI238" i="49"/>
  <c r="BD238" i="49"/>
  <c r="BF238" i="49" s="1"/>
  <c r="AZ238" i="49"/>
  <c r="BA238" i="49" s="1"/>
  <c r="AV238" i="49"/>
  <c r="AW238" i="49" s="1"/>
  <c r="AR238" i="49"/>
  <c r="AS238" i="49" s="1"/>
  <c r="AN238" i="49"/>
  <c r="AO238" i="49" s="1"/>
  <c r="AJ238" i="49"/>
  <c r="AK238" i="49" s="1"/>
  <c r="AF238" i="49"/>
  <c r="AG238" i="49" s="1"/>
  <c r="AB238" i="49"/>
  <c r="AC238" i="49" s="1"/>
  <c r="X238" i="49"/>
  <c r="Y238" i="49" s="1"/>
  <c r="S238" i="49"/>
  <c r="S239" i="49" s="1"/>
  <c r="BO237" i="49"/>
  <c r="BL237" i="49"/>
  <c r="BI237" i="49"/>
  <c r="BD237" i="49"/>
  <c r="BF237" i="49" s="1"/>
  <c r="AZ237" i="49"/>
  <c r="BA237" i="49" s="1"/>
  <c r="AV237" i="49"/>
  <c r="AW237" i="49" s="1"/>
  <c r="AR237" i="49"/>
  <c r="AS237" i="49" s="1"/>
  <c r="AN237" i="49"/>
  <c r="AO237" i="49" s="1"/>
  <c r="AJ237" i="49"/>
  <c r="AK237" i="49" s="1"/>
  <c r="AF237" i="49"/>
  <c r="AG237" i="49" s="1"/>
  <c r="AB237" i="49"/>
  <c r="AC237" i="49" s="1"/>
  <c r="X237" i="49"/>
  <c r="Y237" i="49" s="1"/>
  <c r="S237" i="49"/>
  <c r="BO236" i="49"/>
  <c r="BL236" i="49"/>
  <c r="BI236" i="49"/>
  <c r="BD236" i="49"/>
  <c r="BF236" i="49" s="1"/>
  <c r="AZ236" i="49"/>
  <c r="BA236" i="49" s="1"/>
  <c r="AV236" i="49"/>
  <c r="AW236" i="49" s="1"/>
  <c r="AR236" i="49"/>
  <c r="AS236" i="49" s="1"/>
  <c r="AN236" i="49"/>
  <c r="AO236" i="49" s="1"/>
  <c r="AJ236" i="49"/>
  <c r="AK236" i="49" s="1"/>
  <c r="AF236" i="49"/>
  <c r="AG236" i="49" s="1"/>
  <c r="AB236" i="49"/>
  <c r="AC236" i="49" s="1"/>
  <c r="X236" i="49"/>
  <c r="Y236" i="49" s="1"/>
  <c r="BE235" i="49"/>
  <c r="BC235" i="49"/>
  <c r="BB235" i="49"/>
  <c r="AY235" i="49"/>
  <c r="AX235" i="49"/>
  <c r="AU235" i="49"/>
  <c r="AT235" i="49"/>
  <c r="AQ235" i="49"/>
  <c r="AP235" i="49"/>
  <c r="AM235" i="49"/>
  <c r="AL235" i="49"/>
  <c r="AI235" i="49"/>
  <c r="AH235" i="49"/>
  <c r="AE235" i="49"/>
  <c r="AD235" i="49"/>
  <c r="AA235" i="49"/>
  <c r="Z235" i="49"/>
  <c r="W235" i="49"/>
  <c r="V235" i="49"/>
  <c r="U235" i="49"/>
  <c r="T235" i="49"/>
  <c r="R235" i="49"/>
  <c r="S236" i="49" s="1"/>
  <c r="M235" i="49"/>
  <c r="L235" i="49"/>
  <c r="K235" i="49"/>
  <c r="J235" i="49"/>
  <c r="BO234" i="49"/>
  <c r="BO233" i="49" s="1"/>
  <c r="BO235" i="49" s="1"/>
  <c r="BL234" i="49"/>
  <c r="BL233" i="49" s="1"/>
  <c r="BL235" i="49" s="1"/>
  <c r="BI234" i="49"/>
  <c r="BI233" i="49" s="1"/>
  <c r="BI235" i="49" s="1"/>
  <c r="BD234" i="49"/>
  <c r="BF234" i="49" s="1"/>
  <c r="AZ234" i="49"/>
  <c r="AZ233" i="49" s="1"/>
  <c r="BA233" i="49" s="1"/>
  <c r="AV234" i="49"/>
  <c r="AV233" i="49" s="1"/>
  <c r="AV235" i="49" s="1"/>
  <c r="AR234" i="49"/>
  <c r="AS234" i="49" s="1"/>
  <c r="AN234" i="49"/>
  <c r="AO234" i="49" s="1"/>
  <c r="AJ234" i="49"/>
  <c r="AK234" i="49" s="1"/>
  <c r="AF234" i="49"/>
  <c r="AG234" i="49" s="1"/>
  <c r="AB234" i="49"/>
  <c r="AC234" i="49" s="1"/>
  <c r="X234" i="49"/>
  <c r="Y234" i="49" s="1"/>
  <c r="S234" i="49"/>
  <c r="S235" i="49" s="1"/>
  <c r="S233" i="49"/>
  <c r="BO232" i="49"/>
  <c r="BL232" i="49"/>
  <c r="BI232" i="49"/>
  <c r="BD232" i="49"/>
  <c r="BF232" i="49" s="1"/>
  <c r="AZ232" i="49"/>
  <c r="BA232" i="49" s="1"/>
  <c r="AV232" i="49"/>
  <c r="AW232" i="49" s="1"/>
  <c r="AR232" i="49"/>
  <c r="AS232" i="49" s="1"/>
  <c r="AN232" i="49"/>
  <c r="AO232" i="49" s="1"/>
  <c r="AJ232" i="49"/>
  <c r="AK232" i="49" s="1"/>
  <c r="AF232" i="49"/>
  <c r="AG232" i="49" s="1"/>
  <c r="AB232" i="49"/>
  <c r="AC232" i="49" s="1"/>
  <c r="X232" i="49"/>
  <c r="Y232" i="49" s="1"/>
  <c r="BE231" i="49"/>
  <c r="BC231" i="49"/>
  <c r="BB231" i="49"/>
  <c r="AY231" i="49"/>
  <c r="AX231" i="49"/>
  <c r="AU231" i="49"/>
  <c r="AT231" i="49"/>
  <c r="AQ231" i="49"/>
  <c r="AP231" i="49"/>
  <c r="AM231" i="49"/>
  <c r="AL231" i="49"/>
  <c r="AI231" i="49"/>
  <c r="AH231" i="49"/>
  <c r="AE231" i="49"/>
  <c r="AD231" i="49"/>
  <c r="AA231" i="49"/>
  <c r="Z231" i="49"/>
  <c r="W231" i="49"/>
  <c r="V231" i="49"/>
  <c r="U231" i="49"/>
  <c r="T231" i="49"/>
  <c r="R231" i="49"/>
  <c r="M231" i="49"/>
  <c r="L231" i="49"/>
  <c r="K231" i="49"/>
  <c r="J231" i="49"/>
  <c r="BO230" i="49"/>
  <c r="BL230" i="49"/>
  <c r="BI230" i="49"/>
  <c r="BD230" i="49"/>
  <c r="BF230" i="49" s="1"/>
  <c r="AZ230" i="49"/>
  <c r="BA230" i="49" s="1"/>
  <c r="AV230" i="49"/>
  <c r="AW230" i="49" s="1"/>
  <c r="AR230" i="49"/>
  <c r="AS230" i="49" s="1"/>
  <c r="AN230" i="49"/>
  <c r="AO230" i="49" s="1"/>
  <c r="AJ230" i="49"/>
  <c r="AK230" i="49" s="1"/>
  <c r="AF230" i="49"/>
  <c r="AG230" i="49" s="1"/>
  <c r="AB230" i="49"/>
  <c r="AC230" i="49" s="1"/>
  <c r="X230" i="49"/>
  <c r="Y230" i="49" s="1"/>
  <c r="S230" i="49"/>
  <c r="S231" i="49" s="1"/>
  <c r="BO229" i="49"/>
  <c r="BL229" i="49"/>
  <c r="BI229" i="49"/>
  <c r="BD229" i="49"/>
  <c r="BF229" i="49" s="1"/>
  <c r="AZ229" i="49"/>
  <c r="BA229" i="49" s="1"/>
  <c r="AV229" i="49"/>
  <c r="AW229" i="49" s="1"/>
  <c r="AR229" i="49"/>
  <c r="AS229" i="49" s="1"/>
  <c r="AN229" i="49"/>
  <c r="AO229" i="49" s="1"/>
  <c r="AJ229" i="49"/>
  <c r="AK229" i="49" s="1"/>
  <c r="AF229" i="49"/>
  <c r="AG229" i="49" s="1"/>
  <c r="AB229" i="49"/>
  <c r="AC229" i="49" s="1"/>
  <c r="X229" i="49"/>
  <c r="Y229" i="49" s="1"/>
  <c r="BE228" i="49"/>
  <c r="BC228" i="49"/>
  <c r="BB228" i="49"/>
  <c r="AY228" i="49"/>
  <c r="AX228" i="49"/>
  <c r="AU228" i="49"/>
  <c r="AT228" i="49"/>
  <c r="AQ228" i="49"/>
  <c r="AP228" i="49"/>
  <c r="AM228" i="49"/>
  <c r="AL228" i="49"/>
  <c r="AI228" i="49"/>
  <c r="AH228" i="49"/>
  <c r="AE228" i="49"/>
  <c r="AD228" i="49"/>
  <c r="AA228" i="49"/>
  <c r="Z228" i="49"/>
  <c r="W228" i="49"/>
  <c r="V228" i="49"/>
  <c r="U228" i="49"/>
  <c r="T228" i="49"/>
  <c r="R228" i="49"/>
  <c r="M228" i="49"/>
  <c r="L228" i="49"/>
  <c r="K228" i="49"/>
  <c r="J228" i="49"/>
  <c r="BO227" i="49"/>
  <c r="BL227" i="49"/>
  <c r="BI227" i="49"/>
  <c r="BD227" i="49"/>
  <c r="BF227" i="49" s="1"/>
  <c r="AZ227" i="49"/>
  <c r="BA227" i="49" s="1"/>
  <c r="AV227" i="49"/>
  <c r="AW227" i="49" s="1"/>
  <c r="AR227" i="49"/>
  <c r="AS227" i="49" s="1"/>
  <c r="AN227" i="49"/>
  <c r="AO227" i="49" s="1"/>
  <c r="AJ227" i="49"/>
  <c r="AK227" i="49" s="1"/>
  <c r="AF227" i="49"/>
  <c r="AG227" i="49" s="1"/>
  <c r="AB227" i="49"/>
  <c r="AC227" i="49" s="1"/>
  <c r="X227" i="49"/>
  <c r="Y227" i="49" s="1"/>
  <c r="S227" i="49"/>
  <c r="S228" i="49" s="1"/>
  <c r="BO226" i="49"/>
  <c r="BL226" i="49"/>
  <c r="BI226" i="49"/>
  <c r="BD226" i="49"/>
  <c r="BF226" i="49" s="1"/>
  <c r="AZ226" i="49"/>
  <c r="BA226" i="49" s="1"/>
  <c r="AV226" i="49"/>
  <c r="AW226" i="49" s="1"/>
  <c r="AR226" i="49"/>
  <c r="AS226" i="49" s="1"/>
  <c r="AN226" i="49"/>
  <c r="AO226" i="49" s="1"/>
  <c r="AJ226" i="49"/>
  <c r="AK226" i="49" s="1"/>
  <c r="AF226" i="49"/>
  <c r="AB226" i="49"/>
  <c r="AC226" i="49" s="1"/>
  <c r="X226" i="49"/>
  <c r="Y226" i="49" s="1"/>
  <c r="S226" i="49"/>
  <c r="E25" i="57"/>
  <c r="I35" i="57" l="1"/>
  <c r="L28" i="70"/>
  <c r="K35" i="57"/>
  <c r="G35" i="57"/>
  <c r="Y279" i="49"/>
  <c r="I37" i="57"/>
  <c r="L25" i="70"/>
  <c r="Y276" i="49"/>
  <c r="I36" i="57"/>
  <c r="Y272" i="49"/>
  <c r="I34" i="57"/>
  <c r="AF257" i="49"/>
  <c r="AG257" i="49" s="1"/>
  <c r="BL257" i="49"/>
  <c r="AR279" i="49"/>
  <c r="AS279" i="49" s="1"/>
  <c r="AN279" i="49"/>
  <c r="AO279" i="49" s="1"/>
  <c r="AB279" i="49"/>
  <c r="AC279" i="49" s="1"/>
  <c r="L37" i="57" s="1"/>
  <c r="Y277" i="49"/>
  <c r="BF277" i="49"/>
  <c r="BD279" i="49"/>
  <c r="BF279" i="49" s="1"/>
  <c r="BA277" i="49"/>
  <c r="AZ279" i="49"/>
  <c r="BA279" i="49" s="1"/>
  <c r="AK277" i="49"/>
  <c r="AJ279" i="49"/>
  <c r="AK279" i="49" s="1"/>
  <c r="BI260" i="49"/>
  <c r="BI239" i="49"/>
  <c r="AF260" i="49"/>
  <c r="AG260" i="49" s="1"/>
  <c r="BI246" i="49"/>
  <c r="BO260" i="49"/>
  <c r="BL260" i="49"/>
  <c r="AZ260" i="49"/>
  <c r="BA260" i="49" s="1"/>
  <c r="AJ260" i="49"/>
  <c r="AK260" i="49" s="1"/>
  <c r="BO257" i="49"/>
  <c r="BI257" i="49"/>
  <c r="AV257" i="49"/>
  <c r="AW257" i="49" s="1"/>
  <c r="AB257" i="49"/>
  <c r="AC257" i="49" s="1"/>
  <c r="AJ257" i="49"/>
  <c r="AK257" i="49" s="1"/>
  <c r="AV251" i="49"/>
  <c r="AW251" i="49" s="1"/>
  <c r="AN251" i="49"/>
  <c r="AO251" i="49" s="1"/>
  <c r="BO249" i="49"/>
  <c r="BL249" i="49"/>
  <c r="BI249" i="49"/>
  <c r="AV249" i="49"/>
  <c r="AW249" i="49" s="1"/>
  <c r="AF249" i="49"/>
  <c r="AG249" i="49" s="1"/>
  <c r="X249" i="49"/>
  <c r="Y249" i="49" s="1"/>
  <c r="BO246" i="49"/>
  <c r="BL246" i="49"/>
  <c r="AV246" i="49"/>
  <c r="AW246" i="49" s="1"/>
  <c r="AR246" i="49"/>
  <c r="AS246" i="49" s="1"/>
  <c r="AF246" i="49"/>
  <c r="AG246" i="49" s="1"/>
  <c r="AW244" i="49"/>
  <c r="AJ246" i="49"/>
  <c r="AK246" i="49" s="1"/>
  <c r="AG244" i="49"/>
  <c r="BD260" i="49"/>
  <c r="BF260" i="49" s="1"/>
  <c r="AV260" i="49"/>
  <c r="AW260" i="49" s="1"/>
  <c r="AR260" i="49"/>
  <c r="AS260" i="49" s="1"/>
  <c r="AN260" i="49"/>
  <c r="AO260" i="49" s="1"/>
  <c r="AG258" i="49"/>
  <c r="AB260" i="49"/>
  <c r="AC260" i="49" s="1"/>
  <c r="X260" i="49"/>
  <c r="Y260" i="49" s="1"/>
  <c r="BD257" i="49"/>
  <c r="BF257" i="49" s="1"/>
  <c r="AZ257" i="49"/>
  <c r="BA257" i="49" s="1"/>
  <c r="AW255" i="49"/>
  <c r="AR257" i="49"/>
  <c r="AS257" i="49" s="1"/>
  <c r="AN257" i="49"/>
  <c r="AO257" i="49" s="1"/>
  <c r="AG255" i="49"/>
  <c r="X257" i="49"/>
  <c r="Y257" i="49" s="1"/>
  <c r="BD251" i="49"/>
  <c r="BF251" i="49" s="1"/>
  <c r="AR251" i="49"/>
  <c r="AS251" i="49" s="1"/>
  <c r="AJ253" i="49"/>
  <c r="AK253" i="49" s="1"/>
  <c r="AF251" i="49"/>
  <c r="X251" i="49"/>
  <c r="Y251" i="49" s="1"/>
  <c r="AZ253" i="49"/>
  <c r="BA253" i="49" s="1"/>
  <c r="S254" i="49"/>
  <c r="BD249" i="49"/>
  <c r="BF249" i="49" s="1"/>
  <c r="AZ249" i="49"/>
  <c r="BA249" i="49" s="1"/>
  <c r="AR249" i="49"/>
  <c r="AS249" i="49" s="1"/>
  <c r="AN249" i="49"/>
  <c r="AO249" i="49" s="1"/>
  <c r="AJ249" i="49"/>
  <c r="AK249" i="49" s="1"/>
  <c r="AB249" i="49"/>
  <c r="AC249" i="49" s="1"/>
  <c r="S250" i="49"/>
  <c r="BD246" i="49"/>
  <c r="BF246" i="49" s="1"/>
  <c r="AZ246" i="49"/>
  <c r="BA246" i="49" s="1"/>
  <c r="AS244" i="49"/>
  <c r="AN246" i="49"/>
  <c r="AO246" i="49" s="1"/>
  <c r="AB246" i="49"/>
  <c r="AC246" i="49" s="1"/>
  <c r="X246" i="49"/>
  <c r="Y246" i="49" s="1"/>
  <c r="AK252" i="49"/>
  <c r="BA252" i="49"/>
  <c r="AB251" i="49"/>
  <c r="BO242" i="49"/>
  <c r="BL242" i="49"/>
  <c r="BI242" i="49"/>
  <c r="BD242" i="49"/>
  <c r="BF242" i="49" s="1"/>
  <c r="X242" i="49"/>
  <c r="Y242" i="49" s="1"/>
  <c r="AR242" i="49"/>
  <c r="AS242" i="49" s="1"/>
  <c r="AB242" i="49"/>
  <c r="AC242" i="49" s="1"/>
  <c r="BO239" i="49"/>
  <c r="BL239" i="49"/>
  <c r="AN239" i="49"/>
  <c r="AO239" i="49" s="1"/>
  <c r="AR233" i="49"/>
  <c r="AS233" i="49" s="1"/>
  <c r="AJ233" i="49"/>
  <c r="AK233" i="49" s="1"/>
  <c r="AF233" i="49"/>
  <c r="AG233" i="49" s="1"/>
  <c r="BO231" i="49"/>
  <c r="BL231" i="49"/>
  <c r="BI231" i="49"/>
  <c r="BD231" i="49"/>
  <c r="BF231" i="49" s="1"/>
  <c r="AV231" i="49"/>
  <c r="AW231" i="49" s="1"/>
  <c r="AJ231" i="49"/>
  <c r="AK231" i="49" s="1"/>
  <c r="BO228" i="49"/>
  <c r="BL228" i="49"/>
  <c r="BI228" i="49"/>
  <c r="AF228" i="49"/>
  <c r="AG228" i="49" s="1"/>
  <c r="BD228" i="49"/>
  <c r="BF228" i="49" s="1"/>
  <c r="BF240" i="49"/>
  <c r="AZ242" i="49"/>
  <c r="BA242" i="49" s="1"/>
  <c r="AV242" i="49"/>
  <c r="AW242" i="49" s="1"/>
  <c r="AN242" i="49"/>
  <c r="AO242" i="49" s="1"/>
  <c r="AJ242" i="49"/>
  <c r="AK242" i="49" s="1"/>
  <c r="AF242" i="49"/>
  <c r="AG242" i="49" s="1"/>
  <c r="Y240" i="49"/>
  <c r="BD239" i="49"/>
  <c r="BF239" i="49" s="1"/>
  <c r="AZ239" i="49"/>
  <c r="BA239" i="49" s="1"/>
  <c r="AV239" i="49"/>
  <c r="AW239" i="49" s="1"/>
  <c r="AR239" i="49"/>
  <c r="AS239" i="49" s="1"/>
  <c r="AJ239" i="49"/>
  <c r="AK239" i="49" s="1"/>
  <c r="AF239" i="49"/>
  <c r="AG239" i="49" s="1"/>
  <c r="AB239" i="49"/>
  <c r="AC239" i="49" s="1"/>
  <c r="X239" i="49"/>
  <c r="Y239" i="49" s="1"/>
  <c r="S240" i="49"/>
  <c r="BD233" i="49"/>
  <c r="AW234" i="49"/>
  <c r="AN233" i="49"/>
  <c r="AO233" i="49" s="1"/>
  <c r="X233" i="49"/>
  <c r="Y233" i="49" s="1"/>
  <c r="AZ235" i="49"/>
  <c r="BA235" i="49" s="1"/>
  <c r="AW233" i="49"/>
  <c r="AW235" i="49"/>
  <c r="AZ231" i="49"/>
  <c r="BA231" i="49" s="1"/>
  <c r="AR231" i="49"/>
  <c r="AS231" i="49" s="1"/>
  <c r="AN231" i="49"/>
  <c r="AO231" i="49" s="1"/>
  <c r="AF231" i="49"/>
  <c r="AG231" i="49" s="1"/>
  <c r="AB231" i="49"/>
  <c r="AC231" i="49" s="1"/>
  <c r="X231" i="49"/>
  <c r="Y231" i="49" s="1"/>
  <c r="S232" i="49"/>
  <c r="AZ228" i="49"/>
  <c r="BA228" i="49" s="1"/>
  <c r="AV228" i="49"/>
  <c r="AW228" i="49" s="1"/>
  <c r="AR228" i="49"/>
  <c r="AS228" i="49" s="1"/>
  <c r="AN228" i="49"/>
  <c r="AO228" i="49" s="1"/>
  <c r="AJ228" i="49"/>
  <c r="AK228" i="49" s="1"/>
  <c r="AG226" i="49"/>
  <c r="AB228" i="49"/>
  <c r="AC228" i="49" s="1"/>
  <c r="X228" i="49"/>
  <c r="Y228" i="49" s="1"/>
  <c r="S229" i="49"/>
  <c r="BA234" i="49"/>
  <c r="AB233" i="49"/>
  <c r="BO220" i="49"/>
  <c r="K16" i="70" s="1"/>
  <c r="BL220" i="49"/>
  <c r="BI220" i="49"/>
  <c r="BD220" i="49"/>
  <c r="AZ220" i="49"/>
  <c r="AV220" i="49"/>
  <c r="AR220" i="49"/>
  <c r="AN220" i="49"/>
  <c r="AJ220" i="49"/>
  <c r="AF220" i="49"/>
  <c r="AB220" i="49"/>
  <c r="AC220" i="49" s="1"/>
  <c r="X220" i="49"/>
  <c r="BO219" i="49"/>
  <c r="BL219" i="49"/>
  <c r="BI219" i="49"/>
  <c r="BD219" i="49"/>
  <c r="BF219" i="49" s="1"/>
  <c r="AZ219" i="49"/>
  <c r="BA219" i="49" s="1"/>
  <c r="AV219" i="49"/>
  <c r="AW219" i="49" s="1"/>
  <c r="AR219" i="49"/>
  <c r="AS219" i="49" s="1"/>
  <c r="AN219" i="49"/>
  <c r="AO219" i="49" s="1"/>
  <c r="AJ219" i="49"/>
  <c r="AK219" i="49" s="1"/>
  <c r="AF219" i="49"/>
  <c r="AG219" i="49" s="1"/>
  <c r="AB219" i="49"/>
  <c r="AC219" i="49" s="1"/>
  <c r="AY41" i="57" s="1"/>
  <c r="X219" i="49"/>
  <c r="BE218" i="49"/>
  <c r="R218" i="49"/>
  <c r="J31" i="57" s="1"/>
  <c r="AT37" i="57" s="1"/>
  <c r="M218" i="49"/>
  <c r="L218" i="49"/>
  <c r="K218" i="49"/>
  <c r="J218" i="49"/>
  <c r="BO217" i="49"/>
  <c r="BL217" i="49"/>
  <c r="BI217" i="49"/>
  <c r="BD217" i="49"/>
  <c r="BF217" i="49" s="1"/>
  <c r="AZ217" i="49"/>
  <c r="BA217" i="49" s="1"/>
  <c r="AV217" i="49"/>
  <c r="AW217" i="49" s="1"/>
  <c r="AR217" i="49"/>
  <c r="AS217" i="49" s="1"/>
  <c r="AN217" i="49"/>
  <c r="AO217" i="49" s="1"/>
  <c r="AJ217" i="49"/>
  <c r="AK217" i="49" s="1"/>
  <c r="AF217" i="49"/>
  <c r="AG217" i="49" s="1"/>
  <c r="AB217" i="49"/>
  <c r="AC217" i="49" s="1"/>
  <c r="X217" i="49"/>
  <c r="Y217" i="49" s="1"/>
  <c r="S218" i="49"/>
  <c r="BO216" i="49"/>
  <c r="BL216" i="49"/>
  <c r="BI216" i="49"/>
  <c r="BD216" i="49"/>
  <c r="AZ216" i="49"/>
  <c r="BA216" i="49" s="1"/>
  <c r="AV216" i="49"/>
  <c r="AR216" i="49"/>
  <c r="AS216" i="49" s="1"/>
  <c r="AN216" i="49"/>
  <c r="AJ216" i="49"/>
  <c r="AK216" i="49" s="1"/>
  <c r="AF216" i="49"/>
  <c r="AG216" i="49" s="1"/>
  <c r="AB216" i="49"/>
  <c r="AC216" i="49" s="1"/>
  <c r="X216" i="49"/>
  <c r="Y216" i="49" s="1"/>
  <c r="BO215" i="49"/>
  <c r="BL215" i="49"/>
  <c r="BI215" i="49"/>
  <c r="BD215" i="49"/>
  <c r="BF215" i="49" s="1"/>
  <c r="AZ215" i="49"/>
  <c r="BA215" i="49" s="1"/>
  <c r="AV215" i="49"/>
  <c r="AW215" i="49" s="1"/>
  <c r="AR215" i="49"/>
  <c r="AS215" i="49" s="1"/>
  <c r="AN215" i="49"/>
  <c r="AO215" i="49" s="1"/>
  <c r="AJ215" i="49"/>
  <c r="AK215" i="49" s="1"/>
  <c r="AF215" i="49"/>
  <c r="AG215" i="49" s="1"/>
  <c r="AB215" i="49"/>
  <c r="AC215" i="49" s="1"/>
  <c r="L30" i="57" s="1"/>
  <c r="X215" i="49"/>
  <c r="BE214" i="49"/>
  <c r="R214" i="49"/>
  <c r="M214" i="49"/>
  <c r="L214" i="49"/>
  <c r="K214" i="49"/>
  <c r="J214" i="49"/>
  <c r="BO213" i="49"/>
  <c r="BL213" i="49"/>
  <c r="BI213" i="49"/>
  <c r="BD213" i="49"/>
  <c r="BF213" i="49" s="1"/>
  <c r="AZ213" i="49"/>
  <c r="BA213" i="49" s="1"/>
  <c r="AV213" i="49"/>
  <c r="AW213" i="49" s="1"/>
  <c r="AR213" i="49"/>
  <c r="AS213" i="49" s="1"/>
  <c r="AN213" i="49"/>
  <c r="AO213" i="49" s="1"/>
  <c r="AJ213" i="49"/>
  <c r="AK213" i="49" s="1"/>
  <c r="AF213" i="49"/>
  <c r="AG213" i="49" s="1"/>
  <c r="AB213" i="49"/>
  <c r="AC213" i="49" s="1"/>
  <c r="X213" i="49"/>
  <c r="Y213" i="49" s="1"/>
  <c r="S214" i="49"/>
  <c r="BO212" i="49"/>
  <c r="BL212" i="49"/>
  <c r="BI212" i="49"/>
  <c r="BD212" i="49"/>
  <c r="BF212" i="49" s="1"/>
  <c r="AZ212" i="49"/>
  <c r="BA212" i="49" s="1"/>
  <c r="AV212" i="49"/>
  <c r="AW212" i="49" s="1"/>
  <c r="AR212" i="49"/>
  <c r="AS212" i="49" s="1"/>
  <c r="AN212" i="49"/>
  <c r="AO212" i="49" s="1"/>
  <c r="AJ212" i="49"/>
  <c r="AK212" i="49" s="1"/>
  <c r="AF212" i="49"/>
  <c r="AG212" i="49" s="1"/>
  <c r="AB212" i="49"/>
  <c r="AC212" i="49" s="1"/>
  <c r="X212" i="49"/>
  <c r="Y212" i="49" s="1"/>
  <c r="BE211" i="49"/>
  <c r="R211" i="49"/>
  <c r="M211" i="49"/>
  <c r="L211" i="49"/>
  <c r="K211" i="49"/>
  <c r="J211" i="49"/>
  <c r="BO210" i="49"/>
  <c r="BO209" i="49" s="1"/>
  <c r="BO211" i="49" s="1"/>
  <c r="BL210" i="49"/>
  <c r="BL209" i="49" s="1"/>
  <c r="BL211" i="49" s="1"/>
  <c r="BI210" i="49"/>
  <c r="BI209" i="49" s="1"/>
  <c r="BI211" i="49" s="1"/>
  <c r="BD210" i="49"/>
  <c r="BF210" i="49" s="1"/>
  <c r="AZ210" i="49"/>
  <c r="AZ209" i="49" s="1"/>
  <c r="BA209" i="49" s="1"/>
  <c r="AV210" i="49"/>
  <c r="AW210" i="49" s="1"/>
  <c r="AR210" i="49"/>
  <c r="AS210" i="49" s="1"/>
  <c r="AN210" i="49"/>
  <c r="AO210" i="49" s="1"/>
  <c r="AJ210" i="49"/>
  <c r="AJ209" i="49" s="1"/>
  <c r="AK209" i="49" s="1"/>
  <c r="AF210" i="49"/>
  <c r="AG210" i="49" s="1"/>
  <c r="AB210" i="49"/>
  <c r="AC210" i="49" s="1"/>
  <c r="X210" i="49"/>
  <c r="S211" i="49"/>
  <c r="BO208" i="49"/>
  <c r="BL208" i="49"/>
  <c r="BI208" i="49"/>
  <c r="BD208" i="49"/>
  <c r="BF208" i="49" s="1"/>
  <c r="AZ208" i="49"/>
  <c r="BA208" i="49" s="1"/>
  <c r="AV208" i="49"/>
  <c r="AW208" i="49" s="1"/>
  <c r="AR208" i="49"/>
  <c r="AS208" i="49" s="1"/>
  <c r="AN208" i="49"/>
  <c r="AO208" i="49" s="1"/>
  <c r="AJ208" i="49"/>
  <c r="AK208" i="49" s="1"/>
  <c r="AF208" i="49"/>
  <c r="AG208" i="49" s="1"/>
  <c r="AB208" i="49"/>
  <c r="AC208" i="49" s="1"/>
  <c r="X208" i="49"/>
  <c r="Y208" i="49" s="1"/>
  <c r="BE207" i="49"/>
  <c r="BC207" i="49"/>
  <c r="BB207" i="49"/>
  <c r="AY207" i="49"/>
  <c r="AX207" i="49"/>
  <c r="AU207" i="49"/>
  <c r="AT207" i="49"/>
  <c r="AQ207" i="49"/>
  <c r="AP207" i="49"/>
  <c r="AM207" i="49"/>
  <c r="AL207" i="49"/>
  <c r="AI207" i="49"/>
  <c r="AH207" i="49"/>
  <c r="AE207" i="49"/>
  <c r="AD207" i="49"/>
  <c r="AA207" i="49"/>
  <c r="Z207" i="49"/>
  <c r="W207" i="49"/>
  <c r="V207" i="49"/>
  <c r="U207" i="49"/>
  <c r="T207" i="49"/>
  <c r="R207" i="49"/>
  <c r="M207" i="49"/>
  <c r="L207" i="49"/>
  <c r="K207" i="49"/>
  <c r="J207" i="49"/>
  <c r="BO206" i="49"/>
  <c r="BO205" i="49" s="1"/>
  <c r="BO207" i="49" s="1"/>
  <c r="BL206" i="49"/>
  <c r="BL205" i="49" s="1"/>
  <c r="BL207" i="49" s="1"/>
  <c r="BI206" i="49"/>
  <c r="BI205" i="49" s="1"/>
  <c r="BI207" i="49" s="1"/>
  <c r="BD206" i="49"/>
  <c r="BF206" i="49" s="1"/>
  <c r="AZ206" i="49"/>
  <c r="AZ205" i="49" s="1"/>
  <c r="BA205" i="49" s="1"/>
  <c r="AV206" i="49"/>
  <c r="AV205" i="49" s="1"/>
  <c r="AR206" i="49"/>
  <c r="AS206" i="49" s="1"/>
  <c r="AN206" i="49"/>
  <c r="AO206" i="49" s="1"/>
  <c r="AJ206" i="49"/>
  <c r="AK206" i="49" s="1"/>
  <c r="AF206" i="49"/>
  <c r="AG206" i="49" s="1"/>
  <c r="AB206" i="49"/>
  <c r="AC206" i="49" s="1"/>
  <c r="X206" i="49"/>
  <c r="Y206" i="49" s="1"/>
  <c r="S207" i="49"/>
  <c r="C20" i="76" s="1"/>
  <c r="BE204" i="49"/>
  <c r="BC204" i="49"/>
  <c r="BB204" i="49"/>
  <c r="AY204" i="49"/>
  <c r="AX204" i="49"/>
  <c r="AU204" i="49"/>
  <c r="AT204" i="49"/>
  <c r="AQ204" i="49"/>
  <c r="AP204" i="49"/>
  <c r="AM204" i="49"/>
  <c r="AL204" i="49"/>
  <c r="AI204" i="49"/>
  <c r="AH204" i="49"/>
  <c r="AE204" i="49"/>
  <c r="AD204" i="49"/>
  <c r="AA204" i="49"/>
  <c r="Z204" i="49"/>
  <c r="W204" i="49"/>
  <c r="V204" i="49"/>
  <c r="U204" i="49"/>
  <c r="T204" i="49"/>
  <c r="R204" i="49"/>
  <c r="M204" i="49"/>
  <c r="L204" i="49"/>
  <c r="K204" i="49"/>
  <c r="J204" i="49"/>
  <c r="BO203" i="49"/>
  <c r="BL203" i="49"/>
  <c r="BI203" i="49"/>
  <c r="BD203" i="49"/>
  <c r="BF203" i="49" s="1"/>
  <c r="AZ203" i="49"/>
  <c r="BA203" i="49" s="1"/>
  <c r="AV203" i="49"/>
  <c r="AW203" i="49" s="1"/>
  <c r="AR203" i="49"/>
  <c r="AS203" i="49" s="1"/>
  <c r="AN203" i="49"/>
  <c r="AO203" i="49" s="1"/>
  <c r="AJ203" i="49"/>
  <c r="AK203" i="49" s="1"/>
  <c r="AF203" i="49"/>
  <c r="AG203" i="49" s="1"/>
  <c r="AB203" i="49"/>
  <c r="AC203" i="49" s="1"/>
  <c r="X203" i="49"/>
  <c r="Y203" i="49" s="1"/>
  <c r="S204" i="49"/>
  <c r="BO202" i="49"/>
  <c r="BL202" i="49"/>
  <c r="BI202" i="49"/>
  <c r="BD202" i="49"/>
  <c r="BF202" i="49" s="1"/>
  <c r="AZ202" i="49"/>
  <c r="BA202" i="49" s="1"/>
  <c r="AV202" i="49"/>
  <c r="AW202" i="49" s="1"/>
  <c r="AR202" i="49"/>
  <c r="AN202" i="49"/>
  <c r="AO202" i="49" s="1"/>
  <c r="AJ202" i="49"/>
  <c r="AK202" i="49" s="1"/>
  <c r="AF202" i="49"/>
  <c r="AB202" i="49"/>
  <c r="X202" i="49"/>
  <c r="BO201" i="49"/>
  <c r="BL201" i="49"/>
  <c r="BI201" i="49"/>
  <c r="BD201" i="49"/>
  <c r="BF201" i="49" s="1"/>
  <c r="AZ201" i="49"/>
  <c r="BA201" i="49" s="1"/>
  <c r="AV201" i="49"/>
  <c r="AW201" i="49" s="1"/>
  <c r="AR201" i="49"/>
  <c r="AS201" i="49" s="1"/>
  <c r="AN201" i="49"/>
  <c r="AO201" i="49" s="1"/>
  <c r="AJ201" i="49"/>
  <c r="AK201" i="49" s="1"/>
  <c r="AF201" i="49"/>
  <c r="AG201" i="49" s="1"/>
  <c r="AB201" i="49"/>
  <c r="AC201" i="49" s="1"/>
  <c r="L25" i="57" s="1"/>
  <c r="X201" i="49"/>
  <c r="BE200" i="49"/>
  <c r="BC200" i="49"/>
  <c r="BB200" i="49"/>
  <c r="AY200" i="49"/>
  <c r="AX200" i="49"/>
  <c r="AU200" i="49"/>
  <c r="AT200" i="49"/>
  <c r="AQ200" i="49"/>
  <c r="AP200" i="49"/>
  <c r="AM200" i="49"/>
  <c r="AL200" i="49"/>
  <c r="AI200" i="49"/>
  <c r="AH200" i="49"/>
  <c r="AE200" i="49"/>
  <c r="AD200" i="49"/>
  <c r="AA200" i="49"/>
  <c r="Z200" i="49"/>
  <c r="W200" i="49"/>
  <c r="V200" i="49"/>
  <c r="U200" i="49"/>
  <c r="T200" i="49"/>
  <c r="R200" i="49"/>
  <c r="M200" i="49"/>
  <c r="L200" i="49"/>
  <c r="K200" i="49"/>
  <c r="J200" i="49"/>
  <c r="BO199" i="49"/>
  <c r="BL199" i="49"/>
  <c r="BI199" i="49"/>
  <c r="BD199" i="49"/>
  <c r="BF199" i="49" s="1"/>
  <c r="AZ199" i="49"/>
  <c r="BA199" i="49" s="1"/>
  <c r="AV199" i="49"/>
  <c r="AW199" i="49" s="1"/>
  <c r="AR199" i="49"/>
  <c r="AS199" i="49" s="1"/>
  <c r="AN199" i="49"/>
  <c r="AO199" i="49" s="1"/>
  <c r="AJ199" i="49"/>
  <c r="AK199" i="49" s="1"/>
  <c r="AF199" i="49"/>
  <c r="AG199" i="49" s="1"/>
  <c r="AB199" i="49"/>
  <c r="AC199" i="49" s="1"/>
  <c r="X199" i="49"/>
  <c r="Y199" i="49" s="1"/>
  <c r="S199" i="49"/>
  <c r="S200" i="49" s="1"/>
  <c r="BO198" i="49"/>
  <c r="BL198" i="49"/>
  <c r="BI198" i="49"/>
  <c r="BD198" i="49"/>
  <c r="BF198" i="49" s="1"/>
  <c r="AZ198" i="49"/>
  <c r="BA198" i="49" s="1"/>
  <c r="AV198" i="49"/>
  <c r="AW198" i="49" s="1"/>
  <c r="AR198" i="49"/>
  <c r="AS198" i="49" s="1"/>
  <c r="AN198" i="49"/>
  <c r="AO198" i="49" s="1"/>
  <c r="AJ198" i="49"/>
  <c r="AK198" i="49" s="1"/>
  <c r="AF198" i="49"/>
  <c r="AG198" i="49" s="1"/>
  <c r="AB198" i="49"/>
  <c r="AC198" i="49" s="1"/>
  <c r="X198" i="49"/>
  <c r="Y198" i="49" s="1"/>
  <c r="S198" i="49"/>
  <c r="BO196" i="49"/>
  <c r="J16" i="70" s="1"/>
  <c r="BL196" i="49"/>
  <c r="J15" i="70" s="1"/>
  <c r="BI196" i="49"/>
  <c r="BD196" i="49"/>
  <c r="AZ196" i="49"/>
  <c r="AV196" i="49"/>
  <c r="AR196" i="49"/>
  <c r="AN196" i="49"/>
  <c r="AJ196" i="49"/>
  <c r="AF196" i="49"/>
  <c r="AB196" i="49"/>
  <c r="AC196" i="49" s="1"/>
  <c r="X196" i="49"/>
  <c r="S196" i="49"/>
  <c r="BO195" i="49"/>
  <c r="BL195" i="49"/>
  <c r="BI195" i="49"/>
  <c r="BD195" i="49"/>
  <c r="BF195" i="49" s="1"/>
  <c r="AZ195" i="49"/>
  <c r="BA195" i="49" s="1"/>
  <c r="AV195" i="49"/>
  <c r="AW195" i="49" s="1"/>
  <c r="AR195" i="49"/>
  <c r="AS195" i="49" s="1"/>
  <c r="AN195" i="49"/>
  <c r="AO195" i="49" s="1"/>
  <c r="AJ195" i="49"/>
  <c r="AK195" i="49" s="1"/>
  <c r="AF195" i="49"/>
  <c r="AG195" i="49" s="1"/>
  <c r="AB195" i="49"/>
  <c r="AC195" i="49" s="1"/>
  <c r="X195" i="49"/>
  <c r="Y195" i="49" s="1"/>
  <c r="S195" i="49"/>
  <c r="BO194" i="49"/>
  <c r="BL194" i="49"/>
  <c r="BI194" i="49"/>
  <c r="BD194" i="49"/>
  <c r="BF194" i="49" s="1"/>
  <c r="AZ194" i="49"/>
  <c r="BA194" i="49" s="1"/>
  <c r="AV194" i="49"/>
  <c r="AW194" i="49" s="1"/>
  <c r="AR194" i="49"/>
  <c r="AS194" i="49" s="1"/>
  <c r="AN194" i="49"/>
  <c r="AO194" i="49" s="1"/>
  <c r="AJ194" i="49"/>
  <c r="AK194" i="49" s="1"/>
  <c r="AF194" i="49"/>
  <c r="AG194" i="49" s="1"/>
  <c r="AB194" i="49"/>
  <c r="AC194" i="49" s="1"/>
  <c r="X194" i="49"/>
  <c r="Y194" i="49" s="1"/>
  <c r="S194" i="49"/>
  <c r="BO193" i="49"/>
  <c r="BL193" i="49"/>
  <c r="BI193" i="49"/>
  <c r="BD193" i="49"/>
  <c r="BF193" i="49" s="1"/>
  <c r="AZ193" i="49"/>
  <c r="BA193" i="49" s="1"/>
  <c r="AV193" i="49"/>
  <c r="AW193" i="49" s="1"/>
  <c r="AR193" i="49"/>
  <c r="AS193" i="49" s="1"/>
  <c r="AN193" i="49"/>
  <c r="AO193" i="49" s="1"/>
  <c r="AJ193" i="49"/>
  <c r="AK193" i="49" s="1"/>
  <c r="AF193" i="49"/>
  <c r="AG193" i="49" s="1"/>
  <c r="AB193" i="49"/>
  <c r="AC193" i="49" s="1"/>
  <c r="X193" i="49"/>
  <c r="Y193" i="49" s="1"/>
  <c r="S193" i="49"/>
  <c r="BO192" i="49"/>
  <c r="BL192" i="49"/>
  <c r="BI192" i="49"/>
  <c r="BD192" i="49"/>
  <c r="BF192" i="49" s="1"/>
  <c r="AZ192" i="49"/>
  <c r="BA192" i="49" s="1"/>
  <c r="AV192" i="49"/>
  <c r="AW192" i="49" s="1"/>
  <c r="AR192" i="49"/>
  <c r="AS192" i="49" s="1"/>
  <c r="AN192" i="49"/>
  <c r="AO192" i="49" s="1"/>
  <c r="AJ192" i="49"/>
  <c r="AK192" i="49" s="1"/>
  <c r="AF192" i="49"/>
  <c r="AG192" i="49" s="1"/>
  <c r="AB192" i="49"/>
  <c r="AC192" i="49" s="1"/>
  <c r="X192" i="49"/>
  <c r="Y192" i="49" s="1"/>
  <c r="S192" i="49"/>
  <c r="BO191" i="49"/>
  <c r="BL191" i="49"/>
  <c r="BI191" i="49"/>
  <c r="BD191" i="49"/>
  <c r="BF191" i="49" s="1"/>
  <c r="AZ191" i="49"/>
  <c r="BA191" i="49" s="1"/>
  <c r="AV191" i="49"/>
  <c r="AW191" i="49" s="1"/>
  <c r="AR191" i="49"/>
  <c r="AS191" i="49" s="1"/>
  <c r="AN191" i="49"/>
  <c r="AO191" i="49" s="1"/>
  <c r="AJ191" i="49"/>
  <c r="AK191" i="49" s="1"/>
  <c r="AF191" i="49"/>
  <c r="AG191" i="49" s="1"/>
  <c r="AB191" i="49"/>
  <c r="AC191" i="49" s="1"/>
  <c r="X191" i="49"/>
  <c r="Y191" i="49" s="1"/>
  <c r="S191" i="49"/>
  <c r="BO190" i="49"/>
  <c r="BL190" i="49"/>
  <c r="BI190" i="49"/>
  <c r="BD190" i="49"/>
  <c r="BF190" i="49" s="1"/>
  <c r="AZ190" i="49"/>
  <c r="BA190" i="49" s="1"/>
  <c r="AV190" i="49"/>
  <c r="AW190" i="49" s="1"/>
  <c r="AR190" i="49"/>
  <c r="AS190" i="49" s="1"/>
  <c r="AN190" i="49"/>
  <c r="AO190" i="49" s="1"/>
  <c r="AJ190" i="49"/>
  <c r="AK190" i="49" s="1"/>
  <c r="AF190" i="49"/>
  <c r="AG190" i="49" s="1"/>
  <c r="AB190" i="49"/>
  <c r="AC190" i="49" s="1"/>
  <c r="X190" i="49"/>
  <c r="Y190" i="49" s="1"/>
  <c r="S190" i="49"/>
  <c r="BO189" i="49"/>
  <c r="BL189" i="49"/>
  <c r="BI189" i="49"/>
  <c r="BD189" i="49"/>
  <c r="BF189" i="49" s="1"/>
  <c r="AZ189" i="49"/>
  <c r="BA189" i="49" s="1"/>
  <c r="AV189" i="49"/>
  <c r="AW189" i="49" s="1"/>
  <c r="AR189" i="49"/>
  <c r="AS189" i="49" s="1"/>
  <c r="AN189" i="49"/>
  <c r="AO189" i="49" s="1"/>
  <c r="AJ189" i="49"/>
  <c r="AK189" i="49" s="1"/>
  <c r="AF189" i="49"/>
  <c r="AG189" i="49" s="1"/>
  <c r="AB189" i="49"/>
  <c r="AC189" i="49" s="1"/>
  <c r="X189" i="49"/>
  <c r="Y189" i="49" s="1"/>
  <c r="S189" i="49"/>
  <c r="BO188" i="49"/>
  <c r="BL188" i="49"/>
  <c r="BI188" i="49"/>
  <c r="BD188" i="49"/>
  <c r="BF188" i="49" s="1"/>
  <c r="AZ188" i="49"/>
  <c r="BA188" i="49" s="1"/>
  <c r="AV188" i="49"/>
  <c r="AW188" i="49" s="1"/>
  <c r="AR188" i="49"/>
  <c r="AS188" i="49" s="1"/>
  <c r="AN188" i="49"/>
  <c r="AO188" i="49" s="1"/>
  <c r="AJ188" i="49"/>
  <c r="AK188" i="49" s="1"/>
  <c r="AF188" i="49"/>
  <c r="AG188" i="49" s="1"/>
  <c r="AB188" i="49"/>
  <c r="AC188" i="49" s="1"/>
  <c r="X188" i="49"/>
  <c r="Y188" i="49" s="1"/>
  <c r="S188" i="49"/>
  <c r="BO187" i="49"/>
  <c r="BL187" i="49"/>
  <c r="BI187" i="49"/>
  <c r="BD187" i="49"/>
  <c r="BF187" i="49" s="1"/>
  <c r="AZ187" i="49"/>
  <c r="BA187" i="49" s="1"/>
  <c r="AV187" i="49"/>
  <c r="AW187" i="49" s="1"/>
  <c r="AR187" i="49"/>
  <c r="AS187" i="49" s="1"/>
  <c r="AN187" i="49"/>
  <c r="AO187" i="49" s="1"/>
  <c r="AJ187" i="49"/>
  <c r="AK187" i="49" s="1"/>
  <c r="AF187" i="49"/>
  <c r="AG187" i="49" s="1"/>
  <c r="AB187" i="49"/>
  <c r="AC187" i="49" s="1"/>
  <c r="X187" i="49"/>
  <c r="Y187" i="49" s="1"/>
  <c r="S187" i="49"/>
  <c r="BO186" i="49"/>
  <c r="BL186" i="49"/>
  <c r="BI186" i="49"/>
  <c r="BD186" i="49"/>
  <c r="BF186" i="49" s="1"/>
  <c r="AZ186" i="49"/>
  <c r="BA186" i="49" s="1"/>
  <c r="AV186" i="49"/>
  <c r="AW186" i="49" s="1"/>
  <c r="AR186" i="49"/>
  <c r="AS186" i="49" s="1"/>
  <c r="AN186" i="49"/>
  <c r="AO186" i="49" s="1"/>
  <c r="AJ186" i="49"/>
  <c r="AK186" i="49" s="1"/>
  <c r="AF186" i="49"/>
  <c r="AG186" i="49" s="1"/>
  <c r="AB186" i="49"/>
  <c r="AC186" i="49" s="1"/>
  <c r="X186" i="49"/>
  <c r="Y186" i="49" s="1"/>
  <c r="S186" i="49"/>
  <c r="BO185" i="49"/>
  <c r="BL185" i="49"/>
  <c r="BI185" i="49"/>
  <c r="BD185" i="49"/>
  <c r="BF185" i="49" s="1"/>
  <c r="AZ185" i="49"/>
  <c r="BA185" i="49" s="1"/>
  <c r="AV185" i="49"/>
  <c r="AW185" i="49" s="1"/>
  <c r="AR185" i="49"/>
  <c r="AS185" i="49" s="1"/>
  <c r="AN185" i="49"/>
  <c r="AO185" i="49" s="1"/>
  <c r="AJ185" i="49"/>
  <c r="AK185" i="49" s="1"/>
  <c r="AF185" i="49"/>
  <c r="AG185" i="49" s="1"/>
  <c r="AB185" i="49"/>
  <c r="AC185" i="49" s="1"/>
  <c r="X185" i="49"/>
  <c r="Y185" i="49" s="1"/>
  <c r="S185" i="49"/>
  <c r="BO184" i="49"/>
  <c r="BL184" i="49"/>
  <c r="BI184" i="49"/>
  <c r="BD184" i="49"/>
  <c r="BF184" i="49" s="1"/>
  <c r="AZ184" i="49"/>
  <c r="BA184" i="49" s="1"/>
  <c r="AV184" i="49"/>
  <c r="AW184" i="49" s="1"/>
  <c r="AR184" i="49"/>
  <c r="AS184" i="49" s="1"/>
  <c r="AN184" i="49"/>
  <c r="AO184" i="49" s="1"/>
  <c r="AJ184" i="49"/>
  <c r="AK184" i="49" s="1"/>
  <c r="AF184" i="49"/>
  <c r="AG184" i="49" s="1"/>
  <c r="AB184" i="49"/>
  <c r="AC184" i="49" s="1"/>
  <c r="X184" i="49"/>
  <c r="Y184" i="49" s="1"/>
  <c r="S184" i="49"/>
  <c r="BO183" i="49"/>
  <c r="BL183" i="49"/>
  <c r="BI183" i="49"/>
  <c r="BD183" i="49"/>
  <c r="BF183" i="49" s="1"/>
  <c r="AZ183" i="49"/>
  <c r="BA183" i="49" s="1"/>
  <c r="AV183" i="49"/>
  <c r="AW183" i="49" s="1"/>
  <c r="AR183" i="49"/>
  <c r="AS183" i="49" s="1"/>
  <c r="AN183" i="49"/>
  <c r="AO183" i="49" s="1"/>
  <c r="AJ183" i="49"/>
  <c r="AK183" i="49" s="1"/>
  <c r="AF183" i="49"/>
  <c r="AG183" i="49" s="1"/>
  <c r="AB183" i="49"/>
  <c r="AC183" i="49" s="1"/>
  <c r="X183" i="49"/>
  <c r="Y183" i="49" s="1"/>
  <c r="S183" i="49"/>
  <c r="BO182" i="49"/>
  <c r="BL182" i="49"/>
  <c r="BI182" i="49"/>
  <c r="BD182" i="49"/>
  <c r="BF182" i="49" s="1"/>
  <c r="AZ182" i="49"/>
  <c r="BA182" i="49" s="1"/>
  <c r="AV182" i="49"/>
  <c r="AW182" i="49" s="1"/>
  <c r="AR182" i="49"/>
  <c r="AS182" i="49" s="1"/>
  <c r="AN182" i="49"/>
  <c r="AO182" i="49" s="1"/>
  <c r="AJ182" i="49"/>
  <c r="AK182" i="49" s="1"/>
  <c r="AF182" i="49"/>
  <c r="AG182" i="49" s="1"/>
  <c r="AB182" i="49"/>
  <c r="AC182" i="49" s="1"/>
  <c r="X182" i="49"/>
  <c r="Y182" i="49" s="1"/>
  <c r="S182" i="49"/>
  <c r="BO181" i="49"/>
  <c r="BL181" i="49"/>
  <c r="BI181" i="49"/>
  <c r="BD181" i="49"/>
  <c r="BF181" i="49" s="1"/>
  <c r="AZ181" i="49"/>
  <c r="BA181" i="49" s="1"/>
  <c r="AV181" i="49"/>
  <c r="AW181" i="49" s="1"/>
  <c r="AR181" i="49"/>
  <c r="AS181" i="49" s="1"/>
  <c r="AN181" i="49"/>
  <c r="AO181" i="49" s="1"/>
  <c r="AJ181" i="49"/>
  <c r="AK181" i="49" s="1"/>
  <c r="AF181" i="49"/>
  <c r="AG181" i="49" s="1"/>
  <c r="AB181" i="49"/>
  <c r="AC181" i="49" s="1"/>
  <c r="X181" i="49"/>
  <c r="Y181" i="49" s="1"/>
  <c r="S181" i="49"/>
  <c r="BO180" i="49"/>
  <c r="BL180" i="49"/>
  <c r="BI180" i="49"/>
  <c r="BD180" i="49"/>
  <c r="BF180" i="49" s="1"/>
  <c r="AZ180" i="49"/>
  <c r="BA180" i="49" s="1"/>
  <c r="AV180" i="49"/>
  <c r="AW180" i="49" s="1"/>
  <c r="AR180" i="49"/>
  <c r="AS180" i="49" s="1"/>
  <c r="AN180" i="49"/>
  <c r="AO180" i="49" s="1"/>
  <c r="AJ180" i="49"/>
  <c r="AK180" i="49" s="1"/>
  <c r="AF180" i="49"/>
  <c r="AG180" i="49" s="1"/>
  <c r="AB180" i="49"/>
  <c r="AC180" i="49" s="1"/>
  <c r="X180" i="49"/>
  <c r="Y180" i="49" s="1"/>
  <c r="S180" i="49"/>
  <c r="BO179" i="49"/>
  <c r="BL179" i="49"/>
  <c r="BI179" i="49"/>
  <c r="BD179" i="49"/>
  <c r="BF179" i="49" s="1"/>
  <c r="AZ179" i="49"/>
  <c r="BA179" i="49" s="1"/>
  <c r="AV179" i="49"/>
  <c r="AW179" i="49" s="1"/>
  <c r="AR179" i="49"/>
  <c r="AS179" i="49" s="1"/>
  <c r="AN179" i="49"/>
  <c r="AO179" i="49" s="1"/>
  <c r="AJ179" i="49"/>
  <c r="AK179" i="49" s="1"/>
  <c r="AF179" i="49"/>
  <c r="AG179" i="49" s="1"/>
  <c r="AB179" i="49"/>
  <c r="AC179" i="49" s="1"/>
  <c r="X179" i="49"/>
  <c r="Y179" i="49" s="1"/>
  <c r="S179" i="49"/>
  <c r="BO178" i="49"/>
  <c r="BL178" i="49"/>
  <c r="BI178" i="49"/>
  <c r="BD178" i="49"/>
  <c r="BF178" i="49" s="1"/>
  <c r="AZ178" i="49"/>
  <c r="BA178" i="49" s="1"/>
  <c r="AV178" i="49"/>
  <c r="AW178" i="49" s="1"/>
  <c r="AR178" i="49"/>
  <c r="AS178" i="49" s="1"/>
  <c r="AN178" i="49"/>
  <c r="AO178" i="49" s="1"/>
  <c r="AJ178" i="49"/>
  <c r="AK178" i="49" s="1"/>
  <c r="AF178" i="49"/>
  <c r="AG178" i="49" s="1"/>
  <c r="AB178" i="49"/>
  <c r="AC178" i="49" s="1"/>
  <c r="X178" i="49"/>
  <c r="Y178" i="49" s="1"/>
  <c r="S178" i="49"/>
  <c r="BO177" i="49"/>
  <c r="BL177" i="49"/>
  <c r="BI177" i="49"/>
  <c r="BD177" i="49"/>
  <c r="BF177" i="49" s="1"/>
  <c r="AZ177" i="49"/>
  <c r="BA177" i="49" s="1"/>
  <c r="AV177" i="49"/>
  <c r="AW177" i="49" s="1"/>
  <c r="AR177" i="49"/>
  <c r="AS177" i="49" s="1"/>
  <c r="AN177" i="49"/>
  <c r="AO177" i="49" s="1"/>
  <c r="AJ177" i="49"/>
  <c r="AK177" i="49" s="1"/>
  <c r="AF177" i="49"/>
  <c r="AG177" i="49" s="1"/>
  <c r="AB177" i="49"/>
  <c r="AC177" i="49" s="1"/>
  <c r="X177" i="49"/>
  <c r="Y177" i="49" s="1"/>
  <c r="S177" i="49"/>
  <c r="BO176" i="49"/>
  <c r="BL176" i="49"/>
  <c r="BI176" i="49"/>
  <c r="BD176" i="49"/>
  <c r="BF176" i="49" s="1"/>
  <c r="AZ176" i="49"/>
  <c r="BA176" i="49" s="1"/>
  <c r="AV176" i="49"/>
  <c r="AW176" i="49" s="1"/>
  <c r="AR176" i="49"/>
  <c r="AS176" i="49" s="1"/>
  <c r="AN176" i="49"/>
  <c r="AO176" i="49" s="1"/>
  <c r="AJ176" i="49"/>
  <c r="AK176" i="49" s="1"/>
  <c r="AF176" i="49"/>
  <c r="AG176" i="49" s="1"/>
  <c r="AB176" i="49"/>
  <c r="AC176" i="49" s="1"/>
  <c r="X176" i="49"/>
  <c r="Y176" i="49" s="1"/>
  <c r="S176" i="49"/>
  <c r="BD12" i="49"/>
  <c r="AZ12" i="49"/>
  <c r="BA12" i="49" s="1"/>
  <c r="AV12" i="49"/>
  <c r="AW12" i="49" s="1"/>
  <c r="AR12" i="49"/>
  <c r="AS12" i="49" s="1"/>
  <c r="AN12" i="49"/>
  <c r="AO12" i="49" s="1"/>
  <c r="AJ12" i="49"/>
  <c r="AK12" i="49" s="1"/>
  <c r="AF12" i="49"/>
  <c r="AG12" i="49" s="1"/>
  <c r="AB12" i="49"/>
  <c r="AC12" i="49" s="1"/>
  <c r="X12" i="49"/>
  <c r="Y12" i="49" s="1"/>
  <c r="S12" i="49"/>
  <c r="H27" i="57" l="1"/>
  <c r="H26" i="57"/>
  <c r="F28" i="57"/>
  <c r="E28" i="57"/>
  <c r="F24" i="57"/>
  <c r="E24" i="57"/>
  <c r="F31" i="57"/>
  <c r="E31" i="57"/>
  <c r="F26" i="57"/>
  <c r="E26" i="57"/>
  <c r="F29" i="57"/>
  <c r="E29" i="57"/>
  <c r="F27" i="57"/>
  <c r="E27" i="57"/>
  <c r="K34" i="57"/>
  <c r="G34" i="57"/>
  <c r="K36" i="57"/>
  <c r="G36" i="57"/>
  <c r="J24" i="57"/>
  <c r="AT34" i="57" s="1"/>
  <c r="K37" i="57"/>
  <c r="G37" i="57"/>
  <c r="H24" i="57"/>
  <c r="J26" i="57"/>
  <c r="AT35" i="57" s="1"/>
  <c r="BF196" i="49"/>
  <c r="J23" i="70"/>
  <c r="Y219" i="49"/>
  <c r="AU41" i="57" s="1"/>
  <c r="AS41" i="57"/>
  <c r="AW196" i="49"/>
  <c r="J22" i="70"/>
  <c r="Y220" i="49"/>
  <c r="K14" i="70"/>
  <c r="K15" i="70"/>
  <c r="K26" i="70" s="1"/>
  <c r="O24" i="57"/>
  <c r="J29" i="57"/>
  <c r="AT36" i="57" s="1"/>
  <c r="BA196" i="49"/>
  <c r="J21" i="70"/>
  <c r="J27" i="57"/>
  <c r="AG220" i="49"/>
  <c r="K17" i="70"/>
  <c r="Y196" i="49"/>
  <c r="J14" i="70"/>
  <c r="Y215" i="49"/>
  <c r="I30" i="57"/>
  <c r="AS39" i="57" s="1"/>
  <c r="AU39" i="57" s="1"/>
  <c r="AK220" i="49"/>
  <c r="K18" i="70"/>
  <c r="AO220" i="49"/>
  <c r="K19" i="70"/>
  <c r="K27" i="70" s="1"/>
  <c r="G36" i="70" s="1"/>
  <c r="AG196" i="49"/>
  <c r="J17" i="70"/>
  <c r="Y201" i="49"/>
  <c r="I25" i="57"/>
  <c r="AS38" i="57" s="1"/>
  <c r="AU38" i="57" s="1"/>
  <c r="AS220" i="49"/>
  <c r="K20" i="70"/>
  <c r="AK196" i="49"/>
  <c r="J18" i="70"/>
  <c r="J28" i="57"/>
  <c r="AW220" i="49"/>
  <c r="K22" i="70"/>
  <c r="AO196" i="49"/>
  <c r="J19" i="70"/>
  <c r="BA220" i="49"/>
  <c r="K21" i="70"/>
  <c r="AS196" i="49"/>
  <c r="J20" i="70"/>
  <c r="BF220" i="49"/>
  <c r="K23" i="70"/>
  <c r="BO200" i="49"/>
  <c r="AR235" i="49"/>
  <c r="AS235" i="49" s="1"/>
  <c r="AR204" i="49"/>
  <c r="AS204" i="49" s="1"/>
  <c r="AN253" i="49"/>
  <c r="AO253" i="49" s="1"/>
  <c r="AV253" i="49"/>
  <c r="AW253" i="49" s="1"/>
  <c r="BD253" i="49"/>
  <c r="BF253" i="49" s="1"/>
  <c r="AR253" i="49"/>
  <c r="AS253" i="49" s="1"/>
  <c r="AG251" i="49"/>
  <c r="AF253" i="49"/>
  <c r="AG253" i="49" s="1"/>
  <c r="X253" i="49"/>
  <c r="Y253" i="49" s="1"/>
  <c r="AC251" i="49"/>
  <c r="AB253" i="49"/>
  <c r="AC253" i="49" s="1"/>
  <c r="AJ235" i="49"/>
  <c r="AK235" i="49" s="1"/>
  <c r="AF235" i="49"/>
  <c r="AG235" i="49" s="1"/>
  <c r="X235" i="49"/>
  <c r="Y235" i="49" s="1"/>
  <c r="BF233" i="49"/>
  <c r="BD235" i="49"/>
  <c r="BF235" i="49" s="1"/>
  <c r="AN235" i="49"/>
  <c r="AO235" i="49" s="1"/>
  <c r="AC233" i="49"/>
  <c r="AB235" i="49"/>
  <c r="AC235" i="49" s="1"/>
  <c r="BO218" i="49"/>
  <c r="BL218" i="49"/>
  <c r="BI218" i="49"/>
  <c r="BD218" i="49"/>
  <c r="BF218" i="49" s="1"/>
  <c r="AV218" i="49"/>
  <c r="AW218" i="49" s="1"/>
  <c r="AN218" i="49"/>
  <c r="AO218" i="49" s="1"/>
  <c r="BO214" i="49"/>
  <c r="BL214" i="49"/>
  <c r="BI214" i="49"/>
  <c r="AN209" i="49"/>
  <c r="AO209" i="49" s="1"/>
  <c r="AW216" i="49"/>
  <c r="X214" i="49"/>
  <c r="BD209" i="49"/>
  <c r="BF209" i="49" s="1"/>
  <c r="AF209" i="49"/>
  <c r="AG209" i="49" s="1"/>
  <c r="BA206" i="49"/>
  <c r="AJ205" i="49"/>
  <c r="AK205" i="49" s="1"/>
  <c r="X205" i="49"/>
  <c r="Y205" i="49" s="1"/>
  <c r="BO204" i="49"/>
  <c r="BL204" i="49"/>
  <c r="BI204" i="49"/>
  <c r="BD204" i="49"/>
  <c r="BF204" i="49" s="1"/>
  <c r="AF204" i="49"/>
  <c r="AG204" i="49" s="1"/>
  <c r="AB204" i="49"/>
  <c r="AC204" i="49" s="1"/>
  <c r="L26" i="57" s="1"/>
  <c r="X204" i="49"/>
  <c r="BL200" i="49"/>
  <c r="BI200" i="49"/>
  <c r="BF216" i="49"/>
  <c r="AZ218" i="49"/>
  <c r="BA218" i="49" s="1"/>
  <c r="AR218" i="49"/>
  <c r="AS218" i="49" s="1"/>
  <c r="AO216" i="49"/>
  <c r="AJ218" i="49"/>
  <c r="AK218" i="49" s="1"/>
  <c r="AF218" i="49"/>
  <c r="AG218" i="49" s="1"/>
  <c r="AB218" i="49"/>
  <c r="AC218" i="49" s="1"/>
  <c r="L31" i="57" s="1"/>
  <c r="X218" i="49"/>
  <c r="BD214" i="49"/>
  <c r="BF214" i="49" s="1"/>
  <c r="AZ214" i="49"/>
  <c r="BA214" i="49" s="1"/>
  <c r="AV214" i="49"/>
  <c r="AW214" i="49" s="1"/>
  <c r="AR214" i="49"/>
  <c r="AS214" i="49" s="1"/>
  <c r="AN214" i="49"/>
  <c r="AO214" i="49" s="1"/>
  <c r="AJ214" i="49"/>
  <c r="AK214" i="49" s="1"/>
  <c r="AF214" i="49"/>
  <c r="AG214" i="49" s="1"/>
  <c r="AB214" i="49"/>
  <c r="AC214" i="49" s="1"/>
  <c r="L29" i="57" s="1"/>
  <c r="AZ211" i="49"/>
  <c r="BA211" i="49" s="1"/>
  <c r="AV209" i="49"/>
  <c r="AW209" i="49" s="1"/>
  <c r="AR209" i="49"/>
  <c r="AS209" i="49" s="1"/>
  <c r="AB209" i="49"/>
  <c r="AC209" i="49" s="1"/>
  <c r="X209" i="49"/>
  <c r="Y209" i="49" s="1"/>
  <c r="AJ211" i="49"/>
  <c r="AK211" i="49" s="1"/>
  <c r="BD205" i="49"/>
  <c r="BF205" i="49" s="1"/>
  <c r="AW205" i="49"/>
  <c r="AV207" i="49"/>
  <c r="AW207" i="49" s="1"/>
  <c r="AW206" i="49"/>
  <c r="AN205" i="49"/>
  <c r="AF205" i="49"/>
  <c r="AG205" i="49" s="1"/>
  <c r="AZ207" i="49"/>
  <c r="BA207" i="49" s="1"/>
  <c r="AZ204" i="49"/>
  <c r="BA204" i="49" s="1"/>
  <c r="AV204" i="49"/>
  <c r="AW204" i="49" s="1"/>
  <c r="AS202" i="49"/>
  <c r="AN204" i="49"/>
  <c r="AO204" i="49" s="1"/>
  <c r="AJ204" i="49"/>
  <c r="AK204" i="49" s="1"/>
  <c r="AG202" i="49"/>
  <c r="AC202" i="49"/>
  <c r="Y202" i="49"/>
  <c r="BD200" i="49"/>
  <c r="BF200" i="49" s="1"/>
  <c r="AZ200" i="49"/>
  <c r="BA200" i="49" s="1"/>
  <c r="AV200" i="49"/>
  <c r="AW200" i="49" s="1"/>
  <c r="AR200" i="49"/>
  <c r="AS200" i="49" s="1"/>
  <c r="AN200" i="49"/>
  <c r="AO200" i="49" s="1"/>
  <c r="AJ200" i="49"/>
  <c r="AK200" i="49" s="1"/>
  <c r="AF200" i="49"/>
  <c r="AG200" i="49" s="1"/>
  <c r="AB200" i="49"/>
  <c r="AC200" i="49" s="1"/>
  <c r="L24" i="57" s="1"/>
  <c r="X200" i="49"/>
  <c r="BA210" i="49"/>
  <c r="AK210" i="49"/>
  <c r="AR205" i="49"/>
  <c r="AB205" i="49"/>
  <c r="I13" i="70"/>
  <c r="J28" i="70" l="1"/>
  <c r="K28" i="70"/>
  <c r="K30" i="57"/>
  <c r="G30" i="57"/>
  <c r="K25" i="57"/>
  <c r="G25" i="57"/>
  <c r="P65" i="57"/>
  <c r="P58" i="57"/>
  <c r="P45" i="57"/>
  <c r="BD39" i="57"/>
  <c r="BC39" i="57"/>
  <c r="BD38" i="57"/>
  <c r="BC38" i="57"/>
  <c r="Y204" i="49"/>
  <c r="I26" i="57"/>
  <c r="AS35" i="57" s="1"/>
  <c r="Y214" i="49"/>
  <c r="I29" i="57"/>
  <c r="AS36" i="57" s="1"/>
  <c r="AU36" i="57" s="1"/>
  <c r="K25" i="70"/>
  <c r="Y218" i="49"/>
  <c r="I31" i="57"/>
  <c r="AS37" i="57" s="1"/>
  <c r="AU37" i="57" s="1"/>
  <c r="Y200" i="49"/>
  <c r="I24" i="57"/>
  <c r="AS34" i="57" s="1"/>
  <c r="AN211" i="49"/>
  <c r="AO211" i="49" s="1"/>
  <c r="BD211" i="49"/>
  <c r="BF211" i="49" s="1"/>
  <c r="AF211" i="49"/>
  <c r="AG211" i="49" s="1"/>
  <c r="AJ207" i="49"/>
  <c r="AK207" i="49" s="1"/>
  <c r="X207" i="49"/>
  <c r="AV211" i="49"/>
  <c r="AW211" i="49" s="1"/>
  <c r="AR211" i="49"/>
  <c r="AS211" i="49" s="1"/>
  <c r="AB211" i="49"/>
  <c r="AC211" i="49" s="1"/>
  <c r="L28" i="57" s="1"/>
  <c r="X211" i="49"/>
  <c r="BD207" i="49"/>
  <c r="BF207" i="49" s="1"/>
  <c r="AO205" i="49"/>
  <c r="AN207" i="49"/>
  <c r="AO207" i="49" s="1"/>
  <c r="AF207" i="49"/>
  <c r="AG207" i="49" s="1"/>
  <c r="AS205" i="49"/>
  <c r="AR207" i="49"/>
  <c r="AS207" i="49" s="1"/>
  <c r="AC205" i="49"/>
  <c r="AB207" i="49"/>
  <c r="AC207" i="49" s="1"/>
  <c r="L27" i="57" s="1"/>
  <c r="I12" i="70"/>
  <c r="I11" i="70"/>
  <c r="I3" i="70"/>
  <c r="I2" i="70"/>
  <c r="K26" i="57" l="1"/>
  <c r="G26" i="57"/>
  <c r="K24" i="57"/>
  <c r="G24" i="57"/>
  <c r="K31" i="57"/>
  <c r="G31" i="57"/>
  <c r="K29" i="57"/>
  <c r="G29" i="57"/>
  <c r="BD37" i="57"/>
  <c r="BC37" i="57"/>
  <c r="Y211" i="49"/>
  <c r="I28" i="57"/>
  <c r="BC36" i="57"/>
  <c r="BD36" i="57"/>
  <c r="AU35" i="57"/>
  <c r="AS29" i="57"/>
  <c r="AY40" i="57"/>
  <c r="Y207" i="49"/>
  <c r="G27" i="57" s="1"/>
  <c r="I27" i="57"/>
  <c r="AS40" i="57"/>
  <c r="AS42" i="57" s="1"/>
  <c r="AU34" i="57"/>
  <c r="BO87" i="49"/>
  <c r="E16" i="70" s="1"/>
  <c r="BL87" i="49"/>
  <c r="E15" i="70" s="1"/>
  <c r="BI87" i="49"/>
  <c r="BD87" i="49"/>
  <c r="BF87" i="49" s="1"/>
  <c r="AZ87" i="49"/>
  <c r="BA87" i="49" s="1"/>
  <c r="AV87" i="49"/>
  <c r="AR87" i="49"/>
  <c r="E20" i="70" s="1"/>
  <c r="AN87" i="49"/>
  <c r="E19" i="70" s="1"/>
  <c r="AJ87" i="49"/>
  <c r="AK87" i="49" s="1"/>
  <c r="AF87" i="49"/>
  <c r="AG87" i="49" s="1"/>
  <c r="AB87" i="49"/>
  <c r="AC87" i="49" s="1"/>
  <c r="X87" i="49"/>
  <c r="Y87" i="49" s="1"/>
  <c r="S87" i="49"/>
  <c r="BO174" i="49"/>
  <c r="I16" i="70" s="1"/>
  <c r="I25" i="70" s="1"/>
  <c r="BL174" i="49"/>
  <c r="BI174" i="49"/>
  <c r="BD174" i="49"/>
  <c r="AZ174" i="49"/>
  <c r="AV174" i="49"/>
  <c r="AR174" i="49"/>
  <c r="AN174" i="49"/>
  <c r="AJ174" i="49"/>
  <c r="AF174" i="49"/>
  <c r="AB174" i="49"/>
  <c r="AC174" i="49" s="1"/>
  <c r="X174" i="49"/>
  <c r="S174" i="49"/>
  <c r="BO150" i="49"/>
  <c r="H16" i="70" s="1"/>
  <c r="BL150" i="49"/>
  <c r="H15" i="70" s="1"/>
  <c r="BI150" i="49"/>
  <c r="BD150" i="49"/>
  <c r="BF150" i="49" s="1"/>
  <c r="AZ150" i="49"/>
  <c r="BA150" i="49" s="1"/>
  <c r="AV150" i="49"/>
  <c r="AR150" i="49"/>
  <c r="AS150" i="49" s="1"/>
  <c r="AN150" i="49"/>
  <c r="H19" i="70" s="1"/>
  <c r="AJ150" i="49"/>
  <c r="AK150" i="49" s="1"/>
  <c r="AF150" i="49"/>
  <c r="AG150" i="49" s="1"/>
  <c r="AB150" i="49"/>
  <c r="AC150" i="49" s="1"/>
  <c r="X150" i="49"/>
  <c r="Y150" i="49" s="1"/>
  <c r="G13" i="70"/>
  <c r="F13" i="70"/>
  <c r="E13" i="70"/>
  <c r="D13" i="70"/>
  <c r="C13" i="70"/>
  <c r="H12" i="70"/>
  <c r="H11" i="70"/>
  <c r="H3" i="70"/>
  <c r="H2" i="70"/>
  <c r="G12" i="70"/>
  <c r="G11" i="70"/>
  <c r="G3" i="70"/>
  <c r="G2" i="70"/>
  <c r="F12" i="70"/>
  <c r="F11" i="70"/>
  <c r="F3" i="70"/>
  <c r="F2" i="70"/>
  <c r="E2" i="70"/>
  <c r="E3" i="70"/>
  <c r="E12" i="70"/>
  <c r="E11" i="70"/>
  <c r="D2" i="70"/>
  <c r="D3" i="70"/>
  <c r="D12" i="70"/>
  <c r="D11" i="70"/>
  <c r="C12" i="70"/>
  <c r="C11" i="70"/>
  <c r="C3" i="70"/>
  <c r="C2" i="70"/>
  <c r="B12" i="70"/>
  <c r="B11" i="70"/>
  <c r="B3" i="70"/>
  <c r="B2" i="70"/>
  <c r="H27" i="70" l="1"/>
  <c r="K28" i="57"/>
  <c r="G28" i="57"/>
  <c r="BD42" i="57"/>
  <c r="BC42" i="57"/>
  <c r="AU40" i="57"/>
  <c r="K27" i="57"/>
  <c r="BC35" i="57"/>
  <c r="BD35" i="57"/>
  <c r="I15" i="70"/>
  <c r="I26" i="70" s="1"/>
  <c r="O10" i="57"/>
  <c r="BD34" i="57"/>
  <c r="BC34" i="57"/>
  <c r="AW87" i="49"/>
  <c r="E22" i="70"/>
  <c r="AW174" i="49"/>
  <c r="I22" i="70"/>
  <c r="AW150" i="49"/>
  <c r="H22" i="70"/>
  <c r="E25" i="70"/>
  <c r="BF174" i="49"/>
  <c r="I23" i="70"/>
  <c r="BA174" i="49"/>
  <c r="I21" i="70"/>
  <c r="AS174" i="49"/>
  <c r="I20" i="70"/>
  <c r="AO174" i="49"/>
  <c r="I19" i="70"/>
  <c r="I27" i="70" s="1"/>
  <c r="G34" i="70" s="1"/>
  <c r="AK174" i="49"/>
  <c r="I18" i="70"/>
  <c r="AG174" i="49"/>
  <c r="I17" i="70"/>
  <c r="Y174" i="49"/>
  <c r="I14" i="70"/>
  <c r="H17" i="70"/>
  <c r="E23" i="70"/>
  <c r="E21" i="70"/>
  <c r="E27" i="70"/>
  <c r="E26" i="70"/>
  <c r="AO87" i="49"/>
  <c r="E18" i="70"/>
  <c r="E14" i="70"/>
  <c r="E28" i="70" s="1"/>
  <c r="AS87" i="49"/>
  <c r="E17" i="70"/>
  <c r="H26" i="70"/>
  <c r="H23" i="70"/>
  <c r="H21" i="70"/>
  <c r="H20" i="70"/>
  <c r="AO150" i="49"/>
  <c r="H14" i="70"/>
  <c r="H28" i="70" s="1"/>
  <c r="H18" i="70"/>
  <c r="E11" i="57"/>
  <c r="E58" i="57"/>
  <c r="E18" i="57"/>
  <c r="I28" i="70" l="1"/>
  <c r="BO173" i="49"/>
  <c r="BL173" i="49"/>
  <c r="BI173" i="49"/>
  <c r="BD173" i="49"/>
  <c r="BF173" i="49" s="1"/>
  <c r="AZ173" i="49"/>
  <c r="BA173" i="49" s="1"/>
  <c r="AV173" i="49"/>
  <c r="AW173" i="49" s="1"/>
  <c r="AR173" i="49"/>
  <c r="AS173" i="49" s="1"/>
  <c r="AN173" i="49"/>
  <c r="AO173" i="49" s="1"/>
  <c r="AJ173" i="49"/>
  <c r="AK173" i="49" s="1"/>
  <c r="AF173" i="49"/>
  <c r="AG173" i="49" s="1"/>
  <c r="AB173" i="49"/>
  <c r="AC173" i="49" s="1"/>
  <c r="X173" i="49"/>
  <c r="Y173" i="49" s="1"/>
  <c r="BE172" i="49"/>
  <c r="BC172" i="49"/>
  <c r="BB172" i="49"/>
  <c r="AY172" i="49"/>
  <c r="AX172" i="49"/>
  <c r="AU172" i="49"/>
  <c r="AT172" i="49"/>
  <c r="AQ172" i="49"/>
  <c r="AP172" i="49"/>
  <c r="AM172" i="49"/>
  <c r="AL172" i="49"/>
  <c r="AI172" i="49"/>
  <c r="AH172" i="49"/>
  <c r="AE172" i="49"/>
  <c r="AD172" i="49"/>
  <c r="AA172" i="49"/>
  <c r="Z172" i="49"/>
  <c r="W172" i="49"/>
  <c r="V172" i="49"/>
  <c r="U172" i="49"/>
  <c r="T172" i="49"/>
  <c r="R172" i="49"/>
  <c r="M172" i="49"/>
  <c r="L172" i="49"/>
  <c r="K172" i="49"/>
  <c r="J172" i="49"/>
  <c r="BO171" i="49"/>
  <c r="BL171" i="49"/>
  <c r="BI171" i="49"/>
  <c r="BD171" i="49"/>
  <c r="BF171" i="49" s="1"/>
  <c r="AZ171" i="49"/>
  <c r="BA171" i="49" s="1"/>
  <c r="AV171" i="49"/>
  <c r="AW171" i="49" s="1"/>
  <c r="AR171" i="49"/>
  <c r="AS171" i="49" s="1"/>
  <c r="AN171" i="49"/>
  <c r="AO171" i="49" s="1"/>
  <c r="AJ171" i="49"/>
  <c r="AK171" i="49" s="1"/>
  <c r="AF171" i="49"/>
  <c r="AG171" i="49" s="1"/>
  <c r="AB171" i="49"/>
  <c r="AC171" i="49" s="1"/>
  <c r="X171" i="49"/>
  <c r="Y171" i="49" s="1"/>
  <c r="BO170" i="49"/>
  <c r="BL170" i="49"/>
  <c r="BI170" i="49"/>
  <c r="BD170" i="49"/>
  <c r="BF170" i="49" s="1"/>
  <c r="AZ170" i="49"/>
  <c r="BA170" i="49" s="1"/>
  <c r="AV170" i="49"/>
  <c r="AW170" i="49" s="1"/>
  <c r="AR170" i="49"/>
  <c r="AS170" i="49" s="1"/>
  <c r="AN170" i="49"/>
  <c r="AO170" i="49" s="1"/>
  <c r="AJ170" i="49"/>
  <c r="AK170" i="49" s="1"/>
  <c r="AF170" i="49"/>
  <c r="AG170" i="49" s="1"/>
  <c r="AB170" i="49"/>
  <c r="AC170" i="49" s="1"/>
  <c r="X170" i="49"/>
  <c r="Y170" i="49" s="1"/>
  <c r="BO169" i="49"/>
  <c r="BL169" i="49"/>
  <c r="BI169" i="49"/>
  <c r="BD169" i="49"/>
  <c r="BF169" i="49" s="1"/>
  <c r="AZ169" i="49"/>
  <c r="BA169" i="49" s="1"/>
  <c r="AV169" i="49"/>
  <c r="AW169" i="49" s="1"/>
  <c r="AR169" i="49"/>
  <c r="AS169" i="49" s="1"/>
  <c r="AN169" i="49"/>
  <c r="AO169" i="49" s="1"/>
  <c r="AJ169" i="49"/>
  <c r="AK169" i="49" s="1"/>
  <c r="AF169" i="49"/>
  <c r="AG169" i="49" s="1"/>
  <c r="AB169" i="49"/>
  <c r="AC169" i="49" s="1"/>
  <c r="X169" i="49"/>
  <c r="Y169" i="49" s="1"/>
  <c r="BE168" i="49"/>
  <c r="BC168" i="49"/>
  <c r="BB168" i="49"/>
  <c r="AY168" i="49"/>
  <c r="AX168" i="49"/>
  <c r="AU168" i="49"/>
  <c r="AT168" i="49"/>
  <c r="AQ168" i="49"/>
  <c r="AP168" i="49"/>
  <c r="AM168" i="49"/>
  <c r="AL168" i="49"/>
  <c r="AI168" i="49"/>
  <c r="AH168" i="49"/>
  <c r="AE168" i="49"/>
  <c r="AD168" i="49"/>
  <c r="AA168" i="49"/>
  <c r="Z168" i="49"/>
  <c r="W168" i="49"/>
  <c r="V168" i="49"/>
  <c r="U168" i="49"/>
  <c r="T168" i="49"/>
  <c r="R168" i="49"/>
  <c r="M168" i="49"/>
  <c r="L168" i="49"/>
  <c r="K168" i="49"/>
  <c r="J168" i="49"/>
  <c r="BO167" i="49"/>
  <c r="BL167" i="49"/>
  <c r="BI167" i="49"/>
  <c r="BD167" i="49"/>
  <c r="BF167" i="49" s="1"/>
  <c r="AZ167" i="49"/>
  <c r="BA167" i="49" s="1"/>
  <c r="AV167" i="49"/>
  <c r="AW167" i="49" s="1"/>
  <c r="AR167" i="49"/>
  <c r="AS167" i="49" s="1"/>
  <c r="AN167" i="49"/>
  <c r="AO167" i="49" s="1"/>
  <c r="AJ167" i="49"/>
  <c r="AK167" i="49" s="1"/>
  <c r="AF167" i="49"/>
  <c r="AG167" i="49" s="1"/>
  <c r="AB167" i="49"/>
  <c r="AC167" i="49" s="1"/>
  <c r="X167" i="49"/>
  <c r="Y167" i="49" s="1"/>
  <c r="BO166" i="49"/>
  <c r="BL166" i="49"/>
  <c r="BI166" i="49"/>
  <c r="BD166" i="49"/>
  <c r="BF166" i="49" s="1"/>
  <c r="AZ166" i="49"/>
  <c r="BA166" i="49" s="1"/>
  <c r="AV166" i="49"/>
  <c r="AW166" i="49" s="1"/>
  <c r="AR166" i="49"/>
  <c r="AS166" i="49" s="1"/>
  <c r="AN166" i="49"/>
  <c r="AO166" i="49" s="1"/>
  <c r="AJ166" i="49"/>
  <c r="AK166" i="49" s="1"/>
  <c r="AF166" i="49"/>
  <c r="AB166" i="49"/>
  <c r="AC166" i="49" s="1"/>
  <c r="X166" i="49"/>
  <c r="Y166" i="49" s="1"/>
  <c r="BE165" i="49"/>
  <c r="BC165" i="49"/>
  <c r="BB165" i="49"/>
  <c r="AY165" i="49"/>
  <c r="AX165" i="49"/>
  <c r="AU165" i="49"/>
  <c r="AT165" i="49"/>
  <c r="AQ165" i="49"/>
  <c r="AP165" i="49"/>
  <c r="AM165" i="49"/>
  <c r="AL165" i="49"/>
  <c r="AI165" i="49"/>
  <c r="AH165" i="49"/>
  <c r="AE165" i="49"/>
  <c r="AD165" i="49"/>
  <c r="AA165" i="49"/>
  <c r="Z165" i="49"/>
  <c r="W165" i="49"/>
  <c r="V165" i="49"/>
  <c r="U165" i="49"/>
  <c r="T165" i="49"/>
  <c r="R165" i="49"/>
  <c r="M165" i="49"/>
  <c r="L165" i="49"/>
  <c r="K165" i="49"/>
  <c r="J165" i="49"/>
  <c r="BO164" i="49"/>
  <c r="BO163" i="49" s="1"/>
  <c r="BO165" i="49" s="1"/>
  <c r="BL164" i="49"/>
  <c r="BL163" i="49" s="1"/>
  <c r="BL165" i="49" s="1"/>
  <c r="BI164" i="49"/>
  <c r="BI163" i="49" s="1"/>
  <c r="BI165" i="49" s="1"/>
  <c r="BD164" i="49"/>
  <c r="BF164" i="49" s="1"/>
  <c r="AZ164" i="49"/>
  <c r="AZ163" i="49" s="1"/>
  <c r="BA163" i="49" s="1"/>
  <c r="AV164" i="49"/>
  <c r="AV163" i="49" s="1"/>
  <c r="AW163" i="49" s="1"/>
  <c r="AR164" i="49"/>
  <c r="AS164" i="49" s="1"/>
  <c r="AN164" i="49"/>
  <c r="AN163" i="49" s="1"/>
  <c r="AO163" i="49" s="1"/>
  <c r="AJ164" i="49"/>
  <c r="AJ163" i="49" s="1"/>
  <c r="AK163" i="49" s="1"/>
  <c r="AF164" i="49"/>
  <c r="AG164" i="49" s="1"/>
  <c r="AB164" i="49"/>
  <c r="AC164" i="49" s="1"/>
  <c r="X164" i="49"/>
  <c r="X163" i="49" s="1"/>
  <c r="Y163" i="49" s="1"/>
  <c r="BO162" i="49"/>
  <c r="BL162" i="49"/>
  <c r="BI162" i="49"/>
  <c r="BD162" i="49"/>
  <c r="BF162" i="49" s="1"/>
  <c r="AZ162" i="49"/>
  <c r="BA162" i="49" s="1"/>
  <c r="AV162" i="49"/>
  <c r="AW162" i="49" s="1"/>
  <c r="AR162" i="49"/>
  <c r="AS162" i="49" s="1"/>
  <c r="AN162" i="49"/>
  <c r="AO162" i="49" s="1"/>
  <c r="AJ162" i="49"/>
  <c r="AK162" i="49" s="1"/>
  <c r="AF162" i="49"/>
  <c r="AG162" i="49" s="1"/>
  <c r="AB162" i="49"/>
  <c r="AC162" i="49" s="1"/>
  <c r="X162" i="49"/>
  <c r="Y162" i="49" s="1"/>
  <c r="BE161" i="49"/>
  <c r="BC161" i="49"/>
  <c r="BB161" i="49"/>
  <c r="AY161" i="49"/>
  <c r="AX161" i="49"/>
  <c r="AU161" i="49"/>
  <c r="AT161" i="49"/>
  <c r="AQ161" i="49"/>
  <c r="AP161" i="49"/>
  <c r="AM161" i="49"/>
  <c r="AL161" i="49"/>
  <c r="AI161" i="49"/>
  <c r="AH161" i="49"/>
  <c r="AE161" i="49"/>
  <c r="AD161" i="49"/>
  <c r="AA161" i="49"/>
  <c r="Z161" i="49"/>
  <c r="W161" i="49"/>
  <c r="H13" i="57" s="1"/>
  <c r="V161" i="49"/>
  <c r="U161" i="49"/>
  <c r="T161" i="49"/>
  <c r="R161" i="49"/>
  <c r="M161" i="49"/>
  <c r="L161" i="49"/>
  <c r="K161" i="49"/>
  <c r="J161" i="49"/>
  <c r="BO160" i="49"/>
  <c r="BO159" i="49" s="1"/>
  <c r="BO161" i="49" s="1"/>
  <c r="BL160" i="49"/>
  <c r="BL159" i="49" s="1"/>
  <c r="BL161" i="49" s="1"/>
  <c r="BI160" i="49"/>
  <c r="BI159" i="49" s="1"/>
  <c r="BI161" i="49" s="1"/>
  <c r="BD160" i="49"/>
  <c r="BF160" i="49" s="1"/>
  <c r="AZ160" i="49"/>
  <c r="AZ159" i="49" s="1"/>
  <c r="BA159" i="49" s="1"/>
  <c r="AV160" i="49"/>
  <c r="AV159" i="49" s="1"/>
  <c r="AW159" i="49" s="1"/>
  <c r="AR160" i="49"/>
  <c r="AS160" i="49" s="1"/>
  <c r="AN160" i="49"/>
  <c r="AO160" i="49" s="1"/>
  <c r="AJ160" i="49"/>
  <c r="AJ159" i="49" s="1"/>
  <c r="AK159" i="49" s="1"/>
  <c r="AF160" i="49"/>
  <c r="AF159" i="49" s="1"/>
  <c r="AG159" i="49" s="1"/>
  <c r="AB160" i="49"/>
  <c r="AC160" i="49" s="1"/>
  <c r="X160" i="49"/>
  <c r="Y160" i="49" s="1"/>
  <c r="BE158" i="49"/>
  <c r="BC158" i="49"/>
  <c r="BB158" i="49"/>
  <c r="AY158" i="49"/>
  <c r="AX158" i="49"/>
  <c r="AU158" i="49"/>
  <c r="AT158" i="49"/>
  <c r="AQ158" i="49"/>
  <c r="AP158" i="49"/>
  <c r="AM158" i="49"/>
  <c r="AL158" i="49"/>
  <c r="AI158" i="49"/>
  <c r="AH158" i="49"/>
  <c r="AE158" i="49"/>
  <c r="AD158" i="49"/>
  <c r="AA158" i="49"/>
  <c r="Z158" i="49"/>
  <c r="W158" i="49"/>
  <c r="V158" i="49"/>
  <c r="U158" i="49"/>
  <c r="T158" i="49"/>
  <c r="R158" i="49"/>
  <c r="M158" i="49"/>
  <c r="L158" i="49"/>
  <c r="K158" i="49"/>
  <c r="J158" i="49"/>
  <c r="BO157" i="49"/>
  <c r="BL157" i="49"/>
  <c r="BI157" i="49"/>
  <c r="BD157" i="49"/>
  <c r="BF157" i="49" s="1"/>
  <c r="AZ157" i="49"/>
  <c r="BA157" i="49" s="1"/>
  <c r="AV157" i="49"/>
  <c r="AW157" i="49" s="1"/>
  <c r="AR157" i="49"/>
  <c r="AS157" i="49" s="1"/>
  <c r="AN157" i="49"/>
  <c r="AO157" i="49" s="1"/>
  <c r="AJ157" i="49"/>
  <c r="AK157" i="49" s="1"/>
  <c r="AF157" i="49"/>
  <c r="AG157" i="49" s="1"/>
  <c r="AB157" i="49"/>
  <c r="AC157" i="49" s="1"/>
  <c r="X157" i="49"/>
  <c r="Y157" i="49" s="1"/>
  <c r="BO156" i="49"/>
  <c r="BL156" i="49"/>
  <c r="BI156" i="49"/>
  <c r="BD156" i="49"/>
  <c r="BF156" i="49" s="1"/>
  <c r="AZ156" i="49"/>
  <c r="BA156" i="49" s="1"/>
  <c r="AV156" i="49"/>
  <c r="AW156" i="49" s="1"/>
  <c r="AR156" i="49"/>
  <c r="AS156" i="49" s="1"/>
  <c r="AN156" i="49"/>
  <c r="AO156" i="49" s="1"/>
  <c r="AJ156" i="49"/>
  <c r="AK156" i="49" s="1"/>
  <c r="AF156" i="49"/>
  <c r="AB156" i="49"/>
  <c r="AC156" i="49" s="1"/>
  <c r="X156" i="49"/>
  <c r="Y156" i="49" s="1"/>
  <c r="BO155" i="49"/>
  <c r="BL155" i="49"/>
  <c r="BI155" i="49"/>
  <c r="BD155" i="49"/>
  <c r="BF155" i="49" s="1"/>
  <c r="AZ155" i="49"/>
  <c r="BA155" i="49" s="1"/>
  <c r="AV155" i="49"/>
  <c r="AW155" i="49" s="1"/>
  <c r="AR155" i="49"/>
  <c r="AS155" i="49" s="1"/>
  <c r="AN155" i="49"/>
  <c r="AO155" i="49" s="1"/>
  <c r="AJ155" i="49"/>
  <c r="AK155" i="49" s="1"/>
  <c r="AF155" i="49"/>
  <c r="AG155" i="49" s="1"/>
  <c r="AB155" i="49"/>
  <c r="AC155" i="49" s="1"/>
  <c r="L11" i="57" s="1"/>
  <c r="X155" i="49"/>
  <c r="BE154" i="49"/>
  <c r="BC154" i="49"/>
  <c r="BB154" i="49"/>
  <c r="AY154" i="49"/>
  <c r="AX154" i="49"/>
  <c r="AU154" i="49"/>
  <c r="AT154" i="49"/>
  <c r="AQ154" i="49"/>
  <c r="AP154" i="49"/>
  <c r="AM154" i="49"/>
  <c r="AL154" i="49"/>
  <c r="AI154" i="49"/>
  <c r="AH154" i="49"/>
  <c r="AE154" i="49"/>
  <c r="AD154" i="49"/>
  <c r="AA154" i="49"/>
  <c r="Z154" i="49"/>
  <c r="W154" i="49"/>
  <c r="V154" i="49"/>
  <c r="U154" i="49"/>
  <c r="T154" i="49"/>
  <c r="R154" i="49"/>
  <c r="J10" i="57" s="1"/>
  <c r="M154" i="49"/>
  <c r="L154" i="49"/>
  <c r="K154" i="49"/>
  <c r="J154" i="49"/>
  <c r="BO153" i="49"/>
  <c r="BL153" i="49"/>
  <c r="BI153" i="49"/>
  <c r="BD153" i="49"/>
  <c r="BF153" i="49" s="1"/>
  <c r="AZ153" i="49"/>
  <c r="BA153" i="49" s="1"/>
  <c r="AV153" i="49"/>
  <c r="AW153" i="49" s="1"/>
  <c r="AR153" i="49"/>
  <c r="AS153" i="49" s="1"/>
  <c r="AN153" i="49"/>
  <c r="AO153" i="49" s="1"/>
  <c r="AJ153" i="49"/>
  <c r="AK153" i="49" s="1"/>
  <c r="AF153" i="49"/>
  <c r="AG153" i="49" s="1"/>
  <c r="AB153" i="49"/>
  <c r="AC153" i="49" s="1"/>
  <c r="X153" i="49"/>
  <c r="Y153" i="49" s="1"/>
  <c r="BO152" i="49"/>
  <c r="BL152" i="49"/>
  <c r="BI152" i="49"/>
  <c r="BD152" i="49"/>
  <c r="BF152" i="49" s="1"/>
  <c r="AZ152" i="49"/>
  <c r="BA152" i="49" s="1"/>
  <c r="AV152" i="49"/>
  <c r="AR152" i="49"/>
  <c r="AS152" i="49" s="1"/>
  <c r="AN152" i="49"/>
  <c r="AO152" i="49" s="1"/>
  <c r="AJ152" i="49"/>
  <c r="AK152" i="49" s="1"/>
  <c r="AF152" i="49"/>
  <c r="AB152" i="49"/>
  <c r="AC152" i="49" s="1"/>
  <c r="X152" i="49"/>
  <c r="Y152" i="49" s="1"/>
  <c r="S152" i="49"/>
  <c r="BE149" i="49"/>
  <c r="BC149" i="49"/>
  <c r="BB149" i="49"/>
  <c r="AY149" i="49"/>
  <c r="AX149" i="49"/>
  <c r="AU149" i="49"/>
  <c r="AT149" i="49"/>
  <c r="AQ149" i="49"/>
  <c r="AP149" i="49"/>
  <c r="AM149" i="49"/>
  <c r="AL149" i="49"/>
  <c r="AI149" i="49"/>
  <c r="AH149" i="49"/>
  <c r="AE149" i="49"/>
  <c r="AD149" i="49"/>
  <c r="AA149" i="49"/>
  <c r="Z149" i="49"/>
  <c r="W149" i="49"/>
  <c r="V149" i="49"/>
  <c r="U149" i="49"/>
  <c r="T149" i="49"/>
  <c r="R149" i="49"/>
  <c r="M149" i="49"/>
  <c r="L149" i="49"/>
  <c r="K149" i="49"/>
  <c r="J149" i="49"/>
  <c r="BO148" i="49"/>
  <c r="BO147" i="49" s="1"/>
  <c r="BO149" i="49" s="1"/>
  <c r="BL148" i="49"/>
  <c r="BL147" i="49" s="1"/>
  <c r="BL149" i="49" s="1"/>
  <c r="BI148" i="49"/>
  <c r="BI147" i="49" s="1"/>
  <c r="BI149" i="49" s="1"/>
  <c r="BD148" i="49"/>
  <c r="BD147" i="49" s="1"/>
  <c r="BF147" i="49" s="1"/>
  <c r="AZ148" i="49"/>
  <c r="AZ147" i="49" s="1"/>
  <c r="BA147" i="49" s="1"/>
  <c r="AV148" i="49"/>
  <c r="AV147" i="49" s="1"/>
  <c r="AV149" i="49" s="1"/>
  <c r="AR148" i="49"/>
  <c r="AS148" i="49" s="1"/>
  <c r="AN148" i="49"/>
  <c r="AO148" i="49" s="1"/>
  <c r="AJ148" i="49"/>
  <c r="AK148" i="49" s="1"/>
  <c r="AF148" i="49"/>
  <c r="AF147" i="49" s="1"/>
  <c r="AF149" i="49" s="1"/>
  <c r="AB148" i="49"/>
  <c r="AC148" i="49" s="1"/>
  <c r="X148" i="49"/>
  <c r="Y148" i="49" s="1"/>
  <c r="S148" i="49"/>
  <c r="S149" i="49" s="1"/>
  <c r="BE146" i="49"/>
  <c r="BC146" i="49"/>
  <c r="BB146" i="49"/>
  <c r="AY146" i="49"/>
  <c r="AX146" i="49"/>
  <c r="AU146" i="49"/>
  <c r="AT146" i="49"/>
  <c r="AQ146" i="49"/>
  <c r="AP146" i="49"/>
  <c r="AM146" i="49"/>
  <c r="AL146" i="49"/>
  <c r="AI146" i="49"/>
  <c r="AH146" i="49"/>
  <c r="AE146" i="49"/>
  <c r="AD146" i="49"/>
  <c r="AA146" i="49"/>
  <c r="Z146" i="49"/>
  <c r="W146" i="49"/>
  <c r="V146" i="49"/>
  <c r="U146" i="49"/>
  <c r="T146" i="49"/>
  <c r="R146" i="49"/>
  <c r="M146" i="49"/>
  <c r="L146" i="49"/>
  <c r="K146" i="49"/>
  <c r="J146" i="49"/>
  <c r="BO145" i="49"/>
  <c r="BL145" i="49"/>
  <c r="BI145" i="49"/>
  <c r="BD145" i="49"/>
  <c r="BF145" i="49" s="1"/>
  <c r="AZ145" i="49"/>
  <c r="BA145" i="49" s="1"/>
  <c r="AV145" i="49"/>
  <c r="AW145" i="49" s="1"/>
  <c r="AR145" i="49"/>
  <c r="AS145" i="49" s="1"/>
  <c r="AN145" i="49"/>
  <c r="AO145" i="49" s="1"/>
  <c r="AJ145" i="49"/>
  <c r="AK145" i="49" s="1"/>
  <c r="AF145" i="49"/>
  <c r="AG145" i="49" s="1"/>
  <c r="AB145" i="49"/>
  <c r="AC145" i="49" s="1"/>
  <c r="X145" i="49"/>
  <c r="Y145" i="49" s="1"/>
  <c r="S145" i="49"/>
  <c r="S146" i="49" s="1"/>
  <c r="BO144" i="49"/>
  <c r="BL144" i="49"/>
  <c r="BI144" i="49"/>
  <c r="BD144" i="49"/>
  <c r="AZ144" i="49"/>
  <c r="BA144" i="49" s="1"/>
  <c r="AV144" i="49"/>
  <c r="AR144" i="49"/>
  <c r="AS144" i="49" s="1"/>
  <c r="AN144" i="49"/>
  <c r="AO144" i="49" s="1"/>
  <c r="AJ144" i="49"/>
  <c r="AK144" i="49" s="1"/>
  <c r="AF144" i="49"/>
  <c r="AG144" i="49" s="1"/>
  <c r="AB144" i="49"/>
  <c r="AC144" i="49" s="1"/>
  <c r="X144" i="49"/>
  <c r="Y144" i="49" s="1"/>
  <c r="S144" i="49"/>
  <c r="BO143" i="49"/>
  <c r="BL143" i="49"/>
  <c r="BI143" i="49"/>
  <c r="BD143" i="49"/>
  <c r="BF143" i="49" s="1"/>
  <c r="AZ143" i="49"/>
  <c r="BA143" i="49" s="1"/>
  <c r="AV143" i="49"/>
  <c r="AW143" i="49" s="1"/>
  <c r="AR143" i="49"/>
  <c r="AS143" i="49" s="1"/>
  <c r="AN143" i="49"/>
  <c r="AO143" i="49" s="1"/>
  <c r="AJ143" i="49"/>
  <c r="AK143" i="49" s="1"/>
  <c r="AF143" i="49"/>
  <c r="AG143" i="49" s="1"/>
  <c r="AB143" i="49"/>
  <c r="AC143" i="49" s="1"/>
  <c r="L58" i="57" s="1"/>
  <c r="X143" i="49"/>
  <c r="BE142" i="49"/>
  <c r="BC142" i="49"/>
  <c r="BB142" i="49"/>
  <c r="AY142" i="49"/>
  <c r="AX142" i="49"/>
  <c r="AU142" i="49"/>
  <c r="AT142" i="49"/>
  <c r="AQ142" i="49"/>
  <c r="AP142" i="49"/>
  <c r="AM142" i="49"/>
  <c r="AL142" i="49"/>
  <c r="AI142" i="49"/>
  <c r="AH142" i="49"/>
  <c r="AE142" i="49"/>
  <c r="AD142" i="49"/>
  <c r="AA142" i="49"/>
  <c r="Z142" i="49"/>
  <c r="W142" i="49"/>
  <c r="V142" i="49"/>
  <c r="U142" i="49"/>
  <c r="T142" i="49"/>
  <c r="R142" i="49"/>
  <c r="M142" i="49"/>
  <c r="L142" i="49"/>
  <c r="K142" i="49"/>
  <c r="J142" i="49"/>
  <c r="BO141" i="49"/>
  <c r="BL141" i="49"/>
  <c r="BI141" i="49"/>
  <c r="BD141" i="49"/>
  <c r="BF141" i="49" s="1"/>
  <c r="AZ141" i="49"/>
  <c r="BA141" i="49" s="1"/>
  <c r="AV141" i="49"/>
  <c r="AW141" i="49" s="1"/>
  <c r="AR141" i="49"/>
  <c r="AS141" i="49" s="1"/>
  <c r="AN141" i="49"/>
  <c r="AO141" i="49" s="1"/>
  <c r="AJ141" i="49"/>
  <c r="AK141" i="49" s="1"/>
  <c r="AF141" i="49"/>
  <c r="AG141" i="49" s="1"/>
  <c r="AB141" i="49"/>
  <c r="AC141" i="49" s="1"/>
  <c r="X141" i="49"/>
  <c r="Y141" i="49" s="1"/>
  <c r="S141" i="49"/>
  <c r="S142" i="49" s="1"/>
  <c r="BO140" i="49"/>
  <c r="BL140" i="49"/>
  <c r="BI140" i="49"/>
  <c r="BD140" i="49"/>
  <c r="BF140" i="49" s="1"/>
  <c r="AZ140" i="49"/>
  <c r="BA140" i="49" s="1"/>
  <c r="AV140" i="49"/>
  <c r="AW140" i="49" s="1"/>
  <c r="AR140" i="49"/>
  <c r="AS140" i="49" s="1"/>
  <c r="AN140" i="49"/>
  <c r="AO140" i="49" s="1"/>
  <c r="AJ140" i="49"/>
  <c r="AK140" i="49" s="1"/>
  <c r="AF140" i="49"/>
  <c r="AG140" i="49" s="1"/>
  <c r="AB140" i="49"/>
  <c r="X140" i="49"/>
  <c r="Y140" i="49" s="1"/>
  <c r="S140" i="49"/>
  <c r="BO139" i="49"/>
  <c r="BL139" i="49"/>
  <c r="BI139" i="49"/>
  <c r="BD139" i="49"/>
  <c r="BF139" i="49" s="1"/>
  <c r="AZ139" i="49"/>
  <c r="BA139" i="49" s="1"/>
  <c r="AV139" i="49"/>
  <c r="AW139" i="49" s="1"/>
  <c r="AR139" i="49"/>
  <c r="AS139" i="49" s="1"/>
  <c r="AN139" i="49"/>
  <c r="AO139" i="49" s="1"/>
  <c r="AJ139" i="49"/>
  <c r="AK139" i="49" s="1"/>
  <c r="AF139" i="49"/>
  <c r="AG139" i="49" s="1"/>
  <c r="AB139" i="49"/>
  <c r="AC139" i="49" s="1"/>
  <c r="X139" i="49"/>
  <c r="Y139" i="49" s="1"/>
  <c r="S139" i="49"/>
  <c r="BO137" i="49"/>
  <c r="G16" i="70" s="1"/>
  <c r="G25" i="70" s="1"/>
  <c r="BL137" i="49"/>
  <c r="BI137" i="49"/>
  <c r="BD137" i="49"/>
  <c r="AZ137" i="49"/>
  <c r="AV137" i="49"/>
  <c r="AR137" i="49"/>
  <c r="AN137" i="49"/>
  <c r="AJ137" i="49"/>
  <c r="AF137" i="49"/>
  <c r="AB137" i="49"/>
  <c r="AC137" i="49" s="1"/>
  <c r="X137" i="49"/>
  <c r="S137" i="49"/>
  <c r="BO136" i="49"/>
  <c r="BL136" i="49"/>
  <c r="BI136" i="49"/>
  <c r="BD136" i="49"/>
  <c r="BF136" i="49" s="1"/>
  <c r="AZ136" i="49"/>
  <c r="BA136" i="49" s="1"/>
  <c r="AV136" i="49"/>
  <c r="AW136" i="49" s="1"/>
  <c r="AR136" i="49"/>
  <c r="AS136" i="49" s="1"/>
  <c r="AN136" i="49"/>
  <c r="AO136" i="49" s="1"/>
  <c r="AJ136" i="49"/>
  <c r="AK136" i="49" s="1"/>
  <c r="AF136" i="49"/>
  <c r="AG136" i="49" s="1"/>
  <c r="AB136" i="49"/>
  <c r="AC136" i="49" s="1"/>
  <c r="X136" i="49"/>
  <c r="Y136" i="49" s="1"/>
  <c r="BE135" i="49"/>
  <c r="BC135" i="49"/>
  <c r="BB135" i="49"/>
  <c r="AY135" i="49"/>
  <c r="AX135" i="49"/>
  <c r="AU135" i="49"/>
  <c r="AT135" i="49"/>
  <c r="AQ135" i="49"/>
  <c r="AP135" i="49"/>
  <c r="AM135" i="49"/>
  <c r="AL135" i="49"/>
  <c r="AI135" i="49"/>
  <c r="AH135" i="49"/>
  <c r="AE135" i="49"/>
  <c r="AD135" i="49"/>
  <c r="AA135" i="49"/>
  <c r="Z135" i="49"/>
  <c r="W135" i="49"/>
  <c r="V135" i="49"/>
  <c r="U135" i="49"/>
  <c r="T135" i="49"/>
  <c r="R135" i="49"/>
  <c r="S136" i="49" s="1"/>
  <c r="M135" i="49"/>
  <c r="L135" i="49"/>
  <c r="K135" i="49"/>
  <c r="J135" i="49"/>
  <c r="BO134" i="49"/>
  <c r="BL134" i="49"/>
  <c r="BI134" i="49"/>
  <c r="BD134" i="49"/>
  <c r="BF134" i="49" s="1"/>
  <c r="AZ134" i="49"/>
  <c r="BA134" i="49" s="1"/>
  <c r="AV134" i="49"/>
  <c r="AW134" i="49" s="1"/>
  <c r="AR134" i="49"/>
  <c r="AS134" i="49" s="1"/>
  <c r="AN134" i="49"/>
  <c r="AO134" i="49" s="1"/>
  <c r="AJ134" i="49"/>
  <c r="AK134" i="49" s="1"/>
  <c r="AF134" i="49"/>
  <c r="AG134" i="49" s="1"/>
  <c r="AB134" i="49"/>
  <c r="AC134" i="49" s="1"/>
  <c r="X134" i="49"/>
  <c r="Y134" i="49" s="1"/>
  <c r="S134" i="49"/>
  <c r="S135" i="49" s="1"/>
  <c r="BO133" i="49"/>
  <c r="BL133" i="49"/>
  <c r="BI133" i="49"/>
  <c r="BD133" i="49"/>
  <c r="BF133" i="49" s="1"/>
  <c r="AZ133" i="49"/>
  <c r="AV133" i="49"/>
  <c r="AW133" i="49" s="1"/>
  <c r="AR133" i="49"/>
  <c r="AS133" i="49" s="1"/>
  <c r="AN133" i="49"/>
  <c r="AO133" i="49" s="1"/>
  <c r="AJ133" i="49"/>
  <c r="AK133" i="49" s="1"/>
  <c r="AF133" i="49"/>
  <c r="AB133" i="49"/>
  <c r="AC133" i="49" s="1"/>
  <c r="X133" i="49"/>
  <c r="Y133" i="49" s="1"/>
  <c r="S133" i="49"/>
  <c r="BO132" i="49"/>
  <c r="BL132" i="49"/>
  <c r="BI132" i="49"/>
  <c r="BD132" i="49"/>
  <c r="BF132" i="49" s="1"/>
  <c r="AZ132" i="49"/>
  <c r="BA132" i="49" s="1"/>
  <c r="AV132" i="49"/>
  <c r="AW132" i="49" s="1"/>
  <c r="AR132" i="49"/>
  <c r="AS132" i="49" s="1"/>
  <c r="AN132" i="49"/>
  <c r="AO132" i="49" s="1"/>
  <c r="AJ132" i="49"/>
  <c r="AK132" i="49" s="1"/>
  <c r="AF132" i="49"/>
  <c r="AG132" i="49" s="1"/>
  <c r="AB132" i="49"/>
  <c r="AC132" i="49" s="1"/>
  <c r="X132" i="49"/>
  <c r="Y132" i="49" s="1"/>
  <c r="BE131" i="49"/>
  <c r="BC131" i="49"/>
  <c r="BB131" i="49"/>
  <c r="AY131" i="49"/>
  <c r="AX131" i="49"/>
  <c r="AU131" i="49"/>
  <c r="AT131" i="49"/>
  <c r="AQ131" i="49"/>
  <c r="AP131" i="49"/>
  <c r="AM131" i="49"/>
  <c r="AL131" i="49"/>
  <c r="AI131" i="49"/>
  <c r="AH131" i="49"/>
  <c r="AE131" i="49"/>
  <c r="AD131" i="49"/>
  <c r="AA131" i="49"/>
  <c r="Z131" i="49"/>
  <c r="W131" i="49"/>
  <c r="V131" i="49"/>
  <c r="U131" i="49"/>
  <c r="T131" i="49"/>
  <c r="R131" i="49"/>
  <c r="M131" i="49"/>
  <c r="L131" i="49"/>
  <c r="K131" i="49"/>
  <c r="J131" i="49"/>
  <c r="BO130" i="49"/>
  <c r="BL130" i="49"/>
  <c r="BI130" i="49"/>
  <c r="BD130" i="49"/>
  <c r="BF130" i="49" s="1"/>
  <c r="AZ130" i="49"/>
  <c r="BA130" i="49" s="1"/>
  <c r="AV130" i="49"/>
  <c r="AW130" i="49" s="1"/>
  <c r="AR130" i="49"/>
  <c r="AS130" i="49" s="1"/>
  <c r="AN130" i="49"/>
  <c r="AO130" i="49" s="1"/>
  <c r="AJ130" i="49"/>
  <c r="AK130" i="49" s="1"/>
  <c r="AF130" i="49"/>
  <c r="AG130" i="49" s="1"/>
  <c r="AB130" i="49"/>
  <c r="AC130" i="49" s="1"/>
  <c r="X130" i="49"/>
  <c r="Y130" i="49" s="1"/>
  <c r="S130" i="49"/>
  <c r="S131" i="49" s="1"/>
  <c r="BO129" i="49"/>
  <c r="BL129" i="49"/>
  <c r="BI129" i="49"/>
  <c r="BD129" i="49"/>
  <c r="BF129" i="49" s="1"/>
  <c r="AZ129" i="49"/>
  <c r="BA129" i="49" s="1"/>
  <c r="AV129" i="49"/>
  <c r="AW129" i="49" s="1"/>
  <c r="AR129" i="49"/>
  <c r="AS129" i="49" s="1"/>
  <c r="AN129" i="49"/>
  <c r="AO129" i="49" s="1"/>
  <c r="AJ129" i="49"/>
  <c r="AF129" i="49"/>
  <c r="AG129" i="49" s="1"/>
  <c r="AB129" i="49"/>
  <c r="AC129" i="49" s="1"/>
  <c r="X129" i="49"/>
  <c r="Y129" i="49" s="1"/>
  <c r="BE128" i="49"/>
  <c r="BC128" i="49"/>
  <c r="BB128" i="49"/>
  <c r="AY128" i="49"/>
  <c r="AX128" i="49"/>
  <c r="AU128" i="49"/>
  <c r="AT128" i="49"/>
  <c r="AQ128" i="49"/>
  <c r="AP128" i="49"/>
  <c r="AM128" i="49"/>
  <c r="AL128" i="49"/>
  <c r="AI128" i="49"/>
  <c r="AH128" i="49"/>
  <c r="AE128" i="49"/>
  <c r="AD128" i="49"/>
  <c r="AA128" i="49"/>
  <c r="Z128" i="49"/>
  <c r="W128" i="49"/>
  <c r="V128" i="49"/>
  <c r="U128" i="49"/>
  <c r="T128" i="49"/>
  <c r="R128" i="49"/>
  <c r="M128" i="49"/>
  <c r="L128" i="49"/>
  <c r="K128" i="49"/>
  <c r="J128" i="49"/>
  <c r="BO127" i="49"/>
  <c r="BO126" i="49" s="1"/>
  <c r="BO128" i="49" s="1"/>
  <c r="BL127" i="49"/>
  <c r="BL126" i="49" s="1"/>
  <c r="BL128" i="49" s="1"/>
  <c r="BI127" i="49"/>
  <c r="BI126" i="49" s="1"/>
  <c r="BI128" i="49" s="1"/>
  <c r="BD127" i="49"/>
  <c r="BD126" i="49" s="1"/>
  <c r="BF126" i="49" s="1"/>
  <c r="AZ127" i="49"/>
  <c r="BA127" i="49" s="1"/>
  <c r="AV127" i="49"/>
  <c r="AV126" i="49" s="1"/>
  <c r="AW126" i="49" s="1"/>
  <c r="AR127" i="49"/>
  <c r="AS127" i="49" s="1"/>
  <c r="AN127" i="49"/>
  <c r="AN126" i="49" s="1"/>
  <c r="AO126" i="49" s="1"/>
  <c r="AJ127" i="49"/>
  <c r="AJ126" i="49" s="1"/>
  <c r="AK126" i="49" s="1"/>
  <c r="AF127" i="49"/>
  <c r="AF126" i="49" s="1"/>
  <c r="AG126" i="49" s="1"/>
  <c r="AB127" i="49"/>
  <c r="AC127" i="49" s="1"/>
  <c r="X127" i="49"/>
  <c r="X126" i="49" s="1"/>
  <c r="S127" i="49"/>
  <c r="S128" i="49" s="1"/>
  <c r="S126" i="49"/>
  <c r="BO125" i="49"/>
  <c r="BL125" i="49"/>
  <c r="BI125" i="49"/>
  <c r="BD125" i="49"/>
  <c r="BF125" i="49" s="1"/>
  <c r="AZ125" i="49"/>
  <c r="BA125" i="49" s="1"/>
  <c r="AV125" i="49"/>
  <c r="AW125" i="49" s="1"/>
  <c r="AR125" i="49"/>
  <c r="AS125" i="49" s="1"/>
  <c r="AN125" i="49"/>
  <c r="AO125" i="49" s="1"/>
  <c r="AJ125" i="49"/>
  <c r="AK125" i="49" s="1"/>
  <c r="AF125" i="49"/>
  <c r="AG125" i="49" s="1"/>
  <c r="AB125" i="49"/>
  <c r="AC125" i="49" s="1"/>
  <c r="X125" i="49"/>
  <c r="Y125" i="49" s="1"/>
  <c r="BE124" i="49"/>
  <c r="BC124" i="49"/>
  <c r="BB124" i="49"/>
  <c r="AY124" i="49"/>
  <c r="AX124" i="49"/>
  <c r="AU124" i="49"/>
  <c r="AT124" i="49"/>
  <c r="AQ124" i="49"/>
  <c r="AP124" i="49"/>
  <c r="AM124" i="49"/>
  <c r="AL124" i="49"/>
  <c r="AI124" i="49"/>
  <c r="AH124" i="49"/>
  <c r="AE124" i="49"/>
  <c r="AD124" i="49"/>
  <c r="AA124" i="49"/>
  <c r="Z124" i="49"/>
  <c r="W124" i="49"/>
  <c r="V124" i="49"/>
  <c r="U124" i="49"/>
  <c r="T124" i="49"/>
  <c r="R124" i="49"/>
  <c r="M124" i="49"/>
  <c r="L124" i="49"/>
  <c r="K124" i="49"/>
  <c r="J124" i="49"/>
  <c r="BO123" i="49"/>
  <c r="BO122" i="49" s="1"/>
  <c r="BO124" i="49" s="1"/>
  <c r="BL123" i="49"/>
  <c r="BL122" i="49" s="1"/>
  <c r="BL124" i="49" s="1"/>
  <c r="BI123" i="49"/>
  <c r="BI122" i="49" s="1"/>
  <c r="BI124" i="49" s="1"/>
  <c r="BD123" i="49"/>
  <c r="BD122" i="49" s="1"/>
  <c r="BF122" i="49" s="1"/>
  <c r="AZ123" i="49"/>
  <c r="BA123" i="49" s="1"/>
  <c r="AV123" i="49"/>
  <c r="AV122" i="49" s="1"/>
  <c r="AW122" i="49" s="1"/>
  <c r="AR123" i="49"/>
  <c r="AS123" i="49" s="1"/>
  <c r="AN123" i="49"/>
  <c r="AN122" i="49" s="1"/>
  <c r="AO122" i="49" s="1"/>
  <c r="AJ123" i="49"/>
  <c r="AK123" i="49" s="1"/>
  <c r="AF123" i="49"/>
  <c r="AF122" i="49" s="1"/>
  <c r="AG122" i="49" s="1"/>
  <c r="AB123" i="49"/>
  <c r="AB122" i="49" s="1"/>
  <c r="AC122" i="49" s="1"/>
  <c r="X123" i="49"/>
  <c r="Y123" i="49" s="1"/>
  <c r="S123" i="49"/>
  <c r="S124" i="49" s="1"/>
  <c r="BE121" i="49"/>
  <c r="BC121" i="49"/>
  <c r="BB121" i="49"/>
  <c r="AY121" i="49"/>
  <c r="AX121" i="49"/>
  <c r="AU121" i="49"/>
  <c r="AT121" i="49"/>
  <c r="AQ121" i="49"/>
  <c r="AP121" i="49"/>
  <c r="AM121" i="49"/>
  <c r="AL121" i="49"/>
  <c r="AI121" i="49"/>
  <c r="AH121" i="49"/>
  <c r="AE121" i="49"/>
  <c r="AD121" i="49"/>
  <c r="AA121" i="49"/>
  <c r="Z121" i="49"/>
  <c r="W121" i="49"/>
  <c r="V121" i="49"/>
  <c r="U121" i="49"/>
  <c r="T121" i="49"/>
  <c r="R121" i="49"/>
  <c r="M121" i="49"/>
  <c r="L121" i="49"/>
  <c r="K121" i="49"/>
  <c r="J121" i="49"/>
  <c r="BO120" i="49"/>
  <c r="BL120" i="49"/>
  <c r="BI120" i="49"/>
  <c r="BD120" i="49"/>
  <c r="BF120" i="49" s="1"/>
  <c r="AZ120" i="49"/>
  <c r="BA120" i="49" s="1"/>
  <c r="AV120" i="49"/>
  <c r="AW120" i="49" s="1"/>
  <c r="AR120" i="49"/>
  <c r="AS120" i="49" s="1"/>
  <c r="AN120" i="49"/>
  <c r="AO120" i="49" s="1"/>
  <c r="AJ120" i="49"/>
  <c r="AK120" i="49" s="1"/>
  <c r="AF120" i="49"/>
  <c r="AG120" i="49" s="1"/>
  <c r="AB120" i="49"/>
  <c r="AC120" i="49" s="1"/>
  <c r="X120" i="49"/>
  <c r="Y120" i="49" s="1"/>
  <c r="S120" i="49"/>
  <c r="S121" i="49" s="1"/>
  <c r="BO119" i="49"/>
  <c r="BL119" i="49"/>
  <c r="BI119" i="49"/>
  <c r="BD119" i="49"/>
  <c r="BF119" i="49" s="1"/>
  <c r="AZ119" i="49"/>
  <c r="BA119" i="49" s="1"/>
  <c r="AV119" i="49"/>
  <c r="AW119" i="49" s="1"/>
  <c r="AR119" i="49"/>
  <c r="AS119" i="49" s="1"/>
  <c r="AN119" i="49"/>
  <c r="AO119" i="49" s="1"/>
  <c r="AJ119" i="49"/>
  <c r="AK119" i="49" s="1"/>
  <c r="AF119" i="49"/>
  <c r="AG119" i="49" s="1"/>
  <c r="AB119" i="49"/>
  <c r="AC119" i="49" s="1"/>
  <c r="X119" i="49"/>
  <c r="Y119" i="49" s="1"/>
  <c r="S119" i="49"/>
  <c r="BO118" i="49"/>
  <c r="BL118" i="49"/>
  <c r="BI118" i="49"/>
  <c r="BD118" i="49"/>
  <c r="BF118" i="49" s="1"/>
  <c r="AZ118" i="49"/>
  <c r="BA118" i="49" s="1"/>
  <c r="AV118" i="49"/>
  <c r="AW118" i="49" s="1"/>
  <c r="AR118" i="49"/>
  <c r="AS118" i="49" s="1"/>
  <c r="AN118" i="49"/>
  <c r="AO118" i="49" s="1"/>
  <c r="AJ118" i="49"/>
  <c r="AK118" i="49" s="1"/>
  <c r="AF118" i="49"/>
  <c r="AG118" i="49" s="1"/>
  <c r="AB118" i="49"/>
  <c r="AC118" i="49" s="1"/>
  <c r="L18" i="57" s="1"/>
  <c r="X118" i="49"/>
  <c r="BE117" i="49"/>
  <c r="BC117" i="49"/>
  <c r="BB117" i="49"/>
  <c r="AY117" i="49"/>
  <c r="AX117" i="49"/>
  <c r="AU117" i="49"/>
  <c r="AT117" i="49"/>
  <c r="AQ117" i="49"/>
  <c r="AP117" i="49"/>
  <c r="AL117" i="49"/>
  <c r="AI117" i="49"/>
  <c r="AH117" i="49"/>
  <c r="AE117" i="49"/>
  <c r="AD117" i="49"/>
  <c r="AA117" i="49"/>
  <c r="Z117" i="49"/>
  <c r="W117" i="49"/>
  <c r="H17" i="57" s="1"/>
  <c r="V117" i="49"/>
  <c r="U117" i="49"/>
  <c r="T117" i="49"/>
  <c r="R117" i="49"/>
  <c r="M117" i="49"/>
  <c r="L117" i="49"/>
  <c r="K117" i="49"/>
  <c r="J117" i="49"/>
  <c r="BO116" i="49"/>
  <c r="BL116" i="49"/>
  <c r="BI116" i="49"/>
  <c r="BD116" i="49"/>
  <c r="BF116" i="49" s="1"/>
  <c r="AZ116" i="49"/>
  <c r="BA116" i="49" s="1"/>
  <c r="AV116" i="49"/>
  <c r="AW116" i="49" s="1"/>
  <c r="AR116" i="49"/>
  <c r="AS116" i="49" s="1"/>
  <c r="AN116" i="49"/>
  <c r="AO116" i="49" s="1"/>
  <c r="AJ116" i="49"/>
  <c r="AK116" i="49" s="1"/>
  <c r="AF116" i="49"/>
  <c r="AG116" i="49" s="1"/>
  <c r="AB116" i="49"/>
  <c r="AC116" i="49" s="1"/>
  <c r="X116" i="49"/>
  <c r="Y116" i="49" s="1"/>
  <c r="S116" i="49"/>
  <c r="S117" i="49" s="1"/>
  <c r="BO115" i="49"/>
  <c r="BL115" i="49"/>
  <c r="BI115" i="49"/>
  <c r="BD115" i="49"/>
  <c r="BF115" i="49" s="1"/>
  <c r="AZ115" i="49"/>
  <c r="BA115" i="49" s="1"/>
  <c r="AV115" i="49"/>
  <c r="AW115" i="49" s="1"/>
  <c r="AR115" i="49"/>
  <c r="AS115" i="49" s="1"/>
  <c r="AN115" i="49"/>
  <c r="AO115" i="49" s="1"/>
  <c r="AJ115" i="49"/>
  <c r="AK115" i="49" s="1"/>
  <c r="AF115" i="49"/>
  <c r="AB115" i="49"/>
  <c r="AC115" i="49" s="1"/>
  <c r="X115" i="49"/>
  <c r="S115" i="49"/>
  <c r="BP55" i="49"/>
  <c r="H19" i="57" l="1"/>
  <c r="H57" i="57"/>
  <c r="J20" i="57"/>
  <c r="F10" i="57"/>
  <c r="E10" i="57"/>
  <c r="H12" i="57"/>
  <c r="F57" i="57"/>
  <c r="E57" i="57"/>
  <c r="F17" i="57"/>
  <c r="E17" i="57"/>
  <c r="F12" i="57"/>
  <c r="E12" i="57"/>
  <c r="F19" i="57"/>
  <c r="E19" i="57"/>
  <c r="F59" i="57"/>
  <c r="E59" i="57"/>
  <c r="F13" i="57"/>
  <c r="E13" i="57"/>
  <c r="F20" i="57"/>
  <c r="E20" i="57"/>
  <c r="F60" i="57"/>
  <c r="E60" i="57"/>
  <c r="H59" i="57"/>
  <c r="L57" i="57"/>
  <c r="H20" i="57"/>
  <c r="H10" i="57"/>
  <c r="J12" i="57"/>
  <c r="S122" i="49"/>
  <c r="J19" i="57"/>
  <c r="J13" i="57"/>
  <c r="S150" i="49"/>
  <c r="J60" i="57"/>
  <c r="Y155" i="49"/>
  <c r="I11" i="57"/>
  <c r="Y118" i="49"/>
  <c r="I18" i="57"/>
  <c r="Y143" i="49"/>
  <c r="I58" i="57"/>
  <c r="H13" i="70"/>
  <c r="H25" i="70" s="1"/>
  <c r="H60" i="57"/>
  <c r="S143" i="49"/>
  <c r="J57" i="57"/>
  <c r="S118" i="49"/>
  <c r="J17" i="57"/>
  <c r="S147" i="49"/>
  <c r="J59" i="57"/>
  <c r="G15" i="70"/>
  <c r="G26" i="70" s="1"/>
  <c r="T62" i="57"/>
  <c r="AF41" i="57" s="1"/>
  <c r="O17" i="57"/>
  <c r="BI172" i="49"/>
  <c r="AK137" i="49"/>
  <c r="G18" i="70"/>
  <c r="AO137" i="49"/>
  <c r="G19" i="70"/>
  <c r="G27" i="70" s="1"/>
  <c r="G35" i="70" s="1"/>
  <c r="AS137" i="49"/>
  <c r="G20" i="70"/>
  <c r="AW137" i="49"/>
  <c r="G22" i="70"/>
  <c r="BA137" i="49"/>
  <c r="G21" i="70"/>
  <c r="BL158" i="49"/>
  <c r="Y137" i="49"/>
  <c r="G14" i="70"/>
  <c r="BF137" i="49"/>
  <c r="G23" i="70"/>
  <c r="AG137" i="49"/>
  <c r="G17" i="70"/>
  <c r="BO172" i="49"/>
  <c r="BL172" i="49"/>
  <c r="AN172" i="49"/>
  <c r="AO172" i="49" s="1"/>
  <c r="BO168" i="49"/>
  <c r="BL168" i="49"/>
  <c r="BI168" i="49"/>
  <c r="AF168" i="49"/>
  <c r="AG168" i="49" s="1"/>
  <c r="BD163" i="49"/>
  <c r="BF163" i="49" s="1"/>
  <c r="AB163" i="49"/>
  <c r="AC163" i="49" s="1"/>
  <c r="BO158" i="49"/>
  <c r="BI158" i="49"/>
  <c r="AF158" i="49"/>
  <c r="AG158" i="49" s="1"/>
  <c r="BD158" i="49"/>
  <c r="BF158" i="49" s="1"/>
  <c r="BO154" i="49"/>
  <c r="BL154" i="49"/>
  <c r="BI154" i="49"/>
  <c r="AV154" i="49"/>
  <c r="AW154" i="49" s="1"/>
  <c r="AF154" i="49"/>
  <c r="AG154" i="49" s="1"/>
  <c r="BD172" i="49"/>
  <c r="BF172" i="49" s="1"/>
  <c r="AZ172" i="49"/>
  <c r="BA172" i="49" s="1"/>
  <c r="AV172" i="49"/>
  <c r="AW172" i="49" s="1"/>
  <c r="AR172" i="49"/>
  <c r="AS172" i="49" s="1"/>
  <c r="AJ172" i="49"/>
  <c r="AK172" i="49" s="1"/>
  <c r="AF172" i="49"/>
  <c r="AG172" i="49" s="1"/>
  <c r="AB172" i="49"/>
  <c r="AC172" i="49" s="1"/>
  <c r="X172" i="49"/>
  <c r="Y172" i="49" s="1"/>
  <c r="BD168" i="49"/>
  <c r="BF168" i="49" s="1"/>
  <c r="AZ168" i="49"/>
  <c r="BA168" i="49" s="1"/>
  <c r="AV168" i="49"/>
  <c r="AW168" i="49" s="1"/>
  <c r="AR168" i="49"/>
  <c r="AS168" i="49" s="1"/>
  <c r="AN168" i="49"/>
  <c r="AO168" i="49" s="1"/>
  <c r="AJ168" i="49"/>
  <c r="AK168" i="49" s="1"/>
  <c r="AG166" i="49"/>
  <c r="AB168" i="49"/>
  <c r="AC168" i="49" s="1"/>
  <c r="X168" i="49"/>
  <c r="Y168" i="49" s="1"/>
  <c r="AW164" i="49"/>
  <c r="AR163" i="49"/>
  <c r="AS163" i="49" s="1"/>
  <c r="AO164" i="49"/>
  <c r="AF163" i="49"/>
  <c r="AG163" i="49" s="1"/>
  <c r="Y164" i="49"/>
  <c r="AZ165" i="49"/>
  <c r="BA165" i="49" s="1"/>
  <c r="AV165" i="49"/>
  <c r="AW165" i="49" s="1"/>
  <c r="AN165" i="49"/>
  <c r="AO165" i="49" s="1"/>
  <c r="AJ165" i="49"/>
  <c r="AK165" i="49" s="1"/>
  <c r="X165" i="49"/>
  <c r="Y165" i="49" s="1"/>
  <c r="BD159" i="49"/>
  <c r="BF159" i="49" s="1"/>
  <c r="AZ161" i="49"/>
  <c r="BA161" i="49" s="1"/>
  <c r="AW160" i="49"/>
  <c r="AR159" i="49"/>
  <c r="AS159" i="49" s="1"/>
  <c r="AN159" i="49"/>
  <c r="AO159" i="49" s="1"/>
  <c r="AG160" i="49"/>
  <c r="AB159" i="49"/>
  <c r="AC159" i="49" s="1"/>
  <c r="X159" i="49"/>
  <c r="Y159" i="49" s="1"/>
  <c r="AV161" i="49"/>
  <c r="AW161" i="49" s="1"/>
  <c r="AJ161" i="49"/>
  <c r="AK161" i="49" s="1"/>
  <c r="AF161" i="49"/>
  <c r="AG161" i="49" s="1"/>
  <c r="AZ158" i="49"/>
  <c r="BA158" i="49" s="1"/>
  <c r="AV158" i="49"/>
  <c r="AW158" i="49" s="1"/>
  <c r="AR158" i="49"/>
  <c r="AS158" i="49" s="1"/>
  <c r="AN158" i="49"/>
  <c r="AO158" i="49" s="1"/>
  <c r="AJ158" i="49"/>
  <c r="AK158" i="49" s="1"/>
  <c r="AG156" i="49"/>
  <c r="AB158" i="49"/>
  <c r="AC158" i="49" s="1"/>
  <c r="L12" i="57" s="1"/>
  <c r="X158" i="49"/>
  <c r="BD154" i="49"/>
  <c r="BF154" i="49" s="1"/>
  <c r="AZ154" i="49"/>
  <c r="BA154" i="49" s="1"/>
  <c r="AW152" i="49"/>
  <c r="AR154" i="49"/>
  <c r="AS154" i="49" s="1"/>
  <c r="AN154" i="49"/>
  <c r="AO154" i="49" s="1"/>
  <c r="AJ154" i="49"/>
  <c r="AK154" i="49" s="1"/>
  <c r="AG152" i="49"/>
  <c r="AB154" i="49"/>
  <c r="AC154" i="49" s="1"/>
  <c r="X154" i="49"/>
  <c r="AK164" i="49"/>
  <c r="BA164" i="49"/>
  <c r="BA160" i="49"/>
  <c r="AK160" i="49"/>
  <c r="BO146" i="49"/>
  <c r="BL146" i="49"/>
  <c r="BI146" i="49"/>
  <c r="BD146" i="49"/>
  <c r="BF146" i="49" s="1"/>
  <c r="AV146" i="49"/>
  <c r="AW146" i="49" s="1"/>
  <c r="AR146" i="49"/>
  <c r="AS146" i="49" s="1"/>
  <c r="BO142" i="49"/>
  <c r="BL142" i="49"/>
  <c r="BI142" i="49"/>
  <c r="AB142" i="49"/>
  <c r="AC142" i="49" s="1"/>
  <c r="AV142" i="49"/>
  <c r="AW142" i="49" s="1"/>
  <c r="AF142" i="49"/>
  <c r="AG142" i="49" s="1"/>
  <c r="BO135" i="49"/>
  <c r="BL135" i="49"/>
  <c r="BI135" i="49"/>
  <c r="AZ135" i="49"/>
  <c r="BA135" i="49" s="1"/>
  <c r="AF135" i="49"/>
  <c r="AG135" i="49" s="1"/>
  <c r="BA133" i="49"/>
  <c r="AR135" i="49"/>
  <c r="AS135" i="49" s="1"/>
  <c r="AJ135" i="49"/>
  <c r="AK135" i="49" s="1"/>
  <c r="AB135" i="49"/>
  <c r="AC135" i="49" s="1"/>
  <c r="BO131" i="49"/>
  <c r="BL131" i="49"/>
  <c r="BI131" i="49"/>
  <c r="AJ131" i="49"/>
  <c r="AK131" i="49" s="1"/>
  <c r="AB131" i="49"/>
  <c r="AC131" i="49" s="1"/>
  <c r="AR126" i="49"/>
  <c r="AS126" i="49" s="1"/>
  <c r="AO127" i="49"/>
  <c r="AB126" i="49"/>
  <c r="AB128" i="49" s="1"/>
  <c r="AC128" i="49" s="1"/>
  <c r="AZ122" i="49"/>
  <c r="BA122" i="49" s="1"/>
  <c r="AC123" i="49"/>
  <c r="BO121" i="49"/>
  <c r="BL121" i="49"/>
  <c r="BI121" i="49"/>
  <c r="AV121" i="49"/>
  <c r="AW121" i="49" s="1"/>
  <c r="AF121" i="49"/>
  <c r="AG121" i="49" s="1"/>
  <c r="X121" i="49"/>
  <c r="BO117" i="49"/>
  <c r="BL117" i="49"/>
  <c r="BI117" i="49"/>
  <c r="AF117" i="49"/>
  <c r="AG117" i="49" s="1"/>
  <c r="X117" i="49"/>
  <c r="AV117" i="49"/>
  <c r="AW117" i="49" s="1"/>
  <c r="AN117" i="49"/>
  <c r="AO117" i="49" s="1"/>
  <c r="BD149" i="49"/>
  <c r="BF149" i="49" s="1"/>
  <c r="AW148" i="49"/>
  <c r="AR147" i="49"/>
  <c r="AR149" i="49" s="1"/>
  <c r="AS149" i="49" s="1"/>
  <c r="AN147" i="49"/>
  <c r="AO147" i="49" s="1"/>
  <c r="AJ147" i="49"/>
  <c r="AK147" i="49" s="1"/>
  <c r="AG148" i="49"/>
  <c r="AB147" i="49"/>
  <c r="AC147" i="49" s="1"/>
  <c r="AZ149" i="49"/>
  <c r="BA149" i="49" s="1"/>
  <c r="BF144" i="49"/>
  <c r="AZ146" i="49"/>
  <c r="BA146" i="49" s="1"/>
  <c r="AW144" i="49"/>
  <c r="AN146" i="49"/>
  <c r="AO146" i="49" s="1"/>
  <c r="AJ146" i="49"/>
  <c r="AK146" i="49" s="1"/>
  <c r="AF146" i="49"/>
  <c r="AG146" i="49" s="1"/>
  <c r="AB146" i="49"/>
  <c r="AC146" i="49" s="1"/>
  <c r="L59" i="57" s="1"/>
  <c r="X146" i="49"/>
  <c r="BD142" i="49"/>
  <c r="BF142" i="49" s="1"/>
  <c r="AZ142" i="49"/>
  <c r="BA142" i="49" s="1"/>
  <c r="AR142" i="49"/>
  <c r="AS142" i="49" s="1"/>
  <c r="AN142" i="49"/>
  <c r="AO142" i="49" s="1"/>
  <c r="AJ142" i="49"/>
  <c r="AK142" i="49" s="1"/>
  <c r="AC140" i="49"/>
  <c r="X142" i="49"/>
  <c r="BD135" i="49"/>
  <c r="BF135" i="49" s="1"/>
  <c r="AV135" i="49"/>
  <c r="AW135" i="49" s="1"/>
  <c r="AN135" i="49"/>
  <c r="AO135" i="49" s="1"/>
  <c r="AG133" i="49"/>
  <c r="X135" i="49"/>
  <c r="Y135" i="49" s="1"/>
  <c r="BD131" i="49"/>
  <c r="BF131" i="49" s="1"/>
  <c r="AZ131" i="49"/>
  <c r="BA131" i="49" s="1"/>
  <c r="AV131" i="49"/>
  <c r="AW131" i="49" s="1"/>
  <c r="AR131" i="49"/>
  <c r="AS131" i="49" s="1"/>
  <c r="AN131" i="49"/>
  <c r="AO131" i="49" s="1"/>
  <c r="AK129" i="49"/>
  <c r="AF131" i="49"/>
  <c r="AG131" i="49" s="1"/>
  <c r="X131" i="49"/>
  <c r="Y131" i="49" s="1"/>
  <c r="S132" i="49"/>
  <c r="BF127" i="49"/>
  <c r="AZ126" i="49"/>
  <c r="BA126" i="49" s="1"/>
  <c r="AV128" i="49"/>
  <c r="AW128" i="49" s="1"/>
  <c r="AW127" i="49"/>
  <c r="AG127" i="49"/>
  <c r="Y126" i="49"/>
  <c r="X128" i="49"/>
  <c r="Y128" i="49" s="1"/>
  <c r="Y127" i="49"/>
  <c r="BD128" i="49"/>
  <c r="BF128" i="49" s="1"/>
  <c r="AN128" i="49"/>
  <c r="AO128" i="49" s="1"/>
  <c r="AJ128" i="49"/>
  <c r="AK128" i="49" s="1"/>
  <c r="AF128" i="49"/>
  <c r="AG128" i="49" s="1"/>
  <c r="S129" i="49"/>
  <c r="BF123" i="49"/>
  <c r="AR122" i="49"/>
  <c r="AS122" i="49" s="1"/>
  <c r="AO123" i="49"/>
  <c r="AJ122" i="49"/>
  <c r="X122" i="49"/>
  <c r="Y122" i="49" s="1"/>
  <c r="BD124" i="49"/>
  <c r="BF124" i="49" s="1"/>
  <c r="AV124" i="49"/>
  <c r="AW124" i="49" s="1"/>
  <c r="AN124" i="49"/>
  <c r="AO124" i="49" s="1"/>
  <c r="AF124" i="49"/>
  <c r="AG124" i="49" s="1"/>
  <c r="AB124" i="49"/>
  <c r="AC124" i="49" s="1"/>
  <c r="L20" i="57" s="1"/>
  <c r="S125" i="49"/>
  <c r="BD121" i="49"/>
  <c r="BF121" i="49" s="1"/>
  <c r="AZ121" i="49"/>
  <c r="BA121" i="49" s="1"/>
  <c r="AR121" i="49"/>
  <c r="AS121" i="49" s="1"/>
  <c r="AN121" i="49"/>
  <c r="AO121" i="49" s="1"/>
  <c r="AJ121" i="49"/>
  <c r="AK121" i="49" s="1"/>
  <c r="AB121" i="49"/>
  <c r="AC121" i="49" s="1"/>
  <c r="L19" i="57" s="1"/>
  <c r="BD117" i="49"/>
  <c r="BF117" i="49" s="1"/>
  <c r="AZ117" i="49"/>
  <c r="BA117" i="49" s="1"/>
  <c r="AR117" i="49"/>
  <c r="AS117" i="49" s="1"/>
  <c r="AJ117" i="49"/>
  <c r="AK117" i="49" s="1"/>
  <c r="AG115" i="49"/>
  <c r="AB117" i="49"/>
  <c r="AC117" i="49" s="1"/>
  <c r="L17" i="57" s="1"/>
  <c r="Y115" i="49"/>
  <c r="AG149" i="49"/>
  <c r="AW149" i="49"/>
  <c r="AW147" i="49"/>
  <c r="AG147" i="49"/>
  <c r="X147" i="49"/>
  <c r="BA148" i="49"/>
  <c r="BF148" i="49"/>
  <c r="AK127" i="49"/>
  <c r="AW123" i="49"/>
  <c r="AG123" i="49"/>
  <c r="AR128" i="49" l="1"/>
  <c r="AS128" i="49" s="1"/>
  <c r="L10" i="57"/>
  <c r="K10" i="57"/>
  <c r="K58" i="57"/>
  <c r="AF8" i="57" s="1"/>
  <c r="G58" i="57"/>
  <c r="K18" i="57"/>
  <c r="G18" i="57"/>
  <c r="K11" i="57"/>
  <c r="G11" i="57"/>
  <c r="Y158" i="49"/>
  <c r="I12" i="57"/>
  <c r="Y142" i="49"/>
  <c r="I57" i="57"/>
  <c r="U59" i="57" s="1"/>
  <c r="Y154" i="49"/>
  <c r="I10" i="57"/>
  <c r="U11" i="57" s="1"/>
  <c r="Y117" i="49"/>
  <c r="I17" i="57"/>
  <c r="Y121" i="49"/>
  <c r="I19" i="57"/>
  <c r="Y146" i="49"/>
  <c r="I59" i="57"/>
  <c r="G28" i="70"/>
  <c r="AB165" i="49"/>
  <c r="AC165" i="49" s="1"/>
  <c r="BD165" i="49"/>
  <c r="BF165" i="49" s="1"/>
  <c r="AR165" i="49"/>
  <c r="AS165" i="49" s="1"/>
  <c r="AF165" i="49"/>
  <c r="AG165" i="49" s="1"/>
  <c r="BD161" i="49"/>
  <c r="BF161" i="49" s="1"/>
  <c r="AR161" i="49"/>
  <c r="AS161" i="49" s="1"/>
  <c r="AN161" i="49"/>
  <c r="AO161" i="49" s="1"/>
  <c r="AB161" i="49"/>
  <c r="AC161" i="49" s="1"/>
  <c r="L13" i="57" s="1"/>
  <c r="X161" i="49"/>
  <c r="AZ124" i="49"/>
  <c r="BA124" i="49" s="1"/>
  <c r="AC126" i="49"/>
  <c r="AS147" i="49"/>
  <c r="AN149" i="49"/>
  <c r="AO149" i="49" s="1"/>
  <c r="AJ149" i="49"/>
  <c r="AK149" i="49" s="1"/>
  <c r="AB149" i="49"/>
  <c r="AC149" i="49" s="1"/>
  <c r="L60" i="57" s="1"/>
  <c r="Y147" i="49"/>
  <c r="X149" i="49"/>
  <c r="AZ128" i="49"/>
  <c r="BA128" i="49" s="1"/>
  <c r="AR124" i="49"/>
  <c r="AS124" i="49" s="1"/>
  <c r="AK122" i="49"/>
  <c r="AJ124" i="49"/>
  <c r="AK124" i="49" s="1"/>
  <c r="X124" i="49"/>
  <c r="E65" i="57"/>
  <c r="U42" i="49"/>
  <c r="T42" i="49"/>
  <c r="U39" i="49"/>
  <c r="T39" i="49"/>
  <c r="U35" i="49"/>
  <c r="T35" i="49"/>
  <c r="BO113" i="49"/>
  <c r="F16" i="70" s="1"/>
  <c r="F25" i="70" s="1"/>
  <c r="BL113" i="49"/>
  <c r="F15" i="70" s="1"/>
  <c r="BI113" i="49"/>
  <c r="BD113" i="49"/>
  <c r="AZ113" i="49"/>
  <c r="AV113" i="49"/>
  <c r="AR113" i="49"/>
  <c r="AN113" i="49"/>
  <c r="AJ113" i="49"/>
  <c r="AF113" i="49"/>
  <c r="AB113" i="49"/>
  <c r="AC113" i="49" s="1"/>
  <c r="X113" i="49"/>
  <c r="F14" i="70" s="1"/>
  <c r="S113" i="49"/>
  <c r="BO112" i="49"/>
  <c r="BL112" i="49"/>
  <c r="BI112" i="49"/>
  <c r="BD112" i="49"/>
  <c r="BF112" i="49" s="1"/>
  <c r="AZ112" i="49"/>
  <c r="BA112" i="49" s="1"/>
  <c r="AV112" i="49"/>
  <c r="AW112" i="49" s="1"/>
  <c r="AR112" i="49"/>
  <c r="AS112" i="49" s="1"/>
  <c r="AN112" i="49"/>
  <c r="AO112" i="49" s="1"/>
  <c r="AJ112" i="49"/>
  <c r="AK112" i="49" s="1"/>
  <c r="AF112" i="49"/>
  <c r="AG112" i="49" s="1"/>
  <c r="AB112" i="49"/>
  <c r="AC112" i="49" s="1"/>
  <c r="X112" i="49"/>
  <c r="Y112" i="49" s="1"/>
  <c r="BO111" i="49"/>
  <c r="BL111" i="49"/>
  <c r="BI111" i="49"/>
  <c r="BD111" i="49"/>
  <c r="BF111" i="49" s="1"/>
  <c r="AZ111" i="49"/>
  <c r="BA111" i="49" s="1"/>
  <c r="AV111" i="49"/>
  <c r="AW111" i="49" s="1"/>
  <c r="AR111" i="49"/>
  <c r="AS111" i="49" s="1"/>
  <c r="AN111" i="49"/>
  <c r="AO111" i="49" s="1"/>
  <c r="AJ111" i="49"/>
  <c r="AK111" i="49" s="1"/>
  <c r="AF111" i="49"/>
  <c r="AG111" i="49" s="1"/>
  <c r="AB111" i="49"/>
  <c r="AC111" i="49" s="1"/>
  <c r="X111" i="49"/>
  <c r="Y111" i="49" s="1"/>
  <c r="S111" i="49"/>
  <c r="BO110" i="49"/>
  <c r="BL110" i="49"/>
  <c r="BI110" i="49"/>
  <c r="BD110" i="49"/>
  <c r="BF110" i="49" s="1"/>
  <c r="AZ110" i="49"/>
  <c r="BA110" i="49" s="1"/>
  <c r="AV110" i="49"/>
  <c r="AW110" i="49" s="1"/>
  <c r="AR110" i="49"/>
  <c r="AS110" i="49" s="1"/>
  <c r="AN110" i="49"/>
  <c r="AO110" i="49" s="1"/>
  <c r="AJ110" i="49"/>
  <c r="AK110" i="49" s="1"/>
  <c r="AF110" i="49"/>
  <c r="AB110" i="49"/>
  <c r="AC110" i="49" s="1"/>
  <c r="X110" i="49"/>
  <c r="Y110" i="49" s="1"/>
  <c r="BE109" i="49"/>
  <c r="BC109" i="49"/>
  <c r="BB109" i="49"/>
  <c r="AY109" i="49"/>
  <c r="AX109" i="49"/>
  <c r="AU109" i="49"/>
  <c r="AT109" i="49"/>
  <c r="AQ109" i="49"/>
  <c r="AP109" i="49"/>
  <c r="AM109" i="49"/>
  <c r="AL109" i="49"/>
  <c r="AI109" i="49"/>
  <c r="AH109" i="49"/>
  <c r="AE109" i="49"/>
  <c r="AD109" i="49"/>
  <c r="AA109" i="49"/>
  <c r="Z109" i="49"/>
  <c r="W109" i="49"/>
  <c r="V109" i="49"/>
  <c r="U109" i="49"/>
  <c r="T109" i="49"/>
  <c r="R109" i="49"/>
  <c r="M109" i="49"/>
  <c r="L109" i="49"/>
  <c r="K109" i="49"/>
  <c r="J109" i="49"/>
  <c r="BO108" i="49"/>
  <c r="BO107" i="49" s="1"/>
  <c r="BO109" i="49" s="1"/>
  <c r="BL108" i="49"/>
  <c r="BL107" i="49" s="1"/>
  <c r="BL109" i="49" s="1"/>
  <c r="BI108" i="49"/>
  <c r="BI107" i="49" s="1"/>
  <c r="BI109" i="49" s="1"/>
  <c r="BD108" i="49"/>
  <c r="BF108" i="49" s="1"/>
  <c r="AZ108" i="49"/>
  <c r="AZ107" i="49" s="1"/>
  <c r="BA107" i="49" s="1"/>
  <c r="AV108" i="49"/>
  <c r="AV107" i="49" s="1"/>
  <c r="AW107" i="49" s="1"/>
  <c r="AR108" i="49"/>
  <c r="AS108" i="49" s="1"/>
  <c r="AN108" i="49"/>
  <c r="AN107" i="49" s="1"/>
  <c r="AO107" i="49" s="1"/>
  <c r="AJ108" i="49"/>
  <c r="AJ107" i="49" s="1"/>
  <c r="AK107" i="49" s="1"/>
  <c r="AF108" i="49"/>
  <c r="AF107" i="49" s="1"/>
  <c r="AG107" i="49" s="1"/>
  <c r="AB108" i="49"/>
  <c r="AC108" i="49" s="1"/>
  <c r="X108" i="49"/>
  <c r="Y108" i="49" s="1"/>
  <c r="S108" i="49"/>
  <c r="S109" i="49" s="1"/>
  <c r="BE106" i="49"/>
  <c r="BC106" i="49"/>
  <c r="BB106" i="49"/>
  <c r="AY106" i="49"/>
  <c r="AX106" i="49"/>
  <c r="AU106" i="49"/>
  <c r="AT106" i="49"/>
  <c r="AQ106" i="49"/>
  <c r="AP106" i="49"/>
  <c r="AM106" i="49"/>
  <c r="AL106" i="49"/>
  <c r="AI106" i="49"/>
  <c r="AH106" i="49"/>
  <c r="AE106" i="49"/>
  <c r="AD106" i="49"/>
  <c r="AA106" i="49"/>
  <c r="Z106" i="49"/>
  <c r="W106" i="49"/>
  <c r="V106" i="49"/>
  <c r="U106" i="49"/>
  <c r="T106" i="49"/>
  <c r="R106" i="49"/>
  <c r="M106" i="49"/>
  <c r="L106" i="49"/>
  <c r="K106" i="49"/>
  <c r="J106" i="49"/>
  <c r="BO105" i="49"/>
  <c r="BL105" i="49"/>
  <c r="BI105" i="49"/>
  <c r="BD105" i="49"/>
  <c r="BF105" i="49" s="1"/>
  <c r="AZ105" i="49"/>
  <c r="BA105" i="49" s="1"/>
  <c r="AV105" i="49"/>
  <c r="AW105" i="49" s="1"/>
  <c r="AR105" i="49"/>
  <c r="AS105" i="49" s="1"/>
  <c r="AN105" i="49"/>
  <c r="AO105" i="49" s="1"/>
  <c r="AJ105" i="49"/>
  <c r="AK105" i="49" s="1"/>
  <c r="AF105" i="49"/>
  <c r="AG105" i="49" s="1"/>
  <c r="AB105" i="49"/>
  <c r="AC105" i="49" s="1"/>
  <c r="X105" i="49"/>
  <c r="Y105" i="49" s="1"/>
  <c r="S105" i="49"/>
  <c r="S106" i="49" s="1"/>
  <c r="BO104" i="49"/>
  <c r="BL104" i="49"/>
  <c r="BI104" i="49"/>
  <c r="BD104" i="49"/>
  <c r="BF104" i="49" s="1"/>
  <c r="AZ104" i="49"/>
  <c r="BA104" i="49" s="1"/>
  <c r="AV104" i="49"/>
  <c r="AR104" i="49"/>
  <c r="AS104" i="49" s="1"/>
  <c r="AN104" i="49"/>
  <c r="AO104" i="49" s="1"/>
  <c r="AJ104" i="49"/>
  <c r="AK104" i="49" s="1"/>
  <c r="AF104" i="49"/>
  <c r="AB104" i="49"/>
  <c r="AC104" i="49" s="1"/>
  <c r="X104" i="49"/>
  <c r="Y104" i="49" s="1"/>
  <c r="S104" i="49"/>
  <c r="BO103" i="49"/>
  <c r="BL103" i="49"/>
  <c r="BI103" i="49"/>
  <c r="BD103" i="49"/>
  <c r="BF103" i="49" s="1"/>
  <c r="AZ103" i="49"/>
  <c r="BA103" i="49" s="1"/>
  <c r="AV103" i="49"/>
  <c r="AW103" i="49" s="1"/>
  <c r="AR103" i="49"/>
  <c r="AS103" i="49" s="1"/>
  <c r="AN103" i="49"/>
  <c r="AO103" i="49" s="1"/>
  <c r="AJ103" i="49"/>
  <c r="AK103" i="49" s="1"/>
  <c r="AF103" i="49"/>
  <c r="AG103" i="49" s="1"/>
  <c r="AB103" i="49"/>
  <c r="AC103" i="49" s="1"/>
  <c r="X103" i="49"/>
  <c r="Y103" i="49" s="1"/>
  <c r="BE102" i="49"/>
  <c r="BC102" i="49"/>
  <c r="BB102" i="49"/>
  <c r="AY102" i="49"/>
  <c r="AX102" i="49"/>
  <c r="AU102" i="49"/>
  <c r="AT102" i="49"/>
  <c r="AQ102" i="49"/>
  <c r="AP102" i="49"/>
  <c r="AM102" i="49"/>
  <c r="AL102" i="49"/>
  <c r="AI102" i="49"/>
  <c r="AH102" i="49"/>
  <c r="AE102" i="49"/>
  <c r="AD102" i="49"/>
  <c r="AA102" i="49"/>
  <c r="Z102" i="49"/>
  <c r="W102" i="49"/>
  <c r="V102" i="49"/>
  <c r="U102" i="49"/>
  <c r="T102" i="49"/>
  <c r="R102" i="49"/>
  <c r="M102" i="49"/>
  <c r="L102" i="49"/>
  <c r="K102" i="49"/>
  <c r="J102" i="49"/>
  <c r="BO101" i="49"/>
  <c r="BL101" i="49"/>
  <c r="BI101" i="49"/>
  <c r="BD101" i="49"/>
  <c r="BF101" i="49" s="1"/>
  <c r="AZ101" i="49"/>
  <c r="BA101" i="49" s="1"/>
  <c r="AV101" i="49"/>
  <c r="AW101" i="49" s="1"/>
  <c r="AR101" i="49"/>
  <c r="AS101" i="49" s="1"/>
  <c r="AN101" i="49"/>
  <c r="AO101" i="49" s="1"/>
  <c r="AJ101" i="49"/>
  <c r="AK101" i="49" s="1"/>
  <c r="AF101" i="49"/>
  <c r="AG101" i="49" s="1"/>
  <c r="AB101" i="49"/>
  <c r="AC101" i="49" s="1"/>
  <c r="X101" i="49"/>
  <c r="Y101" i="49" s="1"/>
  <c r="S101" i="49"/>
  <c r="S102" i="49" s="1"/>
  <c r="BO100" i="49"/>
  <c r="BL100" i="49"/>
  <c r="BI100" i="49"/>
  <c r="BD100" i="49"/>
  <c r="AZ100" i="49"/>
  <c r="AV100" i="49"/>
  <c r="AW100" i="49" s="1"/>
  <c r="AR100" i="49"/>
  <c r="AS100" i="49" s="1"/>
  <c r="AN100" i="49"/>
  <c r="AO100" i="49" s="1"/>
  <c r="AJ100" i="49"/>
  <c r="AK100" i="49" s="1"/>
  <c r="AF100" i="49"/>
  <c r="AG100" i="49" s="1"/>
  <c r="AB100" i="49"/>
  <c r="AC100" i="49" s="1"/>
  <c r="X100" i="49"/>
  <c r="Y100" i="49" s="1"/>
  <c r="BE98" i="49"/>
  <c r="BC98" i="49"/>
  <c r="BB98" i="49"/>
  <c r="AY98" i="49"/>
  <c r="AX98" i="49"/>
  <c r="AU98" i="49"/>
  <c r="AT98" i="49"/>
  <c r="AQ98" i="49"/>
  <c r="AP98" i="49"/>
  <c r="AM98" i="49"/>
  <c r="AL98" i="49"/>
  <c r="AI98" i="49"/>
  <c r="AH98" i="49"/>
  <c r="AE98" i="49"/>
  <c r="AD98" i="49"/>
  <c r="AA98" i="49"/>
  <c r="Z98" i="49"/>
  <c r="W98" i="49"/>
  <c r="V98" i="49"/>
  <c r="U98" i="49"/>
  <c r="T98" i="49"/>
  <c r="R98" i="49"/>
  <c r="M98" i="49"/>
  <c r="L98" i="49"/>
  <c r="K98" i="49"/>
  <c r="J98" i="49"/>
  <c r="F67" i="57" s="1"/>
  <c r="BO97" i="49"/>
  <c r="BO96" i="49" s="1"/>
  <c r="BO98" i="49" s="1"/>
  <c r="BL97" i="49"/>
  <c r="BL96" i="49" s="1"/>
  <c r="BL98" i="49" s="1"/>
  <c r="BI97" i="49"/>
  <c r="BI96" i="49" s="1"/>
  <c r="BI98" i="49" s="1"/>
  <c r="BD97" i="49"/>
  <c r="BF97" i="49" s="1"/>
  <c r="AZ97" i="49"/>
  <c r="AZ96" i="49" s="1"/>
  <c r="BA96" i="49" s="1"/>
  <c r="AV97" i="49"/>
  <c r="AV96" i="49" s="1"/>
  <c r="AW96" i="49" s="1"/>
  <c r="AR97" i="49"/>
  <c r="AS97" i="49" s="1"/>
  <c r="AN97" i="49"/>
  <c r="AO97" i="49" s="1"/>
  <c r="AJ97" i="49"/>
  <c r="AK97" i="49" s="1"/>
  <c r="AF97" i="49"/>
  <c r="AG97" i="49" s="1"/>
  <c r="AB97" i="49"/>
  <c r="AC97" i="49" s="1"/>
  <c r="X97" i="49"/>
  <c r="Y97" i="49" s="1"/>
  <c r="S97" i="49"/>
  <c r="S98" i="49" s="1"/>
  <c r="BE95" i="49"/>
  <c r="BC95" i="49"/>
  <c r="BB95" i="49"/>
  <c r="AY95" i="49"/>
  <c r="AX95" i="49"/>
  <c r="AU95" i="49"/>
  <c r="AT95" i="49"/>
  <c r="AQ95" i="49"/>
  <c r="AP95" i="49"/>
  <c r="AM95" i="49"/>
  <c r="AL95" i="49"/>
  <c r="AI95" i="49"/>
  <c r="AH95" i="49"/>
  <c r="AE95" i="49"/>
  <c r="AD95" i="49"/>
  <c r="AA95" i="49"/>
  <c r="Z95" i="49"/>
  <c r="W95" i="49"/>
  <c r="V95" i="49"/>
  <c r="U95" i="49"/>
  <c r="T95" i="49"/>
  <c r="R95" i="49"/>
  <c r="M95" i="49"/>
  <c r="L95" i="49"/>
  <c r="K95" i="49"/>
  <c r="J95" i="49"/>
  <c r="BO94" i="49"/>
  <c r="BL94" i="49"/>
  <c r="BI94" i="49"/>
  <c r="BD94" i="49"/>
  <c r="BF94" i="49" s="1"/>
  <c r="AZ94" i="49"/>
  <c r="BA94" i="49" s="1"/>
  <c r="AV94" i="49"/>
  <c r="AW94" i="49" s="1"/>
  <c r="AR94" i="49"/>
  <c r="AS94" i="49" s="1"/>
  <c r="AN94" i="49"/>
  <c r="AO94" i="49" s="1"/>
  <c r="AJ94" i="49"/>
  <c r="AK94" i="49" s="1"/>
  <c r="AF94" i="49"/>
  <c r="AG94" i="49" s="1"/>
  <c r="AB94" i="49"/>
  <c r="AC94" i="49" s="1"/>
  <c r="X94" i="49"/>
  <c r="Y94" i="49" s="1"/>
  <c r="S94" i="49"/>
  <c r="S95" i="49" s="1"/>
  <c r="BO93" i="49"/>
  <c r="BL93" i="49"/>
  <c r="BI93" i="49"/>
  <c r="BD93" i="49"/>
  <c r="BF93" i="49" s="1"/>
  <c r="AZ93" i="49"/>
  <c r="BA93" i="49" s="1"/>
  <c r="AV93" i="49"/>
  <c r="AW93" i="49" s="1"/>
  <c r="AR93" i="49"/>
  <c r="AS93" i="49" s="1"/>
  <c r="AN93" i="49"/>
  <c r="AO93" i="49" s="1"/>
  <c r="AJ93" i="49"/>
  <c r="AK93" i="49" s="1"/>
  <c r="AF93" i="49"/>
  <c r="AG93" i="49" s="1"/>
  <c r="AB93" i="49"/>
  <c r="AC93" i="49" s="1"/>
  <c r="X93" i="49"/>
  <c r="Y93" i="49" s="1"/>
  <c r="S93" i="49"/>
  <c r="BO92" i="49"/>
  <c r="BL92" i="49"/>
  <c r="BI92" i="49"/>
  <c r="BD92" i="49"/>
  <c r="BF92" i="49" s="1"/>
  <c r="AZ92" i="49"/>
  <c r="BA92" i="49" s="1"/>
  <c r="AV92" i="49"/>
  <c r="AW92" i="49" s="1"/>
  <c r="AR92" i="49"/>
  <c r="AS92" i="49" s="1"/>
  <c r="AN92" i="49"/>
  <c r="AO92" i="49" s="1"/>
  <c r="AJ92" i="49"/>
  <c r="AK92" i="49" s="1"/>
  <c r="AF92" i="49"/>
  <c r="AG92" i="49" s="1"/>
  <c r="AB92" i="49"/>
  <c r="AC92" i="49" s="1"/>
  <c r="L65" i="57" s="1"/>
  <c r="X92" i="49"/>
  <c r="BE91" i="49"/>
  <c r="BC91" i="49"/>
  <c r="BB91" i="49"/>
  <c r="AY91" i="49"/>
  <c r="AX91" i="49"/>
  <c r="AU91" i="49"/>
  <c r="AT91" i="49"/>
  <c r="AQ91" i="49"/>
  <c r="AP91" i="49"/>
  <c r="AM91" i="49"/>
  <c r="AL91" i="49"/>
  <c r="AI91" i="49"/>
  <c r="AH91" i="49"/>
  <c r="AE91" i="49"/>
  <c r="AD91" i="49"/>
  <c r="AA91" i="49"/>
  <c r="Z91" i="49"/>
  <c r="W91" i="49"/>
  <c r="V91" i="49"/>
  <c r="U91" i="49"/>
  <c r="T91" i="49"/>
  <c r="R91" i="49"/>
  <c r="M91" i="49"/>
  <c r="L91" i="49"/>
  <c r="K91" i="49"/>
  <c r="J91" i="49"/>
  <c r="F64" i="57" s="1"/>
  <c r="BO90" i="49"/>
  <c r="BL90" i="49"/>
  <c r="BI90" i="49"/>
  <c r="BD90" i="49"/>
  <c r="BF90" i="49" s="1"/>
  <c r="AZ90" i="49"/>
  <c r="BA90" i="49" s="1"/>
  <c r="AV90" i="49"/>
  <c r="AW90" i="49" s="1"/>
  <c r="AR90" i="49"/>
  <c r="AS90" i="49" s="1"/>
  <c r="AN90" i="49"/>
  <c r="AO90" i="49" s="1"/>
  <c r="AJ90" i="49"/>
  <c r="AK90" i="49" s="1"/>
  <c r="AF90" i="49"/>
  <c r="AG90" i="49" s="1"/>
  <c r="AB90" i="49"/>
  <c r="AC90" i="49" s="1"/>
  <c r="X90" i="49"/>
  <c r="Y90" i="49" s="1"/>
  <c r="S90" i="49"/>
  <c r="S91" i="49" s="1"/>
  <c r="BO89" i="49"/>
  <c r="BL89" i="49"/>
  <c r="BI89" i="49"/>
  <c r="BD89" i="49"/>
  <c r="BF89" i="49" s="1"/>
  <c r="AZ89" i="49"/>
  <c r="BA89" i="49" s="1"/>
  <c r="AV89" i="49"/>
  <c r="AR89" i="49"/>
  <c r="AS89" i="49" s="1"/>
  <c r="AN89" i="49"/>
  <c r="AO89" i="49" s="1"/>
  <c r="AJ89" i="49"/>
  <c r="AK89" i="49" s="1"/>
  <c r="AF89" i="49"/>
  <c r="AB89" i="49"/>
  <c r="AC89" i="49" s="1"/>
  <c r="X89" i="49"/>
  <c r="Y89" i="49" s="1"/>
  <c r="S89" i="49"/>
  <c r="BO86" i="49"/>
  <c r="BL86" i="49"/>
  <c r="BI86" i="49"/>
  <c r="BD86" i="49"/>
  <c r="BF86" i="49" s="1"/>
  <c r="AZ86" i="49"/>
  <c r="BA86" i="49" s="1"/>
  <c r="AV86" i="49"/>
  <c r="AW86" i="49" s="1"/>
  <c r="AR86" i="49"/>
  <c r="AS86" i="49" s="1"/>
  <c r="AN86" i="49"/>
  <c r="AO86" i="49" s="1"/>
  <c r="AJ86" i="49"/>
  <c r="AK86" i="49" s="1"/>
  <c r="AF86" i="49"/>
  <c r="AG86" i="49" s="1"/>
  <c r="AB86" i="49"/>
  <c r="AC86" i="49" s="1"/>
  <c r="X86" i="49"/>
  <c r="Y86" i="49" s="1"/>
  <c r="S86" i="49"/>
  <c r="BO85" i="49"/>
  <c r="BL85" i="49"/>
  <c r="BI85" i="49"/>
  <c r="BD85" i="49"/>
  <c r="BF85" i="49" s="1"/>
  <c r="AZ85" i="49"/>
  <c r="BA85" i="49" s="1"/>
  <c r="AV85" i="49"/>
  <c r="AW85" i="49" s="1"/>
  <c r="AR85" i="49"/>
  <c r="AS85" i="49" s="1"/>
  <c r="AN85" i="49"/>
  <c r="AO85" i="49" s="1"/>
  <c r="AJ85" i="49"/>
  <c r="AK85" i="49" s="1"/>
  <c r="AF85" i="49"/>
  <c r="AG85" i="49" s="1"/>
  <c r="AB85" i="49"/>
  <c r="AC85" i="49" s="1"/>
  <c r="X85" i="49"/>
  <c r="Y85" i="49" s="1"/>
  <c r="S85" i="49"/>
  <c r="BO84" i="49"/>
  <c r="BL84" i="49"/>
  <c r="BI84" i="49"/>
  <c r="BD84" i="49"/>
  <c r="BF84" i="49" s="1"/>
  <c r="AZ84" i="49"/>
  <c r="BA84" i="49" s="1"/>
  <c r="AV84" i="49"/>
  <c r="AW84" i="49" s="1"/>
  <c r="AR84" i="49"/>
  <c r="AS84" i="49" s="1"/>
  <c r="AN84" i="49"/>
  <c r="AO84" i="49" s="1"/>
  <c r="AJ84" i="49"/>
  <c r="AK84" i="49" s="1"/>
  <c r="AF84" i="49"/>
  <c r="AG84" i="49" s="1"/>
  <c r="AB84" i="49"/>
  <c r="AC84" i="49" s="1"/>
  <c r="X84" i="49"/>
  <c r="Y84" i="49" s="1"/>
  <c r="S84" i="49"/>
  <c r="BO83" i="49"/>
  <c r="BL83" i="49"/>
  <c r="BI83" i="49"/>
  <c r="BD83" i="49"/>
  <c r="BF83" i="49" s="1"/>
  <c r="AZ83" i="49"/>
  <c r="BA83" i="49" s="1"/>
  <c r="AV83" i="49"/>
  <c r="AW83" i="49" s="1"/>
  <c r="AR83" i="49"/>
  <c r="AS83" i="49" s="1"/>
  <c r="AN83" i="49"/>
  <c r="AO83" i="49" s="1"/>
  <c r="AJ83" i="49"/>
  <c r="AK83" i="49" s="1"/>
  <c r="AF83" i="49"/>
  <c r="AG83" i="49" s="1"/>
  <c r="AB83" i="49"/>
  <c r="AC83" i="49" s="1"/>
  <c r="X83" i="49"/>
  <c r="Y83" i="49" s="1"/>
  <c r="S83" i="49"/>
  <c r="BO82" i="49"/>
  <c r="BL82" i="49"/>
  <c r="BI82" i="49"/>
  <c r="BD82" i="49"/>
  <c r="BF82" i="49" s="1"/>
  <c r="AZ82" i="49"/>
  <c r="BA82" i="49" s="1"/>
  <c r="AV82" i="49"/>
  <c r="AW82" i="49" s="1"/>
  <c r="AR82" i="49"/>
  <c r="AS82" i="49" s="1"/>
  <c r="AN82" i="49"/>
  <c r="AO82" i="49" s="1"/>
  <c r="AJ82" i="49"/>
  <c r="AK82" i="49" s="1"/>
  <c r="AF82" i="49"/>
  <c r="AG82" i="49" s="1"/>
  <c r="AB82" i="49"/>
  <c r="AC82" i="49" s="1"/>
  <c r="X82" i="49"/>
  <c r="Y82" i="49" s="1"/>
  <c r="S82" i="49"/>
  <c r="BO81" i="49"/>
  <c r="BL81" i="49"/>
  <c r="BI81" i="49"/>
  <c r="BD81" i="49"/>
  <c r="BF81" i="49" s="1"/>
  <c r="AZ81" i="49"/>
  <c r="BA81" i="49" s="1"/>
  <c r="AV81" i="49"/>
  <c r="AW81" i="49" s="1"/>
  <c r="AR81" i="49"/>
  <c r="AS81" i="49" s="1"/>
  <c r="AN81" i="49"/>
  <c r="AO81" i="49" s="1"/>
  <c r="AJ81" i="49"/>
  <c r="AK81" i="49" s="1"/>
  <c r="AF81" i="49"/>
  <c r="AG81" i="49" s="1"/>
  <c r="AB81" i="49"/>
  <c r="AC81" i="49" s="1"/>
  <c r="X81" i="49"/>
  <c r="Y81" i="49" s="1"/>
  <c r="S81" i="49"/>
  <c r="BO80" i="49"/>
  <c r="BL80" i="49"/>
  <c r="BI80" i="49"/>
  <c r="BD80" i="49"/>
  <c r="BF80" i="49" s="1"/>
  <c r="AZ80" i="49"/>
  <c r="BA80" i="49" s="1"/>
  <c r="AV80" i="49"/>
  <c r="AW80" i="49" s="1"/>
  <c r="AR80" i="49"/>
  <c r="AS80" i="49" s="1"/>
  <c r="AN80" i="49"/>
  <c r="AO80" i="49" s="1"/>
  <c r="AJ80" i="49"/>
  <c r="AK80" i="49" s="1"/>
  <c r="AF80" i="49"/>
  <c r="AG80" i="49" s="1"/>
  <c r="AB80" i="49"/>
  <c r="AC80" i="49" s="1"/>
  <c r="X80" i="49"/>
  <c r="Y80" i="49" s="1"/>
  <c r="S80" i="49"/>
  <c r="BO79" i="49"/>
  <c r="BL79" i="49"/>
  <c r="BI79" i="49"/>
  <c r="BD79" i="49"/>
  <c r="BF79" i="49" s="1"/>
  <c r="AZ79" i="49"/>
  <c r="BA79" i="49" s="1"/>
  <c r="AV79" i="49"/>
  <c r="AW79" i="49" s="1"/>
  <c r="AR79" i="49"/>
  <c r="AS79" i="49" s="1"/>
  <c r="AN79" i="49"/>
  <c r="AO79" i="49" s="1"/>
  <c r="AJ79" i="49"/>
  <c r="AK79" i="49" s="1"/>
  <c r="AF79" i="49"/>
  <c r="AG79" i="49" s="1"/>
  <c r="AB79" i="49"/>
  <c r="AC79" i="49" s="1"/>
  <c r="X79" i="49"/>
  <c r="Y79" i="49" s="1"/>
  <c r="S79" i="49"/>
  <c r="BO78" i="49"/>
  <c r="BL78" i="49"/>
  <c r="BI78" i="49"/>
  <c r="BD78" i="49"/>
  <c r="BF78" i="49" s="1"/>
  <c r="AZ78" i="49"/>
  <c r="BA78" i="49" s="1"/>
  <c r="AV78" i="49"/>
  <c r="AW78" i="49" s="1"/>
  <c r="AR78" i="49"/>
  <c r="AS78" i="49" s="1"/>
  <c r="AN78" i="49"/>
  <c r="AO78" i="49" s="1"/>
  <c r="AJ78" i="49"/>
  <c r="AK78" i="49" s="1"/>
  <c r="AF78" i="49"/>
  <c r="AG78" i="49" s="1"/>
  <c r="AB78" i="49"/>
  <c r="AC78" i="49" s="1"/>
  <c r="X78" i="49"/>
  <c r="Y78" i="49" s="1"/>
  <c r="S78" i="49"/>
  <c r="BO77" i="49"/>
  <c r="BL77" i="49"/>
  <c r="BI77" i="49"/>
  <c r="BD77" i="49"/>
  <c r="BF77" i="49" s="1"/>
  <c r="AZ77" i="49"/>
  <c r="BA77" i="49" s="1"/>
  <c r="AV77" i="49"/>
  <c r="AW77" i="49" s="1"/>
  <c r="AR77" i="49"/>
  <c r="AS77" i="49" s="1"/>
  <c r="AN77" i="49"/>
  <c r="AO77" i="49" s="1"/>
  <c r="AJ77" i="49"/>
  <c r="AK77" i="49" s="1"/>
  <c r="AF77" i="49"/>
  <c r="AG77" i="49" s="1"/>
  <c r="AB77" i="49"/>
  <c r="AC77" i="49" s="1"/>
  <c r="X77" i="49"/>
  <c r="Y77" i="49" s="1"/>
  <c r="S77" i="49"/>
  <c r="BO76" i="49"/>
  <c r="BL76" i="49"/>
  <c r="BI76" i="49"/>
  <c r="BD76" i="49"/>
  <c r="BF76" i="49" s="1"/>
  <c r="AZ76" i="49"/>
  <c r="BA76" i="49" s="1"/>
  <c r="AV76" i="49"/>
  <c r="AW76" i="49" s="1"/>
  <c r="AR76" i="49"/>
  <c r="AS76" i="49" s="1"/>
  <c r="AN76" i="49"/>
  <c r="AO76" i="49" s="1"/>
  <c r="AJ76" i="49"/>
  <c r="AK76" i="49" s="1"/>
  <c r="AF76" i="49"/>
  <c r="AG76" i="49" s="1"/>
  <c r="AB76" i="49"/>
  <c r="AC76" i="49" s="1"/>
  <c r="X76" i="49"/>
  <c r="Y76" i="49" s="1"/>
  <c r="S76" i="49"/>
  <c r="BO75" i="49"/>
  <c r="BL75" i="49"/>
  <c r="BI75" i="49"/>
  <c r="BD75" i="49"/>
  <c r="BF75" i="49" s="1"/>
  <c r="AZ75" i="49"/>
  <c r="BA75" i="49" s="1"/>
  <c r="AV75" i="49"/>
  <c r="AW75" i="49" s="1"/>
  <c r="AR75" i="49"/>
  <c r="AS75" i="49" s="1"/>
  <c r="AN75" i="49"/>
  <c r="AO75" i="49" s="1"/>
  <c r="AJ75" i="49"/>
  <c r="AK75" i="49" s="1"/>
  <c r="AF75" i="49"/>
  <c r="AG75" i="49" s="1"/>
  <c r="AB75" i="49"/>
  <c r="AC75" i="49" s="1"/>
  <c r="X75" i="49"/>
  <c r="Y75" i="49" s="1"/>
  <c r="BE74" i="49"/>
  <c r="BC74" i="49"/>
  <c r="BB74" i="49"/>
  <c r="AY74" i="49"/>
  <c r="AX74" i="49"/>
  <c r="AU74" i="49"/>
  <c r="AT74" i="49"/>
  <c r="AQ74" i="49"/>
  <c r="AP74" i="49"/>
  <c r="AM74" i="49"/>
  <c r="AL74" i="49"/>
  <c r="AI74" i="49"/>
  <c r="AH74" i="49"/>
  <c r="AE74" i="49"/>
  <c r="AD74" i="49"/>
  <c r="AA74" i="49"/>
  <c r="Z74" i="49"/>
  <c r="W74" i="49"/>
  <c r="V74" i="49"/>
  <c r="R74" i="49"/>
  <c r="M74" i="49"/>
  <c r="L74" i="49"/>
  <c r="K74" i="49"/>
  <c r="J74" i="49"/>
  <c r="BO73" i="49"/>
  <c r="BO72" i="49" s="1"/>
  <c r="BO74" i="49" s="1"/>
  <c r="BL73" i="49"/>
  <c r="BL72" i="49" s="1"/>
  <c r="BL74" i="49" s="1"/>
  <c r="BI73" i="49"/>
  <c r="BI72" i="49" s="1"/>
  <c r="BI74" i="49" s="1"/>
  <c r="BD73" i="49"/>
  <c r="BF73" i="49" s="1"/>
  <c r="AZ73" i="49"/>
  <c r="AZ72" i="49" s="1"/>
  <c r="BA72" i="49" s="1"/>
  <c r="AV73" i="49"/>
  <c r="AW73" i="49" s="1"/>
  <c r="AR73" i="49"/>
  <c r="AS73" i="49" s="1"/>
  <c r="AN73" i="49"/>
  <c r="AN72" i="49" s="1"/>
  <c r="AO72" i="49" s="1"/>
  <c r="AJ73" i="49"/>
  <c r="AJ72" i="49" s="1"/>
  <c r="AK72" i="49" s="1"/>
  <c r="AF73" i="49"/>
  <c r="AF72" i="49" s="1"/>
  <c r="AG72" i="49" s="1"/>
  <c r="AB73" i="49"/>
  <c r="AC73" i="49" s="1"/>
  <c r="X73" i="49"/>
  <c r="Y73" i="49" s="1"/>
  <c r="S73" i="49"/>
  <c r="S74" i="49" s="1"/>
  <c r="BE71" i="49"/>
  <c r="BC71" i="49"/>
  <c r="BB71" i="49"/>
  <c r="AY71" i="49"/>
  <c r="AX71" i="49"/>
  <c r="AU71" i="49"/>
  <c r="AT71" i="49"/>
  <c r="AQ71" i="49"/>
  <c r="AP71" i="49"/>
  <c r="AM71" i="49"/>
  <c r="AL71" i="49"/>
  <c r="AI71" i="49"/>
  <c r="AH71" i="49"/>
  <c r="AE71" i="49"/>
  <c r="AD71" i="49"/>
  <c r="AA71" i="49"/>
  <c r="Z71" i="49"/>
  <c r="W71" i="49"/>
  <c r="V71" i="49"/>
  <c r="R71" i="49"/>
  <c r="M71" i="49"/>
  <c r="L71" i="49"/>
  <c r="K71" i="49"/>
  <c r="J71" i="49"/>
  <c r="BO70" i="49"/>
  <c r="BL70" i="49"/>
  <c r="BI70" i="49"/>
  <c r="BD70" i="49"/>
  <c r="BF70" i="49" s="1"/>
  <c r="AZ70" i="49"/>
  <c r="BA70" i="49" s="1"/>
  <c r="AV70" i="49"/>
  <c r="AW70" i="49" s="1"/>
  <c r="AR70" i="49"/>
  <c r="AS70" i="49" s="1"/>
  <c r="AN70" i="49"/>
  <c r="AO70" i="49" s="1"/>
  <c r="AJ70" i="49"/>
  <c r="AK70" i="49" s="1"/>
  <c r="AF70" i="49"/>
  <c r="AG70" i="49" s="1"/>
  <c r="AB70" i="49"/>
  <c r="AC70" i="49" s="1"/>
  <c r="X70" i="49"/>
  <c r="Y70" i="49" s="1"/>
  <c r="S70" i="49"/>
  <c r="S71" i="49" s="1"/>
  <c r="BO69" i="49"/>
  <c r="BL69" i="49"/>
  <c r="BI69" i="49"/>
  <c r="BD69" i="49"/>
  <c r="BF69" i="49" s="1"/>
  <c r="AZ69" i="49"/>
  <c r="BA69" i="49" s="1"/>
  <c r="AV69" i="49"/>
  <c r="AW69" i="49" s="1"/>
  <c r="AR69" i="49"/>
  <c r="AS69" i="49" s="1"/>
  <c r="AN69" i="49"/>
  <c r="AO69" i="49" s="1"/>
  <c r="AJ69" i="49"/>
  <c r="AK69" i="49" s="1"/>
  <c r="AF69" i="49"/>
  <c r="AG69" i="49" s="1"/>
  <c r="AB69" i="49"/>
  <c r="AC69" i="49" s="1"/>
  <c r="X69" i="49"/>
  <c r="Y69" i="49" s="1"/>
  <c r="S69" i="49"/>
  <c r="BO68" i="49"/>
  <c r="BL68" i="49"/>
  <c r="BI68" i="49"/>
  <c r="BD68" i="49"/>
  <c r="BF68" i="49" s="1"/>
  <c r="AZ68" i="49"/>
  <c r="BA68" i="49" s="1"/>
  <c r="AV68" i="49"/>
  <c r="AW68" i="49" s="1"/>
  <c r="AR68" i="49"/>
  <c r="AS68" i="49" s="1"/>
  <c r="AN68" i="49"/>
  <c r="AO68" i="49" s="1"/>
  <c r="AJ68" i="49"/>
  <c r="AK68" i="49" s="1"/>
  <c r="AF68" i="49"/>
  <c r="AG68" i="49" s="1"/>
  <c r="AB68" i="49"/>
  <c r="AC68" i="49" s="1"/>
  <c r="X68" i="49"/>
  <c r="Y68" i="49" s="1"/>
  <c r="BE67" i="49"/>
  <c r="BC67" i="49"/>
  <c r="BB67" i="49"/>
  <c r="AY67" i="49"/>
  <c r="AX67" i="49"/>
  <c r="AU67" i="49"/>
  <c r="AT67" i="49"/>
  <c r="AQ67" i="49"/>
  <c r="AP67" i="49"/>
  <c r="AM67" i="49"/>
  <c r="AL67" i="49"/>
  <c r="AI67" i="49"/>
  <c r="AH67" i="49"/>
  <c r="AE67" i="49"/>
  <c r="AD67" i="49"/>
  <c r="AA67" i="49"/>
  <c r="Z67" i="49"/>
  <c r="W67" i="49"/>
  <c r="V67" i="49"/>
  <c r="R67" i="49"/>
  <c r="S68" i="49" s="1"/>
  <c r="M67" i="49"/>
  <c r="L67" i="49"/>
  <c r="K67" i="49"/>
  <c r="J67" i="49"/>
  <c r="BO66" i="49"/>
  <c r="BL66" i="49"/>
  <c r="BI66" i="49"/>
  <c r="BD66" i="49"/>
  <c r="BF66" i="49" s="1"/>
  <c r="AZ66" i="49"/>
  <c r="BA66" i="49" s="1"/>
  <c r="AV66" i="49"/>
  <c r="AW66" i="49" s="1"/>
  <c r="AR66" i="49"/>
  <c r="AS66" i="49" s="1"/>
  <c r="AN66" i="49"/>
  <c r="AO66" i="49" s="1"/>
  <c r="AJ66" i="49"/>
  <c r="AK66" i="49" s="1"/>
  <c r="AF66" i="49"/>
  <c r="AG66" i="49" s="1"/>
  <c r="AB66" i="49"/>
  <c r="AC66" i="49" s="1"/>
  <c r="X66" i="49"/>
  <c r="Y66" i="49" s="1"/>
  <c r="S66" i="49"/>
  <c r="S67" i="49" s="1"/>
  <c r="BO65" i="49"/>
  <c r="BL65" i="49"/>
  <c r="BI65" i="49"/>
  <c r="BD65" i="49"/>
  <c r="BF65" i="49" s="1"/>
  <c r="AZ65" i="49"/>
  <c r="BA65" i="49" s="1"/>
  <c r="AV65" i="49"/>
  <c r="AR65" i="49"/>
  <c r="AS65" i="49" s="1"/>
  <c r="AN65" i="49"/>
  <c r="AO65" i="49" s="1"/>
  <c r="AJ65" i="49"/>
  <c r="AK65" i="49" s="1"/>
  <c r="AF65" i="49"/>
  <c r="AG65" i="49" s="1"/>
  <c r="AB65" i="49"/>
  <c r="AC65" i="49" s="1"/>
  <c r="X65" i="49"/>
  <c r="Y65" i="49" s="1"/>
  <c r="S65" i="49"/>
  <c r="BO63" i="49"/>
  <c r="D16" i="70" s="1"/>
  <c r="D25" i="70" s="1"/>
  <c r="BL63" i="49"/>
  <c r="D15" i="70" s="1"/>
  <c r="BI63" i="49"/>
  <c r="BD63" i="49"/>
  <c r="AZ63" i="49"/>
  <c r="AV63" i="49"/>
  <c r="AR63" i="49"/>
  <c r="AN63" i="49"/>
  <c r="AJ63" i="49"/>
  <c r="AF63" i="49"/>
  <c r="AB63" i="49"/>
  <c r="AC63" i="49" s="1"/>
  <c r="X63" i="49"/>
  <c r="D14" i="70" s="1"/>
  <c r="S63" i="49"/>
  <c r="BO62" i="49"/>
  <c r="BL62" i="49"/>
  <c r="BI62" i="49"/>
  <c r="BD62" i="49"/>
  <c r="BF62" i="49" s="1"/>
  <c r="AZ62" i="49"/>
  <c r="BA62" i="49" s="1"/>
  <c r="AV62" i="49"/>
  <c r="AW62" i="49" s="1"/>
  <c r="AR62" i="49"/>
  <c r="AS62" i="49" s="1"/>
  <c r="AN62" i="49"/>
  <c r="AO62" i="49" s="1"/>
  <c r="AJ62" i="49"/>
  <c r="AK62" i="49" s="1"/>
  <c r="AF62" i="49"/>
  <c r="AG62" i="49" s="1"/>
  <c r="AB62" i="49"/>
  <c r="AC62" i="49" s="1"/>
  <c r="X62" i="49"/>
  <c r="Y62" i="49" s="1"/>
  <c r="S62" i="49"/>
  <c r="W60" i="57" l="1"/>
  <c r="X60" i="57" s="1"/>
  <c r="AF30" i="57" s="1"/>
  <c r="H67" i="57"/>
  <c r="F66" i="57"/>
  <c r="H64" i="57"/>
  <c r="J66" i="57"/>
  <c r="J64" i="57"/>
  <c r="E64" i="57"/>
  <c r="E66" i="57"/>
  <c r="E67" i="57"/>
  <c r="J67" i="57"/>
  <c r="H66" i="57"/>
  <c r="K57" i="57"/>
  <c r="AF7" i="57" s="1"/>
  <c r="G57" i="57"/>
  <c r="K59" i="57"/>
  <c r="AF9" i="57" s="1"/>
  <c r="G59" i="57"/>
  <c r="K12" i="57"/>
  <c r="G12" i="57"/>
  <c r="K19" i="57"/>
  <c r="G19" i="57"/>
  <c r="K17" i="57"/>
  <c r="G17" i="57"/>
  <c r="G10" i="57"/>
  <c r="Y161" i="49"/>
  <c r="I13" i="57"/>
  <c r="Y149" i="49"/>
  <c r="I60" i="57"/>
  <c r="Y92" i="49"/>
  <c r="I65" i="57"/>
  <c r="V59" i="57"/>
  <c r="Y124" i="49"/>
  <c r="I20" i="57"/>
  <c r="F26" i="70"/>
  <c r="D26" i="70"/>
  <c r="AO113" i="49"/>
  <c r="F19" i="70"/>
  <c r="F27" i="70" s="1"/>
  <c r="AK63" i="49"/>
  <c r="D18" i="70"/>
  <c r="AO63" i="49"/>
  <c r="D19" i="70"/>
  <c r="D27" i="70" s="1"/>
  <c r="AS113" i="49"/>
  <c r="F20" i="70"/>
  <c r="AS63" i="49"/>
  <c r="D20" i="70"/>
  <c r="AW113" i="49"/>
  <c r="F22" i="70"/>
  <c r="AW63" i="49"/>
  <c r="D22" i="70"/>
  <c r="BA113" i="49"/>
  <c r="F21" i="70"/>
  <c r="BA63" i="49"/>
  <c r="D21" i="70"/>
  <c r="BF113" i="49"/>
  <c r="F23" i="70"/>
  <c r="BF63" i="49"/>
  <c r="D23" i="70"/>
  <c r="AG113" i="49"/>
  <c r="F17" i="70"/>
  <c r="AG63" i="49"/>
  <c r="D17" i="70"/>
  <c r="AK113" i="49"/>
  <c r="F18" i="70"/>
  <c r="Y113" i="49"/>
  <c r="BQ113" i="49"/>
  <c r="BD107" i="49"/>
  <c r="BF107" i="49" s="1"/>
  <c r="Y63" i="49"/>
  <c r="BQ63" i="49"/>
  <c r="BI91" i="49"/>
  <c r="BL95" i="49"/>
  <c r="BL106" i="49"/>
  <c r="BI71" i="49"/>
  <c r="BI67" i="49"/>
  <c r="AW108" i="49"/>
  <c r="AR107" i="49"/>
  <c r="AS107" i="49" s="1"/>
  <c r="AO108" i="49"/>
  <c r="AB107" i="49"/>
  <c r="AC107" i="49" s="1"/>
  <c r="BO106" i="49"/>
  <c r="BI106" i="49"/>
  <c r="AV106" i="49"/>
  <c r="AW106" i="49" s="1"/>
  <c r="AN106" i="49"/>
  <c r="AO106" i="49" s="1"/>
  <c r="AF106" i="49"/>
  <c r="AG106" i="49" s="1"/>
  <c r="AZ106" i="49"/>
  <c r="BA106" i="49" s="1"/>
  <c r="X106" i="49"/>
  <c r="Y106" i="49" s="1"/>
  <c r="BO102" i="49"/>
  <c r="BL102" i="49"/>
  <c r="BI102" i="49"/>
  <c r="BD102" i="49"/>
  <c r="BF102" i="49" s="1"/>
  <c r="AZ102" i="49"/>
  <c r="BA102" i="49" s="1"/>
  <c r="AJ102" i="49"/>
  <c r="AK102" i="49" s="1"/>
  <c r="AN102" i="49"/>
  <c r="AO102" i="49" s="1"/>
  <c r="BD96" i="49"/>
  <c r="BF96" i="49" s="1"/>
  <c r="AW97" i="49"/>
  <c r="BO95" i="49"/>
  <c r="BI95" i="49"/>
  <c r="BD95" i="49"/>
  <c r="BF95" i="49" s="1"/>
  <c r="AN95" i="49"/>
  <c r="AO95" i="49" s="1"/>
  <c r="AF95" i="49"/>
  <c r="AG95" i="49" s="1"/>
  <c r="BO91" i="49"/>
  <c r="BL91" i="49"/>
  <c r="AV91" i="49"/>
  <c r="AW91" i="49" s="1"/>
  <c r="AF91" i="49"/>
  <c r="AG91" i="49" s="1"/>
  <c r="AZ91" i="49"/>
  <c r="BA91" i="49" s="1"/>
  <c r="AJ91" i="49"/>
  <c r="AK91" i="49" s="1"/>
  <c r="AV72" i="49"/>
  <c r="AW72" i="49" s="1"/>
  <c r="X72" i="49"/>
  <c r="Y72" i="49" s="1"/>
  <c r="BO71" i="49"/>
  <c r="BL71" i="49"/>
  <c r="AF71" i="49"/>
  <c r="AG71" i="49" s="1"/>
  <c r="BO67" i="49"/>
  <c r="BL67" i="49"/>
  <c r="AV67" i="49"/>
  <c r="AW67" i="49" s="1"/>
  <c r="AW65" i="49"/>
  <c r="AF67" i="49"/>
  <c r="AG67" i="49" s="1"/>
  <c r="AG110" i="49"/>
  <c r="AG108" i="49"/>
  <c r="X107" i="49"/>
  <c r="Y107" i="49" s="1"/>
  <c r="AZ109" i="49"/>
  <c r="BA109" i="49" s="1"/>
  <c r="AV109" i="49"/>
  <c r="AW109" i="49" s="1"/>
  <c r="AN109" i="49"/>
  <c r="AO109" i="49" s="1"/>
  <c r="AJ109" i="49"/>
  <c r="AK109" i="49" s="1"/>
  <c r="AF109" i="49"/>
  <c r="AG109" i="49" s="1"/>
  <c r="S110" i="49"/>
  <c r="BD106" i="49"/>
  <c r="BF106" i="49" s="1"/>
  <c r="AW104" i="49"/>
  <c r="AR106" i="49"/>
  <c r="AS106" i="49" s="1"/>
  <c r="AJ106" i="49"/>
  <c r="AK106" i="49" s="1"/>
  <c r="AG104" i="49"/>
  <c r="AB106" i="49"/>
  <c r="AC106" i="49" s="1"/>
  <c r="BF100" i="49"/>
  <c r="BA100" i="49"/>
  <c r="AV102" i="49"/>
  <c r="AW102" i="49" s="1"/>
  <c r="AR102" i="49"/>
  <c r="AS102" i="49" s="1"/>
  <c r="AF102" i="49"/>
  <c r="AG102" i="49" s="1"/>
  <c r="AB102" i="49"/>
  <c r="AC102" i="49" s="1"/>
  <c r="X102" i="49"/>
  <c r="Y102" i="49" s="1"/>
  <c r="S103" i="49"/>
  <c r="AN96" i="49"/>
  <c r="AO96" i="49" s="1"/>
  <c r="AJ96" i="49"/>
  <c r="AK96" i="49" s="1"/>
  <c r="AF96" i="49"/>
  <c r="AG96" i="49" s="1"/>
  <c r="X96" i="49"/>
  <c r="Y96" i="49" s="1"/>
  <c r="AZ98" i="49"/>
  <c r="BA98" i="49" s="1"/>
  <c r="AV98" i="49"/>
  <c r="AW98" i="49" s="1"/>
  <c r="S100" i="49"/>
  <c r="AZ95" i="49"/>
  <c r="BA95" i="49" s="1"/>
  <c r="AV95" i="49"/>
  <c r="AW95" i="49" s="1"/>
  <c r="AR95" i="49"/>
  <c r="AS95" i="49" s="1"/>
  <c r="AJ95" i="49"/>
  <c r="AK95" i="49" s="1"/>
  <c r="AB95" i="49"/>
  <c r="AC95" i="49" s="1"/>
  <c r="L66" i="57" s="1"/>
  <c r="X95" i="49"/>
  <c r="BD91" i="49"/>
  <c r="BF91" i="49" s="1"/>
  <c r="AW89" i="49"/>
  <c r="AR91" i="49"/>
  <c r="AS91" i="49" s="1"/>
  <c r="AN91" i="49"/>
  <c r="AO91" i="49" s="1"/>
  <c r="AG89" i="49"/>
  <c r="AB91" i="49"/>
  <c r="AC91" i="49" s="1"/>
  <c r="L64" i="57" s="1"/>
  <c r="X91" i="49"/>
  <c r="S92" i="49"/>
  <c r="AR72" i="49"/>
  <c r="AJ74" i="49"/>
  <c r="AK74" i="49" s="1"/>
  <c r="AG73" i="49"/>
  <c r="AB72" i="49"/>
  <c r="AC72" i="49" s="1"/>
  <c r="AZ74" i="49"/>
  <c r="BA74" i="49" s="1"/>
  <c r="AN74" i="49"/>
  <c r="AO74" i="49" s="1"/>
  <c r="AF74" i="49"/>
  <c r="AG74" i="49" s="1"/>
  <c r="S75" i="49"/>
  <c r="BD71" i="49"/>
  <c r="BF71" i="49" s="1"/>
  <c r="AZ71" i="49"/>
  <c r="BA71" i="49" s="1"/>
  <c r="AV71" i="49"/>
  <c r="AW71" i="49" s="1"/>
  <c r="AR71" i="49"/>
  <c r="AS71" i="49" s="1"/>
  <c r="AN71" i="49"/>
  <c r="AO71" i="49" s="1"/>
  <c r="AJ71" i="49"/>
  <c r="AK71" i="49" s="1"/>
  <c r="AB71" i="49"/>
  <c r="AC71" i="49" s="1"/>
  <c r="X71" i="49"/>
  <c r="Y71" i="49" s="1"/>
  <c r="BD67" i="49"/>
  <c r="BF67" i="49" s="1"/>
  <c r="AZ67" i="49"/>
  <c r="BA67" i="49" s="1"/>
  <c r="AR67" i="49"/>
  <c r="AS67" i="49" s="1"/>
  <c r="AN67" i="49"/>
  <c r="AO67" i="49" s="1"/>
  <c r="AJ67" i="49"/>
  <c r="AK67" i="49" s="1"/>
  <c r="AB67" i="49"/>
  <c r="AC67" i="49" s="1"/>
  <c r="X67" i="49"/>
  <c r="Y67" i="49" s="1"/>
  <c r="AK108" i="49"/>
  <c r="BA108" i="49"/>
  <c r="BA97" i="49"/>
  <c r="AR96" i="49"/>
  <c r="AB96" i="49"/>
  <c r="AK73" i="49"/>
  <c r="BA73" i="49"/>
  <c r="BD72" i="49"/>
  <c r="AO73" i="49"/>
  <c r="BO61" i="49"/>
  <c r="BL61" i="49"/>
  <c r="BI61" i="49"/>
  <c r="BD61" i="49"/>
  <c r="BF61" i="49" s="1"/>
  <c r="AZ61" i="49"/>
  <c r="BA61" i="49" s="1"/>
  <c r="AV61" i="49"/>
  <c r="AW61" i="49" s="1"/>
  <c r="AR61" i="49"/>
  <c r="AS61" i="49" s="1"/>
  <c r="AN61" i="49"/>
  <c r="AO61" i="49" s="1"/>
  <c r="AJ61" i="49"/>
  <c r="AK61" i="49" s="1"/>
  <c r="AF61" i="49"/>
  <c r="AG61" i="49" s="1"/>
  <c r="AB61" i="49"/>
  <c r="AC61" i="49" s="1"/>
  <c r="X61" i="49"/>
  <c r="Y61" i="49" s="1"/>
  <c r="S61" i="49"/>
  <c r="BO60" i="49"/>
  <c r="BL60" i="49"/>
  <c r="BI60" i="49"/>
  <c r="BD60" i="49"/>
  <c r="BF60" i="49" s="1"/>
  <c r="AZ60" i="49"/>
  <c r="BA60" i="49" s="1"/>
  <c r="AV60" i="49"/>
  <c r="AW60" i="49" s="1"/>
  <c r="AR60" i="49"/>
  <c r="AS60" i="49" s="1"/>
  <c r="AN60" i="49"/>
  <c r="AO60" i="49" s="1"/>
  <c r="AJ60" i="49"/>
  <c r="AK60" i="49" s="1"/>
  <c r="AF60" i="49"/>
  <c r="AG60" i="49" s="1"/>
  <c r="AB60" i="49"/>
  <c r="AC60" i="49" s="1"/>
  <c r="X60" i="49"/>
  <c r="Y60" i="49" s="1"/>
  <c r="S60" i="49"/>
  <c r="BO59" i="49"/>
  <c r="BL59" i="49"/>
  <c r="BI59" i="49"/>
  <c r="BD59" i="49"/>
  <c r="BF59" i="49" s="1"/>
  <c r="AZ59" i="49"/>
  <c r="BA59" i="49" s="1"/>
  <c r="AV59" i="49"/>
  <c r="AW59" i="49" s="1"/>
  <c r="AR59" i="49"/>
  <c r="AS59" i="49" s="1"/>
  <c r="AN59" i="49"/>
  <c r="AO59" i="49" s="1"/>
  <c r="AJ59" i="49"/>
  <c r="AK59" i="49" s="1"/>
  <c r="AF59" i="49"/>
  <c r="AG59" i="49" s="1"/>
  <c r="AB59" i="49"/>
  <c r="AC59" i="49" s="1"/>
  <c r="X59" i="49"/>
  <c r="Y59" i="49" s="1"/>
  <c r="S59" i="49"/>
  <c r="BO58" i="49"/>
  <c r="BL58" i="49"/>
  <c r="BI58" i="49"/>
  <c r="BD58" i="49"/>
  <c r="BF58" i="49" s="1"/>
  <c r="AZ58" i="49"/>
  <c r="BA58" i="49" s="1"/>
  <c r="AV58" i="49"/>
  <c r="AW58" i="49" s="1"/>
  <c r="AR58" i="49"/>
  <c r="AS58" i="49" s="1"/>
  <c r="AN58" i="49"/>
  <c r="AO58" i="49" s="1"/>
  <c r="AJ58" i="49"/>
  <c r="AK58" i="49" s="1"/>
  <c r="AF58" i="49"/>
  <c r="AG58" i="49" s="1"/>
  <c r="AB58" i="49"/>
  <c r="AC58" i="49" s="1"/>
  <c r="X58" i="49"/>
  <c r="Y58" i="49" s="1"/>
  <c r="S58" i="49"/>
  <c r="BO57" i="49"/>
  <c r="BL57" i="49"/>
  <c r="BI57" i="49"/>
  <c r="BD57" i="49"/>
  <c r="BF57" i="49" s="1"/>
  <c r="AZ57" i="49"/>
  <c r="BA57" i="49" s="1"/>
  <c r="AV57" i="49"/>
  <c r="AW57" i="49" s="1"/>
  <c r="AR57" i="49"/>
  <c r="AS57" i="49" s="1"/>
  <c r="AN57" i="49"/>
  <c r="AO57" i="49" s="1"/>
  <c r="AJ57" i="49"/>
  <c r="AK57" i="49" s="1"/>
  <c r="AF57" i="49"/>
  <c r="AG57" i="49" s="1"/>
  <c r="AB57" i="49"/>
  <c r="AC57" i="49" s="1"/>
  <c r="X57" i="49"/>
  <c r="Y57" i="49" s="1"/>
  <c r="S57" i="49"/>
  <c r="E51" i="57"/>
  <c r="E46" i="57"/>
  <c r="BO45" i="49"/>
  <c r="BL45" i="49"/>
  <c r="BL44" i="49" s="1"/>
  <c r="BI45" i="49"/>
  <c r="BD45" i="49"/>
  <c r="BF45" i="49" s="1"/>
  <c r="AZ45" i="49"/>
  <c r="BA45" i="49" s="1"/>
  <c r="AV45" i="49"/>
  <c r="AW45" i="49" s="1"/>
  <c r="AR45" i="49"/>
  <c r="AS45" i="49" s="1"/>
  <c r="AN45" i="49"/>
  <c r="AO45" i="49" s="1"/>
  <c r="AJ45" i="49"/>
  <c r="AK45" i="49" s="1"/>
  <c r="AF45" i="49"/>
  <c r="AG45" i="49" s="1"/>
  <c r="AB45" i="49"/>
  <c r="AC45" i="49" s="1"/>
  <c r="X45" i="49"/>
  <c r="Y45" i="49" s="1"/>
  <c r="S45" i="49"/>
  <c r="BO41" i="49"/>
  <c r="BL41" i="49"/>
  <c r="BI41" i="49"/>
  <c r="BD41" i="49"/>
  <c r="BF41" i="49" s="1"/>
  <c r="AZ41" i="49"/>
  <c r="BA41" i="49" s="1"/>
  <c r="AV41" i="49"/>
  <c r="AW41" i="49" s="1"/>
  <c r="AR41" i="49"/>
  <c r="AS41" i="49" s="1"/>
  <c r="AN41" i="49"/>
  <c r="AO41" i="49" s="1"/>
  <c r="AJ41" i="49"/>
  <c r="AK41" i="49" s="1"/>
  <c r="AF41" i="49"/>
  <c r="AG41" i="49" s="1"/>
  <c r="AB41" i="49"/>
  <c r="AC41" i="49" s="1"/>
  <c r="X41" i="49"/>
  <c r="Y41" i="49" s="1"/>
  <c r="S41" i="49"/>
  <c r="Y60" i="57" l="1"/>
  <c r="AF14" i="57" s="1"/>
  <c r="K65" i="57"/>
  <c r="W67" i="57" s="1"/>
  <c r="G65" i="57"/>
  <c r="K60" i="57"/>
  <c r="AF10" i="57" s="1"/>
  <c r="G60" i="57"/>
  <c r="K13" i="57"/>
  <c r="G13" i="57"/>
  <c r="K20" i="57"/>
  <c r="G20" i="57"/>
  <c r="W59" i="57"/>
  <c r="X59" i="57" s="1"/>
  <c r="AF29" i="57" s="1"/>
  <c r="Y95" i="49"/>
  <c r="I66" i="57"/>
  <c r="Y91" i="49"/>
  <c r="I64" i="57"/>
  <c r="U66" i="57" s="1"/>
  <c r="F28" i="70"/>
  <c r="D28" i="70"/>
  <c r="BD98" i="49"/>
  <c r="BF98" i="49" s="1"/>
  <c r="BD109" i="49"/>
  <c r="BF109" i="49" s="1"/>
  <c r="AR109" i="49"/>
  <c r="AS109" i="49" s="1"/>
  <c r="AB109" i="49"/>
  <c r="AC109" i="49" s="1"/>
  <c r="X109" i="49"/>
  <c r="Y109" i="49" s="1"/>
  <c r="AV74" i="49"/>
  <c r="AW74" i="49" s="1"/>
  <c r="X74" i="49"/>
  <c r="Y74" i="49" s="1"/>
  <c r="AN98" i="49"/>
  <c r="AO98" i="49" s="1"/>
  <c r="AJ98" i="49"/>
  <c r="AK98" i="49" s="1"/>
  <c r="AF98" i="49"/>
  <c r="AG98" i="49" s="1"/>
  <c r="X98" i="49"/>
  <c r="AS96" i="49"/>
  <c r="AR98" i="49"/>
  <c r="AS98" i="49" s="1"/>
  <c r="AC96" i="49"/>
  <c r="AB98" i="49"/>
  <c r="AC98" i="49" s="1"/>
  <c r="L67" i="57" s="1"/>
  <c r="AS72" i="49"/>
  <c r="AR74" i="49"/>
  <c r="AS74" i="49" s="1"/>
  <c r="AB74" i="49"/>
  <c r="AC74" i="49" s="1"/>
  <c r="BF72" i="49"/>
  <c r="BD74" i="49"/>
  <c r="BF74" i="49" s="1"/>
  <c r="BO55" i="49"/>
  <c r="C16" i="70" s="1"/>
  <c r="C25" i="70" s="1"/>
  <c r="BL55" i="49"/>
  <c r="BI55" i="49"/>
  <c r="BD55" i="49"/>
  <c r="AZ55" i="49"/>
  <c r="AV55" i="49"/>
  <c r="AR55" i="49"/>
  <c r="AN55" i="49"/>
  <c r="AJ55" i="49"/>
  <c r="AF55" i="49"/>
  <c r="AB55" i="49"/>
  <c r="AC55" i="49" s="1"/>
  <c r="X55" i="49"/>
  <c r="C14" i="70" s="1"/>
  <c r="S55" i="49"/>
  <c r="BO54" i="49"/>
  <c r="BL54" i="49"/>
  <c r="BI54" i="49"/>
  <c r="BD54" i="49"/>
  <c r="BF54" i="49" s="1"/>
  <c r="AZ54" i="49"/>
  <c r="BA54" i="49" s="1"/>
  <c r="AV54" i="49"/>
  <c r="AW54" i="49" s="1"/>
  <c r="AR54" i="49"/>
  <c r="AS54" i="49" s="1"/>
  <c r="AN54" i="49"/>
  <c r="AO54" i="49" s="1"/>
  <c r="AJ54" i="49"/>
  <c r="AK54" i="49" s="1"/>
  <c r="AF54" i="49"/>
  <c r="AG54" i="49" s="1"/>
  <c r="AB54" i="49"/>
  <c r="AC54" i="49" s="1"/>
  <c r="X54" i="49"/>
  <c r="Y54" i="49" s="1"/>
  <c r="BE53" i="49"/>
  <c r="BC53" i="49"/>
  <c r="BB53" i="49"/>
  <c r="AY53" i="49"/>
  <c r="AX53" i="49"/>
  <c r="AU53" i="49"/>
  <c r="AT53" i="49"/>
  <c r="AQ53" i="49"/>
  <c r="AP53" i="49"/>
  <c r="AM53" i="49"/>
  <c r="AL53" i="49"/>
  <c r="AI53" i="49"/>
  <c r="AH53" i="49"/>
  <c r="AE53" i="49"/>
  <c r="AD53" i="49"/>
  <c r="AA53" i="49"/>
  <c r="Z53" i="49"/>
  <c r="W53" i="49"/>
  <c r="V53" i="49"/>
  <c r="U53" i="49"/>
  <c r="T53" i="49"/>
  <c r="R53" i="49"/>
  <c r="M53" i="49"/>
  <c r="L53" i="49"/>
  <c r="K53" i="49"/>
  <c r="J53" i="49"/>
  <c r="BO52" i="49"/>
  <c r="BL52" i="49"/>
  <c r="BI52" i="49"/>
  <c r="BD52" i="49"/>
  <c r="BF52" i="49" s="1"/>
  <c r="AZ52" i="49"/>
  <c r="BA52" i="49" s="1"/>
  <c r="AV52" i="49"/>
  <c r="AW52" i="49" s="1"/>
  <c r="AR52" i="49"/>
  <c r="AS52" i="49" s="1"/>
  <c r="AN52" i="49"/>
  <c r="AO52" i="49" s="1"/>
  <c r="AJ52" i="49"/>
  <c r="AK52" i="49" s="1"/>
  <c r="AF52" i="49"/>
  <c r="AG52" i="49" s="1"/>
  <c r="AB52" i="49"/>
  <c r="AC52" i="49" s="1"/>
  <c r="X52" i="49"/>
  <c r="Y52" i="49" s="1"/>
  <c r="S52" i="49"/>
  <c r="S53" i="49" s="1"/>
  <c r="BO51" i="49"/>
  <c r="BL51" i="49"/>
  <c r="BI51" i="49"/>
  <c r="BD51" i="49"/>
  <c r="BF51" i="49" s="1"/>
  <c r="AZ51" i="49"/>
  <c r="BA51" i="49" s="1"/>
  <c r="AV51" i="49"/>
  <c r="AW51" i="49" s="1"/>
  <c r="AR51" i="49"/>
  <c r="AS51" i="49" s="1"/>
  <c r="AN51" i="49"/>
  <c r="AO51" i="49" s="1"/>
  <c r="AJ51" i="49"/>
  <c r="AK51" i="49" s="1"/>
  <c r="AF51" i="49"/>
  <c r="AB51" i="49"/>
  <c r="AC51" i="49" s="1"/>
  <c r="X51" i="49"/>
  <c r="Y51" i="49" s="1"/>
  <c r="S51" i="49"/>
  <c r="BO50" i="49"/>
  <c r="BL50" i="49"/>
  <c r="BI50" i="49"/>
  <c r="BD50" i="49"/>
  <c r="BF50" i="49" s="1"/>
  <c r="AZ50" i="49"/>
  <c r="BA50" i="49" s="1"/>
  <c r="AV50" i="49"/>
  <c r="AW50" i="49" s="1"/>
  <c r="AR50" i="49"/>
  <c r="AS50" i="49" s="1"/>
  <c r="AN50" i="49"/>
  <c r="AO50" i="49" s="1"/>
  <c r="AJ50" i="49"/>
  <c r="AK50" i="49" s="1"/>
  <c r="AF50" i="49"/>
  <c r="AG50" i="49" s="1"/>
  <c r="AB50" i="49"/>
  <c r="AC50" i="49" s="1"/>
  <c r="L51" i="57" s="1"/>
  <c r="X50" i="49"/>
  <c r="BE49" i="49"/>
  <c r="BC49" i="49"/>
  <c r="BB49" i="49"/>
  <c r="AY49" i="49"/>
  <c r="AX49" i="49"/>
  <c r="AU49" i="49"/>
  <c r="AT49" i="49"/>
  <c r="AQ49" i="49"/>
  <c r="AP49" i="49"/>
  <c r="AM49" i="49"/>
  <c r="AL49" i="49"/>
  <c r="AI49" i="49"/>
  <c r="AH49" i="49"/>
  <c r="AE49" i="49"/>
  <c r="AD49" i="49"/>
  <c r="AA49" i="49"/>
  <c r="Z49" i="49"/>
  <c r="W49" i="49"/>
  <c r="V49" i="49"/>
  <c r="U49" i="49"/>
  <c r="T49" i="49"/>
  <c r="R49" i="49"/>
  <c r="M49" i="49"/>
  <c r="L49" i="49"/>
  <c r="K49" i="49"/>
  <c r="J49" i="49"/>
  <c r="BO48" i="49"/>
  <c r="BL48" i="49"/>
  <c r="BI48" i="49"/>
  <c r="BD48" i="49"/>
  <c r="BF48" i="49" s="1"/>
  <c r="AZ48" i="49"/>
  <c r="BA48" i="49" s="1"/>
  <c r="AV48" i="49"/>
  <c r="AW48" i="49" s="1"/>
  <c r="AR48" i="49"/>
  <c r="AS48" i="49" s="1"/>
  <c r="AN48" i="49"/>
  <c r="AO48" i="49" s="1"/>
  <c r="AJ48" i="49"/>
  <c r="AK48" i="49" s="1"/>
  <c r="AF48" i="49"/>
  <c r="AG48" i="49" s="1"/>
  <c r="AB48" i="49"/>
  <c r="AC48" i="49" s="1"/>
  <c r="X48" i="49"/>
  <c r="Y48" i="49" s="1"/>
  <c r="S48" i="49"/>
  <c r="S49" i="49" s="1"/>
  <c r="BO47" i="49"/>
  <c r="BL47" i="49"/>
  <c r="BI47" i="49"/>
  <c r="BD47" i="49"/>
  <c r="BF47" i="49" s="1"/>
  <c r="AZ47" i="49"/>
  <c r="BA47" i="49" s="1"/>
  <c r="AV47" i="49"/>
  <c r="AW47" i="49" s="1"/>
  <c r="AR47" i="49"/>
  <c r="AS47" i="49" s="1"/>
  <c r="AN47" i="49"/>
  <c r="AO47" i="49" s="1"/>
  <c r="AJ47" i="49"/>
  <c r="AK47" i="49" s="1"/>
  <c r="AF47" i="49"/>
  <c r="AB47" i="49"/>
  <c r="AC47" i="49" s="1"/>
  <c r="X47" i="49"/>
  <c r="Y47" i="49" s="1"/>
  <c r="BE46" i="49"/>
  <c r="BC46" i="49"/>
  <c r="BB46" i="49"/>
  <c r="AY46" i="49"/>
  <c r="AX46" i="49"/>
  <c r="AU46" i="49"/>
  <c r="AT46" i="49"/>
  <c r="AQ46" i="49"/>
  <c r="AP46" i="49"/>
  <c r="AM46" i="49"/>
  <c r="AL46" i="49"/>
  <c r="AI46" i="49"/>
  <c r="AH46" i="49"/>
  <c r="AE46" i="49"/>
  <c r="AD46" i="49"/>
  <c r="AA46" i="49"/>
  <c r="Z46" i="49"/>
  <c r="W46" i="49"/>
  <c r="V46" i="49"/>
  <c r="U46" i="49"/>
  <c r="T46" i="49"/>
  <c r="S46" i="49"/>
  <c r="R46" i="49"/>
  <c r="M46" i="49"/>
  <c r="L46" i="49"/>
  <c r="K46" i="49"/>
  <c r="J46" i="49"/>
  <c r="BO43" i="49"/>
  <c r="BL43" i="49"/>
  <c r="BI43" i="49"/>
  <c r="BD43" i="49"/>
  <c r="BF43" i="49" s="1"/>
  <c r="AZ43" i="49"/>
  <c r="BA43" i="49" s="1"/>
  <c r="AV43" i="49"/>
  <c r="AW43" i="49" s="1"/>
  <c r="AR43" i="49"/>
  <c r="AS43" i="49" s="1"/>
  <c r="AN43" i="49"/>
  <c r="AO43" i="49" s="1"/>
  <c r="AJ43" i="49"/>
  <c r="AK43" i="49" s="1"/>
  <c r="AF43" i="49"/>
  <c r="AG43" i="49" s="1"/>
  <c r="AB43" i="49"/>
  <c r="AC43" i="49" s="1"/>
  <c r="X43" i="49"/>
  <c r="Y43" i="49" s="1"/>
  <c r="BE42" i="49"/>
  <c r="BC42" i="49"/>
  <c r="BB42" i="49"/>
  <c r="AY42" i="49"/>
  <c r="AX42" i="49"/>
  <c r="AU42" i="49"/>
  <c r="AT42" i="49"/>
  <c r="AQ42" i="49"/>
  <c r="AP42" i="49"/>
  <c r="AM42" i="49"/>
  <c r="AL42" i="49"/>
  <c r="AI42" i="49"/>
  <c r="AH42" i="49"/>
  <c r="AE42" i="49"/>
  <c r="AD42" i="49"/>
  <c r="AA42" i="49"/>
  <c r="Z42" i="49"/>
  <c r="W42" i="49"/>
  <c r="V42" i="49"/>
  <c r="S42" i="49"/>
  <c r="R42" i="49"/>
  <c r="M42" i="49"/>
  <c r="L42" i="49"/>
  <c r="K42" i="49"/>
  <c r="J42" i="49"/>
  <c r="BE39" i="49"/>
  <c r="BC39" i="49"/>
  <c r="BB39" i="49"/>
  <c r="AY39" i="49"/>
  <c r="AX39" i="49"/>
  <c r="AU39" i="49"/>
  <c r="AT39" i="49"/>
  <c r="AQ39" i="49"/>
  <c r="AP39" i="49"/>
  <c r="AM39" i="49"/>
  <c r="AL39" i="49"/>
  <c r="AI39" i="49"/>
  <c r="AH39" i="49"/>
  <c r="AE39" i="49"/>
  <c r="AD39" i="49"/>
  <c r="AA39" i="49"/>
  <c r="Z39" i="49"/>
  <c r="W39" i="49"/>
  <c r="V39" i="49"/>
  <c r="R39" i="49"/>
  <c r="M39" i="49"/>
  <c r="L39" i="49"/>
  <c r="K39" i="49"/>
  <c r="J39" i="49"/>
  <c r="BO38" i="49"/>
  <c r="BL38" i="49"/>
  <c r="BI38" i="49"/>
  <c r="BD38" i="49"/>
  <c r="BF38" i="49" s="1"/>
  <c r="AZ38" i="49"/>
  <c r="BA38" i="49" s="1"/>
  <c r="AV38" i="49"/>
  <c r="AW38" i="49" s="1"/>
  <c r="AR38" i="49"/>
  <c r="AS38" i="49" s="1"/>
  <c r="AN38" i="49"/>
  <c r="AO38" i="49" s="1"/>
  <c r="AJ38" i="49"/>
  <c r="AK38" i="49" s="1"/>
  <c r="AF38" i="49"/>
  <c r="AG38" i="49" s="1"/>
  <c r="AB38" i="49"/>
  <c r="AC38" i="49" s="1"/>
  <c r="X38" i="49"/>
  <c r="Y38" i="49" s="1"/>
  <c r="S38" i="49"/>
  <c r="S39" i="49" s="1"/>
  <c r="BO37" i="49"/>
  <c r="BL37" i="49"/>
  <c r="BI37" i="49"/>
  <c r="BD37" i="49"/>
  <c r="BF37" i="49" s="1"/>
  <c r="AZ37" i="49"/>
  <c r="AV37" i="49"/>
  <c r="AW37" i="49" s="1"/>
  <c r="AR37" i="49"/>
  <c r="AN37" i="49"/>
  <c r="AO37" i="49" s="1"/>
  <c r="AJ37" i="49"/>
  <c r="AK37" i="49" s="1"/>
  <c r="AF37" i="49"/>
  <c r="AG37" i="49" s="1"/>
  <c r="AB37" i="49"/>
  <c r="AC37" i="49" s="1"/>
  <c r="X37" i="49"/>
  <c r="Y37" i="49" s="1"/>
  <c r="S37" i="49"/>
  <c r="BO36" i="49"/>
  <c r="BL36" i="49"/>
  <c r="BI36" i="49"/>
  <c r="BD36" i="49"/>
  <c r="BF36" i="49" s="1"/>
  <c r="AZ36" i="49"/>
  <c r="BA36" i="49" s="1"/>
  <c r="AV36" i="49"/>
  <c r="AW36" i="49" s="1"/>
  <c r="AR36" i="49"/>
  <c r="AS36" i="49" s="1"/>
  <c r="AN36" i="49"/>
  <c r="AO36" i="49" s="1"/>
  <c r="AJ36" i="49"/>
  <c r="AK36" i="49" s="1"/>
  <c r="AF36" i="49"/>
  <c r="AG36" i="49" s="1"/>
  <c r="AB36" i="49"/>
  <c r="AC36" i="49" s="1"/>
  <c r="L46" i="57" s="1"/>
  <c r="X36" i="49"/>
  <c r="BE35" i="49"/>
  <c r="BC35" i="49"/>
  <c r="BB35" i="49"/>
  <c r="AY35" i="49"/>
  <c r="AX35" i="49"/>
  <c r="AU35" i="49"/>
  <c r="AT35" i="49"/>
  <c r="AQ35" i="49"/>
  <c r="AP35" i="49"/>
  <c r="AM35" i="49"/>
  <c r="AL35" i="49"/>
  <c r="AI35" i="49"/>
  <c r="AH35" i="49"/>
  <c r="AE35" i="49"/>
  <c r="AD35" i="49"/>
  <c r="AA35" i="49"/>
  <c r="Z35" i="49"/>
  <c r="W35" i="49"/>
  <c r="V35" i="49"/>
  <c r="R35" i="49"/>
  <c r="M35" i="49"/>
  <c r="L35" i="49"/>
  <c r="K35" i="49"/>
  <c r="J35" i="49"/>
  <c r="BO34" i="49"/>
  <c r="BL34" i="49"/>
  <c r="BI34" i="49"/>
  <c r="BD34" i="49"/>
  <c r="BF34" i="49" s="1"/>
  <c r="AZ34" i="49"/>
  <c r="BA34" i="49" s="1"/>
  <c r="AV34" i="49"/>
  <c r="AW34" i="49" s="1"/>
  <c r="AR34" i="49"/>
  <c r="AS34" i="49" s="1"/>
  <c r="AN34" i="49"/>
  <c r="AO34" i="49" s="1"/>
  <c r="AJ34" i="49"/>
  <c r="AK34" i="49" s="1"/>
  <c r="AF34" i="49"/>
  <c r="AG34" i="49" s="1"/>
  <c r="AB34" i="49"/>
  <c r="AC34" i="49" s="1"/>
  <c r="X34" i="49"/>
  <c r="Y34" i="49" s="1"/>
  <c r="S34" i="49"/>
  <c r="S35" i="49" s="1"/>
  <c r="BO33" i="49"/>
  <c r="BL33" i="49"/>
  <c r="BI33" i="49"/>
  <c r="BD33" i="49"/>
  <c r="BF33" i="49" s="1"/>
  <c r="AZ33" i="49"/>
  <c r="BA33" i="49" s="1"/>
  <c r="AV33" i="49"/>
  <c r="AR33" i="49"/>
  <c r="AS33" i="49" s="1"/>
  <c r="AN33" i="49"/>
  <c r="AO33" i="49" s="1"/>
  <c r="AJ33" i="49"/>
  <c r="AK33" i="49" s="1"/>
  <c r="AF33" i="49"/>
  <c r="AB33" i="49"/>
  <c r="AC33" i="49" s="1"/>
  <c r="X33" i="49"/>
  <c r="Y33" i="49" s="1"/>
  <c r="S33" i="49"/>
  <c r="BO31" i="49"/>
  <c r="BL31" i="49"/>
  <c r="BI31" i="49"/>
  <c r="BD31" i="49"/>
  <c r="AZ31" i="49"/>
  <c r="AV31" i="49"/>
  <c r="AR31" i="49"/>
  <c r="AN31" i="49"/>
  <c r="AJ31" i="49"/>
  <c r="AF31" i="49"/>
  <c r="AB31" i="49"/>
  <c r="AC31" i="49" s="1"/>
  <c r="X31" i="49"/>
  <c r="S31" i="49"/>
  <c r="BO30" i="49"/>
  <c r="BL30" i="49"/>
  <c r="BI30" i="49"/>
  <c r="BD30" i="49"/>
  <c r="BF30" i="49" s="1"/>
  <c r="AZ30" i="49"/>
  <c r="BA30" i="49" s="1"/>
  <c r="AV30" i="49"/>
  <c r="AW30" i="49" s="1"/>
  <c r="AR30" i="49"/>
  <c r="AS30" i="49" s="1"/>
  <c r="AN30" i="49"/>
  <c r="AO30" i="49" s="1"/>
  <c r="AJ30" i="49"/>
  <c r="AK30" i="49" s="1"/>
  <c r="AF30" i="49"/>
  <c r="AG30" i="49" s="1"/>
  <c r="AB30" i="49"/>
  <c r="AC30" i="49" s="1"/>
  <c r="X30" i="49"/>
  <c r="Y30" i="49" s="1"/>
  <c r="S30" i="49"/>
  <c r="BO29" i="49"/>
  <c r="BL29" i="49"/>
  <c r="BI29" i="49"/>
  <c r="BD29" i="49"/>
  <c r="BF29" i="49" s="1"/>
  <c r="AZ29" i="49"/>
  <c r="BA29" i="49" s="1"/>
  <c r="AV29" i="49"/>
  <c r="AW29" i="49" s="1"/>
  <c r="AR29" i="49"/>
  <c r="AS29" i="49" s="1"/>
  <c r="AN29" i="49"/>
  <c r="AO29" i="49" s="1"/>
  <c r="AJ29" i="49"/>
  <c r="AK29" i="49" s="1"/>
  <c r="AF29" i="49"/>
  <c r="AG29" i="49" s="1"/>
  <c r="AB29" i="49"/>
  <c r="AC29" i="49" s="1"/>
  <c r="X29" i="49"/>
  <c r="Y29" i="49" s="1"/>
  <c r="S29" i="49"/>
  <c r="BO28" i="49"/>
  <c r="BL28" i="49"/>
  <c r="BI28" i="49"/>
  <c r="BD28" i="49"/>
  <c r="BF28" i="49" s="1"/>
  <c r="AZ28" i="49"/>
  <c r="BA28" i="49" s="1"/>
  <c r="AV28" i="49"/>
  <c r="AW28" i="49" s="1"/>
  <c r="AR28" i="49"/>
  <c r="AS28" i="49" s="1"/>
  <c r="AN28" i="49"/>
  <c r="AO28" i="49" s="1"/>
  <c r="AJ28" i="49"/>
  <c r="AK28" i="49" s="1"/>
  <c r="AF28" i="49"/>
  <c r="AG28" i="49" s="1"/>
  <c r="AB28" i="49"/>
  <c r="AC28" i="49" s="1"/>
  <c r="X28" i="49"/>
  <c r="Y28" i="49" s="1"/>
  <c r="S28" i="49"/>
  <c r="BO27" i="49"/>
  <c r="BL27" i="49"/>
  <c r="BI27" i="49"/>
  <c r="BD27" i="49"/>
  <c r="BF27" i="49" s="1"/>
  <c r="AZ27" i="49"/>
  <c r="BA27" i="49" s="1"/>
  <c r="AV27" i="49"/>
  <c r="AW27" i="49" s="1"/>
  <c r="AR27" i="49"/>
  <c r="AS27" i="49" s="1"/>
  <c r="AN27" i="49"/>
  <c r="AO27" i="49" s="1"/>
  <c r="AJ27" i="49"/>
  <c r="AK27" i="49" s="1"/>
  <c r="AF27" i="49"/>
  <c r="AG27" i="49" s="1"/>
  <c r="AB27" i="49"/>
  <c r="AC27" i="49" s="1"/>
  <c r="X27" i="49"/>
  <c r="Y27" i="49" s="1"/>
  <c r="S27" i="49"/>
  <c r="BO26" i="49"/>
  <c r="BL26" i="49"/>
  <c r="BI26" i="49"/>
  <c r="BD26" i="49"/>
  <c r="BF26" i="49" s="1"/>
  <c r="AZ26" i="49"/>
  <c r="BA26" i="49" s="1"/>
  <c r="AV26" i="49"/>
  <c r="AW26" i="49" s="1"/>
  <c r="AR26" i="49"/>
  <c r="AS26" i="49" s="1"/>
  <c r="AN26" i="49"/>
  <c r="AO26" i="49" s="1"/>
  <c r="AJ26" i="49"/>
  <c r="AK26" i="49" s="1"/>
  <c r="AF26" i="49"/>
  <c r="AG26" i="49" s="1"/>
  <c r="AB26" i="49"/>
  <c r="AC26" i="49" s="1"/>
  <c r="X26" i="49"/>
  <c r="Y26" i="49" s="1"/>
  <c r="S26" i="49"/>
  <c r="BO25" i="49"/>
  <c r="BL25" i="49"/>
  <c r="BI25" i="49"/>
  <c r="BD25" i="49"/>
  <c r="BF25" i="49" s="1"/>
  <c r="AZ25" i="49"/>
  <c r="BA25" i="49" s="1"/>
  <c r="AV25" i="49"/>
  <c r="AW25" i="49" s="1"/>
  <c r="AR25" i="49"/>
  <c r="AS25" i="49" s="1"/>
  <c r="AN25" i="49"/>
  <c r="AO25" i="49" s="1"/>
  <c r="AJ25" i="49"/>
  <c r="AK25" i="49" s="1"/>
  <c r="AF25" i="49"/>
  <c r="AG25" i="49" s="1"/>
  <c r="AB25" i="49"/>
  <c r="AC25" i="49" s="1"/>
  <c r="X25" i="49"/>
  <c r="Y25" i="49" s="1"/>
  <c r="S25" i="49"/>
  <c r="BO24" i="49"/>
  <c r="BL24" i="49"/>
  <c r="BI24" i="49"/>
  <c r="BD24" i="49"/>
  <c r="BF24" i="49" s="1"/>
  <c r="AZ24" i="49"/>
  <c r="BA24" i="49" s="1"/>
  <c r="AV24" i="49"/>
  <c r="AW24" i="49" s="1"/>
  <c r="AR24" i="49"/>
  <c r="AS24" i="49" s="1"/>
  <c r="AN24" i="49"/>
  <c r="AO24" i="49" s="1"/>
  <c r="AJ24" i="49"/>
  <c r="AK24" i="49" s="1"/>
  <c r="AF24" i="49"/>
  <c r="AG24" i="49" s="1"/>
  <c r="AB24" i="49"/>
  <c r="AC24" i="49" s="1"/>
  <c r="X24" i="49"/>
  <c r="Y24" i="49" s="1"/>
  <c r="S24" i="49"/>
  <c r="BO23" i="49"/>
  <c r="BL23" i="49"/>
  <c r="BI23" i="49"/>
  <c r="BD23" i="49"/>
  <c r="BF23" i="49" s="1"/>
  <c r="AZ23" i="49"/>
  <c r="BA23" i="49" s="1"/>
  <c r="AV23" i="49"/>
  <c r="AW23" i="49" s="1"/>
  <c r="AR23" i="49"/>
  <c r="AS23" i="49" s="1"/>
  <c r="AN23" i="49"/>
  <c r="AO23" i="49" s="1"/>
  <c r="AJ23" i="49"/>
  <c r="AK23" i="49" s="1"/>
  <c r="AF23" i="49"/>
  <c r="AG23" i="49" s="1"/>
  <c r="AB23" i="49"/>
  <c r="AC23" i="49" s="1"/>
  <c r="X23" i="49"/>
  <c r="Y23" i="49" s="1"/>
  <c r="S23" i="49"/>
  <c r="BO22" i="49"/>
  <c r="BL22" i="49"/>
  <c r="BI22" i="49"/>
  <c r="BD22" i="49"/>
  <c r="BF22" i="49" s="1"/>
  <c r="AZ22" i="49"/>
  <c r="BA22" i="49" s="1"/>
  <c r="AV22" i="49"/>
  <c r="AW22" i="49" s="1"/>
  <c r="AR22" i="49"/>
  <c r="AS22" i="49" s="1"/>
  <c r="AN22" i="49"/>
  <c r="AO22" i="49" s="1"/>
  <c r="AJ22" i="49"/>
  <c r="AK22" i="49" s="1"/>
  <c r="AF22" i="49"/>
  <c r="AG22" i="49" s="1"/>
  <c r="AB22" i="49"/>
  <c r="AC22" i="49" s="1"/>
  <c r="X22" i="49"/>
  <c r="Y22" i="49" s="1"/>
  <c r="S22" i="49"/>
  <c r="BO21" i="49"/>
  <c r="BL21" i="49"/>
  <c r="BI21" i="49"/>
  <c r="BD21" i="49"/>
  <c r="BF21" i="49" s="1"/>
  <c r="AZ21" i="49"/>
  <c r="BA21" i="49" s="1"/>
  <c r="AV21" i="49"/>
  <c r="AW21" i="49" s="1"/>
  <c r="AR21" i="49"/>
  <c r="AS21" i="49" s="1"/>
  <c r="AN21" i="49"/>
  <c r="AO21" i="49" s="1"/>
  <c r="AJ21" i="49"/>
  <c r="AK21" i="49" s="1"/>
  <c r="AF21" i="49"/>
  <c r="AG21" i="49" s="1"/>
  <c r="AB21" i="49"/>
  <c r="AC21" i="49" s="1"/>
  <c r="X21" i="49"/>
  <c r="Y21" i="49" s="1"/>
  <c r="S21" i="49"/>
  <c r="BO20" i="49"/>
  <c r="BL20" i="49"/>
  <c r="BI20" i="49"/>
  <c r="BD20" i="49"/>
  <c r="BF20" i="49" s="1"/>
  <c r="AZ20" i="49"/>
  <c r="BA20" i="49" s="1"/>
  <c r="AV20" i="49"/>
  <c r="AW20" i="49" s="1"/>
  <c r="AR20" i="49"/>
  <c r="AS20" i="49" s="1"/>
  <c r="AN20" i="49"/>
  <c r="AO20" i="49" s="1"/>
  <c r="AJ20" i="49"/>
  <c r="AK20" i="49" s="1"/>
  <c r="AF20" i="49"/>
  <c r="AG20" i="49" s="1"/>
  <c r="AB20" i="49"/>
  <c r="AC20" i="49" s="1"/>
  <c r="X20" i="49"/>
  <c r="Y20" i="49" s="1"/>
  <c r="S20" i="49"/>
  <c r="BO19" i="49"/>
  <c r="BL19" i="49"/>
  <c r="BI19" i="49"/>
  <c r="BD19" i="49"/>
  <c r="BF19" i="49" s="1"/>
  <c r="AZ19" i="49"/>
  <c r="BA19" i="49" s="1"/>
  <c r="AV19" i="49"/>
  <c r="AW19" i="49" s="1"/>
  <c r="AR19" i="49"/>
  <c r="AS19" i="49" s="1"/>
  <c r="AN19" i="49"/>
  <c r="AO19" i="49" s="1"/>
  <c r="AJ19" i="49"/>
  <c r="AK19" i="49" s="1"/>
  <c r="AF19" i="49"/>
  <c r="AG19" i="49" s="1"/>
  <c r="AB19" i="49"/>
  <c r="AC19" i="49" s="1"/>
  <c r="X19" i="49"/>
  <c r="Y19" i="49" s="1"/>
  <c r="S19" i="49"/>
  <c r="BO18" i="49"/>
  <c r="BL18" i="49"/>
  <c r="BI18" i="49"/>
  <c r="BD18" i="49"/>
  <c r="BF18" i="49" s="1"/>
  <c r="AZ18" i="49"/>
  <c r="BA18" i="49" s="1"/>
  <c r="AV18" i="49"/>
  <c r="AW18" i="49" s="1"/>
  <c r="AR18" i="49"/>
  <c r="AS18" i="49" s="1"/>
  <c r="AN18" i="49"/>
  <c r="AO18" i="49" s="1"/>
  <c r="AJ18" i="49"/>
  <c r="AK18" i="49" s="1"/>
  <c r="AF18" i="49"/>
  <c r="AG18" i="49" s="1"/>
  <c r="AB18" i="49"/>
  <c r="AC18" i="49" s="1"/>
  <c r="X18" i="49"/>
  <c r="Y18" i="49" s="1"/>
  <c r="S18" i="49"/>
  <c r="BO17" i="49"/>
  <c r="BL17" i="49"/>
  <c r="BI17" i="49"/>
  <c r="BD17" i="49"/>
  <c r="BF17" i="49" s="1"/>
  <c r="AZ17" i="49"/>
  <c r="BA17" i="49" s="1"/>
  <c r="AV17" i="49"/>
  <c r="AW17" i="49" s="1"/>
  <c r="AR17" i="49"/>
  <c r="AS17" i="49" s="1"/>
  <c r="AN17" i="49"/>
  <c r="AO17" i="49" s="1"/>
  <c r="AJ17" i="49"/>
  <c r="AK17" i="49" s="1"/>
  <c r="AF17" i="49"/>
  <c r="AG17" i="49" s="1"/>
  <c r="AB17" i="49"/>
  <c r="AC17" i="49" s="1"/>
  <c r="X17" i="49"/>
  <c r="Y17" i="49" s="1"/>
  <c r="S17" i="49"/>
  <c r="BO16" i="49"/>
  <c r="BL16" i="49"/>
  <c r="BI16" i="49"/>
  <c r="BD16" i="49"/>
  <c r="BF16" i="49" s="1"/>
  <c r="AZ16" i="49"/>
  <c r="BA16" i="49" s="1"/>
  <c r="AV16" i="49"/>
  <c r="AW16" i="49" s="1"/>
  <c r="AR16" i="49"/>
  <c r="AS16" i="49" s="1"/>
  <c r="AN16" i="49"/>
  <c r="AO16" i="49" s="1"/>
  <c r="AJ16" i="49"/>
  <c r="AK16" i="49" s="1"/>
  <c r="AF16" i="49"/>
  <c r="AG16" i="49" s="1"/>
  <c r="AB16" i="49"/>
  <c r="AC16" i="49" s="1"/>
  <c r="X16" i="49"/>
  <c r="Y16" i="49" s="1"/>
  <c r="S16" i="49"/>
  <c r="BO15" i="49"/>
  <c r="BL15" i="49"/>
  <c r="BI15" i="49"/>
  <c r="BD15" i="49"/>
  <c r="BF15" i="49" s="1"/>
  <c r="AZ15" i="49"/>
  <c r="BA15" i="49" s="1"/>
  <c r="AV15" i="49"/>
  <c r="AW15" i="49" s="1"/>
  <c r="AR15" i="49"/>
  <c r="AS15" i="49" s="1"/>
  <c r="AN15" i="49"/>
  <c r="AO15" i="49" s="1"/>
  <c r="AJ15" i="49"/>
  <c r="AK15" i="49" s="1"/>
  <c r="AF15" i="49"/>
  <c r="AG15" i="49" s="1"/>
  <c r="AB15" i="49"/>
  <c r="AC15" i="49" s="1"/>
  <c r="X15" i="49"/>
  <c r="Y15" i="49" s="1"/>
  <c r="S15" i="49"/>
  <c r="BO14" i="49"/>
  <c r="BL14" i="49"/>
  <c r="BI14" i="49"/>
  <c r="BD14" i="49"/>
  <c r="BF14" i="49" s="1"/>
  <c r="AZ14" i="49"/>
  <c r="BA14" i="49" s="1"/>
  <c r="AV14" i="49"/>
  <c r="AW14" i="49" s="1"/>
  <c r="AR14" i="49"/>
  <c r="AS14" i="49" s="1"/>
  <c r="AN14" i="49"/>
  <c r="AO14" i="49" s="1"/>
  <c r="AJ14" i="49"/>
  <c r="AK14" i="49" s="1"/>
  <c r="AF14" i="49"/>
  <c r="AG14" i="49" s="1"/>
  <c r="AB14" i="49"/>
  <c r="AC14" i="49" s="1"/>
  <c r="X14" i="49"/>
  <c r="Y14" i="49" s="1"/>
  <c r="S14" i="49"/>
  <c r="BO13" i="49"/>
  <c r="BL13" i="49"/>
  <c r="BI13" i="49"/>
  <c r="BD13" i="49"/>
  <c r="BF13" i="49" s="1"/>
  <c r="AZ13" i="49"/>
  <c r="BA13" i="49" s="1"/>
  <c r="AV13" i="49"/>
  <c r="AW13" i="49" s="1"/>
  <c r="AR13" i="49"/>
  <c r="AS13" i="49" s="1"/>
  <c r="AN13" i="49"/>
  <c r="AO13" i="49" s="1"/>
  <c r="AJ13" i="49"/>
  <c r="AK13" i="49" s="1"/>
  <c r="AF13" i="49"/>
  <c r="AG13" i="49" s="1"/>
  <c r="AB13" i="49"/>
  <c r="AC13" i="49" s="1"/>
  <c r="X13" i="49"/>
  <c r="S13" i="49"/>
  <c r="BO11" i="49"/>
  <c r="BL11" i="49"/>
  <c r="BI11" i="49"/>
  <c r="BD11" i="49"/>
  <c r="BF11" i="49" s="1"/>
  <c r="AZ11" i="49"/>
  <c r="BA11" i="49" s="1"/>
  <c r="AV11" i="49"/>
  <c r="AW11" i="49" s="1"/>
  <c r="AR11" i="49"/>
  <c r="AS11" i="49" s="1"/>
  <c r="AN11" i="49"/>
  <c r="AO11" i="49" s="1"/>
  <c r="AJ11" i="49"/>
  <c r="AK11" i="49" s="1"/>
  <c r="AF11" i="49"/>
  <c r="AG11" i="49" s="1"/>
  <c r="AB11" i="49"/>
  <c r="AC11" i="49" s="1"/>
  <c r="X11" i="49"/>
  <c r="Y11" i="49" s="1"/>
  <c r="S11" i="49"/>
  <c r="BO10" i="49"/>
  <c r="BL10" i="49"/>
  <c r="BI10" i="49"/>
  <c r="BD10" i="49"/>
  <c r="BF10" i="49" s="1"/>
  <c r="AZ10" i="49"/>
  <c r="BA10" i="49" s="1"/>
  <c r="AV10" i="49"/>
  <c r="AW10" i="49" s="1"/>
  <c r="AR10" i="49"/>
  <c r="AS10" i="49" s="1"/>
  <c r="AN10" i="49"/>
  <c r="AO10" i="49" s="1"/>
  <c r="AJ10" i="49"/>
  <c r="AK10" i="49" s="1"/>
  <c r="AF10" i="49"/>
  <c r="AG10" i="49" s="1"/>
  <c r="AB10" i="49"/>
  <c r="AC10" i="49" s="1"/>
  <c r="X10" i="49"/>
  <c r="Y10" i="49" s="1"/>
  <c r="S10" i="49"/>
  <c r="BO9" i="49"/>
  <c r="BL9" i="49"/>
  <c r="BI9" i="49"/>
  <c r="BD9" i="49"/>
  <c r="BF9" i="49" s="1"/>
  <c r="AZ9" i="49"/>
  <c r="BA9" i="49" s="1"/>
  <c r="AV9" i="49"/>
  <c r="AW9" i="49" s="1"/>
  <c r="AR9" i="49"/>
  <c r="AS9" i="49" s="1"/>
  <c r="AN9" i="49"/>
  <c r="AO9" i="49" s="1"/>
  <c r="AJ9" i="49"/>
  <c r="AK9" i="49" s="1"/>
  <c r="AF9" i="49"/>
  <c r="AG9" i="49" s="1"/>
  <c r="AB9" i="49"/>
  <c r="AC9" i="49" s="1"/>
  <c r="X9" i="49"/>
  <c r="Y9" i="49" s="1"/>
  <c r="S9" i="49"/>
  <c r="W61" i="57" l="1"/>
  <c r="X61" i="57" s="1"/>
  <c r="AF31" i="57" s="1"/>
  <c r="AI8" i="57"/>
  <c r="H52" i="57"/>
  <c r="J45" i="57"/>
  <c r="AX34" i="57" s="1"/>
  <c r="Y59" i="57"/>
  <c r="AF13" i="57" s="1"/>
  <c r="H47" i="57"/>
  <c r="H48" i="57"/>
  <c r="M28" i="70"/>
  <c r="H50" i="57"/>
  <c r="J47" i="57"/>
  <c r="AX35" i="57" s="1"/>
  <c r="F50" i="57"/>
  <c r="E50" i="57"/>
  <c r="F52" i="57"/>
  <c r="E52" i="57"/>
  <c r="F45" i="57"/>
  <c r="E45" i="57"/>
  <c r="F47" i="57"/>
  <c r="E47" i="57"/>
  <c r="F48" i="57"/>
  <c r="E48" i="57"/>
  <c r="F49" i="57"/>
  <c r="E49" i="57"/>
  <c r="K66" i="57"/>
  <c r="AI9" i="57" s="1"/>
  <c r="G66" i="57"/>
  <c r="H49" i="57"/>
  <c r="K64" i="57"/>
  <c r="AI7" i="57" s="1"/>
  <c r="G64" i="57"/>
  <c r="H45" i="57"/>
  <c r="Y36" i="49"/>
  <c r="I46" i="57"/>
  <c r="AW38" i="57" s="1"/>
  <c r="AY38" i="57" s="1"/>
  <c r="C15" i="70"/>
  <c r="C26" i="70" s="1"/>
  <c r="O45" i="57"/>
  <c r="T49" i="57" s="1"/>
  <c r="V66" i="57"/>
  <c r="Y98" i="49"/>
  <c r="I67" i="57"/>
  <c r="S54" i="49"/>
  <c r="J52" i="57"/>
  <c r="AX37" i="57" s="1"/>
  <c r="Y67" i="57"/>
  <c r="AI14" i="57" s="1"/>
  <c r="X67" i="57"/>
  <c r="AI30" i="57" s="1"/>
  <c r="S43" i="49"/>
  <c r="J48" i="57"/>
  <c r="S50" i="49"/>
  <c r="J50" i="57"/>
  <c r="S47" i="49"/>
  <c r="J49" i="57"/>
  <c r="Y50" i="49"/>
  <c r="I51" i="57"/>
  <c r="BA55" i="49"/>
  <c r="C21" i="70"/>
  <c r="BF55" i="49"/>
  <c r="C23" i="70"/>
  <c r="AG55" i="49"/>
  <c r="C17" i="70"/>
  <c r="AK55" i="49"/>
  <c r="C18" i="70"/>
  <c r="AO55" i="49"/>
  <c r="C19" i="70"/>
  <c r="C27" i="70" s="1"/>
  <c r="AS55" i="49"/>
  <c r="C20" i="70"/>
  <c r="AW55" i="49"/>
  <c r="C22" i="70"/>
  <c r="AG31" i="49"/>
  <c r="B17" i="70"/>
  <c r="AK31" i="49"/>
  <c r="B18" i="70"/>
  <c r="AO31" i="49"/>
  <c r="B19" i="70"/>
  <c r="AS31" i="49"/>
  <c r="B20" i="70"/>
  <c r="AW31" i="49"/>
  <c r="B22" i="70"/>
  <c r="B16" i="70"/>
  <c r="B25" i="70" s="1"/>
  <c r="BA31" i="49"/>
  <c r="B21" i="70"/>
  <c r="BF31" i="49"/>
  <c r="B23" i="70"/>
  <c r="B14" i="70"/>
  <c r="B15" i="70"/>
  <c r="Y55" i="49"/>
  <c r="BQ55" i="49"/>
  <c r="Y13" i="49"/>
  <c r="BQ13" i="49"/>
  <c r="Y31" i="49"/>
  <c r="BQ31" i="49"/>
  <c r="AF49" i="49"/>
  <c r="AG49" i="49" s="1"/>
  <c r="BO49" i="49"/>
  <c r="BO53" i="49"/>
  <c r="BL53" i="49"/>
  <c r="BI53" i="49"/>
  <c r="AF53" i="49"/>
  <c r="AG53" i="49" s="1"/>
  <c r="BL49" i="49"/>
  <c r="BI49" i="49"/>
  <c r="BO39" i="49"/>
  <c r="BL39" i="49"/>
  <c r="BI39" i="49"/>
  <c r="AZ39" i="49"/>
  <c r="BA39" i="49" s="1"/>
  <c r="AR39" i="49"/>
  <c r="AS39" i="49" s="1"/>
  <c r="BO35" i="49"/>
  <c r="BL35" i="49"/>
  <c r="BI35" i="49"/>
  <c r="AV35" i="49"/>
  <c r="AW35" i="49" s="1"/>
  <c r="AF35" i="49"/>
  <c r="AG35" i="49" s="1"/>
  <c r="AG33" i="49"/>
  <c r="AZ35" i="49"/>
  <c r="BA35" i="49" s="1"/>
  <c r="BD39" i="49"/>
  <c r="BF39" i="49" s="1"/>
  <c r="AB53" i="49"/>
  <c r="AC53" i="49" s="1"/>
  <c r="L52" i="57" s="1"/>
  <c r="BD53" i="49"/>
  <c r="BF53" i="49" s="1"/>
  <c r="AZ53" i="49"/>
  <c r="BA53" i="49" s="1"/>
  <c r="AV53" i="49"/>
  <c r="AW53" i="49" s="1"/>
  <c r="AR53" i="49"/>
  <c r="AS53" i="49" s="1"/>
  <c r="AN53" i="49"/>
  <c r="AO53" i="49" s="1"/>
  <c r="AJ53" i="49"/>
  <c r="AK53" i="49" s="1"/>
  <c r="AG51" i="49"/>
  <c r="X53" i="49"/>
  <c r="BD49" i="49"/>
  <c r="BF49" i="49" s="1"/>
  <c r="AZ49" i="49"/>
  <c r="BA49" i="49" s="1"/>
  <c r="AV49" i="49"/>
  <c r="AW49" i="49" s="1"/>
  <c r="AR49" i="49"/>
  <c r="AS49" i="49" s="1"/>
  <c r="AN49" i="49"/>
  <c r="AO49" i="49" s="1"/>
  <c r="AJ49" i="49"/>
  <c r="AK49" i="49" s="1"/>
  <c r="AG47" i="49"/>
  <c r="AB49" i="49"/>
  <c r="AC49" i="49" s="1"/>
  <c r="L50" i="57" s="1"/>
  <c r="X49" i="49"/>
  <c r="BA37" i="49"/>
  <c r="AV39" i="49"/>
  <c r="AW39" i="49" s="1"/>
  <c r="AS37" i="49"/>
  <c r="AN39" i="49"/>
  <c r="AO39" i="49" s="1"/>
  <c r="AJ39" i="49"/>
  <c r="AK39" i="49" s="1"/>
  <c r="AF39" i="49"/>
  <c r="AG39" i="49" s="1"/>
  <c r="AB39" i="49"/>
  <c r="AC39" i="49" s="1"/>
  <c r="L47" i="57" s="1"/>
  <c r="X39" i="49"/>
  <c r="BD35" i="49"/>
  <c r="BF35" i="49" s="1"/>
  <c r="AW33" i="49"/>
  <c r="AR35" i="49"/>
  <c r="AS35" i="49" s="1"/>
  <c r="AN35" i="49"/>
  <c r="AO35" i="49" s="1"/>
  <c r="AJ35" i="49"/>
  <c r="AK35" i="49" s="1"/>
  <c r="AB35" i="49"/>
  <c r="AC35" i="49" s="1"/>
  <c r="L45" i="57" s="1"/>
  <c r="X35" i="49"/>
  <c r="S36" i="49"/>
  <c r="Y61" i="57" l="1"/>
  <c r="AF15" i="57" s="1"/>
  <c r="K46" i="57"/>
  <c r="W47" i="57" s="1"/>
  <c r="X47" i="57" s="1"/>
  <c r="G46" i="57"/>
  <c r="K51" i="57"/>
  <c r="G51" i="57"/>
  <c r="K67" i="57"/>
  <c r="AI10" i="57" s="1"/>
  <c r="G67" i="57"/>
  <c r="W66" i="57"/>
  <c r="X66" i="57" s="1"/>
  <c r="AI29" i="57" s="1"/>
  <c r="Y39" i="49"/>
  <c r="I47" i="57"/>
  <c r="AW35" i="57" s="1"/>
  <c r="Y35" i="49"/>
  <c r="I45" i="57"/>
  <c r="AX39" i="57"/>
  <c r="AX36" i="57"/>
  <c r="Y49" i="49"/>
  <c r="I50" i="57"/>
  <c r="Y53" i="49"/>
  <c r="I52" i="57"/>
  <c r="AW37" i="57" s="1"/>
  <c r="AY37" i="57" s="1"/>
  <c r="B28" i="70"/>
  <c r="C28" i="70"/>
  <c r="J25" i="70"/>
  <c r="B26" i="70"/>
  <c r="J27" i="70"/>
  <c r="M25" i="70"/>
  <c r="J26" i="70"/>
  <c r="B27" i="70"/>
  <c r="M27" i="70"/>
  <c r="G37" i="70" s="1"/>
  <c r="M26" i="70"/>
  <c r="Y47" i="57" l="1"/>
  <c r="W68" i="57"/>
  <c r="Y68" i="57" s="1"/>
  <c r="AI15" i="57" s="1"/>
  <c r="K47" i="57"/>
  <c r="G47" i="57"/>
  <c r="K45" i="57"/>
  <c r="G45" i="57"/>
  <c r="K50" i="57"/>
  <c r="G50" i="57"/>
  <c r="Y66" i="57"/>
  <c r="AI13" i="57" s="1"/>
  <c r="K52" i="57"/>
  <c r="G52" i="57"/>
  <c r="AW39" i="57"/>
  <c r="AY39" i="57" s="1"/>
  <c r="AW36" i="57"/>
  <c r="AY36" i="57" s="1"/>
  <c r="U46" i="57"/>
  <c r="V46" i="57" s="1"/>
  <c r="AW34" i="57"/>
  <c r="AY34" i="57" s="1"/>
  <c r="AY35" i="57"/>
  <c r="X68" i="57" l="1"/>
  <c r="AI31" i="57" s="1"/>
  <c r="W46" i="57"/>
  <c r="X46" i="57" s="1"/>
  <c r="AW29" i="57"/>
  <c r="Y46" i="57" l="1"/>
  <c r="B11" i="50"/>
  <c r="T38" i="57" l="1"/>
  <c r="T37" i="57"/>
  <c r="T27" i="57"/>
  <c r="T26" i="57"/>
  <c r="T20" i="57"/>
  <c r="T19" i="57"/>
  <c r="T13" i="57"/>
  <c r="T12" i="57"/>
  <c r="P11" i="57" l="1"/>
  <c r="P27" i="57" l="1"/>
  <c r="P18" i="57"/>
  <c r="P36" i="57"/>
  <c r="C74" i="50"/>
  <c r="C73" i="50"/>
  <c r="C72" i="50"/>
  <c r="C71" i="50"/>
  <c r="C70" i="50"/>
  <c r="C69" i="50"/>
  <c r="B74" i="50"/>
  <c r="B73" i="50"/>
  <c r="B72" i="50"/>
  <c r="B71" i="50"/>
  <c r="B70" i="50"/>
  <c r="B69" i="50"/>
  <c r="D75" i="50" l="1"/>
  <c r="T14" i="57"/>
  <c r="AD41" i="57" s="1"/>
  <c r="AD7" i="57" l="1"/>
  <c r="V11" i="57"/>
  <c r="C65" i="50"/>
  <c r="C64" i="50"/>
  <c r="C63" i="50"/>
  <c r="C62" i="50"/>
  <c r="C61" i="50"/>
  <c r="C60" i="50"/>
  <c r="B64" i="50"/>
  <c r="B65" i="50"/>
  <c r="B63" i="50"/>
  <c r="B62" i="50"/>
  <c r="B61" i="50"/>
  <c r="B60" i="50"/>
  <c r="AO3" i="49" l="1"/>
  <c r="AP3" i="49" s="1"/>
  <c r="D66" i="50"/>
  <c r="T21" i="57"/>
  <c r="AE41" i="57" s="1"/>
  <c r="U18" i="57" l="1"/>
  <c r="V18" i="57" s="1"/>
  <c r="D73" i="50"/>
  <c r="D74" i="50"/>
  <c r="D69" i="50"/>
  <c r="D71" i="50"/>
  <c r="D70" i="50"/>
  <c r="D72" i="50"/>
  <c r="C56" i="50"/>
  <c r="C55" i="50"/>
  <c r="C54" i="50"/>
  <c r="C53" i="50"/>
  <c r="C52" i="50"/>
  <c r="C51" i="50"/>
  <c r="C50" i="50"/>
  <c r="C46" i="50"/>
  <c r="C45" i="50"/>
  <c r="C44" i="50"/>
  <c r="C43" i="50"/>
  <c r="C42" i="50"/>
  <c r="C41" i="50"/>
  <c r="B56" i="50"/>
  <c r="B55" i="50"/>
  <c r="B54" i="50"/>
  <c r="B53" i="50"/>
  <c r="B52" i="50"/>
  <c r="B51" i="50"/>
  <c r="B50" i="50"/>
  <c r="B46" i="50"/>
  <c r="B45" i="50"/>
  <c r="B44" i="50"/>
  <c r="B42" i="50"/>
  <c r="B43" i="50"/>
  <c r="B41" i="50"/>
  <c r="T39" i="57" l="1"/>
  <c r="AH41" i="57" s="1"/>
  <c r="D57" i="50" l="1"/>
  <c r="U36" i="57" l="1"/>
  <c r="V36" i="57" s="1"/>
  <c r="D47" i="50"/>
  <c r="D46" i="50" s="1"/>
  <c r="K74" i="50" s="1"/>
  <c r="D50" i="50"/>
  <c r="D52" i="50"/>
  <c r="D54" i="50"/>
  <c r="D56" i="50"/>
  <c r="D51" i="50"/>
  <c r="D53" i="50"/>
  <c r="D55" i="50"/>
  <c r="U25" i="57" l="1"/>
  <c r="V25" i="57" s="1"/>
  <c r="D45" i="50"/>
  <c r="K73" i="50" s="1"/>
  <c r="D43" i="50"/>
  <c r="K71" i="50" s="1"/>
  <c r="D42" i="50"/>
  <c r="K70" i="50" s="1"/>
  <c r="D44" i="50"/>
  <c r="K72" i="50" s="1"/>
  <c r="AG9" i="57"/>
  <c r="W27" i="57"/>
  <c r="X27" i="57" s="1"/>
  <c r="AG7" i="57"/>
  <c r="T28" i="57"/>
  <c r="AG41" i="57" s="1"/>
  <c r="AG8" i="57"/>
  <c r="I74" i="50"/>
  <c r="D61" i="50"/>
  <c r="D65" i="50"/>
  <c r="J74" i="50" s="1"/>
  <c r="D62" i="50"/>
  <c r="D63" i="50"/>
  <c r="D60" i="50"/>
  <c r="D64" i="50"/>
  <c r="W19" i="57"/>
  <c r="X19" i="57" s="1"/>
  <c r="AE7" i="57"/>
  <c r="AD10" i="57"/>
  <c r="AD9" i="57"/>
  <c r="AD8" i="57"/>
  <c r="W38" i="57"/>
  <c r="X38" i="57" s="1"/>
  <c r="AH9" i="57"/>
  <c r="AH7" i="57"/>
  <c r="W20" i="57"/>
  <c r="X20" i="57" s="1"/>
  <c r="AE9" i="57"/>
  <c r="P17" i="57"/>
  <c r="AD25" i="57" l="1"/>
  <c r="AH25" i="57"/>
  <c r="AD24" i="57"/>
  <c r="AE25" i="57"/>
  <c r="AG25" i="57"/>
  <c r="AI25" i="57"/>
  <c r="AF25" i="57"/>
  <c r="AG24" i="57"/>
  <c r="AI24" i="57"/>
  <c r="AF24" i="57"/>
  <c r="AG23" i="57"/>
  <c r="AF23" i="57"/>
  <c r="AI23" i="57"/>
  <c r="AD23" i="57"/>
  <c r="AE23" i="57"/>
  <c r="AH23" i="57"/>
  <c r="J70" i="50"/>
  <c r="I73" i="50"/>
  <c r="I70" i="50"/>
  <c r="J73" i="50"/>
  <c r="J71" i="50"/>
  <c r="I71" i="50"/>
  <c r="I72" i="50"/>
  <c r="J72" i="50"/>
  <c r="AE8" i="57"/>
  <c r="AE24" i="57" s="1"/>
  <c r="W36" i="57"/>
  <c r="X36" i="57" s="1"/>
  <c r="P35" i="57"/>
  <c r="Y38" i="57" s="1"/>
  <c r="AH15" i="57" s="1"/>
  <c r="AE10" i="57"/>
  <c r="AG10" i="57"/>
  <c r="AD26" i="57" s="1"/>
  <c r="W12" i="57"/>
  <c r="AH10" i="57"/>
  <c r="P10" i="57"/>
  <c r="P24" i="57"/>
  <c r="W13" i="57"/>
  <c r="X13" i="57" s="1"/>
  <c r="W26" i="57"/>
  <c r="AH31" i="57"/>
  <c r="AG31" i="57"/>
  <c r="Y19" i="57"/>
  <c r="AE14" i="57" s="1"/>
  <c r="AH8" i="57"/>
  <c r="AH24" i="57" s="1"/>
  <c r="W37" i="57"/>
  <c r="X37" i="57" s="1"/>
  <c r="AH26" i="57" l="1"/>
  <c r="AE26" i="57"/>
  <c r="AG26" i="57"/>
  <c r="AI26" i="57"/>
  <c r="AF26" i="57"/>
  <c r="X26" i="57"/>
  <c r="X12" i="57"/>
  <c r="AD30" i="57" s="1"/>
  <c r="Y13" i="57"/>
  <c r="AD15" i="57" s="1"/>
  <c r="AD31" i="57"/>
  <c r="AD36" i="57" s="1"/>
  <c r="W18" i="57"/>
  <c r="X18" i="57" s="1"/>
  <c r="AE31" i="57"/>
  <c r="AE36" i="57" s="1"/>
  <c r="AE30" i="57"/>
  <c r="Y20" i="57"/>
  <c r="AE15" i="57" s="1"/>
  <c r="Y36" i="57"/>
  <c r="AH13" i="57" s="1"/>
  <c r="AH29" i="57"/>
  <c r="W25" i="57"/>
  <c r="X25" i="57" s="1"/>
  <c r="Y37" i="57"/>
  <c r="AH14" i="57" s="1"/>
  <c r="AH30" i="57"/>
  <c r="W11" i="57"/>
  <c r="X11" i="57" s="1"/>
  <c r="AH36" i="57"/>
  <c r="AG30" i="57" l="1"/>
  <c r="AG36" i="57" s="1"/>
  <c r="Y12" i="57"/>
  <c r="AD14" i="57" s="1"/>
  <c r="Y27" i="57"/>
  <c r="AG15" i="57" s="1"/>
  <c r="Y26" i="57"/>
  <c r="AG14" i="57" s="1"/>
  <c r="Y18" i="57"/>
  <c r="AE13" i="57" s="1"/>
  <c r="AE29" i="57"/>
  <c r="Y11" i="57"/>
  <c r="AD13" i="57" s="1"/>
  <c r="AD29" i="57"/>
  <c r="Y25" i="57"/>
  <c r="AG13" i="57" s="1"/>
  <c r="AG29" i="57"/>
  <c r="AI18" i="57" l="1"/>
  <c r="AF18" i="57"/>
  <c r="AF19" i="57"/>
  <c r="AI19" i="57"/>
  <c r="AI20" i="57"/>
  <c r="AF20" i="57"/>
  <c r="AE35" i="57"/>
  <c r="AH35" i="57"/>
  <c r="AD35" i="57"/>
  <c r="AG20" i="57"/>
  <c r="AG19" i="57"/>
  <c r="AG18" i="57"/>
  <c r="AH20" i="57"/>
  <c r="AD20" i="57"/>
  <c r="AE20" i="57"/>
  <c r="AD19" i="57"/>
  <c r="AH19" i="57"/>
  <c r="AE19" i="57"/>
  <c r="AH18" i="57"/>
  <c r="AE18" i="57"/>
  <c r="AG34" i="57"/>
  <c r="AG35" i="57"/>
  <c r="AH34" i="57"/>
  <c r="AD34" i="57"/>
  <c r="AE34" i="57"/>
  <c r="AD18" i="57"/>
  <c r="H9" i="32" l="1"/>
  <c r="I9" i="32" l="1"/>
  <c r="R60" i="50" l="1"/>
  <c r="R43" i="50"/>
  <c r="R62" i="50"/>
  <c r="R61" i="50"/>
  <c r="R59" i="50"/>
  <c r="R54" i="50"/>
  <c r="R53" i="50"/>
  <c r="R52" i="50"/>
  <c r="R51" i="50"/>
  <c r="R45" i="50"/>
  <c r="R44" i="50"/>
  <c r="R42" i="50"/>
  <c r="B14" i="52" l="1"/>
  <c r="B13" i="52"/>
  <c r="B12" i="52"/>
  <c r="B2" i="49" l="1"/>
  <c r="B3" i="49" l="1"/>
  <c r="B4" i="50"/>
  <c r="B3" i="50"/>
  <c r="B8" i="50"/>
  <c r="B7" i="50"/>
  <c r="B6" i="50"/>
  <c r="B5" i="50"/>
  <c r="N45" i="52"/>
  <c r="O37" i="52"/>
  <c r="O36" i="52"/>
  <c r="O35" i="52"/>
  <c r="O34" i="52"/>
  <c r="O33" i="52"/>
  <c r="O32" i="52"/>
  <c r="O31" i="52"/>
  <c r="O30" i="52"/>
  <c r="O29" i="52"/>
  <c r="N27" i="52"/>
  <c r="B4" i="52"/>
  <c r="A4" i="52"/>
  <c r="B3" i="52"/>
  <c r="A3" i="52"/>
  <c r="B2" i="52"/>
  <c r="A2" i="52"/>
  <c r="L4" i="51"/>
  <c r="I92" i="34" l="1"/>
  <c r="I93" i="34" s="1"/>
  <c r="P77" i="34"/>
  <c r="O77" i="34"/>
  <c r="K77" i="34"/>
  <c r="M77" i="34" s="1"/>
  <c r="J77" i="34"/>
  <c r="L77" i="34" s="1"/>
  <c r="P75" i="34"/>
  <c r="O75" i="34"/>
  <c r="K75" i="34"/>
  <c r="M75" i="34" s="1"/>
  <c r="J75" i="34"/>
  <c r="L75" i="34" s="1"/>
  <c r="P73" i="34"/>
  <c r="O73" i="34"/>
  <c r="K73" i="34"/>
  <c r="M73" i="34" s="1"/>
  <c r="J73" i="34"/>
  <c r="L73" i="34" s="1"/>
  <c r="P71" i="34"/>
  <c r="O71" i="34"/>
  <c r="K71" i="34"/>
  <c r="M71" i="34" s="1"/>
  <c r="J71" i="34"/>
  <c r="L71" i="34" s="1"/>
  <c r="P69" i="34"/>
  <c r="O69" i="34"/>
  <c r="K69" i="34"/>
  <c r="M69" i="34" s="1"/>
  <c r="J69" i="34"/>
  <c r="L69" i="34" s="1"/>
  <c r="P67" i="34"/>
  <c r="O67" i="34"/>
  <c r="K67" i="34"/>
  <c r="M67" i="34" s="1"/>
  <c r="J67" i="34"/>
  <c r="L67" i="34" s="1"/>
  <c r="P65" i="34"/>
  <c r="O65" i="34"/>
  <c r="K65" i="34"/>
  <c r="M65" i="34" s="1"/>
  <c r="J65" i="34"/>
  <c r="L65" i="34" s="1"/>
  <c r="P63" i="34"/>
  <c r="O63" i="34"/>
  <c r="K63" i="34"/>
  <c r="M63" i="34" s="1"/>
  <c r="J63" i="34"/>
  <c r="L63" i="34" s="1"/>
  <c r="P61" i="34"/>
  <c r="O61" i="34"/>
  <c r="K61" i="34"/>
  <c r="M61" i="34" s="1"/>
  <c r="J61" i="34"/>
  <c r="L61" i="34" s="1"/>
  <c r="P59" i="34"/>
  <c r="O59" i="34"/>
  <c r="K59" i="34"/>
  <c r="M59" i="34" s="1"/>
  <c r="J59" i="34"/>
  <c r="L59" i="34" s="1"/>
  <c r="P57" i="34"/>
  <c r="O57" i="34"/>
  <c r="K57" i="34"/>
  <c r="M57" i="34" s="1"/>
  <c r="J57" i="34"/>
  <c r="L57" i="34" s="1"/>
  <c r="P55" i="34"/>
  <c r="O55" i="34"/>
  <c r="K55" i="34"/>
  <c r="M55" i="34" s="1"/>
  <c r="J55" i="34"/>
  <c r="L55" i="34" s="1"/>
  <c r="P53" i="34"/>
  <c r="O53" i="34"/>
  <c r="K53" i="34"/>
  <c r="M53" i="34" s="1"/>
  <c r="J53" i="34"/>
  <c r="L53" i="34" s="1"/>
  <c r="P51" i="34"/>
  <c r="O51" i="34"/>
  <c r="K51" i="34"/>
  <c r="M51" i="34" s="1"/>
  <c r="J51" i="34"/>
  <c r="L51" i="34" s="1"/>
  <c r="P49" i="34"/>
  <c r="O49" i="34"/>
  <c r="K49" i="34"/>
  <c r="M49" i="34" s="1"/>
  <c r="J49" i="34"/>
  <c r="L49" i="34" s="1"/>
  <c r="P47" i="34"/>
  <c r="O47" i="34"/>
  <c r="K47" i="34"/>
  <c r="M47" i="34" s="1"/>
  <c r="J47" i="34"/>
  <c r="L47" i="34" s="1"/>
  <c r="P45" i="34"/>
  <c r="O45" i="34"/>
  <c r="K45" i="34"/>
  <c r="M45" i="34" s="1"/>
  <c r="J45" i="34"/>
  <c r="L45" i="34" s="1"/>
  <c r="P43" i="34"/>
  <c r="O43" i="34"/>
  <c r="K43" i="34"/>
  <c r="M43" i="34" s="1"/>
  <c r="J43" i="34"/>
  <c r="L43" i="34" s="1"/>
  <c r="P41" i="34"/>
  <c r="O41" i="34"/>
  <c r="K41" i="34"/>
  <c r="M41" i="34" s="1"/>
  <c r="J41" i="34"/>
  <c r="L41" i="34" s="1"/>
  <c r="P39" i="34"/>
  <c r="O39" i="34"/>
  <c r="K39" i="34"/>
  <c r="M39" i="34" s="1"/>
  <c r="J39" i="34"/>
  <c r="L39" i="34" s="1"/>
  <c r="P37" i="34"/>
  <c r="O37" i="34"/>
  <c r="K37" i="34"/>
  <c r="M37" i="34" s="1"/>
  <c r="J37" i="34"/>
  <c r="L37" i="34" s="1"/>
  <c r="P35" i="34"/>
  <c r="O35" i="34"/>
  <c r="K35" i="34"/>
  <c r="M35" i="34" s="1"/>
  <c r="J35" i="34"/>
  <c r="L35" i="34" s="1"/>
  <c r="P33" i="34"/>
  <c r="O33" i="34"/>
  <c r="K33" i="34"/>
  <c r="M33" i="34" s="1"/>
  <c r="J33" i="34"/>
  <c r="L33" i="34" s="1"/>
  <c r="P31" i="34"/>
  <c r="O31" i="34"/>
  <c r="K31" i="34"/>
  <c r="M31" i="34" s="1"/>
  <c r="J31" i="34"/>
  <c r="L31" i="34" s="1"/>
  <c r="P29" i="34"/>
  <c r="O29" i="34"/>
  <c r="K29" i="34"/>
  <c r="M29" i="34" s="1"/>
  <c r="J29" i="34"/>
  <c r="L29" i="34" s="1"/>
  <c r="P27" i="34"/>
  <c r="O27" i="34"/>
  <c r="K27" i="34"/>
  <c r="M27" i="34" s="1"/>
  <c r="J27" i="34"/>
  <c r="L27" i="34" s="1"/>
  <c r="P25" i="34"/>
  <c r="O25" i="34"/>
  <c r="K25" i="34"/>
  <c r="M25" i="34" s="1"/>
  <c r="J25" i="34"/>
  <c r="L25" i="34" s="1"/>
  <c r="P23" i="34"/>
  <c r="O23" i="34"/>
  <c r="K23" i="34"/>
  <c r="M23" i="34" s="1"/>
  <c r="J23" i="34"/>
  <c r="L23" i="34" s="1"/>
  <c r="P21" i="34"/>
  <c r="O21" i="34"/>
  <c r="K21" i="34"/>
  <c r="M21" i="34" s="1"/>
  <c r="J21" i="34"/>
  <c r="L21" i="34" s="1"/>
  <c r="P19" i="34"/>
  <c r="O19" i="34"/>
  <c r="K19" i="34"/>
  <c r="M19" i="34" s="1"/>
  <c r="J19" i="34"/>
  <c r="L19" i="34" s="1"/>
  <c r="P17" i="34"/>
  <c r="O17" i="34"/>
  <c r="K17" i="34"/>
  <c r="M17" i="34" s="1"/>
  <c r="J17" i="34"/>
  <c r="L17" i="34" s="1"/>
  <c r="P15" i="34"/>
  <c r="O15" i="34"/>
  <c r="K15" i="34"/>
  <c r="M15" i="34" s="1"/>
  <c r="J15" i="34"/>
  <c r="L15" i="34" s="1"/>
  <c r="P13" i="34"/>
  <c r="O13" i="34"/>
  <c r="K13" i="34"/>
  <c r="M13" i="34" s="1"/>
  <c r="J13" i="34"/>
  <c r="L13" i="34" s="1"/>
  <c r="P11" i="34"/>
  <c r="O11" i="34"/>
  <c r="K11" i="34"/>
  <c r="M11" i="34" s="1"/>
  <c r="J11" i="34"/>
  <c r="L11" i="34" s="1"/>
  <c r="P9" i="34"/>
  <c r="O9" i="34"/>
  <c r="K9" i="34"/>
  <c r="M9" i="34" s="1"/>
  <c r="J9" i="34"/>
  <c r="L9" i="34" s="1"/>
  <c r="P7" i="34"/>
  <c r="O7" i="34"/>
  <c r="K7" i="34"/>
  <c r="M7" i="34" s="1"/>
  <c r="J7" i="34"/>
  <c r="L7" i="34" s="1"/>
  <c r="Q10" i="32"/>
  <c r="M5" i="32"/>
  <c r="D5" i="32"/>
  <c r="H11" i="32" s="1"/>
  <c r="D31" i="50"/>
  <c r="D30" i="50"/>
  <c r="D29" i="50"/>
  <c r="D28" i="50"/>
  <c r="C31" i="50"/>
  <c r="C30" i="50"/>
  <c r="C29" i="50"/>
  <c r="C28" i="50"/>
  <c r="B31" i="50"/>
  <c r="B30" i="50"/>
  <c r="B29" i="50"/>
  <c r="B28" i="50"/>
  <c r="AE38" i="50"/>
  <c r="AC38" i="50"/>
  <c r="AD38" i="50" s="1"/>
  <c r="AB38" i="50"/>
  <c r="AE37" i="50"/>
  <c r="AC37" i="50"/>
  <c r="AD37" i="50" s="1"/>
  <c r="AB37" i="50"/>
  <c r="AE36" i="50"/>
  <c r="AC36" i="50"/>
  <c r="AD36" i="50" s="1"/>
  <c r="AB36" i="50"/>
  <c r="AE35" i="50"/>
  <c r="AC35" i="50"/>
  <c r="AD35" i="50" s="1"/>
  <c r="AB35" i="50"/>
  <c r="AE34" i="50"/>
  <c r="AC34" i="50"/>
  <c r="AD34" i="50" s="1"/>
  <c r="AB34" i="50"/>
  <c r="AE33" i="50"/>
  <c r="AC33" i="50"/>
  <c r="AD33" i="50" s="1"/>
  <c r="AB33" i="50"/>
  <c r="AE32" i="50"/>
  <c r="AC32" i="50"/>
  <c r="AD32" i="50" s="1"/>
  <c r="AB32" i="50"/>
  <c r="AE31" i="50"/>
  <c r="AC31" i="50"/>
  <c r="AD31" i="50" s="1"/>
  <c r="AB31" i="50"/>
  <c r="R31" i="50" s="1"/>
  <c r="C23" i="50" s="1"/>
  <c r="AE30" i="50"/>
  <c r="AC30" i="50"/>
  <c r="AD30" i="50" s="1"/>
  <c r="AB30" i="50"/>
  <c r="AE29" i="50"/>
  <c r="AC29" i="50"/>
  <c r="AD29" i="50" s="1"/>
  <c r="AB29" i="50"/>
  <c r="AE28" i="50"/>
  <c r="AC28" i="50"/>
  <c r="AD28" i="50" s="1"/>
  <c r="AB28" i="50"/>
  <c r="R28" i="50" s="1"/>
  <c r="C20" i="50" s="1"/>
  <c r="AE27" i="50"/>
  <c r="AC27" i="50"/>
  <c r="AD27" i="50" s="1"/>
  <c r="AB27" i="50"/>
  <c r="AE26" i="50"/>
  <c r="AC26" i="50"/>
  <c r="AD26" i="50" s="1"/>
  <c r="AB26" i="50"/>
  <c r="AE25" i="50"/>
  <c r="AC25" i="50"/>
  <c r="AD25" i="50" s="1"/>
  <c r="AB25" i="50"/>
  <c r="AE24" i="50"/>
  <c r="AC24" i="50"/>
  <c r="AD24" i="50" s="1"/>
  <c r="AB24" i="50"/>
  <c r="AE18" i="50"/>
  <c r="AC18" i="50"/>
  <c r="AD18" i="50" s="1"/>
  <c r="AB18" i="50"/>
  <c r="AE17" i="50"/>
  <c r="AC17" i="50"/>
  <c r="AD17" i="50" s="1"/>
  <c r="AB17" i="50"/>
  <c r="AE16" i="50"/>
  <c r="AC16" i="50"/>
  <c r="AD16" i="50" s="1"/>
  <c r="AB16" i="50"/>
  <c r="AE15" i="50"/>
  <c r="AC15" i="50"/>
  <c r="AD15" i="50" s="1"/>
  <c r="AB15" i="50"/>
  <c r="AE14" i="50"/>
  <c r="AC14" i="50"/>
  <c r="AD14" i="50" s="1"/>
  <c r="AB14" i="50"/>
  <c r="AE13" i="50"/>
  <c r="AC13" i="50"/>
  <c r="AD13" i="50" s="1"/>
  <c r="AB13" i="50"/>
  <c r="AE12" i="50"/>
  <c r="AC12" i="50"/>
  <c r="AD12" i="50" s="1"/>
  <c r="AB12" i="50"/>
  <c r="AE11" i="50"/>
  <c r="AC11" i="50"/>
  <c r="AD11" i="50" s="1"/>
  <c r="AB11" i="50"/>
  <c r="R11" i="50" s="1"/>
  <c r="B23" i="50" s="1"/>
  <c r="AE10" i="50"/>
  <c r="AC10" i="50"/>
  <c r="AD10" i="50" s="1"/>
  <c r="AB10" i="50"/>
  <c r="AE9" i="50"/>
  <c r="AC9" i="50"/>
  <c r="AD9" i="50" s="1"/>
  <c r="AB9" i="50"/>
  <c r="AE8" i="50"/>
  <c r="AC8" i="50"/>
  <c r="AD8" i="50" s="1"/>
  <c r="AB8" i="50"/>
  <c r="AE7" i="50"/>
  <c r="AC7" i="50"/>
  <c r="AD7" i="50" s="1"/>
  <c r="AB7" i="50"/>
  <c r="R7" i="50" s="1"/>
  <c r="B19" i="50" s="1"/>
  <c r="AE6" i="50"/>
  <c r="AC6" i="50"/>
  <c r="AD6" i="50" s="1"/>
  <c r="AB6" i="50"/>
  <c r="AE5" i="50"/>
  <c r="AC5" i="50"/>
  <c r="AD5" i="50" s="1"/>
  <c r="AB5" i="50"/>
  <c r="AE4" i="50"/>
  <c r="AC4" i="50"/>
  <c r="AD4" i="50" s="1"/>
  <c r="AB4" i="50"/>
  <c r="R29" i="50" l="1"/>
  <c r="C21" i="50" s="1"/>
  <c r="R5" i="50"/>
  <c r="B17" i="50" s="1"/>
  <c r="R25" i="50"/>
  <c r="C17" i="50" s="1"/>
  <c r="N7" i="34"/>
  <c r="N9" i="34"/>
  <c r="Q19" i="34"/>
  <c r="Q27" i="34"/>
  <c r="Q35" i="34"/>
  <c r="Q59" i="34"/>
  <c r="Q75" i="34"/>
  <c r="N15" i="34"/>
  <c r="R4" i="50"/>
  <c r="B16" i="50" s="1"/>
  <c r="AF8" i="50"/>
  <c r="AF12" i="50"/>
  <c r="N19" i="34"/>
  <c r="N21" i="34"/>
  <c r="Q67" i="34"/>
  <c r="N29" i="34"/>
  <c r="Q7" i="34"/>
  <c r="Q43" i="34"/>
  <c r="Q51" i="34"/>
  <c r="Q37" i="34"/>
  <c r="Q53" i="34"/>
  <c r="R26" i="50"/>
  <c r="C18" i="50" s="1"/>
  <c r="R30" i="50"/>
  <c r="C22" i="50" s="1"/>
  <c r="Q12" i="32"/>
  <c r="Q14" i="32" s="1"/>
  <c r="AF9" i="50"/>
  <c r="AF13" i="50"/>
  <c r="AF17" i="50"/>
  <c r="AF30" i="50"/>
  <c r="AF34" i="50"/>
  <c r="Q45" i="34"/>
  <c r="Q77" i="34"/>
  <c r="R6" i="50"/>
  <c r="B18" i="50" s="1"/>
  <c r="AF7" i="50"/>
  <c r="AF15" i="50"/>
  <c r="AF24" i="50"/>
  <c r="AF29" i="50"/>
  <c r="N37" i="34"/>
  <c r="N45" i="34"/>
  <c r="N53" i="34"/>
  <c r="N61" i="34"/>
  <c r="N69" i="34"/>
  <c r="N77" i="34"/>
  <c r="AF6" i="50"/>
  <c r="AF10" i="50"/>
  <c r="AF28" i="50"/>
  <c r="AF32" i="50"/>
  <c r="AF36" i="50"/>
  <c r="Q9" i="34"/>
  <c r="Q15" i="34"/>
  <c r="Q21" i="34"/>
  <c r="Q29" i="34"/>
  <c r="Q61" i="34"/>
  <c r="Q69" i="34"/>
  <c r="AF27" i="50"/>
  <c r="AF31" i="50"/>
  <c r="AF35" i="50"/>
  <c r="Q23" i="34"/>
  <c r="Q31" i="34"/>
  <c r="Q39" i="34"/>
  <c r="Q47" i="34"/>
  <c r="Q55" i="34"/>
  <c r="Q63" i="34"/>
  <c r="Q71" i="34"/>
  <c r="N31" i="34"/>
  <c r="N47" i="34"/>
  <c r="N55" i="34"/>
  <c r="N63" i="34"/>
  <c r="N11" i="34"/>
  <c r="N23" i="34"/>
  <c r="N39" i="34"/>
  <c r="N71" i="34"/>
  <c r="R8" i="50"/>
  <c r="B20" i="50" s="1"/>
  <c r="R9" i="50"/>
  <c r="B21" i="50" s="1"/>
  <c r="R10" i="50"/>
  <c r="B22" i="50" s="1"/>
  <c r="AF11" i="50"/>
  <c r="R24" i="50"/>
  <c r="C16" i="50" s="1"/>
  <c r="AF37" i="50"/>
  <c r="Q11" i="34"/>
  <c r="N13" i="34"/>
  <c r="N17" i="34"/>
  <c r="N25" i="34"/>
  <c r="N33" i="34"/>
  <c r="N41" i="34"/>
  <c r="N49" i="34"/>
  <c r="N57" i="34"/>
  <c r="N65" i="34"/>
  <c r="N73" i="34"/>
  <c r="Q13" i="34"/>
  <c r="Q17" i="34"/>
  <c r="Q25" i="34"/>
  <c r="N27" i="34"/>
  <c r="Q33" i="34"/>
  <c r="N35" i="34"/>
  <c r="Q41" i="34"/>
  <c r="N43" i="34"/>
  <c r="Q49" i="34"/>
  <c r="N51" i="34"/>
  <c r="Q57" i="34"/>
  <c r="N59" i="34"/>
  <c r="Q65" i="34"/>
  <c r="N67" i="34"/>
  <c r="Q73" i="34"/>
  <c r="N75" i="34"/>
  <c r="H13" i="32"/>
  <c r="H14" i="32" s="1"/>
  <c r="H15" i="32" s="1"/>
  <c r="D20" i="32" s="1"/>
  <c r="D21" i="32" s="1"/>
  <c r="D22" i="32" s="1"/>
  <c r="D23" i="32" s="1"/>
  <c r="D24" i="32" s="1"/>
  <c r="D25" i="32" s="1"/>
  <c r="D26" i="32" s="1"/>
  <c r="D27" i="32" s="1"/>
  <c r="D28" i="32" s="1"/>
  <c r="AF25" i="50"/>
  <c r="AF26" i="50"/>
  <c r="R27" i="50"/>
  <c r="C19" i="50" s="1"/>
  <c r="AF33" i="50"/>
  <c r="AF38" i="50"/>
  <c r="AF16" i="50"/>
  <c r="AF4" i="50"/>
  <c r="AF5" i="50"/>
  <c r="AF14" i="50"/>
  <c r="AF18" i="50"/>
  <c r="D41" i="50" l="1"/>
  <c r="D24" i="50"/>
  <c r="E21" i="50" s="1"/>
  <c r="K69" i="50" l="1"/>
  <c r="I69" i="50"/>
  <c r="J69" i="50"/>
  <c r="E18" i="50"/>
  <c r="D16" i="50"/>
  <c r="D20" i="50"/>
  <c r="D18" i="50"/>
  <c r="D23" i="50"/>
  <c r="D17" i="50"/>
  <c r="D21" i="50"/>
  <c r="E17" i="50"/>
  <c r="E20" i="50"/>
  <c r="E16" i="50"/>
  <c r="D22" i="50"/>
  <c r="E19" i="50"/>
  <c r="D19" i="50"/>
  <c r="E23" i="50"/>
  <c r="E22" i="50"/>
  <c r="BL46" i="49"/>
  <c r="AZ40" i="49"/>
  <c r="BA40" i="49" s="1"/>
  <c r="AJ40" i="49"/>
  <c r="AJ42" i="49" s="1"/>
  <c r="AK42" i="49" s="1"/>
  <c r="AF40" i="49"/>
  <c r="AG40" i="49" s="1"/>
  <c r="AB40" i="49"/>
  <c r="AC40" i="49" s="1"/>
  <c r="BD40" i="49"/>
  <c r="BD42" i="49" s="1"/>
  <c r="BF42" i="49" s="1"/>
  <c r="X40" i="49"/>
  <c r="X42" i="49" s="1"/>
  <c r="AN40" i="49"/>
  <c r="AN42" i="49" s="1"/>
  <c r="AO42" i="49" s="1"/>
  <c r="AV40" i="49"/>
  <c r="AW40" i="49" s="1"/>
  <c r="AR40" i="49"/>
  <c r="AS40" i="49" s="1"/>
  <c r="BL40" i="49"/>
  <c r="BL42" i="49" s="1"/>
  <c r="BI40" i="49"/>
  <c r="BI42" i="49" s="1"/>
  <c r="BO40" i="49"/>
  <c r="BO42" i="49" s="1"/>
  <c r="Y42" i="49" l="1"/>
  <c r="AK40" i="49"/>
  <c r="BF40" i="49"/>
  <c r="AZ42" i="49"/>
  <c r="BA42" i="49" s="1"/>
  <c r="AV42" i="49"/>
  <c r="AW42" i="49" s="1"/>
  <c r="AR42" i="49"/>
  <c r="AS42" i="49" s="1"/>
  <c r="AF42" i="49"/>
  <c r="AG42" i="49" s="1"/>
  <c r="AB42" i="49"/>
  <c r="AC42" i="49" s="1"/>
  <c r="L48" i="57" s="1"/>
  <c r="AO40" i="49"/>
  <c r="Y40" i="49"/>
  <c r="AV44" i="49"/>
  <c r="AW44" i="49" s="1"/>
  <c r="AZ44" i="49"/>
  <c r="AZ46" i="49" s="1"/>
  <c r="BA46" i="49" s="1"/>
  <c r="BO44" i="49"/>
  <c r="BO46" i="49" s="1"/>
  <c r="BI44" i="49"/>
  <c r="BI46" i="49" s="1"/>
  <c r="X44" i="49"/>
  <c r="X46" i="49" s="1"/>
  <c r="AF44" i="49"/>
  <c r="AG44" i="49" s="1"/>
  <c r="AB44" i="49"/>
  <c r="AC44" i="49" s="1"/>
  <c r="BD44" i="49"/>
  <c r="BF44" i="49" s="1"/>
  <c r="AJ44" i="49"/>
  <c r="AK44" i="49" s="1"/>
  <c r="AN44" i="49"/>
  <c r="AO44" i="49" s="1"/>
  <c r="AR44" i="49"/>
  <c r="AR46" i="49" s="1"/>
  <c r="AS46" i="49" s="1"/>
  <c r="I48" i="57" l="1"/>
  <c r="K48" i="57"/>
  <c r="W48" i="57" s="1"/>
  <c r="Y48" i="57" s="1"/>
  <c r="G48" i="57"/>
  <c r="Y46" i="49"/>
  <c r="BA44" i="49"/>
  <c r="AV46" i="49"/>
  <c r="AW46" i="49" s="1"/>
  <c r="AF46" i="49"/>
  <c r="AG46" i="49" s="1"/>
  <c r="AB46" i="49"/>
  <c r="AC46" i="49" s="1"/>
  <c r="L49" i="57" s="1"/>
  <c r="AS44" i="49"/>
  <c r="AN46" i="49"/>
  <c r="AO46" i="49" s="1"/>
  <c r="Y44" i="49"/>
  <c r="BD46" i="49"/>
  <c r="BF46" i="49" s="1"/>
  <c r="AJ46" i="49"/>
  <c r="AK46" i="49" s="1"/>
  <c r="X48" i="57" l="1"/>
  <c r="I49" i="57"/>
  <c r="K49" i="57"/>
  <c r="G49" i="57"/>
</calcChain>
</file>

<file path=xl/sharedStrings.xml><?xml version="1.0" encoding="utf-8"?>
<sst xmlns="http://schemas.openxmlformats.org/spreadsheetml/2006/main" count="8068" uniqueCount="1697">
  <si>
    <t>Test #</t>
  </si>
  <si>
    <t>Cycle</t>
  </si>
  <si>
    <t>Start Comments</t>
  </si>
  <si>
    <t>End Comments</t>
  </si>
  <si>
    <t>lb</t>
  </si>
  <si>
    <t>Vehicle</t>
  </si>
  <si>
    <t>Location</t>
  </si>
  <si>
    <t>Test purpose</t>
  </si>
  <si>
    <t>Principal Investigator</t>
  </si>
  <si>
    <t>Test Cycle and phases</t>
  </si>
  <si>
    <t>COMPLETION CHECK</t>
  </si>
  <si>
    <t>Pretest Soak time</t>
  </si>
  <si>
    <t>Test cell temperature</t>
  </si>
  <si>
    <t>Fan speed</t>
  </si>
  <si>
    <r>
      <t xml:space="preserve">Emissions </t>
    </r>
    <r>
      <rPr>
        <b/>
        <sz val="10"/>
        <color theme="1"/>
        <rFont val="Calibri"/>
        <family val="2"/>
        <scheme val="minor"/>
      </rPr>
      <t>(Bag, modal Semtech)</t>
    </r>
  </si>
  <si>
    <t>Direct Fuel scale</t>
  </si>
  <si>
    <t>Hioki</t>
  </si>
  <si>
    <t>Vehicle Climate Control</t>
  </si>
  <si>
    <t>Hood position</t>
  </si>
  <si>
    <t>Windows position</t>
  </si>
  <si>
    <r>
      <t>Driver</t>
    </r>
    <r>
      <rPr>
        <b/>
        <sz val="10"/>
        <color theme="1"/>
        <rFont val="Calibri"/>
        <family val="2"/>
        <scheme val="minor"/>
      </rPr>
      <t xml:space="preserve"> (same. DNM Does Not Mater, Robot, engineer)</t>
    </r>
  </si>
  <si>
    <t>-</t>
  </si>
  <si>
    <t>72F</t>
  </si>
  <si>
    <t>NO</t>
  </si>
  <si>
    <t>No</t>
  </si>
  <si>
    <t>Yes</t>
  </si>
  <si>
    <t>OFF</t>
  </si>
  <si>
    <t>Down</t>
  </si>
  <si>
    <t>DNM</t>
  </si>
  <si>
    <t>Vehicle loss determination</t>
  </si>
  <si>
    <t>12 hr</t>
  </si>
  <si>
    <t>A</t>
  </si>
  <si>
    <t>B</t>
  </si>
  <si>
    <t>C</t>
  </si>
  <si>
    <t>ETW</t>
  </si>
  <si>
    <t>lbm</t>
  </si>
  <si>
    <t>lb/mph</t>
  </si>
  <si>
    <t>Instrumentation</t>
  </si>
  <si>
    <t>Facilities</t>
  </si>
  <si>
    <t>Standard Dynamometer</t>
  </si>
  <si>
    <t>Channel 1</t>
  </si>
  <si>
    <t>Channel 2</t>
  </si>
  <si>
    <t>Channel 3</t>
  </si>
  <si>
    <t>Channel 4</t>
  </si>
  <si>
    <t>Channel 5</t>
  </si>
  <si>
    <t>Channel 6</t>
  </si>
  <si>
    <t>Dyno Target A:</t>
  </si>
  <si>
    <t>Dyno Target B:</t>
  </si>
  <si>
    <t>Dyno Target C:</t>
  </si>
  <si>
    <t>20F</t>
  </si>
  <si>
    <t>veh spd</t>
  </si>
  <si>
    <t>Closed</t>
  </si>
  <si>
    <t>95F</t>
  </si>
  <si>
    <t>lb/mph2</t>
  </si>
  <si>
    <t>4WD dyno GUI table#</t>
  </si>
  <si>
    <t>Highway</t>
  </si>
  <si>
    <t>HWY</t>
  </si>
  <si>
    <t>SC03</t>
  </si>
  <si>
    <t>UDDS</t>
  </si>
  <si>
    <t>0% grade</t>
  </si>
  <si>
    <t>3% grade</t>
  </si>
  <si>
    <t>6% grade</t>
  </si>
  <si>
    <t>35-55 mph</t>
  </si>
  <si>
    <t>55-65 mph</t>
  </si>
  <si>
    <t>35-70 mph</t>
  </si>
  <si>
    <t>55-80 mph</t>
  </si>
  <si>
    <t>Maximum sustained speed</t>
  </si>
  <si>
    <t>[mph]</t>
  </si>
  <si>
    <t>Time [s]</t>
  </si>
  <si>
    <t>Gradeability - Max speed at 25% grade from stop</t>
  </si>
  <si>
    <t xml:space="preserve">UDDS cold start </t>
  </si>
  <si>
    <t xml:space="preserve">US06 </t>
  </si>
  <si>
    <t>US06 City</t>
  </si>
  <si>
    <t xml:space="preserve">US06 Highway </t>
  </si>
  <si>
    <t>Vehicle test weight</t>
  </si>
  <si>
    <t>C target road load</t>
  </si>
  <si>
    <t>B target road load</t>
  </si>
  <si>
    <t>A target road load</t>
  </si>
  <si>
    <t>[lb]</t>
  </si>
  <si>
    <t>[lb/mph]</t>
  </si>
  <si>
    <t>[lb/mph2]</t>
  </si>
  <si>
    <t>Vehicle VIN</t>
  </si>
  <si>
    <t>File Name</t>
  </si>
  <si>
    <t>Cursor A Time</t>
  </si>
  <si>
    <t>Cursor B Time</t>
  </si>
  <si>
    <t>Avg A-B Dyno_Spd[mph]</t>
  </si>
  <si>
    <t>Vehicle speed [m/s]</t>
  </si>
  <si>
    <t>Wheel power [kW]</t>
  </si>
  <si>
    <t>Fuel Power [kW]</t>
  </si>
  <si>
    <t>Vehicle Eff [%]</t>
  </si>
  <si>
    <t>SSS 0% grade</t>
  </si>
  <si>
    <t>SPECIAL COMMENTS</t>
  </si>
  <si>
    <t>SSS 6% grade</t>
  </si>
  <si>
    <t>Cursor A Dyno_Spd[mph]</t>
  </si>
  <si>
    <t>Cursor B Dyno_Spd[mph]</t>
  </si>
  <si>
    <t>Passing Time 0% Grade</t>
  </si>
  <si>
    <t>Accel Time</t>
  </si>
  <si>
    <t>Passing Time 3% Grade</t>
  </si>
  <si>
    <t>Passing Time 6% Grade</t>
  </si>
  <si>
    <t>Cycle Filename (use to determine cycle)</t>
  </si>
  <si>
    <t>Car</t>
  </si>
  <si>
    <t>MFR</t>
  </si>
  <si>
    <t>Represented Test Veh Make</t>
  </si>
  <si>
    <t>Represented Test Veh Model</t>
  </si>
  <si>
    <t>Test Vehicle ID</t>
  </si>
  <si>
    <t>Vehicle Type</t>
  </si>
  <si>
    <t># of Gears</t>
  </si>
  <si>
    <t>Electric consumption [Wh/mi]</t>
  </si>
  <si>
    <t>CAUTION: DO NOT PUBLISH THE NUMBERS ON THE RIGHT OF THE RED COLUMN. 
The numbers on the right are only to support the reporting on the left</t>
  </si>
  <si>
    <r>
      <rPr>
        <sz val="11"/>
        <color theme="1"/>
        <rFont val="Calibri"/>
        <family val="2"/>
      </rPr>
      <t xml:space="preserve">← </t>
    </r>
    <r>
      <rPr>
        <sz val="11"/>
        <color theme="1"/>
        <rFont val="Calibri"/>
        <family val="2"/>
        <scheme val="minor"/>
      </rPr>
      <t>Hand Calc'd Cell</t>
    </r>
  </si>
  <si>
    <t>SOC</t>
  </si>
  <si>
    <t>N</t>
  </si>
  <si>
    <t>Avg A-B I1</t>
  </si>
  <si>
    <t>Avg A-B Dyno_TractiveForce[N]</t>
  </si>
  <si>
    <t>Cursor A Pedal_Accel_Pos_CAN[%]</t>
  </si>
  <si>
    <t>Cursor B Pedal_Accel_Pos_CAN[%]</t>
  </si>
  <si>
    <t>Battery Power [kW]</t>
  </si>
  <si>
    <t>EC [Wh/mi]</t>
  </si>
  <si>
    <t>MPG</t>
  </si>
  <si>
    <r>
      <rPr>
        <b/>
        <sz val="11"/>
        <color theme="1"/>
        <rFont val="Calibri"/>
        <family val="2"/>
        <scheme val="minor"/>
      </rPr>
      <t xml:space="preserve">Energy Consumption </t>
    </r>
    <r>
      <rPr>
        <sz val="11"/>
        <color theme="1"/>
        <rFont val="Calibri"/>
        <family val="2"/>
        <scheme val="minor"/>
      </rPr>
      <t>(unadjusted, uncorrected)</t>
    </r>
  </si>
  <si>
    <t>Cumulative Miles</t>
  </si>
  <si>
    <t>Vehicle Manufacturer Name</t>
  </si>
  <si>
    <t>Veh Mfr Code</t>
  </si>
  <si>
    <t>Test Veh Configuration #</t>
  </si>
  <si>
    <t>Test Veh Displacement (L)</t>
  </si>
  <si>
    <t>Actual Tested Testgroup</t>
  </si>
  <si>
    <t>Rated Horsepower</t>
  </si>
  <si>
    <t># of Cylinders and Rotors</t>
  </si>
  <si>
    <t>Engine Code</t>
  </si>
  <si>
    <t>Tested Transmission Type Code</t>
  </si>
  <si>
    <t>Tested Transmission Type</t>
  </si>
  <si>
    <t>Transmission Lockup?</t>
  </si>
  <si>
    <t>Drive System Code</t>
  </si>
  <si>
    <t>Drive System Description</t>
  </si>
  <si>
    <t>Transmission Overdrive Code</t>
  </si>
  <si>
    <t>Transmission Overdrive Desc</t>
  </si>
  <si>
    <t>Equivalent Test Weight (lbs.)</t>
  </si>
  <si>
    <t>Axle Ratio</t>
  </si>
  <si>
    <t>N/V Ratio</t>
  </si>
  <si>
    <t>Shift Indicator Light Use Cd</t>
  </si>
  <si>
    <t>Shift Indicator Light Use Desc</t>
  </si>
  <si>
    <t>Test Number</t>
  </si>
  <si>
    <t>Test Originator</t>
  </si>
  <si>
    <t>Analytically Derived FE?</t>
  </si>
  <si>
    <t>Test Procedure Cd</t>
  </si>
  <si>
    <t>Test Procedure Description</t>
  </si>
  <si>
    <t>Test Fuel Type Cd</t>
  </si>
  <si>
    <t>Test Fuel Type Description</t>
  </si>
  <si>
    <t>Test Category</t>
  </si>
  <si>
    <t>THC (g/mi)</t>
  </si>
  <si>
    <t>CO (g/mi)</t>
  </si>
  <si>
    <t>CO2 (g/mi)</t>
  </si>
  <si>
    <t>NOx (g/mi)</t>
  </si>
  <si>
    <t>PM (g/mi)</t>
  </si>
  <si>
    <t>CH4 (g/mi)</t>
  </si>
  <si>
    <t>N2O (g/mi)</t>
  </si>
  <si>
    <t>RND_ADJ_FE</t>
  </si>
  <si>
    <t>FE_UNIT</t>
  </si>
  <si>
    <t>FE Bag 1</t>
  </si>
  <si>
    <t>FE Bag 2</t>
  </si>
  <si>
    <t>FE Bag 3</t>
  </si>
  <si>
    <t>FE Bag 4</t>
  </si>
  <si>
    <t>Target Coef A (lbf)</t>
  </si>
  <si>
    <t>Target Coef B (lbf/mph)</t>
  </si>
  <si>
    <t>Target Coef C (lbf/mph**2)</t>
  </si>
  <si>
    <t>Set Coef A (lbf)</t>
  </si>
  <si>
    <t>Set Coef B (lbf/mph)</t>
  </si>
  <si>
    <t>Set Coef C (lbf/mph**2)</t>
  </si>
  <si>
    <t>Aftertreatment Device Cd</t>
  </si>
  <si>
    <t>Aftertreatment Device Desc</t>
  </si>
  <si>
    <t>Police - Emergency Vehicle?</t>
  </si>
  <si>
    <t>Averaging Group ID</t>
  </si>
  <si>
    <t>Averaging Weighting Factor</t>
  </si>
  <si>
    <t>Averaging Method Cd</t>
  </si>
  <si>
    <t>Averging Method Desc</t>
  </si>
  <si>
    <t>Not eqipped</t>
  </si>
  <si>
    <t>Charge Depleting UDDS</t>
  </si>
  <si>
    <t>Electricity</t>
  </si>
  <si>
    <t>CD</t>
  </si>
  <si>
    <t>Charge Depleting Highway</t>
  </si>
  <si>
    <t>12V Charging Watts</t>
  </si>
  <si>
    <t>12V Charging A</t>
  </si>
  <si>
    <t>key off</t>
  </si>
  <si>
    <t>horn</t>
  </si>
  <si>
    <t>heater, max heat, fan hi</t>
  </si>
  <si>
    <t>heater, max heat, fan low</t>
  </si>
  <si>
    <t>rear def</t>
  </si>
  <si>
    <t>ac off</t>
  </si>
  <si>
    <t>ac max cool, high fan</t>
  </si>
  <si>
    <t>ac max cool, low fan</t>
  </si>
  <si>
    <t>hazzard</t>
  </si>
  <si>
    <t>blinkers</t>
  </si>
  <si>
    <t>lights off</t>
  </si>
  <si>
    <t>brights</t>
  </si>
  <si>
    <t xml:space="preserve">headlights </t>
  </si>
  <si>
    <t>parking lights</t>
  </si>
  <si>
    <t>key on</t>
  </si>
  <si>
    <t>DC/Dc Loss (Watts)</t>
  </si>
  <si>
    <t>DC/DC Output (Watts)</t>
  </si>
  <si>
    <t>HV Input (Watts)</t>
  </si>
  <si>
    <t xml:space="preserve"> Total Power @ SS (Watts)</t>
  </si>
  <si>
    <t>12V Watts</t>
  </si>
  <si>
    <t>HV Watts</t>
  </si>
  <si>
    <t xml:space="preserve">12V Curr Used (A) </t>
  </si>
  <si>
    <t>HV Curr Used (A)</t>
  </si>
  <si>
    <t>5 = 12V batt gnd</t>
  </si>
  <si>
    <t xml:space="preserve">4 = Coolant Heater (inverted) </t>
  </si>
  <si>
    <t>3 = 12DCDC Out</t>
  </si>
  <si>
    <t>2 = HV Batt Post DCDC</t>
  </si>
  <si>
    <t>1 = HV Batt</t>
  </si>
  <si>
    <t>Cursor B (Time)</t>
  </si>
  <si>
    <t>Cursor A (Time)</t>
  </si>
  <si>
    <t>Driver time</t>
  </si>
  <si>
    <t>Driver Item</t>
  </si>
  <si>
    <t>Hioki Current = Avg A-B (Amps)</t>
  </si>
  <si>
    <t>Voltage HV Batt</t>
  </si>
  <si>
    <t>Voltage 12V Bus</t>
  </si>
  <si>
    <t>Avg A-B (Volts)</t>
  </si>
  <si>
    <t>Avg A-B Drive_Trace_Schedule[mph]</t>
  </si>
  <si>
    <t>Test</t>
  </si>
  <si>
    <t>Avg A-B P1</t>
  </si>
  <si>
    <t>Test weight [lb]</t>
  </si>
  <si>
    <t>UDDS#1</t>
  </si>
  <si>
    <t>UDDS#2</t>
  </si>
  <si>
    <t>US06</t>
  </si>
  <si>
    <t>25% Gradeability</t>
  </si>
  <si>
    <t>Test File:</t>
  </si>
  <si>
    <t>DC Wh</t>
  </si>
  <si>
    <t>Modified</t>
  </si>
  <si>
    <t>input --&gt;</t>
  </si>
  <si>
    <t xml:space="preserve"> = DC Wh Charge</t>
  </si>
  <si>
    <t>UDDS 1</t>
  </si>
  <si>
    <t>&lt;-- input</t>
  </si>
  <si>
    <t xml:space="preserve"> = 95% of DC Wh</t>
  </si>
  <si>
    <t>UDDS 3</t>
  </si>
  <si>
    <t>HWY   2</t>
  </si>
  <si>
    <t>HWY   1</t>
  </si>
  <si>
    <t xml:space="preserve"> = SS wh/mi</t>
  </si>
  <si>
    <t>US06  4</t>
  </si>
  <si>
    <t>UDDS 2</t>
  </si>
  <si>
    <t>US06  1</t>
  </si>
  <si>
    <t xml:space="preserve">2 x U+U+H+US06 = </t>
  </si>
  <si>
    <t>SSS + WOT</t>
  </si>
  <si>
    <t xml:space="preserve">Wh to deplete in Middle SS = </t>
  </si>
  <si>
    <t xml:space="preserve">  for 10% left over</t>
  </si>
  <si>
    <t xml:space="preserve">Estimated Miles at 55mph = </t>
  </si>
  <si>
    <t>Cursor A Drive_Trace_Schedule[mph]</t>
  </si>
  <si>
    <t>Cursor B Drive_Trace_Schedule[mph]</t>
  </si>
  <si>
    <t>Model Year</t>
  </si>
  <si>
    <t>Unlock</t>
  </si>
  <si>
    <t>open door</t>
  </si>
  <si>
    <t>close door</t>
  </si>
  <si>
    <t>Reduce Heat dial to mid</t>
  </si>
  <si>
    <t>return to full</t>
  </si>
  <si>
    <t>Ramp heat off</t>
  </si>
  <si>
    <t xml:space="preserve">mirror </t>
  </si>
  <si>
    <t>door lock/unlock x2</t>
  </si>
  <si>
    <t xml:space="preserve"> PF window down/up hold</t>
  </si>
  <si>
    <t>radio max</t>
  </si>
  <si>
    <t>radio off</t>
  </si>
  <si>
    <t>wipers int</t>
  </si>
  <si>
    <t>wipers full on</t>
  </si>
  <si>
    <t>wipers max</t>
  </si>
  <si>
    <t>rear wiper</t>
  </si>
  <si>
    <t>defrost max</t>
  </si>
  <si>
    <t>full off</t>
  </si>
  <si>
    <t>door open and close</t>
  </si>
  <si>
    <t>40F</t>
  </si>
  <si>
    <t>J1634</t>
  </si>
  <si>
    <t>MILES</t>
  </si>
  <si>
    <t>seconds</t>
  </si>
  <si>
    <t>Time</t>
  </si>
  <si>
    <t>SSS to US06 Transition time for pasting to test file.</t>
  </si>
  <si>
    <t>Speed</t>
  </si>
  <si>
    <t>Phase #</t>
  </si>
  <si>
    <t>Grade</t>
  </si>
  <si>
    <t>Comments</t>
  </si>
  <si>
    <t>Use a "Copy" and "Paste Values" to move this section into the SSS+ US06 test file</t>
  </si>
  <si>
    <t>mph</t>
  </si>
  <si>
    <t>95 MAX</t>
  </si>
  <si>
    <t>20F No Heat</t>
  </si>
  <si>
    <t>Temp</t>
  </si>
  <si>
    <t>Range (mi)</t>
  </si>
  <si>
    <t>UDDS #1</t>
  </si>
  <si>
    <t>Energy Consumption</t>
  </si>
  <si>
    <t>UDDS #2</t>
  </si>
  <si>
    <t>UDDS #3</t>
  </si>
  <si>
    <t>UDDS #4</t>
  </si>
  <si>
    <t>HWY #1</t>
  </si>
  <si>
    <t>HWY #2</t>
  </si>
  <si>
    <t>US06 #1</t>
  </si>
  <si>
    <t>US06 #2</t>
  </si>
  <si>
    <t>Charge information</t>
  </si>
  <si>
    <t>DC Wh/mi</t>
  </si>
  <si>
    <t>FRE (Full recharge nrj)</t>
  </si>
  <si>
    <t>J1634 MCT Multi cycle test calculations</t>
  </si>
  <si>
    <t>HWY#1</t>
  </si>
  <si>
    <t xml:space="preserve"> Hioki AC Charge WP6    [kWh]</t>
  </si>
  <si>
    <t>K (scaling factor)</t>
  </si>
  <si>
    <t>K_udds1</t>
  </si>
  <si>
    <t>K-Uddsn</t>
  </si>
  <si>
    <t>Ecdccycle</t>
  </si>
  <si>
    <t>Rcycle</t>
  </si>
  <si>
    <t>Eacccycle</t>
  </si>
  <si>
    <t>UBE</t>
  </si>
  <si>
    <t>ch1</t>
  </si>
  <si>
    <t>US06#1</t>
  </si>
  <si>
    <t>AC Wh/mi</t>
  </si>
  <si>
    <t>RAF1</t>
  </si>
  <si>
    <t>mi</t>
  </si>
  <si>
    <t>Range [mi]</t>
  </si>
  <si>
    <t>Actual Data</t>
  </si>
  <si>
    <t>72F Charge</t>
  </si>
  <si>
    <t>Energy Consumption (DC Wh/mi)</t>
  </si>
  <si>
    <t>Energy Consumption (AC Wh/mi)</t>
  </si>
  <si>
    <t xml:space="preserve"> (DC Wh/mi)</t>
  </si>
  <si>
    <t xml:space="preserve"> (AC Wh/mi)</t>
  </si>
  <si>
    <t>Test Cell RH [%]</t>
  </si>
  <si>
    <t>Test Cell Baro [in/Hg]</t>
  </si>
  <si>
    <t>Cycle Distance [mi]</t>
  </si>
  <si>
    <t>Kevin Stutenberg</t>
  </si>
  <si>
    <t>Ext 2-6788</t>
  </si>
  <si>
    <t>Updated</t>
  </si>
  <si>
    <t>Soak temperature</t>
  </si>
  <si>
    <t>Solar lamps [W/m2]</t>
  </si>
  <si>
    <t>Special test notes</t>
  </si>
  <si>
    <t>Open</t>
  </si>
  <si>
    <t>EPA</t>
  </si>
  <si>
    <t>Original</t>
  </si>
  <si>
    <t>95°F</t>
  </si>
  <si>
    <t>HVAC to 72F</t>
  </si>
  <si>
    <t>Steady State Speed depletion (1bag) + US06 (2 Bag)</t>
  </si>
  <si>
    <t>Start US06</t>
  </si>
  <si>
    <t>APRF Test Vehicle</t>
  </si>
  <si>
    <t>Total Recharge Energy</t>
  </si>
  <si>
    <t>AC kwh</t>
  </si>
  <si>
    <t>AVTE Reporting from Dynamometer Testing</t>
  </si>
  <si>
    <t>Cell Color Key:</t>
  </si>
  <si>
    <t xml:space="preserve">Data from EPA website: </t>
  </si>
  <si>
    <t>Sheet</t>
  </si>
  <si>
    <t>Print date</t>
  </si>
  <si>
    <t>VIN #</t>
  </si>
  <si>
    <t>All Other =&gt; Legibility Only</t>
  </si>
  <si>
    <t>Vehicle / Dyno Setup</t>
  </si>
  <si>
    <t>Dyno setup =</t>
  </si>
  <si>
    <t>4WD</t>
  </si>
  <si>
    <t>Used For Plotting Comparison --&gt;</t>
  </si>
  <si>
    <t>Hioki 4 channel</t>
  </si>
  <si>
    <t>Speed [mph]</t>
  </si>
  <si>
    <t>AVTE Power [kW]</t>
  </si>
  <si>
    <t>Channel 7</t>
  </si>
  <si>
    <t xml:space="preserve">Channel 8 </t>
  </si>
  <si>
    <t>Analog</t>
  </si>
  <si>
    <t xml:space="preserve">Tire size </t>
  </si>
  <si>
    <t>Dyno Speed [mph]</t>
  </si>
  <si>
    <t>Wheel Speed [rpm]</t>
  </si>
  <si>
    <t>CAN signals (All listed)</t>
  </si>
  <si>
    <t xml:space="preserve">Test # </t>
  </si>
  <si>
    <t xml:space="preserve">Calculated Duration at 65 = </t>
  </si>
  <si>
    <t xml:space="preserve">End of 65 mph section with start @ 25s = </t>
  </si>
  <si>
    <t>End of 65</t>
  </si>
  <si>
    <t>20°F</t>
  </si>
  <si>
    <t xml:space="preserve">Estimated Miles at 65mph = </t>
  </si>
  <si>
    <t>Passing Manuever BEV</t>
  </si>
  <si>
    <t>72°F</t>
  </si>
  <si>
    <t>Power Cycle Mapping</t>
  </si>
  <si>
    <t>with stable regen limit</t>
  </si>
  <si>
    <t>Steady State Speed [mph]</t>
  </si>
  <si>
    <t>65mph SSS</t>
  </si>
  <si>
    <t>SS@65mph#2 (until depleted)</t>
  </si>
  <si>
    <t>If necessary based on J1634 calculations 65mph</t>
  </si>
  <si>
    <t>Click here for a link to the No-Soak MCT 55-65mph &amp; US06 test folder</t>
  </si>
  <si>
    <t>UDDS#1 (2bag) + HWY #1 (1bag) UDDS#2 (2bag) + US06 #1 (2 bag)</t>
  </si>
  <si>
    <t xml:space="preserve">UDDS#3 (2bag) + HWY#2 (1bag) UDDS#4 (2bag) </t>
  </si>
  <si>
    <t xml:space="preserve">UDDS cold start* </t>
  </si>
  <si>
    <t>AVTE Coast Down Coeff</t>
  </si>
  <si>
    <t>HWYx2 (2 bag) + coast down</t>
  </si>
  <si>
    <t xml:space="preserve">UCS+UHSx3+Hx2+USx2 = </t>
  </si>
  <si>
    <t>Gear</t>
  </si>
  <si>
    <t xml:space="preserve">  for 9.75% left over</t>
  </si>
  <si>
    <t>cold</t>
  </si>
  <si>
    <t>Solar lights 'ON' 30 minutes prior to first test, HVAC-AUTO-72°F</t>
  </si>
  <si>
    <t>Day 0 - Setup (Note: All testing is performed with Intertek baseline road load - see TestInfoInstru tab)</t>
  </si>
  <si>
    <t>No averaging</t>
  </si>
  <si>
    <t>Mount vehicle in FWD or 4WD</t>
  </si>
  <si>
    <t>HWY#2</t>
  </si>
  <si>
    <t>Test ID:</t>
  </si>
  <si>
    <t>72F Recharge Allocation Factor</t>
  </si>
  <si>
    <t>Recharge Allocation Factor</t>
  </si>
  <si>
    <t>hold for dc dc stable 12V batt charge</t>
  </si>
  <si>
    <t>Test Cell Temp [C]</t>
  </si>
  <si>
    <t>Test ID [#]</t>
  </si>
  <si>
    <t>Charge Data</t>
  </si>
  <si>
    <t>Channel check out (see TestInoIstru tab) - drive some (65mph for 5-10 min) before starting the HWYx2+coast</t>
  </si>
  <si>
    <t>0°F</t>
  </si>
  <si>
    <t>Automatic</t>
  </si>
  <si>
    <t>All Wheel Drive</t>
  </si>
  <si>
    <t>ADFE Test Number</t>
  </si>
  <si>
    <t>ADFE Total Road Load HP</t>
  </si>
  <si>
    <t>ADFE Equiv. Test Weight (lbs.)</t>
  </si>
  <si>
    <t>ADFE N/V Ratio</t>
  </si>
  <si>
    <t>Enable temp at next test mode (once charge is complete)</t>
  </si>
  <si>
    <t>Charge in the afternoon at 0°F + record charge (for capacity)</t>
  </si>
  <si>
    <t>2015 VW Egolf</t>
  </si>
  <si>
    <t>205/55-16</t>
  </si>
  <si>
    <t>MK10/30/15</t>
  </si>
  <si>
    <t>Wheel RPM Test</t>
  </si>
  <si>
    <t>x</t>
  </si>
  <si>
    <t>Passing Maneuvers 0, 3, 6% grade</t>
  </si>
  <si>
    <t>hot</t>
  </si>
  <si>
    <t>approx motor speed</t>
  </si>
  <si>
    <t>0F</t>
  </si>
  <si>
    <t>Increase over 72F</t>
  </si>
  <si>
    <t xml:space="preserve">95F </t>
  </si>
  <si>
    <t>Starting Mileage</t>
  </si>
  <si>
    <t>Estimated DCDC Eff</t>
  </si>
  <si>
    <t xml:space="preserve">20F </t>
  </si>
  <si>
    <t>Calculated using channel 1 --&gt; 500 A clamp</t>
  </si>
  <si>
    <t>AC Wh/mi Increase with respect to 72F UDDS</t>
  </si>
  <si>
    <t>% of Range with respect 72F</t>
  </si>
  <si>
    <t># of HS cycles</t>
  </si>
  <si>
    <t>Date</t>
  </si>
  <si>
    <t>L1 Recharge Energy</t>
  </si>
  <si>
    <t>L2 Recharge Energy</t>
  </si>
  <si>
    <t>Test Name</t>
  </si>
  <si>
    <t>Vehicle Name</t>
  </si>
  <si>
    <t>BEV</t>
  </si>
  <si>
    <t xml:space="preserve">Charge Level </t>
  </si>
  <si>
    <t>Charger Type</t>
  </si>
  <si>
    <t>Cell Temp [C]</t>
  </si>
  <si>
    <t>Prior Test Temp [C]</t>
  </si>
  <si>
    <t>Motor / Inverter</t>
  </si>
  <si>
    <t xml:space="preserve">A/C Compressor - Heat Pump </t>
  </si>
  <si>
    <t>PTC Heater</t>
  </si>
  <si>
    <t>DCDC in (estimate)</t>
  </si>
  <si>
    <t>Off</t>
  </si>
  <si>
    <t>Tesla</t>
  </si>
  <si>
    <t>TSL</t>
  </si>
  <si>
    <t>Tesla Model 3</t>
  </si>
  <si>
    <t>Long Range</t>
  </si>
  <si>
    <t>3R217-R00012</t>
  </si>
  <si>
    <t>HTSLV00.0L13</t>
  </si>
  <si>
    <t>L13</t>
  </si>
  <si>
    <t>R</t>
  </si>
  <si>
    <t>2-Wheel Drive, Rear</t>
  </si>
  <si>
    <t>1</t>
  </si>
  <si>
    <t>No gear ratio &lt; 1</t>
  </si>
  <si>
    <t>HTSL10049210</t>
  </si>
  <si>
    <t/>
  </si>
  <si>
    <t>81</t>
  </si>
  <si>
    <t>62</t>
  </si>
  <si>
    <t>HTSL10049211</t>
  </si>
  <si>
    <t>84</t>
  </si>
  <si>
    <t>L23</t>
  </si>
  <si>
    <t>Mid Range RWD</t>
  </si>
  <si>
    <t>3R118-101926</t>
  </si>
  <si>
    <t>JTSLV00.0L13</t>
  </si>
  <si>
    <t>JTSL10056529</t>
  </si>
  <si>
    <t>JTSL10056535</t>
  </si>
  <si>
    <t>KTSLV00.0L13</t>
  </si>
  <si>
    <t>DT-Inertia Work Ratio Rating</t>
  </si>
  <si>
    <t>DT-Absolute Speed Change Ratg</t>
  </si>
  <si>
    <t>DT-Energy Economy Rating</t>
  </si>
  <si>
    <t>https://www.epa.gov/compliance-and-fuel-economy-data/data-cars-used-testing-fuel-economy</t>
  </si>
  <si>
    <t>SSS 0-80-0 0% grade 1 min hold</t>
  </si>
  <si>
    <t>robot</t>
  </si>
  <si>
    <t>Level 2- Tesla</t>
  </si>
  <si>
    <t xml:space="preserve">Charge to 'Full' </t>
  </si>
  <si>
    <t>Level 1</t>
  </si>
  <si>
    <t>WOT'sx10 (or until derating). Accel to 80, decel at varying braking levels.</t>
  </si>
  <si>
    <t>Day 1 - J1634 MCT Combo Shortcut Test, 72°F</t>
  </si>
  <si>
    <t>Front Drive</t>
  </si>
  <si>
    <t>Rear Drive</t>
  </si>
  <si>
    <t>AC Compressor</t>
  </si>
  <si>
    <t>DCDC HV side</t>
  </si>
  <si>
    <t>DCDC LV side</t>
  </si>
  <si>
    <t>Day 6 - J1634 MCT Combo Shortcut Test, 20°F w/ powertrain preconditioning</t>
  </si>
  <si>
    <t xml:space="preserve">Day 8 - J1634 MCT Combo Shortcut Test, 0°F </t>
  </si>
  <si>
    <t>Day 9 - J1634 MCT Combo Shortcut Test, 72°F Repeat 2</t>
  </si>
  <si>
    <t>AMTL- 4WD - ANL Bldg 371</t>
  </si>
  <si>
    <t>NHTSA 2020 Vehicle Technology Assessment</t>
  </si>
  <si>
    <t>UDDS#1 (2bag) + HWY #1 (1bag) + UDDS#2 (2bag) + US06 #1 (2 bag)</t>
  </si>
  <si>
    <t xml:space="preserve">UDDS#3 (2bag) + HWY#2 (1bag) + UDDS#4 (2bag) </t>
  </si>
  <si>
    <t>2020 Tesla Model 3 AWD Long Range / All Wheel Drive</t>
  </si>
  <si>
    <t>Accelerator Pedal Position</t>
  </si>
  <si>
    <t>Brake Position</t>
  </si>
  <si>
    <t>HVBatt voltage</t>
  </si>
  <si>
    <t>HVBatt current</t>
  </si>
  <si>
    <t>HVBatt SOC</t>
  </si>
  <si>
    <t>HVBatt Temperature (1-9)</t>
  </si>
  <si>
    <t>HVBatt Coolant Temperature</t>
  </si>
  <si>
    <t>HVBatt Coolant Flow</t>
  </si>
  <si>
    <t>HVBatt SOC User Interface</t>
  </si>
  <si>
    <t>HVBatt Discharge Rating</t>
  </si>
  <si>
    <t>HVBatt Regen Rating</t>
  </si>
  <si>
    <t>Powertrain Coolant Temp</t>
  </si>
  <si>
    <t>Powertrain Coolant Flow</t>
  </si>
  <si>
    <t>Motor Inverter Temp- Front</t>
  </si>
  <si>
    <t>Motor Stator Temp- Front</t>
  </si>
  <si>
    <t>Motor Speed- Front</t>
  </si>
  <si>
    <t>Motor Torque- Front</t>
  </si>
  <si>
    <t>Motor Inverter Temp- Rear</t>
  </si>
  <si>
    <t>Motor Stator Temp- Rear</t>
  </si>
  <si>
    <t>Motor Speed- Rear</t>
  </si>
  <si>
    <t>Motor Torque- Rear</t>
  </si>
  <si>
    <t>Vehicle Power Limit</t>
  </si>
  <si>
    <t>Vehicle Regen Power Limit</t>
  </si>
  <si>
    <t xml:space="preserve">Vehicle Heat Power </t>
  </si>
  <si>
    <t>Dyno Speed</t>
  </si>
  <si>
    <t>Dyno Tractive Force</t>
  </si>
  <si>
    <t>Dyno Load Cell</t>
  </si>
  <si>
    <t>Dyno Speed- Front</t>
  </si>
  <si>
    <t>Dyno Tractive Force- Front</t>
  </si>
  <si>
    <t>Dyno Load Cell- Front</t>
  </si>
  <si>
    <t>Dyno Speed- Rear</t>
  </si>
  <si>
    <t>Dyno Tractive Force- Rear</t>
  </si>
  <si>
    <t>Dyno Load Cell- Rear</t>
  </si>
  <si>
    <t>Cell Temp</t>
  </si>
  <si>
    <t>Cell RH</t>
  </si>
  <si>
    <t>Drive Trace Schedule</t>
  </si>
  <si>
    <t>Exhaust Bag</t>
  </si>
  <si>
    <t>Channel 9 (If Available)</t>
  </si>
  <si>
    <t>Channel 10 (If Available)</t>
  </si>
  <si>
    <t>Ampactity (A)</t>
  </si>
  <si>
    <t>Additional Instrumentation</t>
  </si>
  <si>
    <t>US06 x n</t>
  </si>
  <si>
    <t>Repeat cycles until cycle thermal stability</t>
  </si>
  <si>
    <t>Day 10 - J1634- Balloted new version</t>
  </si>
  <si>
    <t>WLTP x 2</t>
  </si>
  <si>
    <t>SC03x2</t>
  </si>
  <si>
    <t>Day 7 - J1634 MCT Combo Shortcut Test, 20°F - no preconditioning (unplugged)</t>
  </si>
  <si>
    <t>Scaling</t>
  </si>
  <si>
    <t xml:space="preserve">40A </t>
  </si>
  <si>
    <t>HVBatt 1</t>
  </si>
  <si>
    <t>HVBatt 2</t>
  </si>
  <si>
    <t>Notes</t>
  </si>
  <si>
    <t>Scaled to capture AC charge current, but provide resolution for DCDC operation</t>
  </si>
  <si>
    <t>AC charge in - Post EVSE</t>
  </si>
  <si>
    <t>80A</t>
  </si>
  <si>
    <t>12V Batt low</t>
  </si>
  <si>
    <t>Channel 11 (If Available)</t>
  </si>
  <si>
    <t>Analog Hioki</t>
  </si>
  <si>
    <t>HV Battery Voltage</t>
  </si>
  <si>
    <t>HV Battery Current High</t>
  </si>
  <si>
    <t>HV Battery Current Low</t>
  </si>
  <si>
    <t>HV Battery Power High</t>
  </si>
  <si>
    <t>HV Battery Power Low</t>
  </si>
  <si>
    <t>Motor Front Power</t>
  </si>
  <si>
    <t>Motor Rear Power</t>
  </si>
  <si>
    <t>Motor Front Current</t>
  </si>
  <si>
    <t>Motor Rear Current</t>
  </si>
  <si>
    <t>DCDC HV current</t>
  </si>
  <si>
    <t>DCDC LV current</t>
  </si>
  <si>
    <t>DCDC LV power</t>
  </si>
  <si>
    <t>PTC Heater current</t>
  </si>
  <si>
    <t>AC compressor current</t>
  </si>
  <si>
    <t>DCDC HV power</t>
  </si>
  <si>
    <t>Channel match</t>
  </si>
  <si>
    <t>Signals listed in vspy</t>
  </si>
  <si>
    <t>Radiator outlet temp</t>
  </si>
  <si>
    <t>Cabin Interior Temp (headrest passenger)</t>
  </si>
  <si>
    <t>Cabin Vent Temp (Driver middle)</t>
  </si>
  <si>
    <t>Cabin footwell temp (Driver middle)</t>
  </si>
  <si>
    <t>Model 3 Long Range AWD</t>
  </si>
  <si>
    <t>3D220-230004</t>
  </si>
  <si>
    <t>LTSLV00.0L23</t>
  </si>
  <si>
    <t>LTSL10062054</t>
  </si>
  <si>
    <t>LTSL10062055</t>
  </si>
  <si>
    <t>Model 3 Long Range AWD Performance (18" Wheels)</t>
  </si>
  <si>
    <t>3D220-521025</t>
  </si>
  <si>
    <t>LTSL10062104</t>
  </si>
  <si>
    <t>LTSL10062105</t>
  </si>
  <si>
    <t>Model 3 Long Range AWD Performance (19" Wheels)</t>
  </si>
  <si>
    <t>3D220-215315</t>
  </si>
  <si>
    <t>LTSL10061730</t>
  </si>
  <si>
    <t>LTSL10061735</t>
  </si>
  <si>
    <t>Model 3 Long Range AWD Performance (20" Wheels)</t>
  </si>
  <si>
    <t>3D220-477646</t>
  </si>
  <si>
    <t>LTSL10062102</t>
  </si>
  <si>
    <t>LTSL10062103</t>
  </si>
  <si>
    <t>Model 3 Standard Range Plus RWD</t>
  </si>
  <si>
    <t>3R020-429179</t>
  </si>
  <si>
    <t>LTSLV00.0L13</t>
  </si>
  <si>
    <t>LTSL10061714</t>
  </si>
  <si>
    <t>LTSL10061715</t>
  </si>
  <si>
    <t>Model 3 Standard Range RWD</t>
  </si>
  <si>
    <t>3R019-297396</t>
  </si>
  <si>
    <t>KTSL10058733</t>
  </si>
  <si>
    <t>KTSL10058734</t>
  </si>
  <si>
    <t>Sets</t>
  </si>
  <si>
    <t>2020testcar-2020-03-03</t>
  </si>
  <si>
    <t>Hioki ref</t>
  </si>
  <si>
    <t>DCDC LV Voltage</t>
  </si>
  <si>
    <t>V</t>
  </si>
  <si>
    <t>HV_Batt_Curr_Hi_Hioki_I2[kA]</t>
  </si>
  <si>
    <t>H1/Ch2</t>
  </si>
  <si>
    <t>HV_Batt_Curr_Lo_Hioki_I1[A]</t>
  </si>
  <si>
    <t>H1/Ch4</t>
  </si>
  <si>
    <t>H1/Ch1</t>
  </si>
  <si>
    <t>Motor_Curr_Front_Hioki_I3[A]</t>
  </si>
  <si>
    <t>Motor_Curr_Rear_Hioki_I4[A]</t>
  </si>
  <si>
    <t>H1/Ch3</t>
  </si>
  <si>
    <t>HV_Batt_Power_Hi_Hioki_P2[kW]</t>
  </si>
  <si>
    <t>HV_Batt_Power_Lo_Hioki_P1[kW]</t>
  </si>
  <si>
    <t>Motor_Power_Front_Hioki_P3[kW]</t>
  </si>
  <si>
    <t>Motor_Power_Rear_Hioki_P4[kW]</t>
  </si>
  <si>
    <t>DCDC_LV_Power_Hioki_P8[W]</t>
  </si>
  <si>
    <t>H2/Ch3 (Ch7)</t>
  </si>
  <si>
    <t>H2/Ch4 (Ch8)</t>
  </si>
  <si>
    <t>DCDC_LV_Volt_Hioki_U8[V]</t>
  </si>
  <si>
    <t>HV_Batt_Volt_Hioki_U1[V]</t>
  </si>
  <si>
    <t>DCDC_HV_Power_Hioki_P7[W)</t>
  </si>
  <si>
    <t>DCDC_LV_Curr_Hioki_I8[A]</t>
  </si>
  <si>
    <t>AC_Comp_Curr_Hioki_I6[A]</t>
  </si>
  <si>
    <t>H2/Ch2 (Ch6)</t>
  </si>
  <si>
    <t>H2/Ch1 (Ch5)</t>
  </si>
  <si>
    <t>DCDC_HV_Curr_Hioki_I7[A]</t>
  </si>
  <si>
    <t>PTC_Heater_Curr_Hioki_I5[A]</t>
  </si>
  <si>
    <t>H2/Ch3 (Ch1-7)</t>
  </si>
  <si>
    <t>AC charge in - Pre EVSE</t>
  </si>
  <si>
    <t>X</t>
  </si>
  <si>
    <t>16625-14039</t>
  </si>
  <si>
    <t>Day 2 -72F-Performance Testing</t>
  </si>
  <si>
    <t>Day 3 - J1634 MCT Combo Shortcut Test, 72°F Repeat 1</t>
  </si>
  <si>
    <t>Mon</t>
  </si>
  <si>
    <t>Tues</t>
  </si>
  <si>
    <t>Wed</t>
  </si>
  <si>
    <t>Thurs</t>
  </si>
  <si>
    <t>Friday</t>
  </si>
  <si>
    <t>Very fast ramp rate to 100% pedal</t>
  </si>
  <si>
    <t>thurs</t>
  </si>
  <si>
    <t>At end of test, completely discharge vehicle</t>
  </si>
  <si>
    <t>Phase Number</t>
  </si>
  <si>
    <t>Test Time</t>
  </si>
  <si>
    <t>Mean Front Tire Temperature [C]</t>
  </si>
  <si>
    <t>Start SOC</t>
  </si>
  <si>
    <t>End SOC</t>
  </si>
  <si>
    <t xml:space="preserve">HV Batt (500A)
Start 
WP1 [Wh]
</t>
  </si>
  <si>
    <t>HV Batt Out (500A) End
WP1 [Wh]</t>
  </si>
  <si>
    <t>HV Batt (500A)
Δ [Wh]</t>
  </si>
  <si>
    <t>HV Batt (500A) Energy consumption
[Wh/mi]</t>
  </si>
  <si>
    <t>12V Batt (Neg) (200A)
Δ [Wh]</t>
  </si>
  <si>
    <t>12V Batt (Neg) (200A) Energy consumption
[Wh/mi]</t>
  </si>
  <si>
    <t>Test Driver</t>
  </si>
  <si>
    <t>APCtime</t>
  </si>
  <si>
    <t>ASCR</t>
  </si>
  <si>
    <t>ASC_d</t>
  </si>
  <si>
    <t>ASC_t</t>
  </si>
  <si>
    <t>CE_d</t>
  </si>
  <si>
    <t>CE_t</t>
  </si>
  <si>
    <t>DR</t>
  </si>
  <si>
    <t>D_d</t>
  </si>
  <si>
    <t>D_t</t>
  </si>
  <si>
    <t>EER</t>
  </si>
  <si>
    <t>ER</t>
  </si>
  <si>
    <t>IWR</t>
  </si>
  <si>
    <t>Day 0 Coastdowns, Channel Check and Prep</t>
  </si>
  <si>
    <t>HV Batt (1000A) Start WP2 [Wh]</t>
  </si>
  <si>
    <t>HV Batt (1000A)  End WP2 [Wh]</t>
  </si>
  <si>
    <t>HV Batt (1000A) 
Δ WP2 [Wh]</t>
  </si>
  <si>
    <t>HV Batt (1000A) Δ WP2 [Wh/mi]</t>
  </si>
  <si>
    <t>Inverter Front Start WP3 [Wh]</t>
  </si>
  <si>
    <t>Inverter Front  End WP3 [Wh]</t>
  </si>
  <si>
    <t>Inverter Front 
Δ WP3 [Wh]</t>
  </si>
  <si>
    <t>Inverter Front Δ WP3 [Wh/mi]</t>
  </si>
  <si>
    <t>Inverter Rear Start WP4 [Wh]</t>
  </si>
  <si>
    <t>Inverter Rear  End WP4 [Wh]</t>
  </si>
  <si>
    <t>Inverter Rear 
Δ WP4 [Wh]</t>
  </si>
  <si>
    <t>Inverter Rear Δ WP4 [Wh/mi]</t>
  </si>
  <si>
    <t>PTC Heater Start WP5 [Wh]</t>
  </si>
  <si>
    <t>PTC Heater  End WP5 [Wh]</t>
  </si>
  <si>
    <t>PTC Heater 
Δ WP5 [Wh]</t>
  </si>
  <si>
    <t>PTC Heater Δ WP5 [Wh/mi]</t>
  </si>
  <si>
    <t>AC Compressor Start WP6 [Wh]</t>
  </si>
  <si>
    <t>AC Compressor  End WP6 [Wh]</t>
  </si>
  <si>
    <t>AC Compressor 
Δ WP6 [Wh]</t>
  </si>
  <si>
    <t>AC Compressor Δ WP6 [Wh/mi]</t>
  </si>
  <si>
    <t>DCDC In (Pos) Start WP7 [Wh]</t>
  </si>
  <si>
    <t>DCDC In (Pos)  End WP7 [Wh]</t>
  </si>
  <si>
    <t>DCDC In (Pos) 
Δ WP7 [Wh]</t>
  </si>
  <si>
    <t>DCDC In (Pos) Δ WP7 [Wh/mi]</t>
  </si>
  <si>
    <t>DCDC Out (Pos) Start WP8 [Wh]</t>
  </si>
  <si>
    <t>DCDC Out (Pos)  End WP8 [Wh]</t>
  </si>
  <si>
    <t>DCDC Out (Pos) 
Δ WP8 [Wh]</t>
  </si>
  <si>
    <t>DCDC Out (Pos) Δ WP8 [Wh/mi]</t>
  </si>
  <si>
    <t xml:space="preserve">12V Batt Neg (200A)
Start 
WP11 [Wh]
</t>
  </si>
  <si>
    <t>12V Batt (Neg) (200A) End
WP11 [Wh]</t>
  </si>
  <si>
    <t>12V Batt  (Neg) (200A)
Average Power P11 [W]</t>
  </si>
  <si>
    <t>Delta SOC</t>
  </si>
  <si>
    <t>240V AC Charge- Pre EVSE (80A)
Δ [Wh]</t>
  </si>
  <si>
    <t>240V AC Charge- Post EVSE (80A)
Δ [Wh]</t>
  </si>
  <si>
    <t xml:space="preserve">240V AC Charge- Pre EVSE (80A)
Start 
WP9 [Wh]
</t>
  </si>
  <si>
    <t>240V AC Charge- Pre EVSE (80A) End
WP9 [Wh]</t>
  </si>
  <si>
    <t xml:space="preserve">240V AC Charge- Post EVSE (80A)
Start 
WP10 [Wh]
</t>
  </si>
  <si>
    <t>240V AC Charge- Post EVSE (80A) End
WP10 [Wh]</t>
  </si>
  <si>
    <t>1p</t>
  </si>
  <si>
    <t>2p</t>
  </si>
  <si>
    <t>3p</t>
  </si>
  <si>
    <t>c1+2p</t>
  </si>
  <si>
    <t>4p</t>
  </si>
  <si>
    <t>5p</t>
  </si>
  <si>
    <t>c4+5p</t>
  </si>
  <si>
    <t>6p</t>
  </si>
  <si>
    <t>c6+7p</t>
  </si>
  <si>
    <t>c3+4p</t>
  </si>
  <si>
    <t>7p</t>
  </si>
  <si>
    <t>Z:\All Daq\Drive Cycles\Blank Bags\Blank 1Bag 1400.txt</t>
  </si>
  <si>
    <t>Blanl bag quick debug of sytem merge</t>
  </si>
  <si>
    <t>ok</t>
  </si>
  <si>
    <t>MK</t>
  </si>
  <si>
    <t>Inf</t>
  </si>
  <si>
    <t>NaN</t>
  </si>
  <si>
    <t>Z:\All Daq\Drive Cycles\EPA cycles (checked)\HWFET (checked)\HWYx2noPREP 2Bags 5spd 2500.txt</t>
  </si>
  <si>
    <t>05/22/20, 02:41:19 PM</t>
  </si>
  <si>
    <t>Initial coastdown to determine vehicle losses on dyno 4WD mode/hood down/speed match fan/tire pressure 42PSI</t>
  </si>
  <si>
    <t>ok, drive trace computer went to sleep during HWY1, accepted new dyno sets</t>
  </si>
  <si>
    <t>Z:\All Daq\Drive Cycles\Blank Bags\Blank 1Bag 1800.txt</t>
  </si>
  <si>
    <t>05/22/20, 03:36:53 PM</t>
  </si>
  <si>
    <t>Blank 1 bag charge test for 30 minutes</t>
  </si>
  <si>
    <t>XX</t>
  </si>
  <si>
    <t>Z:\All Daq\Drive Cycles\Drive Cycle Archive\Robot Driver\5Hills - 464 (no negative speed).txt</t>
  </si>
  <si>
    <t>05/26/20, 10:27:01 AM</t>
  </si>
  <si>
    <t>5 hills robot driver checkout test</t>
  </si>
  <si>
    <t>Robot1</t>
  </si>
  <si>
    <t>Z:\All Daq\Drive Cycles\Drive Cycle Archive\HWY CYCLES\HWYx3 3bag w15sec idle wCoastdown 3600.txt</t>
  </si>
  <si>
    <t>05/26/20, 11:01:18 AM</t>
  </si>
  <si>
    <t>HWYx3 + coastdowns to verify dyno sets</t>
  </si>
  <si>
    <t>Z:\All Daq\Drive Cycles\J1634 Combined\UDDSx8 8Bag 5spd 10982.txt</t>
  </si>
  <si>
    <t>05/26/20, 12:09:46 PM</t>
  </si>
  <si>
    <t>UDDSx8, only drive 3 cycles</t>
  </si>
  <si>
    <t>Z:\All Daq\Drive Cycles\ramps_low_speed.txt</t>
  </si>
  <si>
    <t>05/26/20, 01:45:18 PM</t>
  </si>
  <si>
    <t>05/26/20, 01:56:46 PM</t>
  </si>
  <si>
    <t>ok, robot dropped out while in manual mode</t>
  </si>
  <si>
    <t>05/26/20, 02:06:51 PM</t>
  </si>
  <si>
    <t>Decel test</t>
  </si>
  <si>
    <t>Z:\All Daq\Drive Cycles\J1634 Combined\USO6x10 10 bag NoSoak 6001.txt</t>
  </si>
  <si>
    <t>05/26/20, 02:19:48 PM</t>
  </si>
  <si>
    <t>US06 Cycles x10, stop after 3 or 4 cycles</t>
  </si>
  <si>
    <t>Z:\All Daq\Drive Cycles\RampCycles\NewRamps8-0pt5-Filtered2s.txt</t>
  </si>
  <si>
    <t>05/26/20, 02:58:29 PM</t>
  </si>
  <si>
    <t>Power ramp cycles</t>
  </si>
  <si>
    <t>05/26/20, 03:18:38 PM</t>
  </si>
  <si>
    <t xml:space="preserve">WOTs </t>
  </si>
  <si>
    <t>05/26/20, 03:33:18 PM</t>
  </si>
  <si>
    <t>30 miute test charge</t>
  </si>
  <si>
    <t>Z:\All Daq\Drive Cycles\Blank Bags\Blank 1 Bag 28800 (8 hours).txt</t>
  </si>
  <si>
    <t>05/26/20, 04:14:22 PM</t>
  </si>
  <si>
    <t>Blank 1 bag 8 hours to log charge</t>
  </si>
  <si>
    <t>ok, stopped to test merge data</t>
  </si>
  <si>
    <t>05/26/20, 04:34:01 PM</t>
  </si>
  <si>
    <t>ok, looks like it completed</t>
  </si>
  <si>
    <t>Z:\All Daq\Drive Cycles\J1634 Combined\UDDS-Split HWY UDDS-Split US06-Split ELECTRIC 7 Bag 4820.txt</t>
  </si>
  <si>
    <t>05/27/20, 08:49:53 AM</t>
  </si>
  <si>
    <t>J1634 MCT, UDDS-HWY-UDDS-US06</t>
  </si>
  <si>
    <t>ok, headlight off during first two cycles and on during last two cycles</t>
  </si>
  <si>
    <t>Z:\All Daq\Drive Cycles\J1634 Combined\SSS 65mph variable length.txt</t>
  </si>
  <si>
    <t>05/27/20, 10:32:45 AM</t>
  </si>
  <si>
    <t>J1634 MCT, middle deplete for @17000 seconds</t>
  </si>
  <si>
    <t>ok, stopped earlier than programed due to recalc of SS65 time needed</t>
  </si>
  <si>
    <t>Z:\All Daq\Drive Cycles\J1634 Combined\US06-Split UDDS-Split HWY UDDS-Split ELECTRIC 7 Bag 5328.txt</t>
  </si>
  <si>
    <t>05/27/20, 02:45:01 PM</t>
  </si>
  <si>
    <t>J1634 MCT, US06-UDDS-HWY-UDDS</t>
  </si>
  <si>
    <t>Z:\All Daq\Drive Cycles\J1634 Combined\65mph 1634 Capacity 3 hour 10800.txt</t>
  </si>
  <si>
    <t>05/27/20, 04:20:42 PM</t>
  </si>
  <si>
    <t>J1634 MCT, SSS 65MPH final deplete until can't hold 65MPH</t>
  </si>
  <si>
    <t>Z:\All Daq\Drive Cycles\Blank Bags\Blank 1 Bag 36000 (10 hours).txt</t>
  </si>
  <si>
    <t>05/27/20, 04:51:33 PM</t>
  </si>
  <si>
    <t>J1634 MCT, Charge after MCT (10 hour 1 bag)</t>
  </si>
  <si>
    <t>05/22/20, 02:26:10 PM</t>
  </si>
  <si>
    <t>s6p</t>
  </si>
  <si>
    <t>s1p</t>
  </si>
  <si>
    <t>Regen charge limit</t>
  </si>
  <si>
    <t>SSS 0-80-0 0%,3%,6% grade, 30 sec hold</t>
  </si>
  <si>
    <t>Z:\All Daq\Drive Cycles\Blank Bags\Blank 1Bag 3000.txt</t>
  </si>
  <si>
    <t>05/29/20, 09:29:08 AM</t>
  </si>
  <si>
    <t>Blank bag, regen power limits-motor dyno until avail regen power drops</t>
  </si>
  <si>
    <t>Z:\All Daq\Drive Cycles\SS_Stairs and Tip-ins\stairs_up_down_80mph_60sec_ramp_3_bag x3 w_0_3_6pct grade_w55MPH_warmup_3652.txt</t>
  </si>
  <si>
    <t>05/29/20, 10:40:23 AM</t>
  </si>
  <si>
    <t>SSS, 0-80-0 @ 0%, 3%, and 6% grade with 55MPH 10 minute warmup, Automatic grade from DAQ to Dyno</t>
  </si>
  <si>
    <t>ok, grade output data to FAC DAQ was incorrect due to 10V output and 5V max input at DAQ</t>
  </si>
  <si>
    <t>Z:\All Daq\Drive Cycles\SS_Stairs and Tip-ins\TipIns 35-55 55-65 35-70 55-80 X3 w_55mph warmup 4bags 1162.txt</t>
  </si>
  <si>
    <t>05/29/20, 01:10:02 PM</t>
  </si>
  <si>
    <t>Passing manuevers at 0%, 3% and 6% grade with 5 min 55MPH warmup</t>
  </si>
  <si>
    <t>05/29/20, 01:33:52 PM</t>
  </si>
  <si>
    <t>Power cycle ramps, 0% grade</t>
  </si>
  <si>
    <t>Depletion at 65mph</t>
  </si>
  <si>
    <t>no</t>
  </si>
  <si>
    <t>8p</t>
  </si>
  <si>
    <t>05/29/20, 01:53:40 PM</t>
  </si>
  <si>
    <t>Blank 1 bag WOTs until derating</t>
  </si>
  <si>
    <t>05/29/20, 02:21:21 PM</t>
  </si>
  <si>
    <t>SSS to deplete to empty</t>
  </si>
  <si>
    <t>ok, stopped test when vehicle could not maintain 65MPH</t>
  </si>
  <si>
    <t>Z:\All Daq\Drive Cycles\Blank Bags\Blank 1 Bag 288000 (80 hours).txt</t>
  </si>
  <si>
    <t>05/29/20, 04:26:33 PM</t>
  </si>
  <si>
    <t>Blank bag 120V L1 charge at 1 Hz for 80 hours</t>
  </si>
  <si>
    <t>06/01/20, 11:36:37 AM</t>
  </si>
  <si>
    <t>J1634 MCT, only charged to 'DAILY DRIVE', first half UDDS-HWY-UDDS-US06</t>
  </si>
  <si>
    <t>ok, auto merge say no valid CSV file</t>
  </si>
  <si>
    <t>Z:\All Daq\Drive Cycles\Drive Cycle Archive\WLTP\WLTPv4x2 8bag no soak 3615.txt</t>
  </si>
  <si>
    <t>06/01/20, 01:18:20 PM</t>
  </si>
  <si>
    <t>J1634 MCT, only charged to 'DAILY DRIVE', WLTPx2</t>
  </si>
  <si>
    <t>Z:\All Daq\Drive Cycles\J1634 Combined\USO6x12 12 bag NoSoak 7201.txt</t>
  </si>
  <si>
    <t>06/01/20, 02:26:29 PM</t>
  </si>
  <si>
    <t>J1634 MCT, only charged to 'DAILY DRIVE', US06x12 or until thermally stable</t>
  </si>
  <si>
    <t>06/02/20, 02:31:30 PM</t>
  </si>
  <si>
    <t>J1634 MCT in hot test cell (95°F), NO Solar, HVAC-AUTO-72°F</t>
  </si>
  <si>
    <t>06/03/20, 12:48:17 PM</t>
  </si>
  <si>
    <t xml:space="preserve">Pretest J1634 MCT in cold test cell (20°F), HVAC-AUTO-72°F, </t>
  </si>
  <si>
    <t>Z:\All Daq\Drive Cycles\SS_Stairs and Tip-ins\65mph SSS_3x5minplus1x_15min_bags 1890.txt</t>
  </si>
  <si>
    <t>06/03/20, 02:17:33 PM</t>
  </si>
  <si>
    <t>Pretest J1634 MCT in cold test cell (20°F), HVAC-AUTO-72°F, 65 MPH SS</t>
  </si>
  <si>
    <t>Z:\All Daq\Drive Cycles\Blank Bags\Blank 1 Bag 7200 (2 hours).txt</t>
  </si>
  <si>
    <t>06/03/20, 02:32:55 PM</t>
  </si>
  <si>
    <t>Blank bag charge before cold test</t>
  </si>
  <si>
    <t>06/04/20, 08:06:49 AM</t>
  </si>
  <si>
    <t>J1634 MCT Cold, 20°F Test Cell, HVAC-AUTO-72°F, charge NOT plugged in overnight</t>
  </si>
  <si>
    <t>HWYx3 + coastdowns</t>
  </si>
  <si>
    <t>UDDS x8</t>
  </si>
  <si>
    <t>Debug- Blank Bag Checkout following CoVID shutdown</t>
  </si>
  <si>
    <t>Debug- Blank Bag charge test</t>
  </si>
  <si>
    <t>Debug- robot driver test out</t>
  </si>
  <si>
    <t>US06 x3</t>
  </si>
  <si>
    <t>Power Cycles</t>
  </si>
  <si>
    <t>Debug Robot Driver Ramp cycles</t>
  </si>
  <si>
    <t>WOTs</t>
  </si>
  <si>
    <t>DEBUG Charge test</t>
  </si>
  <si>
    <t>UDDS 2, 505</t>
  </si>
  <si>
    <t>HWY 1</t>
  </si>
  <si>
    <t>UDDS 1 , Combined</t>
  </si>
  <si>
    <t xml:space="preserve">UDDS 1 </t>
  </si>
  <si>
    <t>UDDS 1 , 505</t>
  </si>
  <si>
    <t>UDDS 2, combined</t>
  </si>
  <si>
    <t>US06 2, combined</t>
  </si>
  <si>
    <t>US06 1, combined</t>
  </si>
  <si>
    <t>US06 1, city</t>
  </si>
  <si>
    <t>US06 1, hwy</t>
  </si>
  <si>
    <t>SSS 65mph depletion</t>
  </si>
  <si>
    <t>US06 2, city</t>
  </si>
  <si>
    <t>US06 2, hwy</t>
  </si>
  <si>
    <t>UDDS 3, 505</t>
  </si>
  <si>
    <t>UDDS 3, combined</t>
  </si>
  <si>
    <t>UDDS 4, 505</t>
  </si>
  <si>
    <t>UDDS 4</t>
  </si>
  <si>
    <t>UDDS 4, combined</t>
  </si>
  <si>
    <t>Regen Power Limit testing</t>
  </si>
  <si>
    <t>SSS 0-80-0, 0,3,6per grade</t>
  </si>
  <si>
    <t>Passing Maneuver 0,3,6 per grade</t>
  </si>
  <si>
    <t>Power cycle ramps</t>
  </si>
  <si>
    <t>65mph Depletion</t>
  </si>
  <si>
    <t>WLTP, Ph1</t>
  </si>
  <si>
    <t>WLTP, Ph2</t>
  </si>
  <si>
    <t>WLTP, Ph3</t>
  </si>
  <si>
    <t>WLTP, Ph4</t>
  </si>
  <si>
    <t>US06xn , 1</t>
  </si>
  <si>
    <t>US06xn , 2</t>
  </si>
  <si>
    <t>US06xn , 3</t>
  </si>
  <si>
    <t>US06xn , 4</t>
  </si>
  <si>
    <t>US06xn , 5</t>
  </si>
  <si>
    <t>US06xn , 6</t>
  </si>
  <si>
    <t>US06xn , 7</t>
  </si>
  <si>
    <t>US06xn , 8</t>
  </si>
  <si>
    <t>65mph Depletion, slowdown</t>
  </si>
  <si>
    <t>65mph Depletion, part 1</t>
  </si>
  <si>
    <t>65mph Depletion, part 2</t>
  </si>
  <si>
    <t>Charge Efficiency</t>
  </si>
  <si>
    <t>Day 5 - J1634 MCT Combo Shortcut 95°F W/ Solar</t>
  </si>
  <si>
    <t>Day 5 - J1634 MCT Combo Shortcut 95°F  No Solar</t>
  </si>
  <si>
    <t>Preconditioning test- Cabin and Powertrain Warmup testing</t>
  </si>
  <si>
    <t>Preconditioning warmup test</t>
  </si>
  <si>
    <t>06/04/20, 09:37:40 AM</t>
  </si>
  <si>
    <t>J1634 MCT Cold, 20°F Test Cell, HVAC-AUTO-72°F, middle deplete</t>
  </si>
  <si>
    <t>06/04/20, 12:22:59 PM</t>
  </si>
  <si>
    <t>J1634 MCT Cold, 20°F Test Cell, HVAC-AUTO-72°F, second half</t>
  </si>
  <si>
    <t>06/04/20, 01:56:28 PM</t>
  </si>
  <si>
    <t>J1634 MCT Cold, 20°F Test Cell, HVAC-AUTO-72°F, SSS 65MPH until can't hold 65 MPH final deplete</t>
  </si>
  <si>
    <t>06/04/20, 02:12:58 PM</t>
  </si>
  <si>
    <t>J1634 MCT Cold, 20°F Test Cell, Blank bag, 10 hour recharge L2 (Tesla 48A)</t>
  </si>
  <si>
    <t>06/05/20, 08:56:21 AM</t>
  </si>
  <si>
    <t>Blank 1 bag precondion monitor test</t>
  </si>
  <si>
    <t>ok, stopped test due to stabilized temps</t>
  </si>
  <si>
    <t>Z:\All Daq\Drive Cycles\J1634 Combined\UDDS-Split HWY UDDS-Split US06-Split ELECTRIC 8 Bag with preconditioning 5900.txt</t>
  </si>
  <si>
    <t>06/05/20, 09:56:21 AM</t>
  </si>
  <si>
    <t>J1634 MCT  first half with precondition in cold test cell, test started after @ 50 minutes precondion with HVAC ON-AUTO-72°F, Climate turned back on at 300 seconds</t>
  </si>
  <si>
    <t>06/08/20, 08:38:51 AM</t>
  </si>
  <si>
    <t xml:space="preserve">J1634 MCT in deep cold (0°F) Test Cell, HVAC-AUTO-72°F, charged over weekend and soaked at 0°F, </t>
  </si>
  <si>
    <t>06/08/20, 10:07:04 AM</t>
  </si>
  <si>
    <t>J1634 MCT in deep cold (0°F) Test Cell, HVAC-AUTO-72°F, SSS 65MPH middle deplete</t>
  </si>
  <si>
    <t>06/08/20, 12:15:08 PM</t>
  </si>
  <si>
    <t>J1634 MCT in deep cold (0°F) Test Cell, HVAC-AUTO-72°F, US06/UDDS/HWY/UDDS</t>
  </si>
  <si>
    <t>06/08/20, 01:48:28 PM</t>
  </si>
  <si>
    <t>J1634 MCT in deep cold (0°F) Test Cell, HVAC-AUTO-72°F, 65MPH SSS until can't hold 90% of 65MPH</t>
  </si>
  <si>
    <t>72F Mapping cycles</t>
  </si>
  <si>
    <t>Warmup cell SLOWLY to 72F / Deplete on the US06 cycles</t>
  </si>
  <si>
    <t>SOC down to ~ 80%</t>
  </si>
  <si>
    <t>2020 Tesla Model 3 LR_AWD</t>
  </si>
  <si>
    <t>Tesla v2 Wall Connector</t>
  </si>
  <si>
    <t>Charge AC Wh- post EVSE</t>
  </si>
  <si>
    <t>Charge AC Wh- pre EVSE</t>
  </si>
  <si>
    <t>DIF energy</t>
  </si>
  <si>
    <t>DIR energy</t>
  </si>
  <si>
    <t>DCDC Out</t>
  </si>
  <si>
    <t>DCDC In</t>
  </si>
  <si>
    <t>Charge DC Wh- Batt</t>
  </si>
  <si>
    <t>Prior Test DC Wh</t>
  </si>
  <si>
    <t>Charge L2 -7C</t>
  </si>
  <si>
    <t>Charge L2 23C</t>
  </si>
  <si>
    <t>EVSE Efficiency</t>
  </si>
  <si>
    <t>Charger Efficiency</t>
  </si>
  <si>
    <t>J1634 Recharge Allocation Factor (RAF)</t>
  </si>
  <si>
    <t>12V Batt</t>
  </si>
  <si>
    <t>Tesla L1 EVSE</t>
  </si>
  <si>
    <t>Partial CAN data- Vspy crash</t>
  </si>
  <si>
    <t>Charge L2 -17C</t>
  </si>
  <si>
    <t>Charge L1 23C - Partial to Daily Limit</t>
  </si>
  <si>
    <t>CAN DAQ faulted mid-test, only partial CAN data</t>
  </si>
  <si>
    <t>Z:\All Daq\Drive Cycles\Blank Bags\Blank 1 Bag 14400 (4 hours).txt</t>
  </si>
  <si>
    <t>06/01/20, 03:46:32 PM</t>
  </si>
  <si>
    <t>Blank bag 4 hour L2 charge to full</t>
  </si>
  <si>
    <t>06/05/20, 01:49:44 PM</t>
  </si>
  <si>
    <t>Blank 1 bag, 80 hour log of charge in cold @ 0°F</t>
  </si>
  <si>
    <t>ok, DAQ ran all weekend in 1 Hz mode</t>
  </si>
  <si>
    <t>06/08/20, 02:14:19 PM</t>
  </si>
  <si>
    <t>J1634 MCT in deep cold (0°F) Test Cell, Charge to full in 0°F test cell at 1 Hz</t>
  </si>
  <si>
    <t>Clamp eff</t>
  </si>
  <si>
    <t xml:space="preserve">Level 1- </t>
  </si>
  <si>
    <t>US06 x 10</t>
  </si>
  <si>
    <t>Duoba Cycles- Standard regen/Standard accel</t>
  </si>
  <si>
    <t>Duoba Cycles- Low regen/standard accel</t>
  </si>
  <si>
    <t>Duoba Cycles- low regen/chill accel</t>
  </si>
  <si>
    <t>Duoba Cycles- standard regen/chill accel</t>
  </si>
  <si>
    <t>US06 x10 p1</t>
  </si>
  <si>
    <t>US06 x10 p2</t>
  </si>
  <si>
    <t>US06 x10 p3</t>
  </si>
  <si>
    <t>US06 x10 p4</t>
  </si>
  <si>
    <t>US06 x10 p5</t>
  </si>
  <si>
    <t>US06 x10 p6</t>
  </si>
  <si>
    <t>US06 x10 p7</t>
  </si>
  <si>
    <t>US06 x10 p8</t>
  </si>
  <si>
    <t>US06 x10 p9</t>
  </si>
  <si>
    <t>US06 x10 p10</t>
  </si>
  <si>
    <t>25% grade test</t>
  </si>
  <si>
    <t>9p</t>
  </si>
  <si>
    <t>10p</t>
  </si>
  <si>
    <t>Z:\All Daq\Drive Cycles\Drive Cycle Archive\HWY CYCLES\HWYx3 3Bag wCoastdown 3600.txt</t>
  </si>
  <si>
    <t>06/10/20, 03:16:16 PM</t>
  </si>
  <si>
    <t xml:space="preserve">Hwyx3, 3 bag with coastdown time to verify current dyno sets </t>
  </si>
  <si>
    <t>ok, 4 coastdowns all with limits</t>
  </si>
  <si>
    <t>06/11/20, 09:04:25 AM</t>
  </si>
  <si>
    <t xml:space="preserve">US06x10, 10 bag,  </t>
  </si>
  <si>
    <t>06/11/20, 10:53:32 AM</t>
  </si>
  <si>
    <t>Power ramps, standard regen, STANDARD accel/STANDARD regen/HOLD braking</t>
  </si>
  <si>
    <t>06/11/20, 11:15:38 AM</t>
  </si>
  <si>
    <t>Power ramps, standard regen, STANDARD accel/LOW regen/HOLD braking</t>
  </si>
  <si>
    <t>06/11/20, 11:32:03 AM</t>
  </si>
  <si>
    <t>Power ramps, standard regen, STANDARD accel/LOW regen/HOLD braking...REPEAT</t>
  </si>
  <si>
    <t>06/11/20, 11:48:35 AM</t>
  </si>
  <si>
    <t>Power ramps, standard regen, CHILL accel/LOW regen/HOLD braking</t>
  </si>
  <si>
    <t>ok, robot appears to follow trace better in CHILL mode</t>
  </si>
  <si>
    <t>06/11/20, 12:05:19 PM</t>
  </si>
  <si>
    <t>Power ramps, standard regen, CHILL accel/STANDARD regen/HOLD braking</t>
  </si>
  <si>
    <t>Z:\All Daq\Drive Cycles\SS_Stairs and Tip-ins\55MPH SSS 10 minute warmup with mapping time 7200.txt</t>
  </si>
  <si>
    <t>06/11/20, 01:26:27 PM</t>
  </si>
  <si>
    <t>25% grade test after 55MPH 10 minute warmup</t>
  </si>
  <si>
    <t>ok, stopped test when vehicle passed 80MPH</t>
  </si>
  <si>
    <t>Z:\All Daq\Drive Cycles\J1634 Combined\65mph 1634 Capacity 4 hour 14400.txt</t>
  </si>
  <si>
    <t>06/11/20, 01:53:01 PM</t>
  </si>
  <si>
    <t>65MPH SSS to deplete</t>
  </si>
  <si>
    <t>ok, stopped test when drive speed dropped below 58.5 at 65MPH setpoint</t>
  </si>
  <si>
    <t>Z:\All Daq\Drive Cycles\Blank Bags\Blank 1 Bag 43200 (12 hours).txt</t>
  </si>
  <si>
    <t>06/11/20, 03:31:35 PM</t>
  </si>
  <si>
    <t>12 hour charge blank 1 bag</t>
  </si>
  <si>
    <t>Power Cycles - 
STANDARD accel/LOW regen/HOLD braking</t>
  </si>
  <si>
    <t>Power Cycles - 
STANDARD accel/STANDARD regen/HOLD braking</t>
  </si>
  <si>
    <t>Power Cycles - 
 STANDARD accel/LOW regen/HOLD braking</t>
  </si>
  <si>
    <t>Power Cycles - 
CHILL accel/LOW regen/HOLD braking</t>
  </si>
  <si>
    <t>Power Cycles - 
CHILL accel/STANDARD regen/HOLD braking</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</si>
  <si>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t>
  </si>
  <si>
    <t>06/12/20, 08:44:29 AM</t>
  </si>
  <si>
    <t>J1634MCT, 72°F Tesrt Cell</t>
  </si>
  <si>
    <t>SMCT- UDDS UDDS HWY US06 HWY UDDS UDDS - 12BAG</t>
  </si>
  <si>
    <t>06/12/20, 10:11:51 AM</t>
  </si>
  <si>
    <t>J1634MCT, 72°F Test Cell, 65 MPH SSS middle deplete</t>
  </si>
  <si>
    <t>06/12/20, 02:13:26 PM</t>
  </si>
  <si>
    <t>J1634MCT, 72°F Test Cell, US06/UDDS/HWY/UDDS</t>
  </si>
  <si>
    <t>06/12/20, 03:46:38 PM</t>
  </si>
  <si>
    <t>J1634MCT, 72°F Test Cell, 65MPH SSS final deplete until vehcile can't hold 90% of 65MPH (58.5MPH)</t>
  </si>
  <si>
    <t>06/12/20, 04:17:51 PM</t>
  </si>
  <si>
    <t>J1634MCT, 72°F Test Cell, blank 1 bag 12 hour charge log at 1 Hz</t>
  </si>
  <si>
    <t>HWY 2</t>
  </si>
  <si>
    <t>c9+10p</t>
  </si>
  <si>
    <t>11p</t>
  </si>
  <si>
    <t>12p</t>
  </si>
  <si>
    <t>c11+12p</t>
  </si>
  <si>
    <t>Z:\All Daq\Drive Cycles\J1634 Combined\SMCT\SMCT-UDDS - UDDS - HWY -US06 - HWY- UDDS - UDDS NOSOAK 12 Bag 7676.txt</t>
  </si>
  <si>
    <t>06/15/20, 12:18:52 PM</t>
  </si>
  <si>
    <t>SMCT with no soaks in 72°F test cell</t>
  </si>
  <si>
    <t>NOT OK, no fan no drive trace display</t>
  </si>
  <si>
    <t>Z:\All Daq\Drive Cycles\Drive Cycle Archive\Jap10 Cycles\Japan JC08 1bag 1205.txt</t>
  </si>
  <si>
    <t>06/15/20, 01:20:16 PM</t>
  </si>
  <si>
    <t>06/15/20, 01:36:05 PM</t>
  </si>
  <si>
    <t xml:space="preserve">J1634 SMCT, no soak test, warm start </t>
  </si>
  <si>
    <t>SSS Depletion</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</si>
  <si>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</si>
  <si>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</si>
  <si>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t>
  </si>
  <si>
    <t xml:space="preserve">##DATA(Exhaust_Bag, =c1+2-, WP9)INVALID OPERATOR  INVALID OPERATOR  INVALID OPERATOR  INVALID OPERATOR  </t>
  </si>
  <si>
    <t xml:space="preserve">##DATA(Exhaust_Bag, =c1+2, WP10)INVALID OPERATOR  INVALID OPERATOR  INVALID OPERATOR  INVALID OPERATOR  </t>
  </si>
  <si>
    <t xml:space="preserve">##DATA(Exhaust_Bag, =c1+2-, WP10)INVALID OPERATOR  INVALID OPERATOR  INVALID OPERATOR  INVALID OPERATOR  </t>
  </si>
  <si>
    <t xml:space="preserve">##DATA(Exhaust_Bag, =c6+7, WP9)INVALID OPERATOR  INVALID OPERATOR  INVALID OPERATOR  INVALID OPERATOR  </t>
  </si>
  <si>
    <t xml:space="preserve">##DATA(Exhaust_Bag, =c6+7-, WP9)INVALID OPERATOR  INVALID OPERATOR  INVALID OPERATOR  INVALID OPERATOR  </t>
  </si>
  <si>
    <t xml:space="preserve">##DATA(Exhaust_Bag, =c6+7, WP10)INVALID OPERATOR  INVALID OPERATOR  INVALID OPERATOR  INVALID OPERATOR  </t>
  </si>
  <si>
    <t xml:space="preserve">##DATA(Exhaust_Bag, =c6+7-, WP10)INVALID OPERATOR  INVALID OPERATOR  INVALID OPERATOR  INVALID OPERATOR  </t>
  </si>
  <si>
    <t>Z:\All Daq\Drive Cycles\J1634 Combined\SMCT\SMCT-UDDS - UDDS - HWY -US06 - HWY- UDDS -Soak -UDDS 12 Bag 8274.txt</t>
  </si>
  <si>
    <t>06/16/20, 08:21:32 AM</t>
  </si>
  <si>
    <t xml:space="preserve">J1634 SMCT, with soak test, warm start </t>
  </si>
  <si>
    <t>ok, that seemed to work</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</si>
  <si>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</si>
  <si>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</si>
  <si>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</si>
  <si>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</si>
  <si>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</si>
  <si>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</si>
  <si>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</si>
  <si>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</si>
  <si>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</si>
  <si>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</si>
  <si>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</si>
  <si>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</si>
  <si>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</si>
  <si>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</si>
  <si>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WP9)INVALID OPERATOR  INVALID OPERATOR  INVALID OPERATOR  INVALID OPERATOR  </t>
  </si>
  <si>
    <t xml:space="preserve">##DATA(Exhaust_Bag, =c3+4-, WP9)INVALID OPERATOR  INVALID OPERATOR  INVALID OPERATOR  INVALID OPERATOR  </t>
  </si>
  <si>
    <t xml:space="preserve">##DATA(Exhaust_Bag, =c3+4, WP10)INVALID OPERATOR  INVALID OPERATOR  INVALID OPERATOR  INVALID OPERATOR  </t>
  </si>
  <si>
    <t xml:space="preserve">##DATA(Exhaust_Bag, =c3+4-, WP10)INVALID OPERATOR  INVALID OPERATOR  INVALID OPERATOR  INVALID OPERATOR  </t>
  </si>
  <si>
    <t xml:space="preserve">##DATA(Exhaust_Bag, =c9+10, WP9)INVALID OPERATOR  INVALID OPERATOR  INVALID OPERATOR  INVALID OPERATOR  </t>
  </si>
  <si>
    <t xml:space="preserve">##DATA(Exhaust_Bag, =c9+10-, WP9)INVALID OPERATOR  INVALID OPERATOR  INVALID OPERATOR  INVALID OPERATOR  </t>
  </si>
  <si>
    <t xml:space="preserve">##DATA(Exhaust_Bag, =c9+10, WP10)INVALID OPERATOR  INVALID OPERATOR  INVALID OPERATOR  INVALID OPERATOR  </t>
  </si>
  <si>
    <t xml:space="preserve">##DATA(Exhaust_Bag, =c9+10-, WP10)INVALID OPERATOR  INVALID OPERATOR  INVALID OPERATOR  INVALID OPERATOR  </t>
  </si>
  <si>
    <t xml:space="preserve">##DATA(Exhaust_Bag, =c11+12, WP9)INVALID OPERATOR  INVALID OPERATOR  INVALID OPERATOR  INVALID OPERATOR  </t>
  </si>
  <si>
    <t xml:space="preserve">##DATA(Exhaust_Bag, =c11+12-, WP9)INVALID OPERATOR  INVALID OPERATOR  INVALID OPERATOR  INVALID OPERATOR  </t>
  </si>
  <si>
    <t xml:space="preserve">##DATA(Exhaust_Bag, =c11+12, WP10)INVALID OPERATOR  INVALID OPERATOR  INVALID OPERATOR  INVALID OPERATOR  </t>
  </si>
  <si>
    <t xml:space="preserve">##DATA(Exhaust_Bag, =c11+12-, WP10)INVALID OPERATOR  INVALID OPERATOR  INVALID OPERATOR  INVALID OPERATOR  </t>
  </si>
  <si>
    <t>Z:\All Daq\Drive Cycles\J1634 Combined\65mph 1634 Capacity 5 hour 18000.txt</t>
  </si>
  <si>
    <t>06/16/20, 10:49:45 AM</t>
  </si>
  <si>
    <t>J1634 SMCT, 65MPH deplete until speed derate below 65MPH (5 hour)</t>
  </si>
  <si>
    <t>SC03, prep</t>
  </si>
  <si>
    <t>SC03 test</t>
  </si>
  <si>
    <t>SC03, test</t>
  </si>
  <si>
    <t>LA92, prep</t>
  </si>
  <si>
    <t>LA92, test</t>
  </si>
  <si>
    <t>HWY, ph1</t>
  </si>
  <si>
    <t>HWY, ph2</t>
  </si>
  <si>
    <t>HWY, ph3</t>
  </si>
  <si>
    <t>Accessory Load Test</t>
  </si>
  <si>
    <t>End of testing- vehicle removed from dyno</t>
  </si>
  <si>
    <t xml:space="preserve">##INFO(TINVALID COMMAND  INVALID COMMAND  INVALID COMMAND  INVALID COMMAND  INVALID COMMAND  INVALID COMMAND  INVALID COMMAND  INVALID COMMAND  INVALID COMMAND  </t>
  </si>
  <si>
    <t xml:space="preserve">##PHASE(3, Phase Distance [mi])CHANNEL NOT FOUND CHANNEL NOT FOUND CHANNEL NOT FOUND CHANNEL NOT FOUND CHANNEL NOT FOUND CHANNEL NOT FOUND CHANNEL NOT FOUND CHANNEL NOT FOUND CHANNEL NOT FOUND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</si>
  <si>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</si>
  <si>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</si>
  <si>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</si>
  <si>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</si>
  <si>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</si>
  <si>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</si>
  <si>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</si>
  <si>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</si>
  <si>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</si>
  <si>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</si>
  <si>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</si>
  <si>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</si>
  <si>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</si>
  <si>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</si>
  <si>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</si>
  <si>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</si>
  <si>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</si>
  <si>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</si>
  <si>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BMS_socAvg__per)DATA CHANNEL NOT FOUND DATA CHANNEL NOT FOUND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</si>
  <si>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BMS_socAvg__per)DATA CHANNEL NOT FOUND DATA CHANNEL NOT FOUND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</si>
  <si>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</si>
  <si>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</si>
  <si>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</si>
  <si>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</si>
  <si>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BMS_socAvg__per)DATA CHANNEL NOT FOUND DATA CHANNEL NOT FOUND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</si>
  <si>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BMS_socAvg__per)DATA CHANNEL NOT FOUND DATA CHANNEL NOT FOUND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</si>
  <si>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</si>
  <si>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</si>
  <si>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</si>
  <si>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</si>
  <si>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BMS_socAvg__per)DATA CHANNEL NOT FOUND DATA CHANNEL NOT FOUND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</si>
  <si>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BMS_socAvg__per)DATA CHANNEL NOT FOUND DATA CHANNEL NOT FOUND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</si>
  <si>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</si>
  <si>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</si>
  <si>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</si>
  <si>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</si>
  <si>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</si>
  <si>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</si>
  <si>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</si>
  <si>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</si>
  <si>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</si>
  <si>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</si>
  <si>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</si>
  <si>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</si>
  <si>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</si>
  <si>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</si>
  <si>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</si>
  <si>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</si>
  <si>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</si>
  <si>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</si>
  <si>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</si>
  <si>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</si>
  <si>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</si>
  <si>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</si>
  <si>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</si>
  <si>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BMS_socAvg__per)INVALID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</si>
  <si>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</si>
  <si>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WP9)INVALID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</si>
  <si>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</si>
  <si>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WP10)INVALID OPERATOR  INVALID OPERATOR  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</si>
  <si>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</si>
  <si>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BMS_socAvg__per)INVALID OPERATOR  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</si>
  <si>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</si>
  <si>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</si>
  <si>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</si>
  <si>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</si>
  <si>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</si>
  <si>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</si>
  <si>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</si>
  <si>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</si>
  <si>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</si>
  <si>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</si>
  <si>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</si>
  <si>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</si>
  <si>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</si>
  <si>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</si>
  <si>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</si>
  <si>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</si>
  <si>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</si>
  <si>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BMS_socAvg__per)INVALID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</si>
  <si>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WP9)INVALID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</si>
  <si>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WP9)INVALID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</si>
  <si>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</si>
  <si>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=c3+4-, WP10)INVALID OPERATOR  INVALID OPERATOR  INVALID OPERATOR  INVALID OPERATOR  INVALID OPERATOR  INVALID OPERATOR  INVALID OPERATOR  INVALID OPERATOR  INVALID OPERATOR  INVALID OPERATOR  INVALID OPERATOR  INVALID OPERATOR  INVALID OPERATOR  INVALID OPERATOR  </t>
  </si>
  <si>
    <t xml:space="preserve">##DATA(Exhaust_Bag, =1, BMS_socAvg__per)TEST FILE NOT FOUNDDATA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</si>
  <si>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BMS_socAvg__per)TEST FILE NOT FOUNDDATA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</si>
  <si>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BMS_socAvg__per)DATA CHANNEL NOT FOUND DATA CHANNEL NOT FOUND DATA CHANNEL NOT FOUND DATA CHANNEL NOT FOUND DATA CHANNEL NOT FOUND DATA CHANNEL NOT FOUND DATA CHANNEL NOT FOUND DATA CHANNEL NOT FOUND DATA CHANNEL NOT FOUND </t>
  </si>
  <si>
    <t xml:space="preserve">##DATA(Exhaust_Bag, =1-, BMS_socAvg__per)DATA CHANNEL NOT FOUND DATA CHANNEL NOT FOUND DATA CHANNEL NOT FOUND DATA CHANNEL NOT FOUND DATA CHANNEL NOT FOUND DATA CHANNEL NOT FOUND DATA CHANNEL NOT FOUND DATA CHANNEL NOT FOUND DATA CHANNEL NOT FOUND </t>
  </si>
  <si>
    <t xml:space="preserve">##DATA(Exhaust_Bag, =c1+2, WP9)INVALID OPERATOR  INVALID OPERATOR  INVALID OPERATOR  INVALID OPERATOR  INVALID OPERATOR  INVALID OPERATOR  INVALID OPERATOR  </t>
  </si>
  <si>
    <t xml:space="preserve">##DATA(Exhaust_Bag, =c1+2-, WP9)INVALID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</si>
  <si>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t>
  </si>
  <si>
    <t xml:space="preserve">##DATA(Exhaust_Bag, =c1+2-, WP10)INVALID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</si>
  <si>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t>
  </si>
  <si>
    <t xml:space="preserve">##DATA(Exhaust_Bag, =c4+5-, WP9)INVALID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</si>
  <si>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t>
  </si>
  <si>
    <t xml:space="preserve">##DATA(Exhaust_Bag, =c4+5-, WP10)INVALID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</si>
  <si>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t>
  </si>
  <si>
    <t xml:space="preserve">##DATA(Exhaust_Bag, =c6+7-, WP9)INVALID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</si>
  <si>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t>
  </si>
  <si>
    <t xml:space="preserve">##DATA(Exhaust_Bag, =c6+7-, WP10)INVALID OPERATOR  INVALID OPERATOR  INVALID OPERATOR  INVALID OPERATOR  INVALID OPERATOR  INVALID OPERATOR  INVALID OPERATOR  </t>
  </si>
  <si>
    <t xml:space="preserve">##DATA(Exhaust_Bag, =c1+2, WP9)TEST FILE NOT FOUNDINVALID OPERATOR  INVALID OPERATOR  INVALID OPERATOR  INVALID OPERATOR  INVALID OPERATOR  INVALID OPERATOR  </t>
  </si>
  <si>
    <t xml:space="preserve">##DATA(Exhaust_Bag, =c1+2-, WP9)TEST FILE NOT FOUNDINVALID OPERATOR  INVALID OPERATOR  INVALID OPERATOR  INVALID OPERATOR  INVALID OPERATOR  INVALID OPERATOR  </t>
  </si>
  <si>
    <t xml:space="preserve">##DATA(Exhaust_Bag, =c1+2, WP10)TEST FILE NOT FOUNDINVALID OPERATOR  INVALID OPERATOR  INVALID OPERATOR  INVALID OPERATOR  INVALID OPERATOR  INVALID OPERATOR  </t>
  </si>
  <si>
    <t xml:space="preserve">##DATA(Exhaust_Bag, =c1+2-, WP10)TEST FILE NOT FOUNDINVALID OPERATOR  INVALID OPERATOR  INVALID OPERATOR  INVALID OPERATOR  INVALID OPERATOR  INVALID OPERATOR  </t>
  </si>
  <si>
    <t xml:space="preserve">##DATA(Exhaust_Bag, =c3+4, WP9)TEST FILE NOT FOUNDINVALID OPERATOR  INVALID OPERATOR  INVALID OPERATOR  INVALID OPERATOR  INVALID OPERATOR  INVALID OPERATOR  </t>
  </si>
  <si>
    <t xml:space="preserve">##DATA(Exhaust_Bag, =c3+4-, WP9)TEST FILE NOT FOUNDINVALID OPERATOR  INVALID OPERATOR  INVALID OPERATOR  INVALID OPERATOR  INVALID OPERATOR  INVALID OPERATOR  </t>
  </si>
  <si>
    <t xml:space="preserve">##DATA(Exhaust_Bag, =c3+4, WP10)TEST FILE NOT FOUNDINVALID OPERATOR  INVALID OPERATOR  INVALID OPERATOR  INVALID OPERATOR  INVALID OPERATOR  INVALID OPERATOR  </t>
  </si>
  <si>
    <t xml:space="preserve">##DATA(Exhaust_Bag, =c3+4-, WP10)TEST FILE NOT FOUNDINVALID OPERATOR  INVALID OPERATOR  INVALID OPERATOR  INVALID OPERATOR  INVALID OPERATOR  INVALID OPERATOR  </t>
  </si>
  <si>
    <t xml:space="preserve">##DATA(Exhaust_Bag, =c6+7, WP9)TEST FILE NOT FOUNDINVALID OPERATOR  INVALID OPERATOR  INVALID OPERATOR  INVALID OPERATOR  INVALID OPERATOR  INVALID OPERATOR  </t>
  </si>
  <si>
    <t xml:space="preserve">##DATA(Exhaust_Bag, =c6+7-, WP9)TEST FILE NOT FOUNDINVALID OPERATOR  INVALID OPERATOR  INVALID OPERATOR  INVALID OPERATOR  INVALID OPERATOR  INVALID OPERATOR  </t>
  </si>
  <si>
    <t xml:space="preserve">##DATA(Exhaust_Bag, =c6+7, WP10)TEST FILE NOT FOUNDINVALID OPERATOR  INVALID OPERATOR  INVALID OPERATOR  INVALID OPERATOR  INVALID OPERATOR  INVALID OPERATOR  </t>
  </si>
  <si>
    <t xml:space="preserve">##DATA(Exhaust_Bag, =c6+7-, WP10)TEST FILE NOT FOUNDINVALID OPERATOR  INVALID OPERATOR  INVALID OPERATOR  INVALID OPERATOR  INVALID OPERATOR  INVALID OPERATOR  </t>
  </si>
  <si>
    <t xml:space="preserve">##DATA(Exhaust_Bag, =1, BMS_socAvg__per)TEST FILE NOT FOUNDDATA CHANNEL NOT FOUND DATA CHANNEL NOT FOUND DATA CHANNEL NOT FOUND DATA CHANNEL NOT FOUND DATA CHANNEL NOT FOUND DATA CHANNEL NOT FOUND </t>
  </si>
  <si>
    <t xml:space="preserve">##DATA(Exhaust_Bag, =1-, BMS_socAvg__per)TEST FILE NOT FOUNDDATA CHANNEL NOT FOUND DATA CHANNEL NOT FOUND DATA CHANNEL NOT FOUND DATA CHANNEL NOT FOUND DATA CHANNEL NOT FOUND DATA CHANNEL NOT FOUND </t>
  </si>
  <si>
    <t xml:space="preserve">##DATA(Exhaust_Bag, =c1+2, WP9)INVALID OPERATOR  INVALID OPERATOR  INVALID OPERATOR  INVALID OPERATOR  INVALID OPERATOR  </t>
  </si>
  <si>
    <t xml:space="preserve">##DATA(Exhaust_Bag, =c1+2-, WP9)INVALID OPERATOR  INVALID OPERATOR  INVALID OPERATOR  INVALID OPERATOR  INVALID OPERATOR  </t>
  </si>
  <si>
    <t xml:space="preserve">##DATA(Exhaust_Bag, =c1+2, WP10)INVALID OPERATOR  INVALID OPERATOR  INVALID OPERATOR  INVALID OPERATOR  INVALID OPERATOR  </t>
  </si>
  <si>
    <t xml:space="preserve">##DATA(Exhaust_Bag, =c1+2-, WP10)INVALID OPERATOR  INVALID OPERATOR  INVALID OPERATOR  INVALID OPERATOR  INVALID OPERATOR  </t>
  </si>
  <si>
    <t xml:space="preserve">##DATA(Exhaust_Bag, =1,BMS_socAvg__per)DATA CHANNEL NOT FOUND DATA CHANNEL NOT FOUND DATA CHANNEL NOT FOUND DATA CHANNEL NOT FOUND DATA CHANNEL NOT FOUND </t>
  </si>
  <si>
    <t xml:space="preserve">##DATA(Exhaust_Bag, =1-,BMS_socAvg__per)DATA CHANNEL NOT FOUND DATA CHANNEL NOT FOUND DATA CHANNEL NOT FOUND DATA CHANNEL NOT FOUND DATA CHANNEL NOT FOUND </t>
  </si>
  <si>
    <t xml:space="preserve">##DATA(Exhaust_Bag, =1, BMS_socAvg__per)DATA CHANNEL NOT FOUND DATA CHANNEL NOT FOUND DATA CHANNEL NOT FOUND DATA CHANNEL NOT FOUND DATA CHANNEL NOT FOUND </t>
  </si>
  <si>
    <t xml:space="preserve">##DATA(Exhaust_Bag, =1-, BMS_socAvg__per)DATA CHANNEL NOT FOUND DATA CHANNEL NOT FOUND DATA CHANNEL NOT FOUND DATA CHANNEL NOT FOUND DATA CHANNEL NOT FOUND </t>
  </si>
  <si>
    <t xml:space="preserve">##DATA(Exhaust_Bag, =c3+4, WP9)INVALID OPERATOR  INVALID OPERATOR  INVALID OPERATOR  INVALID OPERATOR  INVALID OPERATOR  </t>
  </si>
  <si>
    <t xml:space="preserve">##DATA(Exhaust_Bag, =c3+4-, WP9)INVALID OPERATOR  INVALID OPERATOR  INVALID OPERATOR  INVALID OPERATOR  INVALID OPERATOR  </t>
  </si>
  <si>
    <t xml:space="preserve">##DATA(Exhaust_Bag, =c3+4, WP10)INVALID OPERATOR  INVALID OPERATOR  INVALID OPERATOR  INVALID OPERATOR  INVALID OPERATOR  </t>
  </si>
  <si>
    <t xml:space="preserve">##DATA(Exhaust_Bag, =c3+4-, WP10)INVALID OPERATOR  INVALID OPERATOR  INVALID OPERATOR  INVALID OPERATOR  INVALID OPERATOR  </t>
  </si>
  <si>
    <t xml:space="preserve">##DATA(Exhaust_Bag, =c6+7, WP9)INVALID OPERATOR  INVALID OPERATOR  INVALID OPERATOR  INVALID OPERATOR  INVALID OPERATOR  </t>
  </si>
  <si>
    <t xml:space="preserve">##DATA(Exhaust_Bag, =c6+7-, WP9)INVALID OPERATOR  INVALID OPERATOR  INVALID OPERATOR  INVALID OPERATOR  INVALID OPERATOR  </t>
  </si>
  <si>
    <t xml:space="preserve">##DATA(Exhaust_Bag, =c6+7, WP10)INVALID OPERATOR  INVALID OPERATOR  INVALID OPERATOR  INVALID OPERATOR  INVALID OPERATOR  </t>
  </si>
  <si>
    <t xml:space="preserve">##DATA(Exhaust_Bag, =c6+7-, WP10)INVALID OPERATOR  INVALID OPERATOR  INVALID OPERATOR  INVALID OPERATOR  INVALID OPERATOR  </t>
  </si>
  <si>
    <t xml:space="preserve">##DATA(Exhaust_Bag, =c9+10, WP9)INVALID OPERATOR  INVALID OPERATOR  INVALID OPERATOR  INVALID OPERATOR  INVALID OPERATOR  </t>
  </si>
  <si>
    <t xml:space="preserve">##DATA(Exhaust_Bag, =c9+10-, WP9)INVALID OPERATOR  INVALID OPERATOR  INVALID OPERATOR  INVALID OPERATOR  INVALID OPERATOR  </t>
  </si>
  <si>
    <t xml:space="preserve">##DATA(Exhaust_Bag, =c9+10, WP10)INVALID OPERATOR  INVALID OPERATOR  INVALID OPERATOR  INVALID OPERATOR  INVALID OPERATOR  </t>
  </si>
  <si>
    <t xml:space="preserve">##DATA(Exhaust_Bag, =c9+10-, WP10)INVALID OPERATOR  INVALID OPERATOR  INVALID OPERATOR  INVALID OPERATOR  INVALID OPERATOR  </t>
  </si>
  <si>
    <t xml:space="preserve">##DATA(Exhaust_Bag, =c11+12, WP9)INVALID OPERATOR  INVALID OPERATOR  INVALID OPERATOR  INVALID OPERATOR  INVALID OPERATOR  </t>
  </si>
  <si>
    <t xml:space="preserve">##DATA(Exhaust_Bag, =c11+12-, WP9)INVALID OPERATOR  INVALID OPERATOR  INVALID OPERATOR  INVALID OPERATOR  INVALID OPERATOR  </t>
  </si>
  <si>
    <t xml:space="preserve">##DATA(Exhaust_Bag, =c11+12, WP10)INVALID OPERATOR  INVALID OPERATOR  INVALID OPERATOR  INVALID OPERATOR  INVALID OPERATOR  </t>
  </si>
  <si>
    <t xml:space="preserve">##DATA(Exhaust_Bag, =c11+12-, WP10)INVALID OPERATOR  INVALID OPERATOR  INVALID OPERATOR  INVALID OPERATOR  INVALID OPERATOR  </t>
  </si>
  <si>
    <t>06/16/20, 03:25:13 PM</t>
  </si>
  <si>
    <t>J1634 SMCT, 12 hours post test charge</t>
  </si>
  <si>
    <t>06/26/20, 08:58:39 AM</t>
  </si>
  <si>
    <t xml:space="preserve">##DATA(Exhaust_Bag, =1,BMS_socAvg__per)DATA CHANNEL NOT FOUND </t>
  </si>
  <si>
    <t xml:space="preserve">##DATA(Exhaust_Bag, =1-,BMS_socAvg__per)DATA CHANNEL NOT FOUND </t>
  </si>
  <si>
    <t xml:space="preserve">##DATA(Exhaust_Bag, =1, BMS_socAvg__per)DATA CHANNEL NOT FOUND </t>
  </si>
  <si>
    <t xml:space="preserve">##DATA(Exhaust_Bag, =1-, BMS_socAvg__per)DATA CHANNEL NOT FOUND </t>
  </si>
  <si>
    <t>Z:\All Daq\Drive Cycles\J1634 Combined\SC03x2 HWY UDDS-Split ELECTRIC 7 Bag 4543.txt</t>
  </si>
  <si>
    <t>07/06/20, 02:03:00 PM</t>
  </si>
  <si>
    <t>Trial SC03 MCT Testin hot test cell 95°F with solar @ 850W/m^2-HVAC AUTO-72°F</t>
  </si>
  <si>
    <t>dyno faulted due to front drive chiller fault</t>
  </si>
  <si>
    <t>07/07/20, 08:32:15 AM</t>
  </si>
  <si>
    <t>J1634 MCT Test in hot test cell 95°F with solar @ 850W/m^2-HVAC AUTO-72°F, solar lights on 30 minutes prior to test</t>
  </si>
  <si>
    <t xml:space="preserve">##DATA(Exhaust_Bag, =c1+2, WP9)INVALID OPERATOR  </t>
  </si>
  <si>
    <t xml:space="preserve">##DATA(Exhaust_Bag, =c1+2-, WP9)INVALID OPERATOR  </t>
  </si>
  <si>
    <t xml:space="preserve">##DATA(Exhaust_Bag, =c1+2, WP10)INVALID OPERATOR  </t>
  </si>
  <si>
    <t xml:space="preserve">##DATA(Exhaust_Bag, =c1+2-, WP10)INVALID OPERATOR  </t>
  </si>
  <si>
    <t xml:space="preserve">##DATA(Exhaust_Bag, =c4+5, WP9)INVALID OPERATOR  </t>
  </si>
  <si>
    <t xml:space="preserve">##DATA(Exhaust_Bag, =c4+5-, WP9)INVALID OPERATOR  </t>
  </si>
  <si>
    <t xml:space="preserve">##DATA(Exhaust_Bag, =c4+5, WP10)INVALID OPERATOR  </t>
  </si>
  <si>
    <t xml:space="preserve">##DATA(Exhaust_Bag, =c4+5-, WP10)INVALID OPERATOR  </t>
  </si>
  <si>
    <t xml:space="preserve">##DATA(Exhaust_Bag, =c6+7, WP9)INVALID OPERATOR  </t>
  </si>
  <si>
    <t xml:space="preserve">##DATA(Exhaust_Bag, =c6+7-, WP9)INVALID OPERATOR  </t>
  </si>
  <si>
    <t xml:space="preserve">##DATA(Exhaust_Bag, =c6+7, WP10)INVALID OPERATOR  </t>
  </si>
  <si>
    <t xml:space="preserve">##DATA(Exhaust_Bag, =c6+7-, WP10)INVALID OPERATOR  </t>
  </si>
  <si>
    <t>07/07/20, 10:02:04 AM</t>
  </si>
  <si>
    <t>J1634 MCT Test in hot test cell 95°F with solar @ 850W/m^2-HVAC AUTO-72°F, middle deplete</t>
  </si>
  <si>
    <t>07/07/20, 01:51:02 PM</t>
  </si>
  <si>
    <t>J1634 MCT Test in hot test cell 95°F with solar @ 850W/m^2-HVAC AUTO-72°F, SC03 portion</t>
  </si>
  <si>
    <t>07/07/20, 03:10:39 PM</t>
  </si>
  <si>
    <t>J1634 MCT Test in hot test cell 95°F with solar @ 850W/m^2-HVAC AUTO-72°F, 65MPH SSS until can't hold 95% of 65MPH</t>
  </si>
  <si>
    <t>07/07/20, 04:04:14 PM</t>
  </si>
  <si>
    <t>J1634 MCT charge in hot test cell 95°F, blank 1 bag 10 hours</t>
  </si>
  <si>
    <t>Z:\All Daq\Drive Cycles\LA92\LA92x2 2Bag 2888.txt</t>
  </si>
  <si>
    <t>07/08/20, 12:50:14 PM</t>
  </si>
  <si>
    <t>LA92x2, 2 bag, 72°F test cell, cold start from full charge</t>
  </si>
  <si>
    <t>07/08/20, 01:46:38 PM</t>
  </si>
  <si>
    <t>HWYx3, 3 bag with end of testing coastdown to verify vehicle losses, 72°F test cell</t>
  </si>
  <si>
    <t>Z:\All Daq\Drive Cycles\Blank Bags\Blank 1Bag 3600.txt</t>
  </si>
  <si>
    <t>07/14/20, 09:00:12 AM</t>
  </si>
  <si>
    <t>Blank 1 bag Accessory Load test</t>
  </si>
  <si>
    <t>72°F MCT Testing- Day 1</t>
  </si>
  <si>
    <t>72°F Performance testing</t>
  </si>
  <si>
    <t>95°F with no solar MCT Testing</t>
  </si>
  <si>
    <t>72°F MCT Testing / WLTP / US06 to stability</t>
  </si>
  <si>
    <t>20°F MCT debug</t>
  </si>
  <si>
    <t>20°F, J1634 MCT, No preconditioning</t>
  </si>
  <si>
    <t>0°F, J1634 MCT, powertrain preconditioning (plugged in overnight)</t>
  </si>
  <si>
    <t>20°F, J1634 MCT, with cabin &amp; powertrain preconditioning</t>
  </si>
  <si>
    <t>72°F MCT Testing- Day 2</t>
  </si>
  <si>
    <t>72°F performance testing</t>
  </si>
  <si>
    <t>DEBUG</t>
  </si>
  <si>
    <t>72° F J1634 SMCT Debug test</t>
  </si>
  <si>
    <t>72° F J1634 SMCT test</t>
  </si>
  <si>
    <t>95°F with solar SC03 test</t>
  </si>
  <si>
    <t>72F LA92 / end of testing cycles</t>
  </si>
  <si>
    <t>Blank 1 bag, 4 hours, log car while in Sentry Mode, vehicle unplugged from charger</t>
  </si>
  <si>
    <t>Sentry Mode test</t>
  </si>
  <si>
    <t>Sentry Mode Test</t>
  </si>
  <si>
    <t>95°F with 850 W/m^2 solar MCT</t>
  </si>
  <si>
    <t>72F Full Discharge Test UBE</t>
  </si>
  <si>
    <t>95F w/ solar</t>
  </si>
  <si>
    <t>72F repeat</t>
  </si>
  <si>
    <t>20F w/ preconditioning</t>
  </si>
  <si>
    <t>95F w/o solar</t>
  </si>
  <si>
    <t>UDDS1</t>
  </si>
  <si>
    <t>UDDS2</t>
  </si>
  <si>
    <t>UDDS3</t>
  </si>
  <si>
    <t>UDDS4</t>
  </si>
  <si>
    <t>HWY1</t>
  </si>
  <si>
    <t>HWY2</t>
  </si>
  <si>
    <t>SS2</t>
  </si>
  <si>
    <t>Energy(Wh)</t>
  </si>
  <si>
    <t>Distance (mi</t>
  </si>
  <si>
    <t>Ecdc_cyc</t>
  </si>
  <si>
    <t>SS1+US06</t>
  </si>
  <si>
    <t>Manufacturer - 2018</t>
  </si>
  <si>
    <t>%Dif 2018</t>
  </si>
  <si>
    <t>%Dif 2020</t>
  </si>
  <si>
    <t>MCT2</t>
  </si>
  <si>
    <t>SMCT</t>
  </si>
  <si>
    <t>MCT 1</t>
  </si>
  <si>
    <t xml:space="preserve">Manufacturer - 2020 </t>
  </si>
  <si>
    <t>Total</t>
  </si>
  <si>
    <t>MCT 2 - Headlight on/off</t>
  </si>
  <si>
    <t>DC Wh/mi Increase with respect to 72F UDDS</t>
  </si>
  <si>
    <t>UDDS HS</t>
  </si>
  <si>
    <t>Recharge Allocation Factors</t>
  </si>
  <si>
    <t>2020 MFR</t>
  </si>
  <si>
    <t>2018 MFR</t>
  </si>
  <si>
    <t>AC Wh</t>
  </si>
  <si>
    <t>RAF</t>
  </si>
  <si>
    <t>VIN</t>
  </si>
  <si>
    <t>5YJ3E1EB5LF618578</t>
  </si>
  <si>
    <t>Electric consumption</t>
  </si>
  <si>
    <t>Driver Metrics (J2951)</t>
  </si>
  <si>
    <t>AMTL 4WD - 371</t>
  </si>
  <si>
    <t>ok, grade output data to FAC DAQ was incorrect due to 10V output and 5V max input at DAQ. Grade instead input manually in Dyno GUI</t>
  </si>
  <si>
    <t>°</t>
  </si>
  <si>
    <t>-17°C Ambient with 72F Cabin</t>
  </si>
  <si>
    <t>-7°C Ambient with 72°F Cabin</t>
  </si>
  <si>
    <t>-7°C Ambient with 72°F Cabin (preconditioned)</t>
  </si>
  <si>
    <t>23°C Ambient with Climate off</t>
  </si>
  <si>
    <t>35°C w/o solar with 72F Cabin</t>
  </si>
  <si>
    <t>35°C Ambient with 72°F Cabin</t>
  </si>
  <si>
    <t>Added precon power</t>
  </si>
  <si>
    <t>Cyc1: UDDS 1</t>
  </si>
  <si>
    <t>Cyc3: UDDS 2</t>
  </si>
  <si>
    <t>Cyc2: HWFET 1</t>
  </si>
  <si>
    <t>Cyc4: US06 1</t>
  </si>
  <si>
    <t>Cyc6: UDDS 3</t>
  </si>
  <si>
    <t>Cyc5: US06 2</t>
  </si>
  <si>
    <t>Cyc7: HWFET 2</t>
  </si>
  <si>
    <t>Cyc8: UDDS4</t>
  </si>
  <si>
    <t>CAN data lost on US06</t>
  </si>
  <si>
    <t>-18C</t>
  </si>
  <si>
    <t>-7C</t>
  </si>
  <si>
    <t>+35C</t>
  </si>
  <si>
    <t>+22C</t>
  </si>
  <si>
    <t>UDDS Cold Start</t>
  </si>
  <si>
    <t>HWFET</t>
  </si>
  <si>
    <t>UDDS Hot Start</t>
  </si>
  <si>
    <t>Charge L2 35C</t>
  </si>
  <si>
    <t>Charging Efficiency</t>
  </si>
  <si>
    <t>35°C w/o solar with 72°F Cabin</t>
  </si>
  <si>
    <t>-18°C Ambient with 72°F Cabin</t>
  </si>
  <si>
    <t>22°C Ambient with Climate off</t>
  </si>
  <si>
    <t>EPA EV Multicycle Calculator (SAE J1634 Oct 2012)</t>
  </si>
  <si>
    <t xml:space="preserve">Manufacturer: </t>
  </si>
  <si>
    <t>XXXXX</t>
  </si>
  <si>
    <t>As used by EPA laboratory</t>
  </si>
  <si>
    <t>Carline:</t>
  </si>
  <si>
    <t>D.Good</t>
  </si>
  <si>
    <t>March 8, 2016</t>
  </si>
  <si>
    <t>Comments:</t>
  </si>
  <si>
    <t>Tested in "Normal" Mode (EPA raw data)</t>
  </si>
  <si>
    <t>Lab</t>
  </si>
  <si>
    <t>NVFEL</t>
  </si>
  <si>
    <t>Test Date</t>
  </si>
  <si>
    <t>XX/XX/XXXX</t>
  </si>
  <si>
    <t>Recharge</t>
  </si>
  <si>
    <t>Energy (Wh)</t>
  </si>
  <si>
    <t>Distance (mi)</t>
  </si>
  <si>
    <t>ECdc_cyc</t>
  </si>
  <si>
    <t>Kuwgt</t>
  </si>
  <si>
    <t>Kwgt</t>
  </si>
  <si>
    <t>AC WattHrs</t>
  </si>
  <si>
    <t>SS1</t>
  </si>
  <si>
    <t>TOTAL</t>
  </si>
  <si>
    <t>K-Factors</t>
  </si>
  <si>
    <t>Unweighted</t>
  </si>
  <si>
    <t>Weighted</t>
  </si>
  <si>
    <t>NA</t>
  </si>
  <si>
    <t>EPA version</t>
    <phoneticPr fontId="2" type="noConversion"/>
  </si>
  <si>
    <t>Results</t>
  </si>
  <si>
    <t>MPGe</t>
    <phoneticPr fontId="7" type="noConversion"/>
  </si>
  <si>
    <t>kWh/100mi</t>
    <phoneticPr fontId="2" type="noConversion"/>
  </si>
  <si>
    <t>UDDSu</t>
  </si>
  <si>
    <t>UDDSw</t>
  </si>
  <si>
    <t>Note:</t>
  </si>
  <si>
    <t>1. Fill in yellow shaded areas to compute range and AC wh/mi results</t>
  </si>
  <si>
    <t>2. Weighted results based on SAE J1634 calculations</t>
  </si>
  <si>
    <t>3. Final values in green shaded area should be rounded to appropriate significant digits</t>
  </si>
  <si>
    <t>*Energy total in cell B20 changed from sum of cycles to sum of measured over full charge test on Hioki Channel 1
* US06+ cycle energy use and distance combined with SS1</t>
  </si>
  <si>
    <t>* This test series was used to validate AC Wh/mi and range calculations align with EPA J1634 spreadsheet calcs</t>
  </si>
  <si>
    <t>1+2</t>
  </si>
  <si>
    <t>4+5</t>
  </si>
  <si>
    <t>6+7</t>
  </si>
  <si>
    <t>3+4</t>
  </si>
  <si>
    <t>9+10</t>
  </si>
  <si>
    <t>11+12</t>
  </si>
  <si>
    <t>Day 0- Coastdowns, Channel Check and Prep</t>
  </si>
  <si>
    <t>20°F J1634 MCT debug (included for reference)</t>
  </si>
  <si>
    <t>20°F, J1634 MCT</t>
  </si>
  <si>
    <t>20°F, J1634 MCT, with cabin &amp; powertrain preconditioning immediately prior</t>
  </si>
  <si>
    <t>0°F, J1634 MCT</t>
  </si>
  <si>
    <t>95°F J1634 MCT with 850 W/m^2 solar</t>
  </si>
  <si>
    <t>72F LA92 / end of testing validation cycles</t>
  </si>
  <si>
    <t>Ending SOC</t>
  </si>
  <si>
    <t>Argonne AMTL 4WD - Bldg 371</t>
  </si>
  <si>
    <t>Energy Measurements</t>
  </si>
  <si>
    <t>Location:</t>
  </si>
  <si>
    <t>HV Batt (500A) Energy Consumption
[Wh/mi]</t>
  </si>
  <si>
    <t>Time[s]_RawFacilities</t>
  </si>
  <si>
    <t>Dyno_Spd[mph]</t>
  </si>
  <si>
    <t>Dyno_TractiveForce[N]</t>
  </si>
  <si>
    <t>Dyno_LoadCell[N]</t>
  </si>
  <si>
    <t>Distance[mi]</t>
  </si>
  <si>
    <t>Dyno_Spd_Front[mph]</t>
  </si>
  <si>
    <t>Dyno_TractiveForce_Front[N]</t>
  </si>
  <si>
    <t>Dyno_LoadCell_Front[N]</t>
  </si>
  <si>
    <t>Dyno_Spd_Rear[mph]</t>
  </si>
  <si>
    <t>Dyno_LoadCell_Rear[N]</t>
  </si>
  <si>
    <t>Dyno_TractiveForce_Rear[N]</t>
  </si>
  <si>
    <t>Grade_Output_DriveTrace[pct]</t>
  </si>
  <si>
    <t>Cell_Temp[C]</t>
  </si>
  <si>
    <t>Cell_RH[%]</t>
  </si>
  <si>
    <t>Cell_Press[inHg]</t>
  </si>
  <si>
    <t>Tire_Front_Temp[C]</t>
  </si>
  <si>
    <t>Tire_Rear_Temp[C]</t>
  </si>
  <si>
    <t>Drive_Schedule_Time[s]</t>
  </si>
  <si>
    <t>Drive_Trace_Schedule[mph]</t>
  </si>
  <si>
    <t>Phase_number</t>
  </si>
  <si>
    <t>Time[s]</t>
  </si>
  <si>
    <t>U1</t>
  </si>
  <si>
    <t>I1</t>
  </si>
  <si>
    <t>P1</t>
  </si>
  <si>
    <t>IH1</t>
  </si>
  <si>
    <t>WP1</t>
  </si>
  <si>
    <t>PWP1</t>
  </si>
  <si>
    <t>MWP1</t>
  </si>
  <si>
    <t>U2</t>
  </si>
  <si>
    <t>I2</t>
  </si>
  <si>
    <t>P2</t>
  </si>
  <si>
    <t>IH2</t>
  </si>
  <si>
    <t>WP2</t>
  </si>
  <si>
    <t>PWP2</t>
  </si>
  <si>
    <t>MWP2</t>
  </si>
  <si>
    <t>U3</t>
  </si>
  <si>
    <t>I3</t>
  </si>
  <si>
    <t>P3</t>
  </si>
  <si>
    <t>IH3</t>
  </si>
  <si>
    <t>WP3</t>
  </si>
  <si>
    <t>PWP3</t>
  </si>
  <si>
    <t>MWP3</t>
  </si>
  <si>
    <t>U4</t>
  </si>
  <si>
    <t>I4</t>
  </si>
  <si>
    <t>P4</t>
  </si>
  <si>
    <t>IH4</t>
  </si>
  <si>
    <t>WP4</t>
  </si>
  <si>
    <t>PWP4</t>
  </si>
  <si>
    <t>MWP4</t>
  </si>
  <si>
    <t>U5</t>
  </si>
  <si>
    <t>I5</t>
  </si>
  <si>
    <t>P5</t>
  </si>
  <si>
    <t>IH5</t>
  </si>
  <si>
    <t>WP5</t>
  </si>
  <si>
    <t>PWP5</t>
  </si>
  <si>
    <t>MWP5</t>
  </si>
  <si>
    <t>U6</t>
  </si>
  <si>
    <t>I6</t>
  </si>
  <si>
    <t>P6</t>
  </si>
  <si>
    <t>IH6</t>
  </si>
  <si>
    <t>WP6</t>
  </si>
  <si>
    <t>PWP6</t>
  </si>
  <si>
    <t>MWP6</t>
  </si>
  <si>
    <t>U7</t>
  </si>
  <si>
    <t>I7</t>
  </si>
  <si>
    <t>P7</t>
  </si>
  <si>
    <t>IH7</t>
  </si>
  <si>
    <t>WP7</t>
  </si>
  <si>
    <t>PWP7</t>
  </si>
  <si>
    <t>MWP7</t>
  </si>
  <si>
    <t>U8</t>
  </si>
  <si>
    <t>I8</t>
  </si>
  <si>
    <t>P8</t>
  </si>
  <si>
    <t>IH8</t>
  </si>
  <si>
    <t>WP8</t>
  </si>
  <si>
    <t>PWP8</t>
  </si>
  <si>
    <t>MWP8</t>
  </si>
  <si>
    <t>U9</t>
  </si>
  <si>
    <t>I9</t>
  </si>
  <si>
    <t>P9</t>
  </si>
  <si>
    <t>IH9</t>
  </si>
  <si>
    <t>WP9</t>
  </si>
  <si>
    <t>PWP9</t>
  </si>
  <si>
    <t>MWP9</t>
  </si>
  <si>
    <t>U10</t>
  </si>
  <si>
    <t>I10</t>
  </si>
  <si>
    <t>P10</t>
  </si>
  <si>
    <t>IH10</t>
  </si>
  <si>
    <t>WP10</t>
  </si>
  <si>
    <t>PWP10</t>
  </si>
  <si>
    <t>MWP10</t>
  </si>
  <si>
    <t>U11</t>
  </si>
  <si>
    <t>I11</t>
  </si>
  <si>
    <t>P11</t>
  </si>
  <si>
    <t>IH11</t>
  </si>
  <si>
    <t>WP11</t>
  </si>
  <si>
    <t>PWP11</t>
  </si>
  <si>
    <t>MWP11</t>
  </si>
  <si>
    <t>Cabin_Temp__C</t>
  </si>
  <si>
    <t>Cabin_Upper_Vent_Temp__C</t>
  </si>
  <si>
    <t>Cabin_Lower_Vent_Temp__C</t>
  </si>
  <si>
    <t>Cabin_Defrost_Temp__C</t>
  </si>
  <si>
    <t>Solar_Array_Ind_Temp__C</t>
  </si>
  <si>
    <t>HV_Batt_Curr_Hi_Hioki_I2__A</t>
  </si>
  <si>
    <t>HV_Batt_Curr_Lo_Hioki_I1__A</t>
  </si>
  <si>
    <t>Motor_Curr_Front_Hioki_I3__A</t>
  </si>
  <si>
    <t>Motor_Curr_Rear_Hioki_I4__A</t>
  </si>
  <si>
    <t>HV_Batt_Power_Hi_Hioki_P2__kW</t>
  </si>
  <si>
    <t>HV_Batt_Power_Lo_Hioki_P1__kW</t>
  </si>
  <si>
    <t>Motor_Power_Front_Hioki_P3__kW</t>
  </si>
  <si>
    <t>Motor_Power_Rear_Hioki_P4__kW</t>
  </si>
  <si>
    <t>DCDC_HV_Curr_Hioki_I7__A</t>
  </si>
  <si>
    <t>PTC_Heater_Curr_Hioki_I5__A</t>
  </si>
  <si>
    <t>AC_Comp_Curr_Hioki_I6__A</t>
  </si>
  <si>
    <t>DCDC_LV_Curr_Hioki_I8__A</t>
  </si>
  <si>
    <t>HV_Batt_Volt_Hioki_U1_U7__V</t>
  </si>
  <si>
    <t>DCDC_LV_Volt_Hioki_U8__V</t>
  </si>
  <si>
    <t>DCDC_HV_Power_Hioki_P7__kW</t>
  </si>
  <si>
    <t>DCDC_LV_Power_Hioki_P8__kW</t>
  </si>
  <si>
    <t>charge_line_current_VCAN__A</t>
  </si>
  <si>
    <t>charge_line_power_VCAN__kW</t>
  </si>
  <si>
    <t>charge_line_voltage_VCAN__V</t>
  </si>
  <si>
    <t>hvbatt_capacity_buffer_VCAN__kWh</t>
  </si>
  <si>
    <t>pedal_accel_CCAN__per</t>
  </si>
  <si>
    <t>UI_idealRange</t>
  </si>
  <si>
    <t>UI_ratedRange</t>
  </si>
  <si>
    <t>UI_soe</t>
  </si>
  <si>
    <t>UI_uSoe</t>
  </si>
  <si>
    <t>UI_whpm</t>
  </si>
  <si>
    <t>VCFRONT_fiveWayValveMode</t>
  </si>
  <si>
    <t>VCFRONT_headlampLeftState</t>
  </si>
  <si>
    <t>VCFRONT_headlampRightState</t>
  </si>
  <si>
    <t>VCFRONT_iBoosterState</t>
  </si>
  <si>
    <t>VCFRONT_passiveCoolingState</t>
  </si>
  <si>
    <t>VCFRONT_vehiclePowerState</t>
  </si>
  <si>
    <t>VCFRONT_wasteHeatRequestType</t>
  </si>
  <si>
    <t>veh_brake_temp_fl_VCAN__C</t>
  </si>
  <si>
    <t>veh_brake_temp_fr_VCAN__C</t>
  </si>
  <si>
    <t>veh_brake_temp_rl_VCAN__C</t>
  </si>
  <si>
    <t>veh_brake_temp_rr_VCAN__C</t>
  </si>
  <si>
    <t>veh_elevation_VCAN__m</t>
  </si>
  <si>
    <t>veh_front_left_CCAN__rpm</t>
  </si>
  <si>
    <t>veh_front_right_CCAN__rpm</t>
  </si>
  <si>
    <t>veh_gear_VCAN</t>
  </si>
  <si>
    <t>veh_odometer_VCAN__km</t>
  </si>
  <si>
    <t>veh_power_drive_max_VCAN__kW</t>
  </si>
  <si>
    <t>veh_power_heat_max_VCAN__kW</t>
  </si>
  <si>
    <t>veh_power_heat_VCAN__kW</t>
  </si>
  <si>
    <t>veh_power_rating_VCAN__kW</t>
  </si>
  <si>
    <t>veh_power_regen_max_VCAN__kW</t>
  </si>
  <si>
    <t>veh_rear_left_CCAN__rpm</t>
  </si>
  <si>
    <t>veh_rear_right_CCAN__rpm</t>
  </si>
  <si>
    <t>veh_regen_rating_VCAN__kW</t>
  </si>
  <si>
    <t>veh_speed_UI_VCAN</t>
  </si>
  <si>
    <t>veh_state_traction_control_VCAN</t>
  </si>
  <si>
    <t>veh_steering_angle_VCAN__deg</t>
  </si>
  <si>
    <t>veh_time_unix_VCAN__s</t>
  </si>
  <si>
    <t>BMStotalACcharge__kWh</t>
  </si>
  <si>
    <t>BMStotalDCcharge__kWh</t>
  </si>
  <si>
    <t>BMStotalDriveDischarge__kWh</t>
  </si>
  <si>
    <t>BMStotalRegenCharge__kWh</t>
  </si>
  <si>
    <t>BMS_beginningOfLifePackEnergy__kWh</t>
  </si>
  <si>
    <t>BMS_flowRequest__lpm</t>
  </si>
  <si>
    <t>BMS_inletActiveCoolTargetT__C</t>
  </si>
  <si>
    <t>BMS_inletActiveHeatTargetT__C</t>
  </si>
  <si>
    <t>BMS_inletPassiveTargetT__C</t>
  </si>
  <si>
    <t>BMS_maxPackTemperature__C</t>
  </si>
  <si>
    <t>BMS_minPackTemperature2__C</t>
  </si>
  <si>
    <t>BMS_packCurrent__A</t>
  </si>
  <si>
    <t>BMS_packVoltage__V</t>
  </si>
  <si>
    <t>BMS_powerDissipation__kW</t>
  </si>
  <si>
    <t>BMS_socAvg__per</t>
  </si>
  <si>
    <t>BMS_socUI__per</t>
  </si>
  <si>
    <t>DIF_axleSpeed__rpm</t>
  </si>
  <si>
    <t>DIF_torqueActual__Nm</t>
  </si>
  <si>
    <t>DIF_oilPumpFlowActual__lpm</t>
  </si>
  <si>
    <t>DIF_oilPumpFluidT__C</t>
  </si>
  <si>
    <t>DIF_drivePowerMax__kW</t>
  </si>
  <si>
    <t>DIF_elecPower__kW</t>
  </si>
  <si>
    <t>DIF_excessHeatCommand__kW</t>
  </si>
  <si>
    <t>DIF_heatPowerActual__kW</t>
  </si>
  <si>
    <t>DIF_heatsinkT__C</t>
  </si>
  <si>
    <t>DIF_inverterT__C</t>
  </si>
  <si>
    <t>DIF_statorT__C</t>
  </si>
  <si>
    <t>DIR_oilPumpFlowActual__lpm</t>
  </si>
  <si>
    <t>DIR_oilPumpFluidT__C</t>
  </si>
  <si>
    <t>DIR_oilPumpPhaseCurrent__A</t>
  </si>
  <si>
    <t>DIR_drivePowerMax__kW</t>
  </si>
  <si>
    <t>DIR_elecPower__kW</t>
  </si>
  <si>
    <t>DIR_excessHeatCommand__kW</t>
  </si>
  <si>
    <t>DIR_heatPowerActual__kW</t>
  </si>
  <si>
    <t>DIR_heatsinkT__C</t>
  </si>
  <si>
    <t>DIR_inverterT__C</t>
  </si>
  <si>
    <t>DIR_statorT__C</t>
  </si>
  <si>
    <t>DIR_axleSpeed__rpm</t>
  </si>
  <si>
    <t>DIR_torqueActual__Nm</t>
  </si>
  <si>
    <t>hvbatt_energy_charge_total_VCAN__kwh</t>
  </si>
  <si>
    <t>hvbatt_energy_discharge_total_VCAN__kwh</t>
  </si>
  <si>
    <t>hvbatt_power_charge_available_VCAN__kW</t>
  </si>
  <si>
    <t>hvbatt_power_limit_discharge_max__kW</t>
  </si>
  <si>
    <t>hvbatt_power_limit_regen_max_VCAN__kW</t>
  </si>
  <si>
    <t>hvbatt_power_max_HVAC_power_budget_VCAN__kW</t>
  </si>
  <si>
    <t>bmsMaxChargeCurrent__A</t>
  </si>
  <si>
    <t>bmsMaxDischargeCurrent__A</t>
  </si>
  <si>
    <t>bmsMaxVoltage__V</t>
  </si>
  <si>
    <t>bmsMinVoltage__V</t>
  </si>
  <si>
    <t>PCS_dcdcHvBusVolt__V</t>
  </si>
  <si>
    <t>PCS_dcdcLvBusVolt__V</t>
  </si>
  <si>
    <t>PCS_dcdcLvOutputCurrent__A</t>
  </si>
  <si>
    <t>UI_acChargeCurrentLimit__A</t>
  </si>
  <si>
    <t>UI_chargeTerminationPct__per</t>
  </si>
  <si>
    <t>VCFRONT_activeLouverOpenPos__per</t>
  </si>
  <si>
    <t>VCFRONT_autopilot1Current__A</t>
  </si>
  <si>
    <t>VCFRONT_autopilot1Voltage__V</t>
  </si>
  <si>
    <t>VCFRONT_autopilot2Current__A</t>
  </si>
  <si>
    <t>VCFRONT_autopilot2Voltage__V</t>
  </si>
  <si>
    <t>VCFRONT_coolantFlowBatActual__lpm</t>
  </si>
  <si>
    <t>VCFRONT_coolantFlowPTActual__lpm</t>
  </si>
  <si>
    <t>VCFRONT_EPAS3PCurrent__A</t>
  </si>
  <si>
    <t>VCFRONT_EPAS3PVoltage__V</t>
  </si>
  <si>
    <t>VCFRONT_EPAS3SCurrent__A</t>
  </si>
  <si>
    <t>VCFRONT_EPAS3SVoltage__V</t>
  </si>
  <si>
    <t>VCFRONT_ESPMotorCurrent__A</t>
  </si>
  <si>
    <t>VCFRONT_ESPMotorVoltage__V</t>
  </si>
  <si>
    <t>VCFRONT_ESPValveCurrent__A</t>
  </si>
  <si>
    <t>VCFRONT_ESPValveVoltage__V</t>
  </si>
  <si>
    <t>VCFRONT_estCompressorRpm__rpm</t>
  </si>
  <si>
    <t>VCFRONT_estPressureDisch__bar</t>
  </si>
  <si>
    <t>VCFRONT_evapQdotActual__W</t>
  </si>
  <si>
    <t>VCLEFT_hvacBlowerRPMActual__rpm</t>
  </si>
  <si>
    <t>VCFRONT_vbatFusedHighVoltage__V</t>
  </si>
  <si>
    <t>VCFRONT_vbatFusedHighCurrent__A</t>
  </si>
  <si>
    <t>VCFRONT_uiCurrent__A</t>
  </si>
  <si>
    <t>VCFRONT_uiAudioCurrent__A</t>
  </si>
  <si>
    <t>VCFRONT_tempCoolantBatInlet__C</t>
  </si>
  <si>
    <t>VCFRONT_tempCoolantPTInlet__C</t>
  </si>
  <si>
    <t>VCFRONT_tempAmbient__C</t>
  </si>
  <si>
    <t>VCFRONT_rightControllerVoltage__V</t>
  </si>
  <si>
    <t>VCFRONT_rightControllerTemp__C</t>
  </si>
  <si>
    <t>VCFRONT_rightControllerCurrent__A</t>
  </si>
  <si>
    <t>VCFRONT_radiatorFanRPMActual__rpm</t>
  </si>
  <si>
    <t>VCFRONT_pumpBatteryRPMActual__rpm</t>
  </si>
  <si>
    <t>VCFRONT_pumpPowertrainRPMActual__rpm</t>
  </si>
  <si>
    <t>VCFRONT_pump2AndAirCompVoltage__V</t>
  </si>
  <si>
    <t>VCFRONT_pump2AndAirCompCurrent__A</t>
  </si>
  <si>
    <t>VCFRONT_pump1AndFanVoltage__V</t>
  </si>
  <si>
    <t>VCFRONT_pump1AndFanCurrent__A</t>
  </si>
  <si>
    <t>VCFRONT_PCSVoltage__V</t>
  </si>
  <si>
    <t>VCFRONT_PCSTemp__C</t>
  </si>
  <si>
    <t>VCFRONT_PCSCurrent__A</t>
  </si>
  <si>
    <t>VCFRONT_leftControllerVoltage__V</t>
  </si>
  <si>
    <t>VCFRONT_leftControllerTemp__C</t>
  </si>
  <si>
    <t>VCFRONT_leftControllerCurrent__A</t>
  </si>
  <si>
    <t>VCFRONT_IBSVoltage__V</t>
  </si>
  <si>
    <t>VCFRONT_IBSCurrent__A</t>
  </si>
  <si>
    <t>VCFRONT_IBSAmpHours__Ah</t>
  </si>
  <si>
    <t>VCFRONT_iBoosterVoltage__V</t>
  </si>
  <si>
    <t>VCFRONT_iBoosterCurrent__A</t>
  </si>
  <si>
    <t>VCFRONT_headlampRightVoltage__V</t>
  </si>
  <si>
    <t>VCFRONT_headlampRightTemperature__C</t>
  </si>
  <si>
    <t>VCFRONT_headlampRightCurrent__A</t>
  </si>
  <si>
    <t>VCFRONT_headlampLeftVoltage__V</t>
  </si>
  <si>
    <t>VCFRONT_headlampLeftTemperature__C</t>
  </si>
  <si>
    <t>VCFRONT_headlampLeftCurrent__A</t>
  </si>
  <si>
    <t>VCFRONT_fiveWayValveRadBypass__per</t>
  </si>
  <si>
    <t>VCFRONT_fanDemandCondenser__per</t>
  </si>
  <si>
    <t>VCFRONT_fanDemandRadiator__per</t>
  </si>
  <si>
    <t>VCRIGHT_wattsDemandEvap__W</t>
  </si>
  <si>
    <t>VCRIGHT_cabinTempInterior__C</t>
  </si>
  <si>
    <t>VCRIGHT_cabinTempInteriorSunny__C</t>
  </si>
  <si>
    <t>VCRIGHT_tempDuctLeft__C</t>
  </si>
  <si>
    <t>VCRIGHT_tempDuctRight__C</t>
  </si>
  <si>
    <t>VCRIGHT_tempIncarCabinDeep__C</t>
  </si>
  <si>
    <t>VCRIGHT_tempIncarCabinMid__C</t>
  </si>
  <si>
    <t>VCRIGHT_tempIncarCabinProbe__C</t>
  </si>
  <si>
    <t>DIF_oilPumpPhaseCurrent__A</t>
  </si>
  <si>
    <t>BattCellTempMax__C</t>
  </si>
  <si>
    <t>BattCellTempMin__C</t>
  </si>
  <si>
    <t>BattCellBrickVoltageMax__V</t>
  </si>
  <si>
    <t>BattCellBrickVoltageMin__V</t>
  </si>
  <si>
    <t>VCFRONT_cabinHeatEnergyDuringDrive__Wh</t>
  </si>
  <si>
    <t>VCRIGHT_hvacQdotLeft__W</t>
  </si>
  <si>
    <t>VCRIGHT_hvacQdotRight__W</t>
  </si>
  <si>
    <t>VCRIGHT_hvacRecircDoorPercent__per</t>
  </si>
  <si>
    <t>hvbatt_capacity_full_nominal_VCAN__kWh</t>
  </si>
  <si>
    <t>hvbatt_capacity_kwh_to_complete_charge_VCAN__kWh</t>
  </si>
  <si>
    <t>hvbatt_capacity_remaining_nominal_VCAN__kWh</t>
  </si>
  <si>
    <t>VCfrontfiveWayValveRadBypass__per</t>
  </si>
  <si>
    <t>VCFRONT_fanDemand__per</t>
  </si>
  <si>
    <t>VCRIGHT_tempEvaporator__C</t>
  </si>
  <si>
    <t>VCRIGHT_hvacIntakePosition__per</t>
  </si>
  <si>
    <t>VCRIGHT_hvacLHBleedPosition__per</t>
  </si>
  <si>
    <t>VCRIGHT_hvacLHVanePosition__per</t>
  </si>
  <si>
    <t>VCRIGHT_hvacLowerModePosition__per</t>
  </si>
  <si>
    <t>VCRIGHT_hvacRHBleedPosition__per</t>
  </si>
  <si>
    <t>VCRIGHT_hvacRHVanePosition__per</t>
  </si>
  <si>
    <t>VCRIGHT_hvacUpperModePosition__per</t>
  </si>
  <si>
    <t>VCRIGHT_cabinTempGlassRoof__C</t>
  </si>
  <si>
    <t>VCRIGHT_cabinTempSideGlassLeft__C</t>
  </si>
  <si>
    <t>VCRIGHT_cabinTempSideGlassRight__C</t>
  </si>
  <si>
    <t>VCRIGHT_cabinTempWindshield__C</t>
  </si>
  <si>
    <t>VCFRONT_compressorState</t>
  </si>
  <si>
    <t>VCFRONT_compDemandChiller__per</t>
  </si>
  <si>
    <t>VCFRONT_compDemandEvap</t>
  </si>
  <si>
    <t>VCRIGHT_hvacMassflowTarget__gps</t>
  </si>
  <si>
    <t>VCRIGHT_solarLoadOnVehicle__Wpm2</t>
  </si>
  <si>
    <t>Hioki Channels</t>
  </si>
  <si>
    <t>HV Battery Signals</t>
  </si>
  <si>
    <t>Charging Signals</t>
  </si>
  <si>
    <t xml:space="preserve">Front Motor </t>
  </si>
  <si>
    <t>Rear Motor</t>
  </si>
  <si>
    <t>Analog Inputs</t>
  </si>
  <si>
    <t xml:space="preserve">PCS (DCDC) </t>
  </si>
  <si>
    <t>VC Front</t>
  </si>
  <si>
    <t xml:space="preserve">HVAC </t>
  </si>
  <si>
    <t>Vehicle/ UI</t>
  </si>
  <si>
    <t>Facility, Dyno, and Test Cell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</si>
</sst>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0.0"/>
    <numFmt numFmtId="165" formatCode="0.000"/>
    <numFmt numFmtId="166" formatCode="0.0000"/>
    <numFmt numFmtId="167" formatCode="0.00000"/>
    <numFmt numFmtId="168" formatCode="[$-F800]dddd\,\ mmmm\ dd\,\ yyyy"/>
    <numFmt numFmtId="169" formatCode="0.000000"/>
    <numFmt numFmtId="170" formatCode="0.0%"/>
    <numFmt numFmtId="171" formatCode="[=0]0;0.000"/>
    <numFmt numFmtId="172" formatCode="[=0]0;0.00"/>
    <numFmt numFmtId="173" formatCode="[=0]0;0.0"/>
    <numFmt numFmtId="174" formatCode="[=0]0;0.0000000"/>
    <numFmt numFmtId="175" formatCode="[=0]0;0.00000"/>
    <numFmt numFmtId="176" formatCode="[=0]0;0.000000"/>
    <numFmt numFmtId="177" formatCode="[$-409]mmmm\ d\,\ yyyy;@"/>
  </numFmts>
  <fonts count="54">
    <font>
      <sz val="11"/>
      <color theme="1"/>
      <name val="Calibri"/>
      <family val="2"/>
      <scheme val="minor"/>
    </font>
    <font>
      <sz val="8"/>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i/>
      <sz val="11"/>
      <color theme="1"/>
      <name val="Calibri"/>
      <family val="2"/>
      <scheme val="minor"/>
    </font>
    <font>
      <b/>
      <sz val="12"/>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b/>
      <sz val="11"/>
      <color theme="1"/>
      <name val="Calibri"/>
      <family val="2"/>
      <scheme val="minor"/>
    </font>
    <font>
      <sz val="10"/>
      <color theme="1"/>
      <name val="Calibri"/>
      <family val="2"/>
      <scheme val="minor"/>
    </font>
    <font>
      <u/>
      <sz val="11"/>
      <color theme="10"/>
      <name val="Calibri"/>
      <family val="2"/>
      <scheme val="minor"/>
    </font>
    <font>
      <b/>
      <sz val="12"/>
      <color theme="1"/>
      <name val="Calibri"/>
      <family val="2"/>
      <scheme val="minor"/>
    </font>
    <font>
      <b/>
      <sz val="10"/>
      <color theme="1"/>
      <name val="Calibri"/>
      <family val="2"/>
      <scheme val="minor"/>
    </font>
    <font>
      <b/>
      <sz val="11"/>
      <color rgb="FF000000"/>
      <name val="Calibri"/>
      <family val="2"/>
      <scheme val="minor"/>
    </font>
    <font>
      <sz val="11"/>
      <color rgb="FF00000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8"/>
      <name val="Arial"/>
      <family val="2"/>
    </font>
    <font>
      <sz val="11"/>
      <color theme="1" tint="0.499984740745262"/>
      <name val="Calibri"/>
      <family val="2"/>
      <scheme val="minor"/>
    </font>
    <font>
      <b/>
      <sz val="16"/>
      <color theme="1"/>
      <name val="Calibri"/>
      <family val="2"/>
      <scheme val="minor"/>
    </font>
    <font>
      <sz val="11"/>
      <color theme="1"/>
      <name val="Calibri"/>
      <family val="2"/>
    </font>
    <font>
      <sz val="14"/>
      <color theme="1"/>
      <name val="Calibri"/>
      <family val="2"/>
      <scheme val="minor"/>
    </font>
    <font>
      <sz val="9"/>
      <color theme="1"/>
      <name val="Calibri"/>
      <family val="2"/>
      <scheme val="minor"/>
    </font>
    <font>
      <sz val="10"/>
      <name val="Times New Roman"/>
      <family val="1"/>
    </font>
    <font>
      <b/>
      <sz val="14"/>
      <color theme="1"/>
      <name val="Calibri"/>
      <family val="2"/>
      <scheme val="minor"/>
    </font>
    <font>
      <sz val="18"/>
      <color theme="3"/>
      <name val="Cambria"/>
      <family val="2"/>
      <scheme val="major"/>
    </font>
    <font>
      <b/>
      <sz val="9"/>
      <name val="Arial"/>
      <family val="2"/>
    </font>
    <font>
      <b/>
      <sz val="9"/>
      <color theme="1"/>
      <name val="Calibri"/>
      <family val="2"/>
      <scheme val="minor"/>
    </font>
    <font>
      <sz val="11"/>
      <color theme="1"/>
      <name val="Calibri"/>
      <family val="2"/>
      <charset val="129"/>
      <scheme val="minor"/>
    </font>
    <font>
      <b/>
      <sz val="10"/>
      <name val="Arial"/>
      <family val="2"/>
    </font>
    <font>
      <sz val="11"/>
      <color rgb="FFFF0000"/>
      <name val="Calibri"/>
      <family val="2"/>
      <charset val="129"/>
      <scheme val="minor"/>
    </font>
    <font>
      <b/>
      <sz val="11"/>
      <color rgb="FFFF0000"/>
      <name val="Calibri"/>
      <family val="2"/>
      <scheme val="minor"/>
    </font>
    <font>
      <sz val="11"/>
      <name val="Calibri"/>
      <family val="2"/>
      <scheme val="minor"/>
    </font>
    <font>
      <b/>
      <sz val="10"/>
      <color rgb="FFFF0000"/>
      <name val="Arial"/>
      <family val="2"/>
    </font>
    <font>
      <b/>
      <sz val="11"/>
      <color theme="1"/>
      <name val="Calibri"/>
      <family val="3"/>
      <charset val="129"/>
      <scheme val="minor"/>
    </font>
    <font>
      <b/>
      <sz val="8"/>
      <color theme="1"/>
      <name val="Calibri"/>
      <family val="2"/>
      <scheme val="minor"/>
    </font>
    <font>
      <b/>
      <sz val="14"/>
      <name val="Arial"/>
      <family val="2"/>
    </font>
    <font>
      <sz val="14"/>
      <name val="Arial"/>
      <family val="2"/>
    </font>
    <font>
      <b/>
      <sz val="18"/>
      <color theme="1"/>
      <name val="Calibri"/>
      <family val="2"/>
      <scheme val="minor"/>
    </font>
    <font>
      <sz val="18"/>
      <color theme="1"/>
      <name val="Calibri"/>
      <family val="2"/>
      <scheme val="minor"/>
    </font>
    <font>
      <sz val="11"/>
      <color rgb="FF9C5700"/>
      <name val="Calibri"/>
      <family val="2"/>
      <scheme val="minor"/>
    </font>
    <font>
      <b/>
      <u/>
      <sz val="11"/>
      <color theme="1"/>
      <name val="Calibri"/>
      <family val="2"/>
      <scheme val="minor"/>
    </font>
    <font>
      <b/>
      <sz val="26"/>
      <color theme="1"/>
      <name val="Calibri"/>
      <family val="2"/>
      <scheme val="minor"/>
    </font>
  </fonts>
  <fills count="75">
    <fill>
      <patternFill patternType="none"/>
    </fill>
    <fill>
      <patternFill patternType="gray125"/>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bgColor indexed="64"/>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rgb="FFF6FC04"/>
        <bgColor indexed="64"/>
      </patternFill>
    </fill>
    <fill>
      <patternFill patternType="solid">
        <fgColor rgb="FF8BE1FF"/>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ABF8F"/>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0070C0"/>
        <bgColor indexed="64"/>
      </patternFill>
    </fill>
    <fill>
      <patternFill patternType="solid">
        <fgColor rgb="FF00B0F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E6B8B7"/>
        <bgColor indexed="64"/>
      </patternFill>
    </fill>
    <fill>
      <patternFill patternType="solid">
        <fgColor rgb="FFC4BD97"/>
        <bgColor indexed="64"/>
      </patternFill>
    </fill>
    <fill>
      <patternFill patternType="solid">
        <fgColor rgb="FFCCC0DA"/>
        <bgColor indexed="64"/>
      </patternFill>
    </fill>
    <fill>
      <patternFill patternType="solid">
        <fgColor theme="0"/>
        <bgColor indexed="64"/>
      </patternFill>
    </fill>
    <fill>
      <patternFill patternType="solid">
        <fgColor theme="9" tint="0.79998168889431442"/>
        <bgColor indexed="64"/>
      </patternFill>
    </fill>
    <fill>
      <patternFill patternType="solid">
        <fgColor theme="6"/>
        <bgColor indexed="64"/>
      </patternFill>
    </fill>
    <fill>
      <patternFill patternType="solid">
        <fgColor theme="5"/>
        <bgColor indexed="64"/>
      </patternFill>
    </fill>
    <fill>
      <patternFill patternType="solid">
        <fgColor theme="4"/>
        <bgColor indexed="64"/>
      </patternFill>
    </fill>
    <fill>
      <patternFill patternType="solid">
        <fgColor theme="7"/>
        <bgColor indexed="64"/>
      </patternFill>
    </fill>
  </fills>
  <borders count="80">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rgb="FF7F7F7F"/>
      </left>
      <right style="thin">
        <color rgb="FF7F7F7F"/>
      </right>
      <top style="thin">
        <color rgb="FF7F7F7F"/>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ck">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59">
    <xf numFmtId="0" fontId="0" fillId="0" borderId="0"/>
    <xf numFmtId="0" fontId="2" fillId="2" borderId="3" applyNumberFormat="0" applyAlignment="0" applyProtection="0"/>
    <xf numFmtId="0" fontId="3" fillId="3" borderId="4" applyNumberFormat="0" applyAlignment="0" applyProtection="0"/>
    <xf numFmtId="0" fontId="4" fillId="3" borderId="3" applyNumberFormat="0" applyAlignment="0" applyProtection="0"/>
    <xf numFmtId="0" fontId="7" fillId="5" borderId="0" applyNumberFormat="0" applyBorder="0" applyAlignment="0" applyProtection="0"/>
    <xf numFmtId="0" fontId="8" fillId="6" borderId="0" applyNumberFormat="0" applyBorder="0" applyAlignment="0" applyProtection="0"/>
    <xf numFmtId="0" fontId="9" fillId="7" borderId="0" applyNumberFormat="0" applyBorder="0" applyAlignment="0" applyProtection="0"/>
    <xf numFmtId="0" fontId="12" fillId="0" borderId="0" applyNumberFormat="0" applyFill="0" applyBorder="0" applyAlignment="0" applyProtection="0"/>
    <xf numFmtId="0" fontId="18" fillId="0" borderId="0" applyNumberFormat="0" applyFill="0" applyBorder="0" applyAlignment="0" applyProtection="0"/>
    <xf numFmtId="0" fontId="19" fillId="0" borderId="17" applyNumberFormat="0" applyFill="0" applyAlignment="0" applyProtection="0"/>
    <xf numFmtId="0" fontId="20" fillId="0" borderId="18" applyNumberFormat="0" applyFill="0" applyAlignment="0" applyProtection="0"/>
    <xf numFmtId="0" fontId="21" fillId="0" borderId="19" applyNumberFormat="0" applyFill="0" applyAlignment="0" applyProtection="0"/>
    <xf numFmtId="0" fontId="21" fillId="0" borderId="0" applyNumberFormat="0" applyFill="0" applyBorder="0" applyAlignment="0" applyProtection="0"/>
    <xf numFmtId="0" fontId="22" fillId="0" borderId="20" applyNumberFormat="0" applyFill="0" applyAlignment="0" applyProtection="0"/>
    <xf numFmtId="0" fontId="23" fillId="17" borderId="21" applyNumberFormat="0" applyAlignment="0" applyProtection="0"/>
    <xf numFmtId="0" fontId="24" fillId="0" borderId="0" applyNumberFormat="0" applyFill="0" applyBorder="0" applyAlignment="0" applyProtection="0"/>
    <xf numFmtId="0" fontId="17" fillId="18" borderId="22" applyNumberFormat="0" applyFont="0" applyAlignment="0" applyProtection="0"/>
    <xf numFmtId="0" fontId="25" fillId="0" borderId="0" applyNumberFormat="0" applyFill="0" applyBorder="0" applyAlignment="0" applyProtection="0"/>
    <xf numFmtId="0" fontId="10" fillId="0" borderId="23" applyNumberFormat="0" applyFill="0" applyAlignment="0" applyProtection="0"/>
    <xf numFmtId="0" fontId="26"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6" fillId="30" borderId="0" applyNumberFormat="0" applyBorder="0" applyAlignment="0" applyProtection="0"/>
    <xf numFmtId="0" fontId="26" fillId="31" borderId="0" applyNumberFormat="0" applyBorder="0" applyAlignment="0" applyProtection="0"/>
    <xf numFmtId="0" fontId="17" fillId="32" borderId="0" applyNumberFormat="0" applyBorder="0" applyAlignment="0" applyProtection="0"/>
    <xf numFmtId="0" fontId="17" fillId="33" borderId="0" applyNumberFormat="0" applyBorder="0" applyAlignment="0" applyProtection="0"/>
    <xf numFmtId="0" fontId="26" fillId="34" borderId="0" applyNumberFormat="0" applyBorder="0" applyAlignment="0" applyProtection="0"/>
    <xf numFmtId="0" fontId="26" fillId="35" borderId="0" applyNumberFormat="0" applyBorder="0" applyAlignment="0" applyProtection="0"/>
    <xf numFmtId="0" fontId="17" fillId="36" borderId="0" applyNumberFormat="0" applyBorder="0" applyAlignment="0" applyProtection="0"/>
    <xf numFmtId="0" fontId="17" fillId="37" borderId="0" applyNumberFormat="0" applyBorder="0" applyAlignment="0" applyProtection="0"/>
    <xf numFmtId="0" fontId="26" fillId="38" borderId="0" applyNumberFormat="0" applyBorder="0" applyAlignment="0" applyProtection="0"/>
    <xf numFmtId="0" fontId="26" fillId="39" borderId="0" applyNumberFormat="0" applyBorder="0" applyAlignment="0" applyProtection="0"/>
    <xf numFmtId="0" fontId="17" fillId="40" borderId="0" applyNumberFormat="0" applyBorder="0" applyAlignment="0" applyProtection="0"/>
    <xf numFmtId="0" fontId="17" fillId="41" borderId="0" applyNumberFormat="0" applyBorder="0" applyAlignment="0" applyProtection="0"/>
    <xf numFmtId="0" fontId="26" fillId="42" borderId="0" applyNumberFormat="0" applyBorder="0" applyAlignment="0" applyProtection="0"/>
    <xf numFmtId="0" fontId="27" fillId="0" borderId="0"/>
    <xf numFmtId="9" fontId="27" fillId="0" borderId="0" applyFont="0" applyFill="0" applyBorder="0" applyAlignment="0" applyProtection="0"/>
    <xf numFmtId="9" fontId="17" fillId="0" borderId="0" applyFont="0" applyFill="0" applyBorder="0" applyAlignment="0" applyProtection="0"/>
    <xf numFmtId="0" fontId="34" fillId="0" borderId="0"/>
    <xf numFmtId="0" fontId="36" fillId="0" borderId="0" applyNumberFormat="0" applyFill="0" applyBorder="0" applyAlignment="0" applyProtection="0"/>
    <xf numFmtId="0" fontId="12" fillId="0" borderId="0" applyNumberFormat="0" applyFill="0" applyBorder="0" applyAlignment="0" applyProtection="0"/>
    <xf numFmtId="43" fontId="27" fillId="0" borderId="0" applyFont="0" applyFill="0" applyBorder="0" applyAlignment="0" applyProtection="0"/>
    <xf numFmtId="0" fontId="27" fillId="0" borderId="0"/>
    <xf numFmtId="0" fontId="39" fillId="0" borderId="0">
      <alignment vertical="center"/>
    </xf>
    <xf numFmtId="0" fontId="51" fillId="7" borderId="0" applyNumberFormat="0" applyBorder="0" applyAlignment="0" applyProtection="0"/>
    <xf numFmtId="0" fontId="17" fillId="22" borderId="0" applyNumberFormat="0" applyBorder="0" applyAlignment="0" applyProtection="0"/>
    <xf numFmtId="0" fontId="17" fillId="26" borderId="0" applyNumberFormat="0" applyBorder="0" applyAlignment="0" applyProtection="0"/>
    <xf numFmtId="0" fontId="17" fillId="30" borderId="0" applyNumberFormat="0" applyBorder="0" applyAlignment="0" applyProtection="0"/>
    <xf numFmtId="0" fontId="17" fillId="34" borderId="0" applyNumberFormat="0" applyBorder="0" applyAlignment="0" applyProtection="0"/>
    <xf numFmtId="0" fontId="17" fillId="38" borderId="0" applyNumberFormat="0" applyBorder="0" applyAlignment="0" applyProtection="0"/>
    <xf numFmtId="0" fontId="17" fillId="42" borderId="0" applyNumberFormat="0" applyBorder="0" applyAlignment="0" applyProtection="0"/>
  </cellStyleXfs>
  <cellXfs count="783">
    <xf numFmtId="0" fontId="0" fillId="0" borderId="0" xfId="0"/>
    <xf numFmtId="0" fontId="0" fillId="0" borderId="0" xfId="0" applyBorder="1"/>
    <xf numFmtId="14" fontId="1" fillId="0" borderId="2" xfId="0" applyNumberFormat="1" applyFont="1" applyBorder="1" applyAlignment="1">
      <alignment horizontal="left" vertical="center"/>
    </xf>
    <xf numFmtId="0" fontId="11" fillId="0" borderId="0" xfId="0" applyFont="1"/>
    <xf numFmtId="0" fontId="0" fillId="0" borderId="0" xfId="0" applyFont="1"/>
    <xf numFmtId="17" fontId="11" fillId="0" borderId="0" xfId="0" applyNumberFormat="1" applyFont="1"/>
    <xf numFmtId="0" fontId="0" fillId="0" borderId="0" xfId="0"/>
    <xf numFmtId="0" fontId="0" fillId="0" borderId="0" xfId="0" applyAlignment="1">
      <alignment textRotation="45"/>
    </xf>
    <xf numFmtId="0" fontId="0" fillId="0" borderId="0" xfId="0" applyAlignment="1">
      <alignment wrapText="1"/>
    </xf>
    <xf numFmtId="0" fontId="0" fillId="0" borderId="0" xfId="0" applyAlignment="1">
      <alignment horizontal="center" wrapText="1"/>
    </xf>
    <xf numFmtId="0" fontId="10" fillId="16" borderId="0" xfId="0" applyFont="1" applyFill="1"/>
    <xf numFmtId="0" fontId="0" fillId="16" borderId="0" xfId="0" applyFill="1"/>
    <xf numFmtId="0" fontId="15" fillId="0" borderId="9" xfId="0" applyFont="1" applyBorder="1"/>
    <xf numFmtId="0" fontId="0" fillId="0" borderId="10" xfId="0" applyBorder="1"/>
    <xf numFmtId="0" fontId="0" fillId="0" borderId="12" xfId="0" applyBorder="1"/>
    <xf numFmtId="0" fontId="16" fillId="0" borderId="0" xfId="0" applyFont="1" applyBorder="1"/>
    <xf numFmtId="0" fontId="0" fillId="0" borderId="14" xfId="0" applyBorder="1"/>
    <xf numFmtId="0" fontId="0" fillId="0" borderId="15" xfId="0" applyBorder="1"/>
    <xf numFmtId="0" fontId="10" fillId="0" borderId="9" xfId="0" applyFont="1" applyBorder="1"/>
    <xf numFmtId="0" fontId="0" fillId="0" borderId="0" xfId="0" applyFill="1"/>
    <xf numFmtId="14" fontId="1" fillId="0" borderId="0" xfId="0" applyNumberFormat="1" applyFont="1" applyBorder="1" applyAlignment="1">
      <alignment horizontal="left" vertical="center"/>
    </xf>
    <xf numFmtId="14" fontId="10" fillId="0" borderId="0" xfId="0" applyNumberFormat="1" applyFont="1"/>
    <xf numFmtId="0" fontId="0" fillId="0" borderId="0" xfId="0" applyFont="1" applyAlignment="1">
      <alignment horizontal="left"/>
    </xf>
    <xf numFmtId="0" fontId="10" fillId="0" borderId="0" xfId="0" applyFont="1" applyAlignment="1">
      <alignment horizontal="left"/>
    </xf>
    <xf numFmtId="0" fontId="0" fillId="0" borderId="0" xfId="0" applyBorder="1" applyAlignment="1">
      <alignment horizontal="center"/>
    </xf>
    <xf numFmtId="164" fontId="10" fillId="0" borderId="0" xfId="0" applyNumberFormat="1" applyFont="1"/>
    <xf numFmtId="0" fontId="1" fillId="0" borderId="2" xfId="0" applyFont="1" applyFill="1" applyBorder="1" applyAlignment="1">
      <alignment horizontal="center" vertical="center"/>
    </xf>
    <xf numFmtId="0" fontId="28" fillId="0" borderId="2" xfId="0" applyFont="1" applyFill="1" applyBorder="1" applyAlignment="1">
      <alignment horizontal="center" vertical="center"/>
    </xf>
    <xf numFmtId="0" fontId="9" fillId="7" borderId="0" xfId="6" applyBorder="1"/>
    <xf numFmtId="164" fontId="9" fillId="7" borderId="0" xfId="6" applyNumberFormat="1" applyBorder="1"/>
    <xf numFmtId="0" fontId="29" fillId="0" borderId="0" xfId="0" applyFont="1" applyFill="1"/>
    <xf numFmtId="166" fontId="0" fillId="0" borderId="0" xfId="0" applyNumberFormat="1"/>
    <xf numFmtId="0" fontId="0" fillId="0" borderId="0" xfId="0" applyAlignment="1">
      <alignment horizontal="left"/>
    </xf>
    <xf numFmtId="0" fontId="32" fillId="0" borderId="13" xfId="0" applyFont="1" applyBorder="1" applyAlignment="1">
      <alignment horizontal="center" vertical="center" textRotation="90" wrapText="1"/>
    </xf>
    <xf numFmtId="0" fontId="0" fillId="0" borderId="0" xfId="0" applyFill="1" applyBorder="1" applyAlignment="1">
      <alignment vertical="top" wrapText="1"/>
    </xf>
    <xf numFmtId="2" fontId="0" fillId="0" borderId="0" xfId="0" applyNumberFormat="1" applyFill="1" applyBorder="1"/>
    <xf numFmtId="0" fontId="0" fillId="0" borderId="6" xfId="0" applyBorder="1"/>
    <xf numFmtId="0" fontId="0" fillId="0" borderId="0" xfId="0"/>
    <xf numFmtId="0" fontId="10" fillId="0" borderId="0" xfId="0" applyFont="1"/>
    <xf numFmtId="0" fontId="0" fillId="8" borderId="6" xfId="0" applyFill="1" applyBorder="1" applyAlignment="1">
      <alignment vertical="top" wrapText="1"/>
    </xf>
    <xf numFmtId="0" fontId="0" fillId="10" borderId="6" xfId="0" applyFill="1" applyBorder="1" applyAlignment="1">
      <alignment horizontal="center" vertical="top" wrapText="1"/>
    </xf>
    <xf numFmtId="0" fontId="0" fillId="11" borderId="6" xfId="0" applyFill="1" applyBorder="1" applyAlignment="1">
      <alignment horizontal="center" vertical="top" wrapText="1"/>
    </xf>
    <xf numFmtId="0" fontId="0" fillId="12" borderId="6" xfId="0" applyFill="1" applyBorder="1" applyAlignment="1">
      <alignment horizontal="center" vertical="top" wrapText="1"/>
    </xf>
    <xf numFmtId="0" fontId="0" fillId="13" borderId="6" xfId="0" applyFill="1" applyBorder="1" applyAlignment="1">
      <alignment vertical="top" wrapText="1"/>
    </xf>
    <xf numFmtId="0" fontId="0" fillId="0" borderId="0" xfId="0" applyFill="1" applyBorder="1"/>
    <xf numFmtId="164" fontId="0" fillId="0" borderId="0" xfId="0" applyNumberFormat="1"/>
    <xf numFmtId="0" fontId="0" fillId="0" borderId="6" xfId="0" applyFill="1" applyBorder="1" applyAlignment="1">
      <alignment horizontal="center" vertical="center" wrapText="1"/>
    </xf>
    <xf numFmtId="164" fontId="0" fillId="4" borderId="0" xfId="0" applyNumberFormat="1" applyFill="1"/>
    <xf numFmtId="0" fontId="0" fillId="0" borderId="0" xfId="0" applyNumberFormat="1" applyBorder="1" applyAlignment="1">
      <alignment horizontal="center"/>
    </xf>
    <xf numFmtId="166" fontId="0" fillId="9" borderId="0" xfId="0" applyNumberFormat="1" applyFill="1"/>
    <xf numFmtId="0" fontId="0" fillId="55" borderId="0" xfId="0" applyFill="1"/>
    <xf numFmtId="166" fontId="0" fillId="43" borderId="0" xfId="0" applyNumberFormat="1" applyFill="1"/>
    <xf numFmtId="166" fontId="0" fillId="55" borderId="0" xfId="0" applyNumberFormat="1" applyFill="1"/>
    <xf numFmtId="166" fontId="0" fillId="4" borderId="0" xfId="0" applyNumberFormat="1" applyFill="1"/>
    <xf numFmtId="166" fontId="0" fillId="47" borderId="0" xfId="0" applyNumberFormat="1" applyFill="1"/>
    <xf numFmtId="164" fontId="0" fillId="47" borderId="0" xfId="0" applyNumberFormat="1" applyFill="1"/>
    <xf numFmtId="0" fontId="10" fillId="0" borderId="24" xfId="0" applyFont="1" applyBorder="1" applyAlignment="1">
      <alignment horizontal="center" vertical="center"/>
    </xf>
    <xf numFmtId="0" fontId="10" fillId="0" borderId="2" xfId="0" applyFont="1" applyBorder="1" applyAlignment="1">
      <alignment horizontal="center" vertical="center"/>
    </xf>
    <xf numFmtId="0" fontId="10" fillId="0" borderId="35" xfId="0" applyFont="1" applyBorder="1" applyAlignment="1">
      <alignment horizontal="center" vertical="center"/>
    </xf>
    <xf numFmtId="49" fontId="0" fillId="0" borderId="0" xfId="0" applyNumberFormat="1" applyAlignment="1">
      <alignment wrapText="1"/>
    </xf>
    <xf numFmtId="49" fontId="0" fillId="46" borderId="38" xfId="0" applyNumberFormat="1" applyFont="1" applyFill="1" applyBorder="1" applyAlignment="1">
      <alignment wrapText="1"/>
    </xf>
    <xf numFmtId="49" fontId="0" fillId="54" borderId="39" xfId="0" applyNumberFormat="1" applyFont="1" applyFill="1" applyBorder="1" applyAlignment="1">
      <alignment wrapText="1"/>
    </xf>
    <xf numFmtId="49" fontId="0" fillId="9" borderId="39" xfId="0" applyNumberFormat="1" applyFont="1" applyFill="1" applyBorder="1" applyAlignment="1">
      <alignment wrapText="1"/>
    </xf>
    <xf numFmtId="49" fontId="0" fillId="55" borderId="37" xfId="0" applyNumberFormat="1" applyFill="1" applyBorder="1" applyAlignment="1">
      <alignment wrapText="1"/>
    </xf>
    <xf numFmtId="49" fontId="0" fillId="43" borderId="39" xfId="0" applyNumberFormat="1" applyFont="1" applyFill="1" applyBorder="1" applyAlignment="1">
      <alignment wrapText="1"/>
    </xf>
    <xf numFmtId="49" fontId="0" fillId="55" borderId="39" xfId="0" applyNumberFormat="1" applyFont="1" applyFill="1" applyBorder="1" applyAlignment="1">
      <alignment wrapText="1"/>
    </xf>
    <xf numFmtId="49" fontId="0" fillId="43" borderId="40" xfId="0" applyNumberFormat="1" applyFont="1" applyFill="1" applyBorder="1" applyAlignment="1">
      <alignment wrapText="1"/>
    </xf>
    <xf numFmtId="49" fontId="0" fillId="4" borderId="41" xfId="0" applyNumberFormat="1" applyFont="1" applyFill="1" applyBorder="1" applyAlignment="1">
      <alignment wrapText="1"/>
    </xf>
    <xf numFmtId="49" fontId="0" fillId="4" borderId="39" xfId="0" applyNumberFormat="1" applyFont="1" applyFill="1" applyBorder="1" applyAlignment="1">
      <alignment wrapText="1"/>
    </xf>
    <xf numFmtId="49" fontId="0" fillId="4" borderId="40" xfId="0" applyNumberFormat="1" applyFont="1" applyFill="1" applyBorder="1" applyAlignment="1">
      <alignment wrapText="1"/>
    </xf>
    <xf numFmtId="49" fontId="0" fillId="0" borderId="38" xfId="0" applyNumberFormat="1" applyFont="1" applyBorder="1" applyAlignment="1">
      <alignment horizontal="center" vertical="center" wrapText="1"/>
    </xf>
    <xf numFmtId="49" fontId="0" fillId="0" borderId="36" xfId="0" applyNumberFormat="1" applyFont="1" applyBorder="1" applyAlignment="1">
      <alignment horizontal="center" vertical="center" wrapText="1"/>
    </xf>
    <xf numFmtId="2" fontId="0" fillId="43" borderId="0" xfId="0" applyNumberFormat="1" applyFill="1"/>
    <xf numFmtId="0" fontId="0" fillId="43" borderId="0" xfId="0" applyFill="1"/>
    <xf numFmtId="0" fontId="0" fillId="43" borderId="0" xfId="0" applyFill="1" applyAlignment="1">
      <alignment horizontal="center"/>
    </xf>
    <xf numFmtId="2" fontId="0" fillId="55" borderId="0" xfId="0" applyNumberFormat="1" applyFill="1"/>
    <xf numFmtId="0" fontId="0" fillId="55" borderId="0" xfId="0" applyFill="1" applyAlignment="1">
      <alignment horizontal="center" vertical="center"/>
    </xf>
    <xf numFmtId="49" fontId="0" fillId="4" borderId="6" xfId="0" applyNumberFormat="1" applyFill="1" applyBorder="1" applyAlignment="1">
      <alignment wrapText="1"/>
    </xf>
    <xf numFmtId="0" fontId="0" fillId="0" borderId="0" xfId="0" applyAlignment="1">
      <alignment horizontal="center" vertical="center"/>
    </xf>
    <xf numFmtId="0" fontId="0" fillId="56" borderId="0" xfId="0" applyFill="1"/>
    <xf numFmtId="0" fontId="0" fillId="4" borderId="15" xfId="0" applyFill="1" applyBorder="1"/>
    <xf numFmtId="0" fontId="32" fillId="4" borderId="16" xfId="0" applyFont="1" applyFill="1" applyBorder="1" applyAlignment="1">
      <alignment horizontal="center" vertical="center" textRotation="90" wrapText="1"/>
    </xf>
    <xf numFmtId="49" fontId="0" fillId="4" borderId="15" xfId="0" applyNumberFormat="1" applyFill="1" applyBorder="1" applyAlignment="1"/>
    <xf numFmtId="49" fontId="9" fillId="4" borderId="15" xfId="6" applyNumberFormat="1" applyFill="1" applyBorder="1" applyAlignment="1"/>
    <xf numFmtId="0" fontId="9" fillId="4" borderId="15" xfId="6" applyFill="1" applyBorder="1"/>
    <xf numFmtId="0" fontId="0" fillId="4" borderId="14" xfId="0" applyFill="1" applyBorder="1"/>
    <xf numFmtId="0" fontId="0" fillId="4" borderId="42" xfId="0" applyFill="1" applyBorder="1"/>
    <xf numFmtId="0" fontId="0" fillId="0" borderId="31" xfId="0" applyBorder="1" applyAlignment="1">
      <alignment horizontal="right"/>
    </xf>
    <xf numFmtId="0" fontId="0" fillId="0" borderId="29" xfId="0" applyBorder="1"/>
    <xf numFmtId="0" fontId="33" fillId="0" borderId="31" xfId="0" applyFont="1" applyBorder="1" applyAlignment="1">
      <alignment horizontal="right"/>
    </xf>
    <xf numFmtId="164" fontId="0" fillId="55" borderId="0" xfId="0" applyNumberFormat="1" applyFill="1"/>
    <xf numFmtId="0" fontId="0" fillId="0" borderId="30" xfId="0" applyBorder="1" applyAlignment="1">
      <alignment horizontal="right"/>
    </xf>
    <xf numFmtId="0" fontId="0" fillId="0" borderId="32" xfId="0" applyBorder="1"/>
    <xf numFmtId="0" fontId="0" fillId="4" borderId="6" xfId="0" applyFill="1" applyBorder="1"/>
    <xf numFmtId="0" fontId="0" fillId="4" borderId="29" xfId="0" applyFill="1" applyBorder="1"/>
    <xf numFmtId="0" fontId="0" fillId="0" borderId="28" xfId="0" applyBorder="1" applyAlignment="1">
      <alignment horizontal="center"/>
    </xf>
    <xf numFmtId="0" fontId="0" fillId="0" borderId="32" xfId="0" applyBorder="1" applyAlignment="1">
      <alignment horizontal="center"/>
    </xf>
    <xf numFmtId="0" fontId="0" fillId="4" borderId="40" xfId="0" applyFill="1" applyBorder="1" applyAlignment="1">
      <alignment horizontal="right"/>
    </xf>
    <xf numFmtId="0" fontId="0" fillId="0" borderId="33" xfId="0" applyBorder="1"/>
    <xf numFmtId="0" fontId="0" fillId="0" borderId="34" xfId="0" applyBorder="1"/>
    <xf numFmtId="0" fontId="0" fillId="0" borderId="31" xfId="0" applyBorder="1"/>
    <xf numFmtId="0" fontId="0" fillId="0" borderId="30" xfId="0" applyBorder="1"/>
    <xf numFmtId="2" fontId="0" fillId="54" borderId="0" xfId="0" applyNumberFormat="1" applyFill="1"/>
    <xf numFmtId="2" fontId="0" fillId="46" borderId="0" xfId="0" applyNumberFormat="1" applyFill="1"/>
    <xf numFmtId="0" fontId="0" fillId="0" borderId="0" xfId="0" applyFont="1" applyAlignment="1">
      <alignment wrapText="1"/>
    </xf>
    <xf numFmtId="164" fontId="0" fillId="0" borderId="24" xfId="0" applyNumberFormat="1" applyBorder="1" applyAlignment="1">
      <alignment horizontal="center" vertical="center"/>
    </xf>
    <xf numFmtId="164" fontId="0" fillId="15" borderId="24" xfId="0" applyNumberFormat="1" applyFill="1" applyBorder="1" applyAlignment="1">
      <alignment horizontal="center" vertical="center"/>
    </xf>
    <xf numFmtId="164" fontId="0" fillId="15" borderId="6" xfId="0" applyNumberFormat="1" applyFill="1" applyBorder="1" applyAlignment="1">
      <alignment horizontal="center" vertical="center"/>
    </xf>
    <xf numFmtId="164" fontId="0" fillId="0" borderId="6" xfId="0" applyNumberFormat="1" applyBorder="1" applyAlignment="1">
      <alignment horizontal="center"/>
    </xf>
    <xf numFmtId="0" fontId="0" fillId="0" borderId="0" xfId="0" applyFill="1" applyBorder="1" applyAlignment="1"/>
    <xf numFmtId="0" fontId="0" fillId="0" borderId="0" xfId="0" applyAlignment="1">
      <alignment horizontal="left"/>
    </xf>
    <xf numFmtId="0" fontId="13" fillId="14" borderId="7" xfId="0" applyFont="1" applyFill="1" applyBorder="1" applyAlignment="1">
      <alignment horizontal="left"/>
    </xf>
    <xf numFmtId="0" fontId="0" fillId="4" borderId="28" xfId="0" applyFill="1" applyBorder="1" applyAlignment="1">
      <alignment horizontal="center"/>
    </xf>
    <xf numFmtId="0" fontId="0" fillId="0" borderId="0" xfId="0" applyAlignment="1">
      <alignment horizontal="center"/>
    </xf>
    <xf numFmtId="0" fontId="0" fillId="0" borderId="0" xfId="0" applyAlignment="1"/>
    <xf numFmtId="0" fontId="0" fillId="0" borderId="0" xfId="0" applyFill="1" applyAlignment="1"/>
    <xf numFmtId="0" fontId="0" fillId="0" borderId="0" xfId="0" applyFont="1" applyAlignment="1"/>
    <xf numFmtId="0" fontId="1" fillId="0" borderId="2" xfId="0" applyFont="1" applyBorder="1" applyAlignment="1">
      <alignment horizontal="left" vertical="center"/>
    </xf>
    <xf numFmtId="164" fontId="0" fillId="0" borderId="0" xfId="0" applyNumberFormat="1" applyAlignment="1"/>
    <xf numFmtId="0" fontId="6" fillId="4" borderId="27" xfId="0" applyFont="1" applyFill="1" applyBorder="1" applyAlignment="1">
      <alignment horizontal="left" vertical="top"/>
    </xf>
    <xf numFmtId="0" fontId="0" fillId="0" borderId="15" xfId="0" applyBorder="1" applyAlignment="1"/>
    <xf numFmtId="0" fontId="0" fillId="0" borderId="15" xfId="0" applyFill="1" applyBorder="1" applyAlignment="1"/>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5" fillId="0" borderId="12" xfId="0" applyFont="1" applyBorder="1"/>
    <xf numFmtId="0" fontId="2" fillId="2" borderId="3" xfId="1" applyBorder="1"/>
    <xf numFmtId="0" fontId="5" fillId="0" borderId="0" xfId="0" applyFont="1" applyBorder="1"/>
    <xf numFmtId="0" fontId="0" fillId="0" borderId="13" xfId="0" applyBorder="1"/>
    <xf numFmtId="0" fontId="0" fillId="0" borderId="0" xfId="0" applyBorder="1" applyAlignment="1">
      <alignment horizontal="right"/>
    </xf>
    <xf numFmtId="0" fontId="3" fillId="3" borderId="4" xfId="2" applyBorder="1"/>
    <xf numFmtId="0" fontId="0" fillId="0" borderId="16" xfId="0" applyBorder="1"/>
    <xf numFmtId="0" fontId="0" fillId="0" borderId="11" xfId="0" applyBorder="1"/>
    <xf numFmtId="0" fontId="0" fillId="0" borderId="15" xfId="0" applyBorder="1" applyAlignment="1">
      <alignment horizontal="right"/>
    </xf>
    <xf numFmtId="0" fontId="0" fillId="0" borderId="0" xfId="0" applyFill="1" applyBorder="1" applyAlignment="1">
      <alignment horizontal="center"/>
    </xf>
    <xf numFmtId="164" fontId="0" fillId="0" borderId="0" xfId="0" applyNumberFormat="1" applyFill="1" applyBorder="1" applyAlignment="1">
      <alignment horizontal="center" vertical="center"/>
    </xf>
    <xf numFmtId="164" fontId="0" fillId="0" borderId="0" xfId="0" applyNumberFormat="1" applyFill="1" applyBorder="1" applyAlignment="1">
      <alignment horizontal="center"/>
    </xf>
    <xf numFmtId="164" fontId="0" fillId="0" borderId="6" xfId="0" applyNumberFormat="1" applyFill="1" applyBorder="1" applyAlignment="1">
      <alignment horizontal="center"/>
    </xf>
    <xf numFmtId="164" fontId="0" fillId="0" borderId="29" xfId="0" applyNumberFormat="1" applyFill="1" applyBorder="1" applyAlignment="1">
      <alignment horizontal="center"/>
    </xf>
    <xf numFmtId="164" fontId="0" fillId="0" borderId="28" xfId="0" applyNumberFormat="1" applyFill="1" applyBorder="1" applyAlignment="1">
      <alignment horizontal="center"/>
    </xf>
    <xf numFmtId="49" fontId="0" fillId="0" borderId="0" xfId="0" applyNumberFormat="1" applyFont="1"/>
    <xf numFmtId="0" fontId="0" fillId="0" borderId="0" xfId="0"/>
    <xf numFmtId="164" fontId="0" fillId="0" borderId="2" xfId="0" applyNumberFormat="1" applyBorder="1"/>
    <xf numFmtId="1" fontId="0" fillId="0" borderId="0" xfId="0" applyNumberFormat="1"/>
    <xf numFmtId="0" fontId="0" fillId="0" borderId="25" xfId="0" applyBorder="1" applyAlignment="1">
      <alignment horizontal="center"/>
    </xf>
    <xf numFmtId="0" fontId="0" fillId="0" borderId="47" xfId="0" applyBorder="1"/>
    <xf numFmtId="0" fontId="0" fillId="0" borderId="35" xfId="0" applyBorder="1"/>
    <xf numFmtId="0" fontId="0" fillId="0" borderId="48" xfId="0" applyBorder="1" applyAlignment="1">
      <alignment horizontal="right"/>
    </xf>
    <xf numFmtId="0" fontId="0" fillId="0" borderId="48" xfId="0" applyBorder="1"/>
    <xf numFmtId="0" fontId="0" fillId="0" borderId="25" xfId="0" applyFill="1" applyBorder="1" applyAlignment="1">
      <alignment horizontal="center"/>
    </xf>
    <xf numFmtId="0" fontId="4" fillId="3" borderId="49" xfId="3" applyBorder="1"/>
    <xf numFmtId="0" fontId="0" fillId="0" borderId="6" xfId="0" applyFill="1" applyBorder="1" applyAlignment="1">
      <alignment horizontal="center" vertical="top" wrapText="1"/>
    </xf>
    <xf numFmtId="0" fontId="0" fillId="13" borderId="44" xfId="0" applyFill="1" applyBorder="1" applyAlignment="1">
      <alignment vertical="top" wrapText="1"/>
    </xf>
    <xf numFmtId="0" fontId="0" fillId="0" borderId="0" xfId="0"/>
    <xf numFmtId="0" fontId="1" fillId="0" borderId="0" xfId="0" applyFont="1" applyFill="1" applyBorder="1" applyAlignment="1">
      <alignment horizontal="center" vertical="center"/>
    </xf>
    <xf numFmtId="0" fontId="1" fillId="0" borderId="0" xfId="0" applyFont="1" applyBorder="1" applyAlignment="1">
      <alignment horizontal="left" vertical="center"/>
    </xf>
    <xf numFmtId="1" fontId="11" fillId="0" borderId="6" xfId="0" applyNumberFormat="1" applyFont="1" applyBorder="1" applyAlignment="1">
      <alignment horizontal="center"/>
    </xf>
    <xf numFmtId="0" fontId="1" fillId="0" borderId="2" xfId="0" applyFont="1" applyBorder="1" applyAlignment="1">
      <alignment horizontal="left" vertical="center" wrapText="1"/>
    </xf>
    <xf numFmtId="0" fontId="1" fillId="4" borderId="25" xfId="0" applyFont="1" applyFill="1" applyBorder="1" applyAlignment="1">
      <alignment horizontal="left" vertical="top" wrapText="1"/>
    </xf>
    <xf numFmtId="0" fontId="10" fillId="0" borderId="0" xfId="0" applyFont="1" applyAlignment="1">
      <alignment wrapText="1"/>
    </xf>
    <xf numFmtId="0" fontId="0" fillId="0" borderId="15" xfId="0" applyBorder="1" applyAlignment="1">
      <alignment wrapText="1"/>
    </xf>
    <xf numFmtId="0" fontId="0" fillId="0" borderId="0" xfId="0" applyAlignment="1">
      <alignment horizontal="center"/>
    </xf>
    <xf numFmtId="0" fontId="0" fillId="0" borderId="0" xfId="0" applyAlignment="1">
      <alignment horizontal="right"/>
    </xf>
    <xf numFmtId="0" fontId="1" fillId="0" borderId="33" xfId="0" applyFont="1" applyFill="1" applyBorder="1" applyAlignment="1">
      <alignment horizontal="center" vertical="center" wrapText="1"/>
    </xf>
    <xf numFmtId="0" fontId="1" fillId="0" borderId="50" xfId="0" applyFont="1" applyFill="1" applyBorder="1" applyAlignment="1">
      <alignment horizontal="center" vertical="center" wrapText="1"/>
    </xf>
    <xf numFmtId="0" fontId="1" fillId="0" borderId="50" xfId="0" applyFont="1" applyBorder="1" applyAlignment="1">
      <alignment horizontal="center" vertical="center" wrapText="1"/>
    </xf>
    <xf numFmtId="0" fontId="1" fillId="0" borderId="1" xfId="0" applyFont="1" applyBorder="1" applyAlignment="1">
      <alignment horizontal="center" vertical="center" wrapText="1"/>
    </xf>
    <xf numFmtId="0" fontId="1" fillId="60" borderId="50" xfId="0" applyFont="1" applyFill="1" applyBorder="1" applyAlignment="1">
      <alignment horizontal="center" vertical="center" wrapText="1"/>
    </xf>
    <xf numFmtId="0" fontId="1" fillId="9" borderId="50" xfId="0" applyFont="1" applyFill="1" applyBorder="1" applyAlignment="1">
      <alignment horizontal="center" vertical="center" wrapText="1"/>
    </xf>
    <xf numFmtId="0" fontId="1" fillId="16" borderId="1" xfId="0" applyFont="1" applyFill="1" applyBorder="1" applyAlignment="1">
      <alignment horizontal="center" vertical="center" wrapText="1"/>
    </xf>
    <xf numFmtId="0" fontId="1" fillId="0" borderId="0" xfId="0" applyFont="1" applyFill="1" applyBorder="1" applyAlignment="1">
      <alignment horizontal="left" vertical="center"/>
    </xf>
    <xf numFmtId="14" fontId="1" fillId="0" borderId="0" xfId="0" applyNumberFormat="1" applyFont="1" applyFill="1" applyBorder="1" applyAlignment="1">
      <alignment horizontal="left" vertical="center"/>
    </xf>
    <xf numFmtId="165" fontId="1" fillId="0" borderId="0" xfId="0" applyNumberFormat="1" applyFont="1" applyFill="1" applyBorder="1" applyAlignment="1">
      <alignment horizontal="center" vertical="center"/>
    </xf>
    <xf numFmtId="2" fontId="1" fillId="0" borderId="0" xfId="0" applyNumberFormat="1" applyFont="1" applyFill="1" applyBorder="1" applyAlignment="1">
      <alignment horizontal="center" vertical="center"/>
    </xf>
    <xf numFmtId="0" fontId="1" fillId="4" borderId="25" xfId="0" applyFont="1" applyFill="1" applyBorder="1" applyAlignment="1">
      <alignment horizontal="center" vertical="top" wrapText="1"/>
    </xf>
    <xf numFmtId="0" fontId="28" fillId="0" borderId="5" xfId="0" applyFont="1" applyBorder="1" applyAlignment="1">
      <alignment horizontal="left" vertical="center"/>
    </xf>
    <xf numFmtId="0" fontId="10" fillId="61" borderId="9" xfId="0" applyFont="1" applyFill="1" applyBorder="1"/>
    <xf numFmtId="0" fontId="0" fillId="61" borderId="10" xfId="0" applyFill="1" applyBorder="1"/>
    <xf numFmtId="0" fontId="0" fillId="61" borderId="11" xfId="0" applyFill="1" applyBorder="1"/>
    <xf numFmtId="164" fontId="1" fillId="60" borderId="2" xfId="0" applyNumberFormat="1" applyFont="1" applyFill="1" applyBorder="1" applyAlignment="1">
      <alignment horizontal="center" vertical="center"/>
    </xf>
    <xf numFmtId="2" fontId="1" fillId="9" borderId="2" xfId="0" applyNumberFormat="1" applyFont="1" applyFill="1" applyBorder="1" applyAlignment="1">
      <alignment horizontal="center" vertical="center"/>
    </xf>
    <xf numFmtId="164" fontId="1" fillId="16" borderId="2" xfId="0" applyNumberFormat="1" applyFont="1" applyFill="1" applyBorder="1" applyAlignment="1">
      <alignment horizontal="center" vertical="center"/>
    </xf>
    <xf numFmtId="0" fontId="1" fillId="51" borderId="1" xfId="0" applyFont="1" applyFill="1" applyBorder="1" applyAlignment="1">
      <alignment horizontal="center" vertical="center" wrapText="1"/>
    </xf>
    <xf numFmtId="0" fontId="0" fillId="61" borderId="12" xfId="0" applyFill="1" applyBorder="1"/>
    <xf numFmtId="164" fontId="0" fillId="61" borderId="0" xfId="0" applyNumberFormat="1" applyFill="1" applyBorder="1"/>
    <xf numFmtId="0" fontId="0" fillId="61" borderId="0" xfId="0" applyFill="1" applyBorder="1"/>
    <xf numFmtId="164" fontId="10" fillId="61" borderId="0" xfId="0" applyNumberFormat="1" applyFont="1" applyFill="1" applyBorder="1"/>
    <xf numFmtId="0" fontId="10" fillId="61" borderId="0" xfId="0" applyFont="1" applyFill="1" applyBorder="1"/>
    <xf numFmtId="0" fontId="0" fillId="61" borderId="13" xfId="0" applyFill="1" applyBorder="1"/>
    <xf numFmtId="2" fontId="0" fillId="0" borderId="0" xfId="0" applyNumberFormat="1"/>
    <xf numFmtId="165" fontId="28" fillId="60" borderId="5" xfId="0" applyNumberFormat="1" applyFont="1" applyFill="1" applyBorder="1" applyAlignment="1">
      <alignment horizontal="right" vertical="center"/>
    </xf>
    <xf numFmtId="1" fontId="28" fillId="60" borderId="5" xfId="0" applyNumberFormat="1" applyFont="1" applyFill="1" applyBorder="1" applyAlignment="1">
      <alignment horizontal="center" vertical="center"/>
    </xf>
    <xf numFmtId="0" fontId="0" fillId="61" borderId="0" xfId="0" applyFill="1" applyBorder="1" applyAlignment="1"/>
    <xf numFmtId="164" fontId="10" fillId="61" borderId="6" xfId="0" applyNumberFormat="1" applyFont="1" applyFill="1" applyBorder="1" applyAlignment="1">
      <alignment horizontal="center"/>
    </xf>
    <xf numFmtId="164" fontId="10" fillId="61" borderId="6" xfId="0" applyNumberFormat="1" applyFont="1" applyFill="1" applyBorder="1"/>
    <xf numFmtId="0" fontId="0" fillId="61" borderId="14" xfId="0" applyFill="1" applyBorder="1"/>
    <xf numFmtId="164" fontId="0" fillId="61" borderId="15" xfId="0" applyNumberFormat="1" applyFill="1" applyBorder="1"/>
    <xf numFmtId="0" fontId="0" fillId="61" borderId="15" xfId="0" applyFill="1" applyBorder="1" applyAlignment="1"/>
    <xf numFmtId="164" fontId="10" fillId="61" borderId="15" xfId="0" applyNumberFormat="1" applyFont="1" applyFill="1" applyBorder="1" applyAlignment="1">
      <alignment horizontal="center"/>
    </xf>
    <xf numFmtId="164" fontId="10" fillId="61" borderId="15" xfId="0" applyNumberFormat="1" applyFont="1" applyFill="1" applyBorder="1"/>
    <xf numFmtId="0" fontId="0" fillId="61" borderId="16" xfId="0" applyFill="1" applyBorder="1"/>
    <xf numFmtId="9" fontId="0" fillId="0" borderId="0" xfId="45" applyFont="1"/>
    <xf numFmtId="164" fontId="1" fillId="60" borderId="0" xfId="0" applyNumberFormat="1" applyFont="1" applyFill="1" applyBorder="1" applyAlignment="1">
      <alignment horizontal="center" vertical="center"/>
    </xf>
    <xf numFmtId="2" fontId="1" fillId="9" borderId="0" xfId="0" applyNumberFormat="1" applyFont="1" applyFill="1" applyBorder="1" applyAlignment="1">
      <alignment horizontal="center" vertical="center"/>
    </xf>
    <xf numFmtId="164" fontId="1" fillId="16" borderId="0" xfId="0" applyNumberFormat="1" applyFont="1" applyFill="1" applyBorder="1" applyAlignment="1">
      <alignment horizontal="center" vertical="center"/>
    </xf>
    <xf numFmtId="164" fontId="28" fillId="51" borderId="5" xfId="0" applyNumberFormat="1" applyFont="1" applyFill="1" applyBorder="1" applyAlignment="1">
      <alignment horizontal="center" vertical="center"/>
    </xf>
    <xf numFmtId="0" fontId="0" fillId="0" borderId="6" xfId="0" applyFill="1" applyBorder="1"/>
    <xf numFmtId="0" fontId="0" fillId="4" borderId="42" xfId="0" applyFill="1" applyBorder="1" applyAlignment="1">
      <alignment horizontal="center"/>
    </xf>
    <xf numFmtId="0" fontId="0" fillId="4" borderId="24" xfId="0" applyFill="1" applyBorder="1" applyAlignment="1">
      <alignment horizontal="center"/>
    </xf>
    <xf numFmtId="164" fontId="0" fillId="0" borderId="5" xfId="0" applyNumberFormat="1" applyBorder="1" applyAlignment="1">
      <alignment horizontal="right"/>
    </xf>
    <xf numFmtId="1" fontId="11" fillId="0" borderId="7" xfId="0" applyNumberFormat="1" applyFont="1" applyBorder="1" applyAlignment="1">
      <alignment horizontal="center"/>
    </xf>
    <xf numFmtId="1" fontId="11" fillId="0" borderId="5" xfId="0" applyNumberFormat="1" applyFont="1" applyBorder="1" applyAlignment="1">
      <alignment horizontal="center"/>
    </xf>
    <xf numFmtId="0" fontId="33" fillId="0" borderId="7" xfId="0" applyFont="1" applyBorder="1" applyAlignment="1">
      <alignment horizontal="right"/>
    </xf>
    <xf numFmtId="168" fontId="0" fillId="0" borderId="0" xfId="0" applyNumberFormat="1" applyFont="1"/>
    <xf numFmtId="49" fontId="11" fillId="0" borderId="0" xfId="0" applyNumberFormat="1" applyFont="1"/>
    <xf numFmtId="0" fontId="13" fillId="8" borderId="6" xfId="0" applyFont="1" applyFill="1" applyBorder="1" applyAlignment="1">
      <alignment textRotation="45" wrapText="1"/>
    </xf>
    <xf numFmtId="0" fontId="13" fillId="9" borderId="6" xfId="0" applyFont="1" applyFill="1" applyBorder="1" applyAlignment="1">
      <alignment textRotation="45" wrapText="1"/>
    </xf>
    <xf numFmtId="0" fontId="13" fillId="10" borderId="6" xfId="0" applyFont="1" applyFill="1" applyBorder="1" applyAlignment="1">
      <alignment textRotation="45" wrapText="1"/>
    </xf>
    <xf numFmtId="0" fontId="13" fillId="11" borderId="6" xfId="0" applyFont="1" applyFill="1" applyBorder="1" applyAlignment="1">
      <alignment textRotation="45" wrapText="1"/>
    </xf>
    <xf numFmtId="0" fontId="13" fillId="12" borderId="6" xfId="0" applyFont="1" applyFill="1" applyBorder="1" applyAlignment="1">
      <alignment textRotation="45" wrapText="1"/>
    </xf>
    <xf numFmtId="0" fontId="13" fillId="13" borderId="6" xfId="0" applyFont="1" applyFill="1" applyBorder="1" applyAlignment="1">
      <alignment textRotation="45" wrapText="1"/>
    </xf>
    <xf numFmtId="0" fontId="0" fillId="0" borderId="0" xfId="0"/>
    <xf numFmtId="0" fontId="0" fillId="0" borderId="0" xfId="0" applyFill="1" applyBorder="1" applyAlignment="1">
      <alignment horizontal="center" vertical="center" wrapText="1"/>
    </xf>
    <xf numFmtId="0" fontId="0" fillId="0" borderId="0" xfId="0" applyFont="1" applyAlignment="1">
      <alignment horizontal="center"/>
    </xf>
    <xf numFmtId="0" fontId="0" fillId="0" borderId="15" xfId="0" applyBorder="1" applyAlignment="1">
      <alignment horizontal="center"/>
    </xf>
    <xf numFmtId="0" fontId="10" fillId="0" borderId="60" xfId="0" applyFont="1" applyBorder="1" applyAlignment="1">
      <alignment horizontal="left"/>
    </xf>
    <xf numFmtId="0" fontId="10" fillId="0" borderId="33" xfId="0" applyFont="1" applyBorder="1"/>
    <xf numFmtId="0" fontId="10" fillId="0" borderId="62" xfId="0" applyFont="1" applyBorder="1"/>
    <xf numFmtId="0" fontId="0" fillId="4" borderId="43" xfId="0" applyFill="1" applyBorder="1" applyAlignment="1">
      <alignment horizontal="center"/>
    </xf>
    <xf numFmtId="0" fontId="10" fillId="0" borderId="0" xfId="0" applyFont="1" applyAlignment="1"/>
    <xf numFmtId="0" fontId="0" fillId="0" borderId="0" xfId="0" applyAlignment="1">
      <alignment horizontal="center"/>
    </xf>
    <xf numFmtId="0" fontId="10" fillId="0" borderId="0" xfId="0" applyFont="1" applyAlignment="1">
      <alignment horizontal="left" vertical="center"/>
    </xf>
    <xf numFmtId="0" fontId="0" fillId="62" borderId="0" xfId="0" applyFill="1" applyBorder="1"/>
    <xf numFmtId="0" fontId="10" fillId="9" borderId="12" xfId="0" applyFont="1" applyFill="1" applyBorder="1"/>
    <xf numFmtId="0" fontId="10" fillId="0" borderId="13" xfId="0" applyFont="1" applyBorder="1"/>
    <xf numFmtId="14" fontId="0" fillId="0" borderId="0" xfId="0" applyNumberFormat="1" applyFont="1" applyAlignment="1">
      <alignment horizontal="left" vertical="center"/>
    </xf>
    <xf numFmtId="0" fontId="0" fillId="63" borderId="12" xfId="0" applyFont="1" applyFill="1" applyBorder="1"/>
    <xf numFmtId="0" fontId="0" fillId="50" borderId="12" xfId="0" applyFont="1" applyFill="1" applyBorder="1"/>
    <xf numFmtId="0" fontId="10" fillId="62" borderId="0" xfId="0" applyFont="1" applyFill="1" applyBorder="1"/>
    <xf numFmtId="0" fontId="10" fillId="0" borderId="14" xfId="0" applyFont="1" applyBorder="1"/>
    <xf numFmtId="0" fontId="10" fillId="0" borderId="16" xfId="0" applyFont="1" applyBorder="1"/>
    <xf numFmtId="0" fontId="11" fillId="0" borderId="0" xfId="0" applyFont="1" applyAlignment="1">
      <alignment vertical="top" wrapText="1"/>
    </xf>
    <xf numFmtId="0" fontId="14" fillId="0" borderId="0" xfId="0" applyFont="1" applyFill="1" applyBorder="1" applyAlignment="1">
      <alignment vertical="center" wrapText="1"/>
    </xf>
    <xf numFmtId="0" fontId="10" fillId="0" borderId="31" xfId="0" applyFont="1" applyBorder="1"/>
    <xf numFmtId="0" fontId="10" fillId="0" borderId="0" xfId="0" applyFont="1" applyFill="1" applyBorder="1" applyAlignment="1">
      <alignment horizontal="center"/>
    </xf>
    <xf numFmtId="1" fontId="0" fillId="9" borderId="6" xfId="0" applyNumberFormat="1" applyFill="1" applyBorder="1" applyAlignment="1">
      <alignment horizontal="center"/>
    </xf>
    <xf numFmtId="0" fontId="0" fillId="0" borderId="53" xfId="0" applyBorder="1" applyAlignment="1">
      <alignment horizontal="right"/>
    </xf>
    <xf numFmtId="165" fontId="0" fillId="51" borderId="6" xfId="0" applyNumberFormat="1" applyFill="1" applyBorder="1" applyAlignment="1">
      <alignment horizontal="center" vertical="center"/>
    </xf>
    <xf numFmtId="0" fontId="10" fillId="0" borderId="30" xfId="0" applyFont="1" applyBorder="1"/>
    <xf numFmtId="0" fontId="0" fillId="0" borderId="60" xfId="0" applyBorder="1" applyAlignment="1">
      <alignment horizontal="right"/>
    </xf>
    <xf numFmtId="169" fontId="0" fillId="0" borderId="0" xfId="0" applyNumberFormat="1" applyFill="1" applyBorder="1" applyAlignment="1">
      <alignment horizontal="center" vertical="center"/>
    </xf>
    <xf numFmtId="0" fontId="24" fillId="0" borderId="0" xfId="0" applyFont="1" applyFill="1" applyAlignment="1">
      <alignment wrapText="1"/>
    </xf>
    <xf numFmtId="0" fontId="0" fillId="65" borderId="0" xfId="0" applyFill="1"/>
    <xf numFmtId="0" fontId="7" fillId="0" borderId="0" xfId="4" applyFill="1"/>
    <xf numFmtId="0" fontId="0" fillId="65" borderId="0" xfId="0" applyFill="1" applyAlignment="1">
      <alignment wrapText="1"/>
    </xf>
    <xf numFmtId="0" fontId="0" fillId="4" borderId="0" xfId="0" applyFill="1"/>
    <xf numFmtId="0" fontId="10" fillId="0" borderId="12" xfId="0" applyFont="1" applyBorder="1"/>
    <xf numFmtId="0" fontId="0" fillId="65" borderId="0" xfId="0" applyFill="1" applyAlignment="1">
      <alignment horizontal="center" wrapText="1"/>
    </xf>
    <xf numFmtId="0" fontId="0" fillId="62" borderId="0" xfId="0" applyFill="1"/>
    <xf numFmtId="0" fontId="10" fillId="0" borderId="0" xfId="0" applyFont="1" applyAlignment="1">
      <alignment horizontal="center"/>
    </xf>
    <xf numFmtId="2" fontId="10" fillId="45" borderId="15" xfId="0" applyNumberFormat="1" applyFont="1" applyFill="1" applyBorder="1" applyAlignment="1">
      <alignment horizontal="centerContinuous"/>
    </xf>
    <xf numFmtId="0" fontId="0" fillId="0" borderId="0" xfId="0"/>
    <xf numFmtId="0" fontId="0" fillId="0" borderId="0" xfId="0" applyAlignment="1">
      <alignment horizontal="center"/>
    </xf>
    <xf numFmtId="0" fontId="0" fillId="0" borderId="0" xfId="0" applyFill="1" applyBorder="1" applyAlignment="1">
      <alignment horizontal="left"/>
    </xf>
    <xf numFmtId="164" fontId="11" fillId="0" borderId="6" xfId="0" applyNumberFormat="1" applyFont="1" applyBorder="1" applyAlignment="1">
      <alignment horizontal="center"/>
    </xf>
    <xf numFmtId="164" fontId="0" fillId="48" borderId="26" xfId="0" applyNumberFormat="1" applyFill="1" applyBorder="1" applyAlignment="1"/>
    <xf numFmtId="164" fontId="10" fillId="45" borderId="15" xfId="0" applyNumberFormat="1" applyFont="1" applyFill="1" applyBorder="1" applyAlignment="1">
      <alignment horizontal="centerContinuous"/>
    </xf>
    <xf numFmtId="0" fontId="0" fillId="0" borderId="0" xfId="0"/>
    <xf numFmtId="0" fontId="0" fillId="0" borderId="0" xfId="0" applyAlignment="1">
      <alignment horizontal="center"/>
    </xf>
    <xf numFmtId="0" fontId="0" fillId="64" borderId="6" xfId="0" applyFill="1" applyBorder="1" applyAlignment="1">
      <alignment horizontal="center"/>
    </xf>
    <xf numFmtId="0" fontId="0" fillId="64" borderId="28" xfId="0" applyFill="1" applyBorder="1" applyAlignment="1">
      <alignment horizontal="center"/>
    </xf>
    <xf numFmtId="164" fontId="0" fillId="0" borderId="32" xfId="0" applyNumberFormat="1" applyFill="1" applyBorder="1" applyAlignment="1">
      <alignment horizontal="center"/>
    </xf>
    <xf numFmtId="0" fontId="0" fillId="0" borderId="0" xfId="0"/>
    <xf numFmtId="0" fontId="0" fillId="66" borderId="6" xfId="0" applyFill="1" applyBorder="1" applyAlignment="1">
      <alignment horizontal="center" vertical="top" wrapText="1"/>
    </xf>
    <xf numFmtId="0" fontId="0" fillId="67" borderId="6" xfId="0" applyFill="1" applyBorder="1" applyAlignment="1">
      <alignment horizontal="center" vertical="top" wrapText="1"/>
    </xf>
    <xf numFmtId="0" fontId="0" fillId="68" borderId="44" xfId="0" applyFill="1" applyBorder="1" applyAlignment="1">
      <alignment vertical="top" wrapText="1"/>
    </xf>
    <xf numFmtId="164" fontId="0" fillId="43" borderId="0" xfId="0" applyNumberFormat="1" applyFill="1" applyBorder="1"/>
    <xf numFmtId="164" fontId="0" fillId="43" borderId="0" xfId="0" applyNumberFormat="1" applyFill="1"/>
    <xf numFmtId="164" fontId="0" fillId="43" borderId="0" xfId="0" applyNumberFormat="1" applyFill="1" applyAlignment="1">
      <alignment horizontal="right"/>
    </xf>
    <xf numFmtId="0" fontId="0" fillId="0" borderId="0" xfId="0"/>
    <xf numFmtId="0" fontId="0" fillId="9" borderId="7" xfId="0" applyFill="1" applyBorder="1" applyAlignment="1"/>
    <xf numFmtId="0" fontId="0" fillId="9" borderId="5" xfId="0" applyFill="1" applyBorder="1" applyAlignment="1"/>
    <xf numFmtId="0" fontId="0" fillId="58" borderId="7" xfId="0" applyFill="1" applyBorder="1" applyAlignment="1"/>
    <xf numFmtId="0" fontId="0" fillId="58" borderId="5" xfId="0" applyFill="1" applyBorder="1" applyAlignment="1"/>
    <xf numFmtId="0" fontId="0" fillId="57" borderId="7" xfId="0" applyFill="1" applyBorder="1" applyAlignment="1"/>
    <xf numFmtId="0" fontId="0" fillId="57" borderId="5" xfId="0" applyFill="1" applyBorder="1" applyAlignment="1"/>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9" borderId="52" xfId="0" applyFill="1" applyBorder="1" applyAlignment="1"/>
    <xf numFmtId="164" fontId="11" fillId="0" borderId="29" xfId="0" applyNumberFormat="1" applyFont="1" applyBorder="1" applyAlignment="1">
      <alignment horizontal="center"/>
    </xf>
    <xf numFmtId="10" fontId="0" fillId="0" borderId="52" xfId="45" applyNumberFormat="1" applyFont="1" applyBorder="1" applyAlignment="1">
      <alignment horizontal="center"/>
    </xf>
    <xf numFmtId="0" fontId="0" fillId="57" borderId="52" xfId="0" applyFill="1" applyBorder="1" applyAlignment="1"/>
    <xf numFmtId="0" fontId="0" fillId="58" borderId="52" xfId="0" applyFill="1" applyBorder="1" applyAlignment="1"/>
    <xf numFmtId="0" fontId="0" fillId="0" borderId="45" xfId="0" applyBorder="1"/>
    <xf numFmtId="10" fontId="0" fillId="0" borderId="57" xfId="0" applyNumberFormat="1" applyBorder="1" applyAlignment="1">
      <alignment horizontal="center"/>
    </xf>
    <xf numFmtId="0" fontId="0" fillId="4" borderId="39" xfId="0" applyFill="1" applyBorder="1" applyAlignment="1">
      <alignment vertical="top" wrapText="1"/>
    </xf>
    <xf numFmtId="0" fontId="0" fillId="4" borderId="0" xfId="0" applyFill="1" applyBorder="1" applyAlignment="1">
      <alignment horizontal="right"/>
    </xf>
    <xf numFmtId="0" fontId="0" fillId="4" borderId="32" xfId="0" applyFill="1" applyBorder="1" applyAlignment="1">
      <alignment horizontal="center"/>
    </xf>
    <xf numFmtId="164" fontId="0" fillId="15" borderId="43" xfId="0" applyNumberFormat="1" applyFill="1" applyBorder="1" applyAlignment="1">
      <alignment horizontal="center" vertical="center"/>
    </xf>
    <xf numFmtId="0" fontId="0" fillId="0" borderId="68" xfId="0" applyFill="1" applyBorder="1"/>
    <xf numFmtId="164" fontId="0" fillId="0" borderId="15" xfId="0" applyNumberFormat="1" applyFill="1" applyBorder="1"/>
    <xf numFmtId="164" fontId="0" fillId="0" borderId="15" xfId="0" applyNumberFormat="1" applyFill="1" applyBorder="1" applyAlignment="1">
      <alignment horizontal="right"/>
    </xf>
    <xf numFmtId="10" fontId="0" fillId="0" borderId="15" xfId="0" applyNumberFormat="1" applyFill="1" applyBorder="1"/>
    <xf numFmtId="0" fontId="0" fillId="0" borderId="16" xfId="0" applyFill="1" applyBorder="1"/>
    <xf numFmtId="0" fontId="0" fillId="0" borderId="1" xfId="0" applyBorder="1"/>
    <xf numFmtId="0" fontId="0" fillId="0" borderId="6" xfId="0" quotePrefix="1" applyFill="1" applyBorder="1" applyAlignment="1">
      <alignment horizontal="center" vertical="top" wrapText="1"/>
    </xf>
    <xf numFmtId="49" fontId="10" fillId="4" borderId="11" xfId="0" applyNumberFormat="1" applyFont="1" applyFill="1" applyBorder="1" applyAlignment="1">
      <alignment wrapText="1"/>
    </xf>
    <xf numFmtId="49" fontId="10" fillId="4" borderId="25" xfId="0" applyNumberFormat="1" applyFont="1" applyFill="1" applyBorder="1" applyAlignment="1">
      <alignment wrapText="1"/>
    </xf>
    <xf numFmtId="49" fontId="10" fillId="4" borderId="55" xfId="0" applyNumberFormat="1" applyFont="1" applyFill="1" applyBorder="1" applyAlignment="1">
      <alignment wrapText="1"/>
    </xf>
    <xf numFmtId="49" fontId="10" fillId="4" borderId="1" xfId="0" applyNumberFormat="1" applyFont="1" applyFill="1" applyBorder="1" applyAlignment="1">
      <alignment wrapText="1"/>
    </xf>
    <xf numFmtId="2" fontId="4" fillId="3" borderId="24" xfId="3" applyNumberFormat="1" applyBorder="1"/>
    <xf numFmtId="165" fontId="4" fillId="3" borderId="44" xfId="3" applyNumberFormat="1" applyBorder="1"/>
    <xf numFmtId="165" fontId="3" fillId="3" borderId="4" xfId="2" applyNumberFormat="1" applyBorder="1"/>
    <xf numFmtId="0" fontId="0" fillId="0" borderId="66" xfId="0" quotePrefix="1" applyBorder="1" applyAlignment="1">
      <alignment horizontal="centerContinuous"/>
    </xf>
    <xf numFmtId="0" fontId="0" fillId="0" borderId="50" xfId="0" applyBorder="1" applyAlignment="1">
      <alignment horizontal="centerContinuous"/>
    </xf>
    <xf numFmtId="0" fontId="0" fillId="0" borderId="69" xfId="0" applyBorder="1" applyAlignment="1">
      <alignment horizontal="center"/>
    </xf>
    <xf numFmtId="1" fontId="0" fillId="0" borderId="6" xfId="0" applyNumberFormat="1" applyBorder="1" applyAlignment="1">
      <alignment horizontal="center"/>
    </xf>
    <xf numFmtId="2" fontId="0" fillId="53" borderId="29" xfId="0" applyNumberFormat="1" applyFill="1" applyBorder="1" applyAlignment="1">
      <alignment horizontal="center" vertical="center"/>
    </xf>
    <xf numFmtId="166" fontId="0" fillId="53" borderId="29" xfId="0" applyNumberFormat="1" applyFill="1" applyBorder="1" applyAlignment="1">
      <alignment horizontal="center" vertical="center"/>
    </xf>
    <xf numFmtId="169" fontId="0" fillId="53" borderId="32" xfId="0" applyNumberFormat="1" applyFill="1" applyBorder="1" applyAlignment="1">
      <alignment horizontal="center" vertical="center"/>
    </xf>
    <xf numFmtId="0" fontId="11" fillId="0" borderId="53" xfId="0" applyFont="1" applyBorder="1" applyAlignment="1">
      <alignment horizontal="right" vertical="top" wrapText="1"/>
    </xf>
    <xf numFmtId="1" fontId="0" fillId="51" borderId="24" xfId="0" applyNumberFormat="1" applyFill="1" applyBorder="1" applyAlignment="1">
      <alignment horizontal="center"/>
    </xf>
    <xf numFmtId="1" fontId="0" fillId="64" borderId="24" xfId="0" applyNumberFormat="1" applyFill="1" applyBorder="1" applyAlignment="1">
      <alignment horizontal="center"/>
    </xf>
    <xf numFmtId="1" fontId="0" fillId="53" borderId="43" xfId="0" applyNumberFormat="1" applyFill="1" applyBorder="1" applyAlignment="1">
      <alignment horizontal="center"/>
    </xf>
    <xf numFmtId="0" fontId="11" fillId="0" borderId="14" xfId="0" applyFont="1" applyBorder="1" applyAlignment="1">
      <alignment vertical="top" wrapText="1"/>
    </xf>
    <xf numFmtId="0" fontId="14" fillId="0" borderId="68" xfId="0" applyFont="1" applyBorder="1" applyAlignment="1">
      <alignment horizontal="center" vertical="center" wrapText="1"/>
    </xf>
    <xf numFmtId="0" fontId="10" fillId="0" borderId="15" xfId="0" applyFont="1" applyBorder="1" applyAlignment="1">
      <alignment horizontal="center"/>
    </xf>
    <xf numFmtId="0" fontId="10" fillId="0" borderId="16" xfId="0" applyFont="1" applyBorder="1" applyAlignment="1">
      <alignment horizontal="center"/>
    </xf>
    <xf numFmtId="0" fontId="0" fillId="53" borderId="70" xfId="0" applyFill="1" applyBorder="1"/>
    <xf numFmtId="0" fontId="0" fillId="53" borderId="54" xfId="0" applyFill="1" applyBorder="1"/>
    <xf numFmtId="167" fontId="0" fillId="9" borderId="28" xfId="0" applyNumberFormat="1" applyFill="1" applyBorder="1" applyAlignment="1">
      <alignment horizontal="center"/>
    </xf>
    <xf numFmtId="0" fontId="0" fillId="53" borderId="61" xfId="0" applyFill="1" applyBorder="1"/>
    <xf numFmtId="0" fontId="5" fillId="0" borderId="0" xfId="0" applyFont="1" applyFill="1" applyBorder="1"/>
    <xf numFmtId="0" fontId="0" fillId="0" borderId="0" xfId="0" applyAlignment="1">
      <alignment horizontal="center"/>
    </xf>
    <xf numFmtId="166" fontId="0" fillId="9" borderId="6" xfId="0" applyNumberFormat="1" applyFill="1" applyBorder="1" applyAlignment="1">
      <alignment horizontal="center"/>
    </xf>
    <xf numFmtId="167" fontId="0" fillId="51" borderId="28" xfId="0" applyNumberFormat="1" applyFill="1" applyBorder="1" applyAlignment="1">
      <alignment horizontal="center" vertical="center"/>
    </xf>
    <xf numFmtId="166" fontId="0" fillId="51" borderId="6" xfId="0" applyNumberFormat="1" applyFill="1" applyBorder="1" applyAlignment="1">
      <alignment horizontal="center" vertical="center"/>
    </xf>
    <xf numFmtId="0" fontId="4" fillId="3" borderId="3" xfId="3"/>
    <xf numFmtId="0" fontId="13" fillId="14" borderId="5" xfId="0" applyFont="1" applyFill="1" applyBorder="1" applyAlignment="1">
      <alignment wrapText="1"/>
    </xf>
    <xf numFmtId="0" fontId="13" fillId="14" borderId="8" xfId="0" applyFont="1" applyFill="1" applyBorder="1" applyAlignment="1">
      <alignment wrapText="1"/>
    </xf>
    <xf numFmtId="0" fontId="0" fillId="0" borderId="65" xfId="0" applyNumberFormat="1" applyBorder="1" applyAlignment="1">
      <alignment horizontal="centerContinuous"/>
    </xf>
    <xf numFmtId="1" fontId="0" fillId="64" borderId="27" xfId="0" applyNumberFormat="1" applyFill="1" applyBorder="1" applyAlignment="1">
      <alignment horizontal="center"/>
    </xf>
    <xf numFmtId="0" fontId="0" fillId="0" borderId="0" xfId="0" applyAlignment="1">
      <alignment horizontal="center"/>
    </xf>
    <xf numFmtId="0" fontId="0" fillId="64" borderId="7" xfId="0" applyFill="1" applyBorder="1" applyAlignment="1"/>
    <xf numFmtId="0" fontId="0" fillId="64" borderId="5" xfId="0" applyFill="1" applyBorder="1" applyAlignment="1"/>
    <xf numFmtId="0" fontId="0" fillId="64" borderId="52" xfId="0" applyFill="1" applyBorder="1" applyAlignment="1"/>
    <xf numFmtId="9" fontId="0" fillId="0" borderId="12" xfId="45" applyFont="1" applyBorder="1" applyAlignment="1">
      <alignment horizontal="center"/>
    </xf>
    <xf numFmtId="9" fontId="0" fillId="0" borderId="0" xfId="45" applyFont="1" applyBorder="1" applyAlignment="1">
      <alignment horizontal="center"/>
    </xf>
    <xf numFmtId="9" fontId="0" fillId="0" borderId="13" xfId="45" applyFont="1" applyBorder="1" applyAlignment="1">
      <alignment horizontal="center"/>
    </xf>
    <xf numFmtId="9" fontId="0" fillId="0" borderId="14" xfId="45" applyFont="1" applyBorder="1" applyAlignment="1">
      <alignment horizontal="center"/>
    </xf>
    <xf numFmtId="9" fontId="0" fillId="0" borderId="15" xfId="45" applyFont="1" applyBorder="1" applyAlignment="1">
      <alignment horizontal="center"/>
    </xf>
    <xf numFmtId="9" fontId="0" fillId="0" borderId="16" xfId="45" applyFont="1" applyBorder="1" applyAlignment="1">
      <alignment horizontal="center"/>
    </xf>
    <xf numFmtId="0" fontId="0" fillId="0" borderId="71" xfId="0" applyBorder="1" applyAlignment="1">
      <alignment horizontal="center"/>
    </xf>
    <xf numFmtId="0" fontId="0" fillId="0" borderId="55" xfId="0" applyBorder="1" applyAlignment="1">
      <alignment horizontal="center"/>
    </xf>
    <xf numFmtId="1" fontId="0" fillId="9" borderId="51" xfId="0" applyNumberFormat="1" applyFill="1" applyBorder="1"/>
    <xf numFmtId="166" fontId="0" fillId="9" borderId="44" xfId="0" applyNumberFormat="1" applyFill="1" applyBorder="1"/>
    <xf numFmtId="167" fontId="0" fillId="9" borderId="44" xfId="0" applyNumberFormat="1" applyFill="1" applyBorder="1"/>
    <xf numFmtId="167" fontId="0" fillId="9" borderId="6" xfId="0" applyNumberFormat="1" applyFill="1" applyBorder="1"/>
    <xf numFmtId="0" fontId="10" fillId="0" borderId="28" xfId="0" applyFont="1" applyBorder="1" applyAlignment="1">
      <alignment horizontal="right"/>
    </xf>
    <xf numFmtId="0" fontId="10" fillId="0" borderId="32" xfId="0" applyFont="1" applyBorder="1"/>
    <xf numFmtId="0" fontId="0" fillId="0" borderId="0" xfId="0" applyAlignment="1">
      <alignment horizontal="center"/>
    </xf>
    <xf numFmtId="0" fontId="1" fillId="0" borderId="2" xfId="0" applyFont="1" applyFill="1" applyBorder="1" applyAlignment="1">
      <alignment horizontal="center" vertical="center" wrapText="1"/>
    </xf>
    <xf numFmtId="14" fontId="1" fillId="0" borderId="2" xfId="0" applyNumberFormat="1" applyFont="1" applyBorder="1" applyAlignment="1">
      <alignment horizontal="left" vertical="center" wrapText="1"/>
    </xf>
    <xf numFmtId="164" fontId="1" fillId="60" borderId="2" xfId="0" applyNumberFormat="1" applyFont="1" applyFill="1" applyBorder="1" applyAlignment="1">
      <alignment horizontal="center" vertical="center" wrapText="1"/>
    </xf>
    <xf numFmtId="2" fontId="1" fillId="9" borderId="2" xfId="0" applyNumberFormat="1" applyFont="1" applyFill="1" applyBorder="1" applyAlignment="1">
      <alignment horizontal="center" vertical="center" wrapText="1"/>
    </xf>
    <xf numFmtId="164" fontId="1" fillId="16" borderId="2" xfId="0" applyNumberFormat="1" applyFont="1" applyFill="1" applyBorder="1" applyAlignment="1">
      <alignment horizontal="center" vertical="center" wrapText="1"/>
    </xf>
    <xf numFmtId="164" fontId="28" fillId="51" borderId="5" xfId="0" applyNumberFormat="1" applyFont="1" applyFill="1" applyBorder="1" applyAlignment="1">
      <alignment horizontal="center" vertical="center" wrapText="1"/>
    </xf>
    <xf numFmtId="0" fontId="0" fillId="61" borderId="12" xfId="0" applyFill="1" applyBorder="1" applyAlignment="1">
      <alignment wrapText="1"/>
    </xf>
    <xf numFmtId="164" fontId="0" fillId="61" borderId="0" xfId="0" applyNumberFormat="1" applyFill="1" applyBorder="1" applyAlignment="1">
      <alignment wrapText="1"/>
    </xf>
    <xf numFmtId="0" fontId="0" fillId="61" borderId="0" xfId="0" applyFill="1" applyBorder="1" applyAlignment="1">
      <alignment wrapText="1"/>
    </xf>
    <xf numFmtId="164" fontId="10" fillId="61" borderId="0" xfId="0" applyNumberFormat="1" applyFont="1" applyFill="1" applyBorder="1" applyAlignment="1">
      <alignment wrapText="1"/>
    </xf>
    <xf numFmtId="0" fontId="10" fillId="61" borderId="0" xfId="0" applyFont="1" applyFill="1" applyBorder="1" applyAlignment="1">
      <alignment wrapText="1"/>
    </xf>
    <xf numFmtId="0" fontId="0" fillId="61" borderId="13" xfId="0" applyFill="1" applyBorder="1" applyAlignment="1">
      <alignment wrapText="1"/>
    </xf>
    <xf numFmtId="1" fontId="0" fillId="0" borderId="0" xfId="0" applyNumberFormat="1" applyAlignment="1">
      <alignment wrapText="1"/>
    </xf>
    <xf numFmtId="0" fontId="0" fillId="0" borderId="0" xfId="0" applyAlignment="1">
      <alignment horizontal="right" wrapText="1"/>
    </xf>
    <xf numFmtId="170" fontId="0" fillId="61" borderId="15" xfId="45" applyNumberFormat="1" applyFont="1" applyFill="1" applyBorder="1" applyAlignment="1"/>
    <xf numFmtId="0" fontId="0" fillId="0" borderId="0" xfId="0" applyAlignment="1">
      <alignment horizontal="center"/>
    </xf>
    <xf numFmtId="0" fontId="0" fillId="0" borderId="15" xfId="0" applyBorder="1" applyAlignment="1">
      <alignment horizontal="center"/>
    </xf>
    <xf numFmtId="0" fontId="0" fillId="0" borderId="33" xfId="0" applyFont="1" applyBorder="1" applyAlignment="1">
      <alignment horizontal="left"/>
    </xf>
    <xf numFmtId="0" fontId="0" fillId="0" borderId="6" xfId="0" applyFont="1" applyBorder="1" applyAlignment="1">
      <alignment horizontal="right"/>
    </xf>
    <xf numFmtId="0" fontId="0" fillId="0" borderId="34" xfId="0" applyFont="1" applyBorder="1"/>
    <xf numFmtId="0" fontId="0" fillId="0" borderId="42" xfId="0" applyFont="1" applyBorder="1" applyAlignment="1">
      <alignment horizontal="left"/>
    </xf>
    <xf numFmtId="0" fontId="0" fillId="0" borderId="24" xfId="0" applyFont="1" applyBorder="1" applyAlignment="1">
      <alignment horizontal="right"/>
    </xf>
    <xf numFmtId="0" fontId="0" fillId="0" borderId="43" xfId="0" applyFont="1" applyBorder="1"/>
    <xf numFmtId="0" fontId="10" fillId="0" borderId="73" xfId="0" applyFont="1" applyBorder="1" applyAlignment="1">
      <alignment horizontal="right"/>
    </xf>
    <xf numFmtId="0" fontId="10" fillId="0" borderId="61" xfId="0" applyFont="1" applyBorder="1"/>
    <xf numFmtId="0" fontId="10" fillId="0" borderId="30" xfId="0" applyFont="1" applyBorder="1" applyAlignment="1">
      <alignment horizontal="left"/>
    </xf>
    <xf numFmtId="2" fontId="0" fillId="0" borderId="0" xfId="0" applyNumberFormat="1" applyAlignment="1">
      <alignment horizontal="center"/>
    </xf>
    <xf numFmtId="0" fontId="0" fillId="10" borderId="44" xfId="0" applyFill="1" applyBorder="1" applyAlignment="1">
      <alignment horizontal="center" vertical="center" wrapText="1"/>
    </xf>
    <xf numFmtId="0" fontId="0" fillId="66" borderId="44" xfId="0" applyFill="1" applyBorder="1" applyAlignment="1">
      <alignment horizontal="center" vertical="center" wrapText="1"/>
    </xf>
    <xf numFmtId="0" fontId="5" fillId="15" borderId="7" xfId="0" applyFont="1" applyFill="1" applyBorder="1" applyAlignment="1">
      <alignment wrapText="1"/>
    </xf>
    <xf numFmtId="0" fontId="5" fillId="15" borderId="5" xfId="0" applyFont="1" applyFill="1" applyBorder="1" applyAlignment="1">
      <alignment wrapText="1"/>
    </xf>
    <xf numFmtId="0" fontId="5" fillId="15" borderId="8" xfId="0" applyFont="1" applyFill="1" applyBorder="1" applyAlignment="1">
      <alignment wrapText="1"/>
    </xf>
    <xf numFmtId="0" fontId="13" fillId="14" borderId="7" xfId="0" applyFont="1" applyFill="1" applyBorder="1" applyAlignment="1">
      <alignment wrapText="1"/>
    </xf>
    <xf numFmtId="0" fontId="13" fillId="14" borderId="5" xfId="0" applyFont="1" applyFill="1" applyBorder="1" applyAlignment="1">
      <alignment wrapText="1"/>
    </xf>
    <xf numFmtId="0" fontId="13" fillId="14" borderId="8" xfId="0" applyFont="1" applyFill="1" applyBorder="1" applyAlignment="1">
      <alignment wrapText="1"/>
    </xf>
    <xf numFmtId="0" fontId="0" fillId="8" borderId="44" xfId="0" applyFill="1" applyBorder="1" applyAlignment="1">
      <alignment vertical="top" wrapText="1"/>
    </xf>
    <xf numFmtId="0" fontId="0" fillId="0" borderId="44" xfId="0" applyFill="1" applyBorder="1" applyAlignment="1">
      <alignment horizontal="center" vertical="center" wrapText="1"/>
    </xf>
    <xf numFmtId="0" fontId="0" fillId="67" borderId="44" xfId="0" applyFill="1" applyBorder="1" applyAlignment="1">
      <alignment horizontal="center" vertical="center" wrapText="1"/>
    </xf>
    <xf numFmtId="49" fontId="0" fillId="0" borderId="0" xfId="0" applyNumberFormat="1"/>
    <xf numFmtId="171" fontId="0" fillId="0" borderId="0" xfId="0" applyNumberFormat="1"/>
    <xf numFmtId="172" fontId="0" fillId="0" borderId="0" xfId="0" applyNumberFormat="1"/>
    <xf numFmtId="173" fontId="0" fillId="0" borderId="0" xfId="0" applyNumberFormat="1"/>
    <xf numFmtId="174" fontId="0" fillId="0" borderId="0" xfId="0" applyNumberFormat="1"/>
    <xf numFmtId="175" fontId="0" fillId="0" borderId="0" xfId="0" applyNumberFormat="1"/>
    <xf numFmtId="176" fontId="0" fillId="0" borderId="0" xfId="0" applyNumberFormat="1"/>
    <xf numFmtId="0" fontId="12" fillId="0" borderId="0" xfId="48"/>
    <xf numFmtId="0" fontId="0" fillId="0" borderId="44" xfId="0" applyFill="1" applyBorder="1" applyAlignment="1">
      <alignment vertical="center" wrapText="1"/>
    </xf>
    <xf numFmtId="0" fontId="0" fillId="68" borderId="44" xfId="0" applyFill="1" applyBorder="1" applyAlignment="1">
      <alignment vertical="center" wrapText="1"/>
    </xf>
    <xf numFmtId="0" fontId="10" fillId="15" borderId="6" xfId="0" applyFont="1" applyFill="1" applyBorder="1" applyAlignment="1">
      <alignment vertical="top" wrapText="1"/>
    </xf>
    <xf numFmtId="0" fontId="10" fillId="15" borderId="6" xfId="0" applyFont="1" applyFill="1" applyBorder="1" applyAlignment="1">
      <alignment horizontal="center" vertical="center" wrapText="1"/>
    </xf>
    <xf numFmtId="0" fontId="10" fillId="15" borderId="6" xfId="0" applyFont="1" applyFill="1" applyBorder="1" applyAlignment="1">
      <alignment horizontal="center" vertical="top" wrapText="1"/>
    </xf>
    <xf numFmtId="0" fontId="13" fillId="14" borderId="7" xfId="0" applyFont="1" applyFill="1" applyBorder="1" applyAlignment="1"/>
    <xf numFmtId="49" fontId="0" fillId="0" borderId="74" xfId="0" applyNumberFormat="1" applyFont="1" applyBorder="1"/>
    <xf numFmtId="49" fontId="0" fillId="0" borderId="75" xfId="0" applyNumberFormat="1" applyFont="1" applyBorder="1"/>
    <xf numFmtId="49" fontId="0" fillId="0" borderId="76" xfId="0" applyNumberFormat="1" applyFont="1" applyBorder="1"/>
    <xf numFmtId="0" fontId="16" fillId="0" borderId="74" xfId="0" applyFont="1" applyBorder="1" applyAlignment="1">
      <alignment vertical="center" wrapText="1"/>
    </xf>
    <xf numFmtId="0" fontId="16" fillId="0" borderId="75" xfId="0" applyFont="1" applyBorder="1" applyAlignment="1">
      <alignment vertical="center" wrapText="1"/>
    </xf>
    <xf numFmtId="0" fontId="16" fillId="0" borderId="76" xfId="0" applyFont="1" applyBorder="1" applyAlignment="1">
      <alignment vertical="center" wrapText="1"/>
    </xf>
    <xf numFmtId="0" fontId="0" fillId="0" borderId="75" xfId="0" applyFont="1" applyBorder="1" applyAlignment="1">
      <alignment vertical="center" wrapText="1"/>
    </xf>
    <xf numFmtId="0" fontId="35" fillId="0" borderId="0" xfId="0" applyFont="1" applyBorder="1" applyAlignment="1">
      <alignment horizontal="center"/>
    </xf>
    <xf numFmtId="0" fontId="10" fillId="0" borderId="10" xfId="0" applyFont="1" applyBorder="1"/>
    <xf numFmtId="0" fontId="10" fillId="0" borderId="10" xfId="0" applyFont="1" applyBorder="1" applyAlignment="1">
      <alignment horizontal="center"/>
    </xf>
    <xf numFmtId="0" fontId="16" fillId="0" borderId="0" xfId="0" applyFont="1" applyBorder="1" applyAlignment="1">
      <alignment vertical="center" wrapText="1"/>
    </xf>
    <xf numFmtId="0" fontId="16" fillId="0" borderId="74" xfId="0" applyFont="1" applyBorder="1" applyAlignment="1">
      <alignment horizontal="center" vertical="center" wrapText="1"/>
    </xf>
    <xf numFmtId="0" fontId="16" fillId="0" borderId="75" xfId="0" applyFont="1" applyBorder="1" applyAlignment="1">
      <alignment horizontal="center" vertical="center" wrapText="1"/>
    </xf>
    <xf numFmtId="0" fontId="0" fillId="0" borderId="75" xfId="0" applyFont="1" applyBorder="1" applyAlignment="1">
      <alignment horizontal="center" vertical="center" wrapText="1"/>
    </xf>
    <xf numFmtId="1" fontId="0" fillId="9" borderId="0" xfId="0" applyNumberFormat="1" applyFill="1"/>
    <xf numFmtId="49" fontId="0" fillId="9" borderId="0" xfId="0" applyNumberFormat="1" applyFill="1"/>
    <xf numFmtId="171" fontId="0" fillId="9" borderId="0" xfId="0" applyNumberFormat="1" applyFill="1"/>
    <xf numFmtId="172" fontId="0" fillId="9" borderId="0" xfId="0" applyNumberFormat="1" applyFill="1"/>
    <xf numFmtId="173" fontId="0" fillId="9" borderId="0" xfId="0" applyNumberFormat="1" applyFill="1"/>
    <xf numFmtId="174" fontId="0" fillId="9" borderId="0" xfId="0" applyNumberFormat="1" applyFill="1"/>
    <xf numFmtId="175" fontId="0" fillId="9" borderId="0" xfId="0" applyNumberFormat="1" applyFill="1"/>
    <xf numFmtId="176" fontId="0" fillId="9" borderId="0" xfId="0" applyNumberFormat="1" applyFill="1"/>
    <xf numFmtId="169" fontId="0" fillId="64" borderId="7" xfId="0" applyNumberFormat="1" applyFill="1" applyBorder="1" applyAlignment="1">
      <alignment horizontal="center"/>
    </xf>
    <xf numFmtId="169" fontId="0" fillId="64" borderId="45" xfId="0" applyNumberFormat="1" applyFill="1" applyBorder="1" applyAlignment="1">
      <alignment horizontal="center"/>
    </xf>
    <xf numFmtId="0" fontId="0" fillId="0" borderId="11" xfId="0" applyFill="1" applyBorder="1"/>
    <xf numFmtId="0" fontId="0" fillId="0" borderId="13" xfId="0" applyFill="1" applyBorder="1"/>
    <xf numFmtId="0" fontId="0" fillId="0" borderId="76" xfId="0" applyFont="1" applyBorder="1" applyAlignment="1">
      <alignment horizontal="center" vertical="center" wrapText="1"/>
    </xf>
    <xf numFmtId="0" fontId="16" fillId="0" borderId="76" xfId="0" applyFont="1" applyBorder="1" applyAlignment="1">
      <alignment horizontal="center" vertical="center" wrapText="1"/>
    </xf>
    <xf numFmtId="0" fontId="1" fillId="51" borderId="1" xfId="0" applyNumberFormat="1" applyFont="1" applyFill="1" applyBorder="1" applyAlignment="1">
      <alignment horizontal="center" vertical="top" wrapText="1"/>
    </xf>
    <xf numFmtId="165" fontId="1" fillId="51" borderId="2" xfId="0" applyNumberFormat="1" applyFont="1" applyFill="1" applyBorder="1" applyAlignment="1">
      <alignment horizontal="center" vertical="center"/>
    </xf>
    <xf numFmtId="0" fontId="1" fillId="51" borderId="10" xfId="0" applyNumberFormat="1" applyFont="1" applyFill="1" applyBorder="1" applyAlignment="1">
      <alignment horizontal="center" vertical="top" wrapText="1"/>
    </xf>
    <xf numFmtId="165" fontId="28" fillId="51" borderId="2" xfId="0" applyNumberFormat="1" applyFont="1" applyFill="1" applyBorder="1" applyAlignment="1">
      <alignment horizontal="center" vertical="center"/>
    </xf>
    <xf numFmtId="0" fontId="1" fillId="51" borderId="6" xfId="0" applyNumberFormat="1" applyFont="1" applyFill="1" applyBorder="1" applyAlignment="1">
      <alignment horizontal="center" vertical="top" wrapText="1"/>
    </xf>
    <xf numFmtId="0" fontId="0" fillId="0" borderId="0" xfId="0"/>
    <xf numFmtId="14" fontId="1" fillId="0" borderId="2" xfId="0" applyNumberFormat="1" applyFont="1" applyBorder="1" applyAlignment="1">
      <alignment horizontal="left" vertical="center"/>
    </xf>
    <xf numFmtId="0" fontId="0" fillId="0" borderId="0" xfId="0" applyFill="1" applyBorder="1"/>
    <xf numFmtId="0" fontId="1" fillId="15" borderId="2" xfId="0" applyNumberFormat="1" applyFont="1" applyFill="1" applyBorder="1" applyAlignment="1">
      <alignment horizontal="left" vertical="center"/>
    </xf>
    <xf numFmtId="2" fontId="1" fillId="12" borderId="2" xfId="0" applyNumberFormat="1" applyFont="1" applyFill="1" applyBorder="1" applyAlignment="1">
      <alignment horizontal="center" vertical="center"/>
    </xf>
    <xf numFmtId="0" fontId="28" fillId="15" borderId="2" xfId="0" applyNumberFormat="1" applyFont="1" applyFill="1" applyBorder="1" applyAlignment="1">
      <alignment horizontal="left" vertical="center"/>
    </xf>
    <xf numFmtId="2" fontId="28" fillId="12" borderId="2" xfId="0" applyNumberFormat="1" applyFont="1" applyFill="1" applyBorder="1" applyAlignment="1">
      <alignment horizontal="center" vertical="center"/>
    </xf>
    <xf numFmtId="164" fontId="28" fillId="45" borderId="2" xfId="0" applyNumberFormat="1" applyFont="1" applyFill="1" applyBorder="1" applyAlignment="1">
      <alignment horizontal="center" vertical="center"/>
    </xf>
    <xf numFmtId="165" fontId="1" fillId="45" borderId="2" xfId="0" applyNumberFormat="1" applyFont="1" applyFill="1" applyBorder="1" applyAlignment="1">
      <alignment horizontal="center" vertical="center"/>
    </xf>
    <xf numFmtId="165" fontId="28" fillId="45" borderId="2" xfId="0" applyNumberFormat="1" applyFont="1" applyFill="1" applyBorder="1" applyAlignment="1">
      <alignment horizontal="center" vertical="center"/>
    </xf>
    <xf numFmtId="0" fontId="1" fillId="0" borderId="1" xfId="0" applyNumberFormat="1" applyFont="1" applyFill="1" applyBorder="1" applyAlignment="1">
      <alignment horizontal="center" vertical="top" wrapText="1"/>
    </xf>
    <xf numFmtId="0" fontId="1" fillId="0" borderId="1" xfId="0" applyNumberFormat="1" applyFont="1" applyBorder="1" applyAlignment="1">
      <alignment horizontal="center" vertical="top" wrapText="1"/>
    </xf>
    <xf numFmtId="0" fontId="1" fillId="49" borderId="1" xfId="0" applyNumberFormat="1" applyFont="1" applyFill="1" applyBorder="1" applyAlignment="1">
      <alignment horizontal="center" vertical="top" wrapText="1"/>
    </xf>
    <xf numFmtId="0" fontId="1" fillId="44" borderId="1" xfId="0" applyNumberFormat="1" applyFont="1" applyFill="1" applyBorder="1" applyAlignment="1">
      <alignment horizontal="center" vertical="top" wrapText="1"/>
    </xf>
    <xf numFmtId="0" fontId="1" fillId="15" borderId="1" xfId="0" applyNumberFormat="1" applyFont="1" applyFill="1" applyBorder="1" applyAlignment="1">
      <alignment horizontal="center" vertical="top" wrapText="1"/>
    </xf>
    <xf numFmtId="0" fontId="1" fillId="12" borderId="1" xfId="0" applyNumberFormat="1" applyFont="1" applyFill="1" applyBorder="1" applyAlignment="1">
      <alignment horizontal="center" vertical="top" wrapText="1"/>
    </xf>
    <xf numFmtId="0" fontId="1" fillId="45" borderId="1" xfId="0" applyNumberFormat="1" applyFont="1" applyFill="1" applyBorder="1" applyAlignment="1">
      <alignment horizontal="center" vertical="top" wrapText="1"/>
    </xf>
    <xf numFmtId="0" fontId="0" fillId="0" borderId="0" xfId="0" applyNumberFormat="1" applyAlignment="1">
      <alignment horizontal="center" vertical="top" wrapText="1"/>
    </xf>
    <xf numFmtId="0" fontId="1" fillId="0" borderId="2" xfId="0" applyFont="1" applyFill="1" applyBorder="1" applyAlignment="1">
      <alignment horizontal="center" vertical="center"/>
    </xf>
    <xf numFmtId="0" fontId="1" fillId="0" borderId="2" xfId="0" applyFont="1" applyBorder="1" applyAlignment="1">
      <alignment horizontal="left" vertical="center" wrapText="1"/>
    </xf>
    <xf numFmtId="1" fontId="1" fillId="44" borderId="2" xfId="0" applyNumberFormat="1" applyFont="1" applyFill="1" applyBorder="1" applyAlignment="1">
      <alignment horizontal="center"/>
    </xf>
    <xf numFmtId="1" fontId="28" fillId="44" borderId="2" xfId="0" applyNumberFormat="1" applyFont="1" applyFill="1" applyBorder="1" applyAlignment="1">
      <alignment horizontal="center"/>
    </xf>
    <xf numFmtId="169" fontId="1" fillId="15" borderId="2" xfId="0" applyNumberFormat="1" applyFont="1" applyFill="1" applyBorder="1" applyAlignment="1">
      <alignment horizontal="left" vertical="center"/>
    </xf>
    <xf numFmtId="167" fontId="1" fillId="15" borderId="2" xfId="0" applyNumberFormat="1" applyFont="1" applyFill="1" applyBorder="1" applyAlignment="1">
      <alignment horizontal="left" vertical="center"/>
    </xf>
    <xf numFmtId="0" fontId="1" fillId="0" borderId="1" xfId="0" applyNumberFormat="1" applyFont="1" applyBorder="1" applyAlignment="1">
      <alignment horizontal="right" vertical="top" wrapText="1"/>
    </xf>
    <xf numFmtId="0" fontId="1" fillId="0" borderId="0" xfId="0" applyFont="1" applyFill="1" applyBorder="1" applyAlignment="1">
      <alignment horizontal="center" vertical="center"/>
    </xf>
    <xf numFmtId="0" fontId="1" fillId="0" borderId="2" xfId="0" applyFont="1" applyBorder="1" applyAlignment="1">
      <alignment horizontal="left" vertical="center"/>
    </xf>
    <xf numFmtId="0" fontId="1" fillId="49" borderId="2" xfId="0" applyFont="1" applyFill="1" applyBorder="1" applyAlignment="1">
      <alignment horizontal="center" vertical="center"/>
    </xf>
    <xf numFmtId="165" fontId="1" fillId="45" borderId="77" xfId="0" applyNumberFormat="1" applyFont="1" applyFill="1" applyBorder="1" applyAlignment="1">
      <alignment horizontal="center" vertical="center"/>
    </xf>
    <xf numFmtId="165" fontId="1" fillId="45" borderId="48" xfId="0" applyNumberFormat="1" applyFont="1" applyFill="1" applyBorder="1" applyAlignment="1">
      <alignment horizontal="center" vertical="center"/>
    </xf>
    <xf numFmtId="0" fontId="1" fillId="0" borderId="33" xfId="0" applyNumberFormat="1" applyFont="1" applyFill="1" applyBorder="1" applyAlignment="1">
      <alignment horizontal="center" vertical="top" wrapText="1"/>
    </xf>
    <xf numFmtId="0" fontId="0" fillId="0" borderId="10" xfId="0" applyNumberFormat="1" applyBorder="1" applyAlignment="1">
      <alignment horizontal="center" vertical="top" wrapText="1"/>
    </xf>
    <xf numFmtId="0" fontId="0" fillId="0" borderId="11" xfId="0" applyNumberFormat="1" applyBorder="1" applyAlignment="1">
      <alignment horizontal="center" vertical="top" wrapText="1"/>
    </xf>
    <xf numFmtId="0" fontId="6" fillId="4" borderId="78" xfId="0" applyFont="1" applyFill="1" applyBorder="1" applyAlignment="1">
      <alignment horizontal="left" vertical="top"/>
    </xf>
    <xf numFmtId="14" fontId="1" fillId="0" borderId="2" xfId="0" applyNumberFormat="1" applyFont="1" applyBorder="1" applyAlignment="1">
      <alignment horizontal="center" vertical="center"/>
    </xf>
    <xf numFmtId="165" fontId="1" fillId="0" borderId="0" xfId="0" applyNumberFormat="1" applyFont="1" applyFill="1" applyBorder="1" applyAlignment="1">
      <alignment horizontal="center" vertical="center"/>
    </xf>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167" fontId="1" fillId="4" borderId="5" xfId="0" applyNumberFormat="1" applyFont="1" applyFill="1" applyBorder="1" applyAlignment="1">
      <alignment horizontal="left" vertical="top"/>
    </xf>
    <xf numFmtId="169" fontId="1" fillId="4" borderId="5" xfId="0" applyNumberFormat="1" applyFont="1" applyFill="1" applyBorder="1" applyAlignment="1">
      <alignment horizontal="left" vertical="top"/>
    </xf>
    <xf numFmtId="0" fontId="0" fillId="0" borderId="0" xfId="0" applyBorder="1" applyAlignment="1"/>
    <xf numFmtId="0" fontId="0" fillId="0" borderId="0" xfId="0" applyAlignment="1"/>
    <xf numFmtId="0" fontId="1" fillId="69" borderId="1" xfId="0" applyNumberFormat="1" applyFont="1" applyFill="1" applyBorder="1" applyAlignment="1">
      <alignment horizontal="center" vertical="top" wrapText="1"/>
    </xf>
    <xf numFmtId="0" fontId="1" fillId="4" borderId="52" xfId="0" applyFont="1" applyFill="1" applyBorder="1" applyAlignment="1">
      <alignment horizontal="center" vertical="top"/>
    </xf>
    <xf numFmtId="0" fontId="1" fillId="0" borderId="2" xfId="0" applyFont="1" applyBorder="1" applyAlignment="1">
      <alignment horizontal="center" vertical="center"/>
    </xf>
    <xf numFmtId="2" fontId="1" fillId="0" borderId="2" xfId="0" applyNumberFormat="1" applyFont="1" applyFill="1" applyBorder="1" applyAlignment="1">
      <alignment horizontal="center" vertical="center"/>
    </xf>
    <xf numFmtId="2" fontId="28" fillId="0" borderId="2" xfId="0" applyNumberFormat="1" applyFont="1" applyFill="1" applyBorder="1" applyAlignment="1">
      <alignment horizontal="center" vertical="center"/>
    </xf>
    <xf numFmtId="0" fontId="1" fillId="43" borderId="1" xfId="0" applyNumberFormat="1" applyFont="1" applyFill="1" applyBorder="1" applyAlignment="1">
      <alignment horizontal="center" vertical="top" wrapText="1"/>
    </xf>
    <xf numFmtId="165" fontId="1" fillId="43" borderId="2" xfId="0" applyNumberFormat="1" applyFont="1" applyFill="1" applyBorder="1" applyAlignment="1">
      <alignment horizontal="center" vertical="center"/>
    </xf>
    <xf numFmtId="165" fontId="28" fillId="43" borderId="2" xfId="0" applyNumberFormat="1" applyFont="1" applyFill="1" applyBorder="1" applyAlignment="1">
      <alignment horizontal="center" vertical="center"/>
    </xf>
    <xf numFmtId="0" fontId="0" fillId="0" borderId="0" xfId="0" applyAlignment="1">
      <alignment horizontal="center"/>
    </xf>
    <xf numFmtId="0" fontId="0" fillId="0" borderId="15" xfId="0" applyBorder="1" applyAlignment="1">
      <alignment horizontal="center"/>
    </xf>
    <xf numFmtId="0" fontId="10" fillId="43" borderId="15" xfId="0" applyFont="1" applyFill="1" applyBorder="1" applyAlignment="1"/>
    <xf numFmtId="0" fontId="1" fillId="0" borderId="0" xfId="0" applyFont="1" applyBorder="1" applyAlignment="1">
      <alignment horizontal="center" vertical="center"/>
    </xf>
    <xf numFmtId="0" fontId="0" fillId="0" borderId="0" xfId="0" applyAlignment="1">
      <alignment horizontal="center"/>
    </xf>
    <xf numFmtId="0" fontId="0" fillId="0" borderId="15" xfId="0" applyBorder="1" applyAlignment="1">
      <alignment horizontal="center"/>
    </xf>
    <xf numFmtId="0" fontId="0" fillId="0" borderId="0" xfId="0" applyAlignment="1">
      <alignment horizontal="center"/>
    </xf>
    <xf numFmtId="0" fontId="10" fillId="0" borderId="0" xfId="0" applyFont="1" applyAlignment="1">
      <alignment horizontal="right"/>
    </xf>
    <xf numFmtId="165" fontId="0" fillId="0" borderId="0" xfId="0" applyNumberFormat="1" applyAlignment="1">
      <alignment horizontal="center"/>
    </xf>
    <xf numFmtId="170" fontId="0" fillId="0" borderId="0" xfId="45" applyNumberFormat="1" applyFont="1" applyAlignment="1">
      <alignment horizontal="center"/>
    </xf>
    <xf numFmtId="0" fontId="10" fillId="0" borderId="0" xfId="0" applyFont="1" applyFill="1" applyAlignment="1">
      <alignment horizontal="center"/>
    </xf>
    <xf numFmtId="2" fontId="0" fillId="0" borderId="0" xfId="0" applyNumberFormat="1" applyFill="1" applyAlignment="1">
      <alignment horizontal="center"/>
    </xf>
    <xf numFmtId="0" fontId="0" fillId="0" borderId="0" xfId="0" applyFill="1" applyAlignment="1">
      <alignment horizontal="center"/>
    </xf>
    <xf numFmtId="170" fontId="0" fillId="0" borderId="0" xfId="45" applyNumberFormat="1" applyFont="1" applyFill="1" applyAlignment="1">
      <alignment horizontal="center"/>
    </xf>
    <xf numFmtId="0" fontId="0" fillId="0" borderId="0" xfId="0" applyAlignment="1">
      <alignment horizontal="center"/>
    </xf>
    <xf numFmtId="0" fontId="0" fillId="0" borderId="0" xfId="0"/>
    <xf numFmtId="14" fontId="1" fillId="0" borderId="2" xfId="0" applyNumberFormat="1" applyFont="1" applyBorder="1" applyAlignment="1">
      <alignment horizontal="left" vertical="center"/>
    </xf>
    <xf numFmtId="0" fontId="10" fillId="0" borderId="0" xfId="0" applyFont="1"/>
    <xf numFmtId="0" fontId="0" fillId="8" borderId="6" xfId="0" applyFill="1" applyBorder="1" applyAlignment="1">
      <alignment vertical="top" wrapText="1"/>
    </xf>
    <xf numFmtId="0" fontId="0" fillId="10" borderId="6" xfId="0" applyFill="1" applyBorder="1" applyAlignment="1">
      <alignment horizontal="center" vertical="top" wrapText="1"/>
    </xf>
    <xf numFmtId="0" fontId="0" fillId="11" borderId="6" xfId="0" applyFill="1" applyBorder="1" applyAlignment="1">
      <alignment horizontal="center" vertical="top" wrapText="1"/>
    </xf>
    <xf numFmtId="0" fontId="0" fillId="12" borderId="6" xfId="0" applyFill="1" applyBorder="1" applyAlignment="1">
      <alignment horizontal="center" vertical="top" wrapText="1"/>
    </xf>
    <xf numFmtId="0" fontId="0" fillId="0" borderId="0" xfId="0" applyFill="1" applyBorder="1"/>
    <xf numFmtId="0" fontId="0" fillId="0" borderId="0" xfId="0" applyAlignment="1"/>
    <xf numFmtId="0" fontId="1" fillId="0" borderId="2" xfId="0" applyFont="1" applyBorder="1" applyAlignment="1">
      <alignment horizontal="left" vertical="center"/>
    </xf>
    <xf numFmtId="0" fontId="0" fillId="0" borderId="6" xfId="0" applyFill="1" applyBorder="1" applyAlignment="1">
      <alignment horizontal="center" vertical="top" wrapText="1"/>
    </xf>
    <xf numFmtId="0" fontId="0" fillId="13" borderId="44" xfId="0" applyFill="1" applyBorder="1" applyAlignment="1">
      <alignment vertical="top" wrapText="1"/>
    </xf>
    <xf numFmtId="0" fontId="1" fillId="0" borderId="2" xfId="0" applyFont="1" applyBorder="1" applyAlignment="1">
      <alignment horizontal="left" vertical="center" wrapText="1"/>
    </xf>
    <xf numFmtId="0" fontId="0" fillId="8" borderId="44" xfId="0" applyFill="1" applyBorder="1" applyAlignment="1">
      <alignment vertical="top" wrapText="1"/>
    </xf>
    <xf numFmtId="0" fontId="0" fillId="0" borderId="44" xfId="0" applyFill="1" applyBorder="1" applyAlignment="1">
      <alignment horizontal="center" vertical="center" wrapText="1"/>
    </xf>
    <xf numFmtId="165" fontId="1" fillId="51" borderId="2" xfId="0" applyNumberFormat="1" applyFont="1" applyFill="1" applyBorder="1" applyAlignment="1">
      <alignment horizontal="center" vertical="center"/>
    </xf>
    <xf numFmtId="0" fontId="1" fillId="15" borderId="2" xfId="0" applyNumberFormat="1" applyFont="1" applyFill="1" applyBorder="1" applyAlignment="1">
      <alignment horizontal="left" vertical="center"/>
    </xf>
    <xf numFmtId="2" fontId="1" fillId="12" borderId="2" xfId="0" applyNumberFormat="1" applyFont="1" applyFill="1" applyBorder="1" applyAlignment="1">
      <alignment horizontal="center" vertical="center"/>
    </xf>
    <xf numFmtId="165" fontId="1" fillId="45" borderId="2" xfId="0" applyNumberFormat="1" applyFont="1" applyFill="1" applyBorder="1" applyAlignment="1">
      <alignment horizontal="center" vertical="center"/>
    </xf>
    <xf numFmtId="1" fontId="1" fillId="44" borderId="2" xfId="0" applyNumberFormat="1" applyFont="1" applyFill="1" applyBorder="1" applyAlignment="1">
      <alignment horizontal="center"/>
    </xf>
    <xf numFmtId="0" fontId="1" fillId="49" borderId="2" xfId="0" applyFont="1" applyFill="1" applyBorder="1" applyAlignment="1">
      <alignment horizontal="center" vertical="center"/>
    </xf>
    <xf numFmtId="165" fontId="1" fillId="45" borderId="77" xfId="0" applyNumberFormat="1" applyFont="1" applyFill="1" applyBorder="1" applyAlignment="1">
      <alignment horizontal="center" vertical="center"/>
    </xf>
    <xf numFmtId="165" fontId="1" fillId="45" borderId="48" xfId="0" applyNumberFormat="1" applyFont="1" applyFill="1" applyBorder="1" applyAlignment="1">
      <alignment horizontal="center" vertical="center"/>
    </xf>
    <xf numFmtId="0" fontId="6" fillId="4" borderId="78" xfId="0" applyFont="1" applyFill="1" applyBorder="1" applyAlignment="1">
      <alignment horizontal="left" vertical="top"/>
    </xf>
    <xf numFmtId="14" fontId="1" fillId="0" borderId="2" xfId="0" applyNumberFormat="1" applyFont="1" applyBorder="1" applyAlignment="1">
      <alignment horizontal="center" vertical="center"/>
    </xf>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167" fontId="1" fillId="4" borderId="5" xfId="0" applyNumberFormat="1" applyFont="1" applyFill="1" applyBorder="1" applyAlignment="1">
      <alignment horizontal="left" vertical="top"/>
    </xf>
    <xf numFmtId="169" fontId="1" fillId="4" borderId="5" xfId="0" applyNumberFormat="1" applyFont="1" applyFill="1" applyBorder="1" applyAlignment="1">
      <alignment horizontal="left" vertical="top"/>
    </xf>
    <xf numFmtId="0" fontId="0" fillId="0" borderId="0" xfId="0" applyBorder="1" applyAlignment="1"/>
    <xf numFmtId="0" fontId="1" fillId="4" borderId="52" xfId="0" applyFont="1" applyFill="1" applyBorder="1" applyAlignment="1">
      <alignment horizontal="center" vertical="top"/>
    </xf>
    <xf numFmtId="0" fontId="1" fillId="0" borderId="2" xfId="0" applyFont="1" applyBorder="1" applyAlignment="1">
      <alignment horizontal="center" vertical="center"/>
    </xf>
    <xf numFmtId="2" fontId="1" fillId="0" borderId="2" xfId="0" applyNumberFormat="1" applyFont="1" applyFill="1" applyBorder="1" applyAlignment="1">
      <alignment horizontal="center" vertical="center"/>
    </xf>
    <xf numFmtId="165" fontId="1" fillId="43" borderId="2" xfId="0" applyNumberFormat="1" applyFont="1" applyFill="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wrapText="1"/>
    </xf>
    <xf numFmtId="14" fontId="1" fillId="0" borderId="0" xfId="0" applyNumberFormat="1" applyFont="1" applyBorder="1" applyAlignment="1">
      <alignment horizontal="center" vertical="center"/>
    </xf>
    <xf numFmtId="0" fontId="0" fillId="0" borderId="0" xfId="0" applyAlignment="1">
      <alignment horizontal="center"/>
    </xf>
    <xf numFmtId="0" fontId="1" fillId="70" borderId="2" xfId="0" applyFont="1" applyFill="1" applyBorder="1" applyAlignment="1">
      <alignment horizontal="center" vertical="center"/>
    </xf>
    <xf numFmtId="0" fontId="1" fillId="70" borderId="0" xfId="0" applyFont="1" applyFill="1" applyBorder="1" applyAlignment="1">
      <alignment horizontal="center" vertical="center"/>
    </xf>
    <xf numFmtId="0" fontId="1" fillId="70" borderId="2" xfId="0" applyFont="1" applyFill="1" applyBorder="1" applyAlignment="1">
      <alignment horizontal="left" vertical="center"/>
    </xf>
    <xf numFmtId="14" fontId="1" fillId="70" borderId="2" xfId="0" applyNumberFormat="1" applyFont="1" applyFill="1" applyBorder="1" applyAlignment="1">
      <alignment horizontal="left" vertical="center"/>
    </xf>
    <xf numFmtId="14" fontId="1" fillId="70" borderId="2" xfId="0" applyNumberFormat="1" applyFont="1" applyFill="1" applyBorder="1" applyAlignment="1">
      <alignment horizontal="center" vertical="center"/>
    </xf>
    <xf numFmtId="0" fontId="1" fillId="70" borderId="2" xfId="0" applyFont="1" applyFill="1" applyBorder="1" applyAlignment="1">
      <alignment horizontal="left" vertical="center" wrapText="1"/>
    </xf>
    <xf numFmtId="0" fontId="0" fillId="71" borderId="0" xfId="0" applyFill="1" applyAlignment="1">
      <alignment horizontal="center"/>
    </xf>
    <xf numFmtId="0" fontId="0" fillId="72" borderId="0" xfId="0" applyFill="1" applyAlignment="1">
      <alignment horizontal="center"/>
    </xf>
    <xf numFmtId="0" fontId="0" fillId="73" borderId="0" xfId="0" applyFill="1" applyAlignment="1">
      <alignment horizontal="center"/>
    </xf>
    <xf numFmtId="0" fontId="0" fillId="74" borderId="0" xfId="0" applyFill="1" applyAlignment="1">
      <alignment horizontal="center"/>
    </xf>
    <xf numFmtId="0" fontId="0" fillId="74" borderId="0" xfId="0" applyFill="1"/>
    <xf numFmtId="165" fontId="0" fillId="0" borderId="0" xfId="0" applyNumberFormat="1"/>
    <xf numFmtId="170" fontId="0" fillId="0" borderId="0" xfId="45" applyNumberFormat="1" applyFont="1"/>
    <xf numFmtId="10" fontId="0" fillId="0" borderId="0" xfId="45" applyNumberFormat="1" applyFont="1"/>
    <xf numFmtId="170" fontId="0" fillId="0" borderId="0" xfId="0" applyNumberFormat="1"/>
    <xf numFmtId="0" fontId="0" fillId="0" borderId="0" xfId="0" applyAlignment="1">
      <alignment horizontal="center"/>
    </xf>
    <xf numFmtId="0" fontId="0" fillId="0" borderId="15" xfId="0" applyBorder="1" applyAlignment="1">
      <alignment horizontal="center"/>
    </xf>
    <xf numFmtId="165" fontId="1" fillId="43" borderId="35" xfId="0" applyNumberFormat="1" applyFont="1" applyFill="1" applyBorder="1" applyAlignment="1">
      <alignment horizontal="center" vertical="center"/>
    </xf>
    <xf numFmtId="165" fontId="28" fillId="43" borderId="35" xfId="0" applyNumberFormat="1" applyFont="1" applyFill="1" applyBorder="1" applyAlignment="1">
      <alignment horizontal="center" vertical="center"/>
    </xf>
    <xf numFmtId="0" fontId="1" fillId="4" borderId="78" xfId="0" applyFont="1" applyFill="1" applyBorder="1" applyAlignment="1">
      <alignment horizontal="center" vertical="top"/>
    </xf>
    <xf numFmtId="0" fontId="1" fillId="4" borderId="79" xfId="0" applyFont="1" applyFill="1" applyBorder="1" applyAlignment="1">
      <alignment horizontal="center" vertical="top"/>
    </xf>
    <xf numFmtId="0" fontId="1" fillId="4" borderId="56" xfId="0" applyFont="1" applyFill="1" applyBorder="1" applyAlignment="1">
      <alignment horizontal="center" vertical="top"/>
    </xf>
    <xf numFmtId="0" fontId="1" fillId="4" borderId="57" xfId="0" applyFont="1" applyFill="1" applyBorder="1" applyAlignment="1">
      <alignment horizontal="center" vertical="top"/>
    </xf>
    <xf numFmtId="0" fontId="0" fillId="0" borderId="36" xfId="0" applyBorder="1" applyAlignment="1">
      <alignment horizontal="center"/>
    </xf>
    <xf numFmtId="0" fontId="1" fillId="0" borderId="53" xfId="0" applyFont="1" applyBorder="1" applyAlignment="1">
      <alignment horizontal="center" vertical="center" wrapText="1"/>
    </xf>
    <xf numFmtId="0" fontId="0" fillId="0" borderId="15" xfId="0" applyFill="1" applyBorder="1" applyAlignment="1">
      <alignment horizontal="center"/>
    </xf>
    <xf numFmtId="167" fontId="1" fillId="4" borderId="5" xfId="0" applyNumberFormat="1" applyFont="1" applyFill="1" applyBorder="1" applyAlignment="1">
      <alignment horizontal="center" vertical="top"/>
    </xf>
    <xf numFmtId="169" fontId="1" fillId="4" borderId="5" xfId="0" applyNumberFormat="1" applyFont="1" applyFill="1" applyBorder="1" applyAlignment="1">
      <alignment horizontal="center" vertical="top"/>
    </xf>
    <xf numFmtId="0" fontId="1" fillId="15" borderId="2" xfId="0" applyNumberFormat="1" applyFont="1" applyFill="1" applyBorder="1" applyAlignment="1">
      <alignment horizontal="center" vertical="center"/>
    </xf>
    <xf numFmtId="0" fontId="28" fillId="15" borderId="2" xfId="0" applyNumberFormat="1" applyFont="1" applyFill="1" applyBorder="1" applyAlignment="1">
      <alignment horizontal="center" vertical="center"/>
    </xf>
    <xf numFmtId="167" fontId="1" fillId="15" borderId="2" xfId="0" applyNumberFormat="1" applyFont="1" applyFill="1" applyBorder="1" applyAlignment="1">
      <alignment horizontal="center" vertical="center"/>
    </xf>
    <xf numFmtId="169" fontId="1" fillId="15" borderId="2" xfId="0" applyNumberFormat="1" applyFont="1" applyFill="1" applyBorder="1" applyAlignment="1">
      <alignment horizontal="center" vertical="center"/>
    </xf>
    <xf numFmtId="0" fontId="37" fillId="0" borderId="33" xfId="0" applyNumberFormat="1" applyFont="1" applyFill="1" applyBorder="1" applyAlignment="1">
      <alignment horizontal="center" vertical="center" wrapText="1"/>
    </xf>
    <xf numFmtId="0" fontId="37" fillId="0" borderId="1" xfId="0" applyNumberFormat="1" applyFont="1" applyFill="1" applyBorder="1" applyAlignment="1">
      <alignment horizontal="center" vertical="center" wrapText="1"/>
    </xf>
    <xf numFmtId="0" fontId="37" fillId="0" borderId="1" xfId="0" applyNumberFormat="1" applyFont="1" applyBorder="1" applyAlignment="1">
      <alignment horizontal="center" vertical="center" wrapText="1"/>
    </xf>
    <xf numFmtId="0" fontId="37" fillId="44" borderId="1" xfId="0" applyNumberFormat="1" applyFont="1" applyFill="1" applyBorder="1" applyAlignment="1">
      <alignment horizontal="center" vertical="center" wrapText="1"/>
    </xf>
    <xf numFmtId="0" fontId="37" fillId="15" borderId="1" xfId="0" applyNumberFormat="1" applyFont="1" applyFill="1" applyBorder="1" applyAlignment="1">
      <alignment horizontal="center" vertical="center" wrapText="1"/>
    </xf>
    <xf numFmtId="0" fontId="37" fillId="12" borderId="1" xfId="0" applyNumberFormat="1" applyFont="1" applyFill="1" applyBorder="1" applyAlignment="1">
      <alignment horizontal="center" vertical="center" wrapText="1"/>
    </xf>
    <xf numFmtId="0" fontId="37" fillId="69" borderId="1" xfId="0" applyNumberFormat="1" applyFont="1" applyFill="1" applyBorder="1" applyAlignment="1">
      <alignment horizontal="center" vertical="center" wrapText="1"/>
    </xf>
    <xf numFmtId="0" fontId="37" fillId="45" borderId="1" xfId="0" applyNumberFormat="1" applyFont="1" applyFill="1" applyBorder="1" applyAlignment="1">
      <alignment horizontal="center" vertical="center" wrapText="1"/>
    </xf>
    <xf numFmtId="0" fontId="37" fillId="43" borderId="1" xfId="0" applyNumberFormat="1" applyFont="1" applyFill="1" applyBorder="1" applyAlignment="1">
      <alignment horizontal="center" vertical="center" wrapText="1"/>
    </xf>
    <xf numFmtId="0" fontId="37" fillId="43" borderId="58" xfId="0" applyNumberFormat="1" applyFont="1" applyFill="1" applyBorder="1" applyAlignment="1">
      <alignment horizontal="center" vertical="center" wrapText="1"/>
    </xf>
    <xf numFmtId="0" fontId="38" fillId="0" borderId="9" xfId="0" applyNumberFormat="1" applyFont="1" applyBorder="1" applyAlignment="1">
      <alignment horizontal="center" vertical="center" wrapText="1"/>
    </xf>
    <xf numFmtId="0" fontId="38" fillId="0" borderId="10" xfId="0" applyNumberFormat="1" applyFont="1" applyBorder="1" applyAlignment="1">
      <alignment horizontal="center" vertical="center" wrapText="1"/>
    </xf>
    <xf numFmtId="0" fontId="38" fillId="0" borderId="11" xfId="0" applyNumberFormat="1" applyFont="1" applyBorder="1" applyAlignment="1">
      <alignment horizontal="center" vertical="center" wrapText="1"/>
    </xf>
    <xf numFmtId="0" fontId="38" fillId="0" borderId="0" xfId="0" applyNumberFormat="1" applyFont="1" applyAlignment="1">
      <alignment horizontal="center" vertical="center" wrapText="1"/>
    </xf>
    <xf numFmtId="0" fontId="0" fillId="0" borderId="0" xfId="0" applyAlignment="1">
      <alignment horizontal="center"/>
    </xf>
    <xf numFmtId="0" fontId="0" fillId="0" borderId="0" xfId="0" applyAlignment="1">
      <alignment horizontal="center"/>
    </xf>
    <xf numFmtId="49" fontId="0" fillId="0" borderId="0" xfId="0" applyNumberFormat="1" applyAlignment="1">
      <alignment textRotation="90" wrapText="1"/>
    </xf>
    <xf numFmtId="0" fontId="31" fillId="0" borderId="0" xfId="0" applyFont="1"/>
    <xf numFmtId="2" fontId="0" fillId="0" borderId="0" xfId="0" applyNumberFormat="1" applyAlignment="1"/>
    <xf numFmtId="2" fontId="10" fillId="61" borderId="6" xfId="0" applyNumberFormat="1" applyFont="1" applyFill="1" applyBorder="1"/>
    <xf numFmtId="165" fontId="0" fillId="0" borderId="0" xfId="0" applyNumberFormat="1" applyFill="1"/>
    <xf numFmtId="165" fontId="1" fillId="9" borderId="50" xfId="0" applyNumberFormat="1" applyFont="1" applyFill="1" applyBorder="1" applyAlignment="1">
      <alignment horizontal="center" vertical="center" wrapText="1"/>
    </xf>
    <xf numFmtId="165" fontId="1" fillId="4" borderId="25" xfId="0" applyNumberFormat="1" applyFont="1" applyFill="1" applyBorder="1" applyAlignment="1">
      <alignment horizontal="center" vertical="top" wrapText="1"/>
    </xf>
    <xf numFmtId="165" fontId="1" fillId="9" borderId="2" xfId="0" applyNumberFormat="1" applyFont="1" applyFill="1" applyBorder="1" applyAlignment="1">
      <alignment horizontal="center" vertical="center" wrapText="1"/>
    </xf>
    <xf numFmtId="165" fontId="1" fillId="9" borderId="2" xfId="0" applyNumberFormat="1" applyFont="1" applyFill="1" applyBorder="1" applyAlignment="1">
      <alignment horizontal="center" vertical="center"/>
    </xf>
    <xf numFmtId="165" fontId="1" fillId="9" borderId="0" xfId="0" applyNumberFormat="1" applyFont="1" applyFill="1" applyBorder="1" applyAlignment="1">
      <alignment horizontal="center" vertical="center"/>
    </xf>
    <xf numFmtId="165" fontId="0" fillId="74" borderId="0" xfId="0" applyNumberFormat="1" applyFill="1"/>
    <xf numFmtId="0" fontId="0" fillId="0" borderId="0" xfId="0" applyAlignment="1">
      <alignment horizontal="center"/>
    </xf>
    <xf numFmtId="49" fontId="0" fillId="0" borderId="0" xfId="0" applyNumberFormat="1" applyAlignment="1">
      <alignment horizontal="center"/>
    </xf>
    <xf numFmtId="170" fontId="0" fillId="0" borderId="0" xfId="0" applyNumberFormat="1" applyAlignment="1">
      <alignment horizontal="center"/>
    </xf>
    <xf numFmtId="0" fontId="40" fillId="0" borderId="0" xfId="51" applyFont="1" applyAlignment="1"/>
    <xf numFmtId="0" fontId="39" fillId="0" borderId="0" xfId="51" applyAlignment="1"/>
    <xf numFmtId="0" fontId="41" fillId="0" borderId="0" xfId="51" applyFont="1" applyAlignment="1">
      <alignment horizontal="right"/>
    </xf>
    <xf numFmtId="177" fontId="39" fillId="0" borderId="0" xfId="51" quotePrefix="1" applyNumberFormat="1" applyAlignment="1">
      <alignment horizontal="center"/>
    </xf>
    <xf numFmtId="0" fontId="42" fillId="0" borderId="0" xfId="51" applyFont="1" applyAlignment="1"/>
    <xf numFmtId="0" fontId="10" fillId="0" borderId="0" xfId="51" applyFont="1" applyAlignment="1"/>
    <xf numFmtId="14" fontId="41" fillId="0" borderId="0" xfId="51" applyNumberFormat="1" applyFont="1" applyAlignment="1">
      <alignment horizontal="left"/>
    </xf>
    <xf numFmtId="0" fontId="27" fillId="0" borderId="0" xfId="51" applyFont="1" applyAlignment="1"/>
    <xf numFmtId="0" fontId="43" fillId="63" borderId="0" xfId="51" applyFont="1" applyFill="1" applyAlignment="1"/>
    <xf numFmtId="2" fontId="39" fillId="0" borderId="0" xfId="51" applyNumberFormat="1" applyAlignment="1"/>
    <xf numFmtId="0" fontId="44" fillId="0" borderId="0" xfId="51" applyFont="1" applyAlignment="1"/>
    <xf numFmtId="2" fontId="44" fillId="0" borderId="0" xfId="51" applyNumberFormat="1" applyFont="1" applyAlignment="1"/>
    <xf numFmtId="165" fontId="44" fillId="0" borderId="0" xfId="51" applyNumberFormat="1" applyFont="1" applyAlignment="1"/>
    <xf numFmtId="0" fontId="27" fillId="0" borderId="0" xfId="51" applyFont="1" applyAlignment="1">
      <alignment horizontal="center"/>
    </xf>
    <xf numFmtId="165" fontId="39" fillId="0" borderId="0" xfId="51" applyNumberFormat="1" applyAlignment="1">
      <alignment horizontal="center"/>
    </xf>
    <xf numFmtId="165" fontId="27" fillId="0" borderId="0" xfId="51" applyNumberFormat="1" applyFont="1" applyAlignment="1">
      <alignment horizontal="center"/>
    </xf>
    <xf numFmtId="0" fontId="39" fillId="0" borderId="0" xfId="51" applyAlignment="1">
      <alignment horizontal="center"/>
    </xf>
    <xf numFmtId="0" fontId="45" fillId="53" borderId="0" xfId="51" applyFont="1" applyFill="1" applyAlignment="1">
      <alignment horizontal="center" vertical="center"/>
    </xf>
    <xf numFmtId="0" fontId="45" fillId="0" borderId="74" xfId="51" applyFont="1" applyBorder="1" applyAlignment="1"/>
    <xf numFmtId="0" fontId="39" fillId="53" borderId="74" xfId="51" applyFill="1" applyBorder="1" applyAlignment="1">
      <alignment horizontal="center"/>
    </xf>
    <xf numFmtId="2" fontId="42" fillId="0" borderId="0" xfId="51" applyNumberFormat="1" applyFont="1" applyAlignment="1"/>
    <xf numFmtId="0" fontId="45" fillId="0" borderId="75" xfId="51" applyFont="1" applyBorder="1" applyAlignment="1"/>
    <xf numFmtId="0" fontId="39" fillId="53" borderId="75" xfId="51" applyFill="1" applyBorder="1" applyAlignment="1">
      <alignment horizontal="center"/>
    </xf>
    <xf numFmtId="0" fontId="27" fillId="9" borderId="0" xfId="51" applyFont="1" applyFill="1" applyAlignment="1"/>
    <xf numFmtId="2" fontId="44" fillId="9" borderId="0" xfId="51" applyNumberFormat="1" applyFont="1" applyFill="1" applyAlignment="1"/>
    <xf numFmtId="2" fontId="42" fillId="9" borderId="0" xfId="51" applyNumberFormat="1" applyFont="1" applyFill="1" applyAlignment="1"/>
    <xf numFmtId="166" fontId="45" fillId="0" borderId="75" xfId="51" applyNumberFormat="1" applyFont="1" applyBorder="1" applyAlignment="1"/>
    <xf numFmtId="167" fontId="39" fillId="53" borderId="75" xfId="51" applyNumberFormat="1" applyFill="1" applyBorder="1" applyAlignment="1">
      <alignment horizontal="center"/>
    </xf>
    <xf numFmtId="166" fontId="45" fillId="0" borderId="76" xfId="51" applyNumberFormat="1" applyFont="1" applyBorder="1" applyAlignment="1"/>
    <xf numFmtId="167" fontId="39" fillId="53" borderId="76" xfId="51" applyNumberFormat="1" applyFill="1" applyBorder="1" applyAlignment="1">
      <alignment horizontal="center"/>
    </xf>
    <xf numFmtId="2" fontId="43" fillId="63" borderId="0" xfId="51" applyNumberFormat="1" applyFont="1" applyFill="1" applyAlignment="1"/>
    <xf numFmtId="0" fontId="46" fillId="0" borderId="0" xfId="51" applyFont="1" applyAlignment="1"/>
    <xf numFmtId="0" fontId="0" fillId="0" borderId="0" xfId="0" applyAlignment="1">
      <alignment horizontal="center"/>
    </xf>
    <xf numFmtId="0" fontId="0" fillId="0" borderId="15" xfId="0" applyBorder="1" applyAlignment="1">
      <alignment horizontal="center"/>
    </xf>
    <xf numFmtId="0" fontId="40" fillId="0" borderId="2" xfId="0" applyFont="1" applyBorder="1" applyAlignment="1">
      <alignment horizontal="center" vertical="center"/>
    </xf>
    <xf numFmtId="0" fontId="40" fillId="0" borderId="2" xfId="0" applyFont="1" applyBorder="1" applyAlignment="1">
      <alignment horizontal="left" vertical="center" wrapText="1"/>
    </xf>
    <xf numFmtId="1" fontId="40" fillId="44" borderId="2" xfId="0" applyNumberFormat="1" applyFont="1" applyFill="1" applyBorder="1" applyAlignment="1">
      <alignment horizontal="center"/>
    </xf>
    <xf numFmtId="2" fontId="40" fillId="12" borderId="2" xfId="0" applyNumberFormat="1" applyFont="1" applyFill="1" applyBorder="1" applyAlignment="1">
      <alignment horizontal="center" vertical="center"/>
    </xf>
    <xf numFmtId="164" fontId="40" fillId="0" borderId="2" xfId="0" applyNumberFormat="1" applyFont="1" applyFill="1" applyBorder="1" applyAlignment="1">
      <alignment horizontal="center" vertical="center"/>
    </xf>
    <xf numFmtId="164" fontId="40" fillId="45" borderId="2" xfId="0" applyNumberFormat="1" applyFont="1" applyFill="1" applyBorder="1" applyAlignment="1">
      <alignment horizontal="center" vertical="center"/>
    </xf>
    <xf numFmtId="164" fontId="40" fillId="43" borderId="2" xfId="0" applyNumberFormat="1" applyFont="1" applyFill="1" applyBorder="1" applyAlignment="1">
      <alignment horizontal="center" vertical="center"/>
    </xf>
    <xf numFmtId="0" fontId="0" fillId="0" borderId="15" xfId="0" applyBorder="1" applyAlignment="1">
      <alignment horizontal="center" wrapText="1"/>
    </xf>
    <xf numFmtId="14" fontId="40" fillId="0" borderId="2" xfId="0" applyNumberFormat="1"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40" fillId="0" borderId="53" xfId="0" applyFont="1" applyBorder="1" applyAlignment="1">
      <alignment horizontal="center" vertical="center" wrapText="1"/>
    </xf>
    <xf numFmtId="0" fontId="14" fillId="0" borderId="0" xfId="0" applyFont="1" applyBorder="1"/>
    <xf numFmtId="0" fontId="14" fillId="0" borderId="13" xfId="0" applyFont="1" applyBorder="1"/>
    <xf numFmtId="0" fontId="40" fillId="0" borderId="0" xfId="0" applyFont="1" applyBorder="1" applyAlignment="1">
      <alignment horizontal="center" vertical="center"/>
    </xf>
    <xf numFmtId="0" fontId="40" fillId="0" borderId="0" xfId="0" applyFont="1" applyFill="1" applyBorder="1" applyAlignment="1">
      <alignment horizontal="center" vertical="center"/>
    </xf>
    <xf numFmtId="0" fontId="40" fillId="0" borderId="2" xfId="0" applyFont="1" applyBorder="1" applyAlignment="1">
      <alignment horizontal="center" vertical="center" wrapText="1"/>
    </xf>
    <xf numFmtId="0" fontId="14" fillId="0" borderId="0" xfId="0" applyFont="1" applyFill="1" applyBorder="1"/>
    <xf numFmtId="0" fontId="47" fillId="4" borderId="78" xfId="0" applyFont="1" applyFill="1" applyBorder="1" applyAlignment="1">
      <alignment horizontal="left" vertical="top"/>
    </xf>
    <xf numFmtId="0" fontId="48" fillId="4" borderId="5" xfId="0" applyFont="1" applyFill="1" applyBorder="1" applyAlignment="1">
      <alignment horizontal="center" vertical="top"/>
    </xf>
    <xf numFmtId="0" fontId="47" fillId="4" borderId="5" xfId="0" applyFont="1" applyFill="1" applyBorder="1" applyAlignment="1">
      <alignment horizontal="center" vertical="center" wrapText="1"/>
    </xf>
    <xf numFmtId="0" fontId="48" fillId="4" borderId="5" xfId="0" applyFont="1" applyFill="1" applyBorder="1" applyAlignment="1">
      <alignment horizontal="left" vertical="top"/>
    </xf>
    <xf numFmtId="0" fontId="48" fillId="4" borderId="78" xfId="0" applyFont="1" applyFill="1" applyBorder="1" applyAlignment="1">
      <alignment horizontal="center" vertical="top"/>
    </xf>
    <xf numFmtId="0" fontId="48" fillId="4" borderId="52" xfId="0" applyFont="1" applyFill="1" applyBorder="1" applyAlignment="1">
      <alignment horizontal="center" vertical="top"/>
    </xf>
    <xf numFmtId="164" fontId="48" fillId="4" borderId="5" xfId="0" applyNumberFormat="1" applyFont="1" applyFill="1" applyBorder="1" applyAlignment="1">
      <alignment horizontal="center" vertical="top"/>
    </xf>
    <xf numFmtId="0" fontId="32" fillId="0" borderId="0" xfId="0" applyFont="1" applyBorder="1" applyAlignment="1"/>
    <xf numFmtId="0" fontId="48" fillId="4" borderId="79" xfId="0" applyFont="1" applyFill="1" applyBorder="1" applyAlignment="1">
      <alignment horizontal="center" vertical="top"/>
    </xf>
    <xf numFmtId="0" fontId="48" fillId="4" borderId="56" xfId="0" applyFont="1" applyFill="1" applyBorder="1" applyAlignment="1">
      <alignment horizontal="center" vertical="top"/>
    </xf>
    <xf numFmtId="0" fontId="48" fillId="4" borderId="57" xfId="0" applyFont="1" applyFill="1" applyBorder="1" applyAlignment="1">
      <alignment horizontal="center" vertical="top"/>
    </xf>
    <xf numFmtId="0" fontId="48" fillId="4" borderId="5" xfId="0" applyFont="1" applyFill="1" applyBorder="1" applyAlignment="1">
      <alignment horizontal="center" vertical="top" wrapText="1"/>
    </xf>
    <xf numFmtId="0" fontId="38" fillId="0" borderId="0" xfId="0" applyNumberFormat="1" applyFont="1" applyBorder="1" applyAlignment="1">
      <alignment horizontal="center" vertical="center" wrapText="1"/>
    </xf>
    <xf numFmtId="0" fontId="40" fillId="0" borderId="53" xfId="0" applyFont="1" applyBorder="1" applyAlignment="1">
      <alignment horizontal="center" vertical="center"/>
    </xf>
    <xf numFmtId="164" fontId="40" fillId="43" borderId="54" xfId="0" applyNumberFormat="1" applyFont="1" applyFill="1" applyBorder="1" applyAlignment="1">
      <alignment horizontal="center" vertical="center"/>
    </xf>
    <xf numFmtId="164" fontId="48" fillId="4" borderId="52" xfId="0" applyNumberFormat="1" applyFont="1" applyFill="1" applyBorder="1" applyAlignment="1">
      <alignment horizontal="center" vertical="top"/>
    </xf>
    <xf numFmtId="0" fontId="40" fillId="0" borderId="12" xfId="0" applyFont="1" applyBorder="1" applyAlignment="1">
      <alignment horizontal="center" vertical="center"/>
    </xf>
    <xf numFmtId="0" fontId="47" fillId="4" borderId="79" xfId="0" applyFont="1" applyFill="1" applyBorder="1" applyAlignment="1">
      <alignment horizontal="left" vertical="top"/>
    </xf>
    <xf numFmtId="0" fontId="48" fillId="4" borderId="56" xfId="0" applyFont="1" applyFill="1" applyBorder="1" applyAlignment="1">
      <alignment horizontal="center" vertical="top" wrapText="1"/>
    </xf>
    <xf numFmtId="0" fontId="47" fillId="4" borderId="56" xfId="0" applyFont="1" applyFill="1" applyBorder="1" applyAlignment="1">
      <alignment horizontal="center" vertical="center" wrapText="1"/>
    </xf>
    <xf numFmtId="0" fontId="48" fillId="4" borderId="56" xfId="0" applyFont="1" applyFill="1" applyBorder="1" applyAlignment="1">
      <alignment horizontal="left" vertical="top"/>
    </xf>
    <xf numFmtId="0" fontId="32" fillId="0" borderId="40" xfId="0" applyFont="1" applyBorder="1" applyAlignment="1">
      <alignment horizontal="center"/>
    </xf>
    <xf numFmtId="0" fontId="47" fillId="4" borderId="71" xfId="0" applyFont="1" applyFill="1" applyBorder="1" applyAlignment="1">
      <alignment horizontal="left" vertical="top"/>
    </xf>
    <xf numFmtId="0" fontId="48" fillId="4" borderId="25" xfId="0" applyFont="1" applyFill="1" applyBorder="1" applyAlignment="1">
      <alignment horizontal="center" vertical="top" wrapText="1"/>
    </xf>
    <xf numFmtId="0" fontId="48" fillId="4" borderId="25" xfId="0" applyFont="1" applyFill="1" applyBorder="1" applyAlignment="1">
      <alignment horizontal="center" vertical="top"/>
    </xf>
    <xf numFmtId="0" fontId="47" fillId="4" borderId="25" xfId="0" applyFont="1" applyFill="1" applyBorder="1" applyAlignment="1">
      <alignment horizontal="center" vertical="center" wrapText="1"/>
    </xf>
    <xf numFmtId="0" fontId="48" fillId="4" borderId="25" xfId="0" applyFont="1" applyFill="1" applyBorder="1" applyAlignment="1">
      <alignment horizontal="left" vertical="top"/>
    </xf>
    <xf numFmtId="0" fontId="48" fillId="4" borderId="55" xfId="0" applyFont="1" applyFill="1" applyBorder="1" applyAlignment="1">
      <alignment horizontal="center" vertical="top"/>
    </xf>
    <xf numFmtId="0" fontId="48" fillId="4" borderId="71" xfId="0" applyFont="1" applyFill="1" applyBorder="1" applyAlignment="1">
      <alignment horizontal="center" vertical="top"/>
    </xf>
    <xf numFmtId="0" fontId="49" fillId="0" borderId="0" xfId="0" applyFont="1" applyAlignment="1">
      <alignment horizontal="right" wrapText="1"/>
    </xf>
    <xf numFmtId="0" fontId="50" fillId="0" borderId="0" xfId="0" applyFont="1" applyAlignment="1">
      <alignment horizontal="center"/>
    </xf>
    <xf numFmtId="0" fontId="49" fillId="0" borderId="0" xfId="0" applyFont="1" applyAlignment="1">
      <alignment horizontal="left"/>
    </xf>
    <xf numFmtId="0" fontId="50" fillId="0" borderId="0" xfId="0" applyFont="1" applyAlignment="1"/>
    <xf numFmtId="0" fontId="50" fillId="0" borderId="0" xfId="0" applyFont="1" applyAlignment="1">
      <alignment horizontal="left"/>
    </xf>
    <xf numFmtId="0" fontId="50" fillId="0" borderId="0" xfId="0" applyNumberFormat="1" applyFont="1" applyBorder="1" applyAlignment="1">
      <alignment horizontal="center"/>
    </xf>
    <xf numFmtId="0" fontId="50" fillId="0" borderId="0" xfId="0" applyFont="1" applyAlignment="1">
      <alignment wrapText="1"/>
    </xf>
    <xf numFmtId="0" fontId="49" fillId="0" borderId="0" xfId="0" applyFont="1" applyAlignment="1">
      <alignment horizontal="center" wrapText="1"/>
    </xf>
    <xf numFmtId="0" fontId="50" fillId="0" borderId="0" xfId="0" applyFont="1" applyFill="1" applyAlignment="1"/>
    <xf numFmtId="164" fontId="50" fillId="0" borderId="0" xfId="0" applyNumberFormat="1" applyFont="1" applyAlignment="1"/>
    <xf numFmtId="0" fontId="6" fillId="0" borderId="40" xfId="0" applyNumberFormat="1" applyFont="1" applyFill="1" applyBorder="1" applyAlignment="1">
      <alignment horizontal="center" vertical="center" wrapText="1"/>
    </xf>
    <xf numFmtId="0" fontId="6" fillId="0" borderId="39" xfId="0" applyNumberFormat="1" applyFont="1" applyFill="1" applyBorder="1" applyAlignment="1">
      <alignment horizontal="center" vertical="center" wrapText="1"/>
    </xf>
    <xf numFmtId="0" fontId="6" fillId="0" borderId="39" xfId="0" applyNumberFormat="1" applyFont="1" applyBorder="1" applyAlignment="1">
      <alignment horizontal="center" vertical="center" wrapText="1"/>
    </xf>
    <xf numFmtId="0" fontId="6" fillId="44" borderId="39" xfId="0" applyNumberFormat="1" applyFont="1" applyFill="1" applyBorder="1" applyAlignment="1">
      <alignment horizontal="center" vertical="center" wrapText="1"/>
    </xf>
    <xf numFmtId="0" fontId="6" fillId="12" borderId="39" xfId="0" applyNumberFormat="1" applyFont="1" applyFill="1" applyBorder="1" applyAlignment="1">
      <alignment horizontal="center" vertical="center" wrapText="1"/>
    </xf>
    <xf numFmtId="0" fontId="6" fillId="69" borderId="39" xfId="0" applyNumberFormat="1" applyFont="1" applyFill="1" applyBorder="1" applyAlignment="1">
      <alignment horizontal="center" vertical="center" wrapText="1"/>
    </xf>
    <xf numFmtId="0" fontId="6" fillId="45" borderId="39" xfId="0" applyNumberFormat="1" applyFont="1" applyFill="1" applyBorder="1" applyAlignment="1">
      <alignment horizontal="center" vertical="center" wrapText="1"/>
    </xf>
    <xf numFmtId="0" fontId="6" fillId="43" borderId="39" xfId="0" applyNumberFormat="1" applyFont="1" applyFill="1" applyBorder="1" applyAlignment="1">
      <alignment horizontal="center" vertical="center" wrapText="1"/>
    </xf>
    <xf numFmtId="0" fontId="6" fillId="43" borderId="38" xfId="0" applyNumberFormat="1" applyFont="1" applyFill="1" applyBorder="1" applyAlignment="1">
      <alignment horizontal="center" vertical="center" wrapText="1"/>
    </xf>
    <xf numFmtId="0" fontId="13" fillId="0" borderId="40" xfId="0" applyNumberFormat="1" applyFont="1" applyBorder="1" applyAlignment="1">
      <alignment horizontal="center" vertical="center" wrapText="1"/>
    </xf>
    <xf numFmtId="0" fontId="13" fillId="0" borderId="37" xfId="0" applyNumberFormat="1" applyFont="1" applyBorder="1" applyAlignment="1">
      <alignment horizontal="center" vertical="center" wrapText="1"/>
    </xf>
    <xf numFmtId="0" fontId="13" fillId="0" borderId="64" xfId="0" applyNumberFormat="1" applyFont="1" applyBorder="1" applyAlignment="1">
      <alignment horizontal="center" vertical="center" wrapText="1"/>
    </xf>
    <xf numFmtId="0" fontId="0" fillId="0" borderId="0" xfId="0"/>
    <xf numFmtId="0" fontId="52" fillId="0" borderId="0" xfId="0" applyFont="1" applyAlignment="1">
      <alignment horizontal="center"/>
    </xf>
    <xf numFmtId="0" fontId="53" fillId="0" borderId="0" xfId="0" applyFont="1" applyAlignment="1">
      <alignment horizontal="center"/>
    </xf>
    <xf numFmtId="0" fontId="10" fillId="0" borderId="9" xfId="0" applyFont="1" applyBorder="1" applyAlignment="1">
      <alignment horizontal="center"/>
    </xf>
    <xf numFmtId="0" fontId="10" fillId="0" borderId="11" xfId="0" applyFont="1" applyBorder="1" applyAlignment="1">
      <alignment horizontal="center"/>
    </xf>
    <xf numFmtId="0" fontId="14" fillId="4" borderId="36" xfId="0" applyFont="1" applyFill="1" applyBorder="1" applyAlignment="1">
      <alignment horizontal="center" vertical="center" wrapText="1"/>
    </xf>
    <xf numFmtId="0" fontId="14" fillId="4" borderId="37" xfId="0" applyFont="1" applyFill="1" applyBorder="1" applyAlignment="1">
      <alignment horizontal="center" vertical="center" wrapText="1"/>
    </xf>
    <xf numFmtId="0" fontId="14" fillId="4" borderId="64" xfId="0" applyFont="1" applyFill="1" applyBorder="1" applyAlignment="1">
      <alignment horizontal="center" vertical="center" wrapText="1"/>
    </xf>
    <xf numFmtId="0" fontId="0" fillId="0" borderId="12" xfId="0" applyNumberFormat="1" applyBorder="1" applyAlignment="1">
      <alignment horizontal="center"/>
    </xf>
    <xf numFmtId="0" fontId="0" fillId="0" borderId="0" xfId="0" applyNumberFormat="1" applyAlignment="1">
      <alignment horizontal="center"/>
    </xf>
    <xf numFmtId="0" fontId="27" fillId="52" borderId="15" xfId="43" applyFill="1" applyBorder="1" applyAlignment="1">
      <alignment horizontal="center"/>
    </xf>
    <xf numFmtId="0" fontId="27" fillId="52" borderId="15" xfId="43" applyFill="1" applyBorder="1" applyAlignment="1">
      <alignment horizontal="center" vertical="center"/>
    </xf>
    <xf numFmtId="0" fontId="27" fillId="52" borderId="0" xfId="43" applyFill="1" applyBorder="1" applyAlignment="1">
      <alignment horizontal="center" vertical="center"/>
    </xf>
    <xf numFmtId="0" fontId="10" fillId="43" borderId="36" xfId="0" applyFont="1" applyFill="1" applyBorder="1" applyAlignment="1">
      <alignment horizontal="center"/>
    </xf>
    <xf numFmtId="0" fontId="10" fillId="43" borderId="37" xfId="0" applyFont="1" applyFill="1" applyBorder="1" applyAlignment="1">
      <alignment horizontal="center"/>
    </xf>
    <xf numFmtId="164" fontId="10" fillId="45" borderId="36" xfId="0" applyNumberFormat="1" applyFont="1" applyFill="1" applyBorder="1" applyAlignment="1">
      <alignment horizontal="center"/>
    </xf>
    <xf numFmtId="164" fontId="10" fillId="45" borderId="37" xfId="0" applyNumberFormat="1" applyFont="1" applyFill="1" applyBorder="1" applyAlignment="1">
      <alignment horizontal="center"/>
    </xf>
    <xf numFmtId="164" fontId="10" fillId="45" borderId="64" xfId="0" applyNumberFormat="1" applyFont="1" applyFill="1" applyBorder="1" applyAlignment="1">
      <alignment horizontal="center"/>
    </xf>
    <xf numFmtId="0" fontId="10" fillId="0" borderId="36" xfId="0" applyFont="1" applyBorder="1" applyAlignment="1">
      <alignment horizontal="center"/>
    </xf>
    <xf numFmtId="0" fontId="0" fillId="0" borderId="37" xfId="0" applyBorder="1" applyAlignment="1">
      <alignment horizontal="center"/>
    </xf>
    <xf numFmtId="0" fontId="0" fillId="0" borderId="64" xfId="0" applyBorder="1" applyAlignment="1">
      <alignment horizontal="center"/>
    </xf>
    <xf numFmtId="0" fontId="50" fillId="0" borderId="0" xfId="0" applyFont="1" applyAlignment="1">
      <alignment horizontal="center" wrapText="1"/>
    </xf>
    <xf numFmtId="0" fontId="35" fillId="0" borderId="37" xfId="0" applyFont="1" applyBorder="1" applyAlignment="1">
      <alignment horizontal="center"/>
    </xf>
    <xf numFmtId="0" fontId="32" fillId="0" borderId="37" xfId="0" applyFont="1" applyBorder="1" applyAlignment="1">
      <alignment horizontal="center"/>
    </xf>
    <xf numFmtId="0" fontId="32" fillId="0" borderId="64" xfId="0" applyFont="1" applyBorder="1" applyAlignment="1">
      <alignment horizontal="center"/>
    </xf>
    <xf numFmtId="164" fontId="35" fillId="45" borderId="36" xfId="0" applyNumberFormat="1" applyFont="1" applyFill="1" applyBorder="1" applyAlignment="1">
      <alignment horizontal="center"/>
    </xf>
    <xf numFmtId="164" fontId="35" fillId="45" borderId="37" xfId="0" applyNumberFormat="1" applyFont="1" applyFill="1" applyBorder="1" applyAlignment="1">
      <alignment horizontal="center"/>
    </xf>
    <xf numFmtId="164" fontId="35" fillId="45" borderId="64" xfId="0" applyNumberFormat="1" applyFont="1" applyFill="1" applyBorder="1" applyAlignment="1">
      <alignment horizontal="center"/>
    </xf>
    <xf numFmtId="0" fontId="45" fillId="0" borderId="9" xfId="51" applyFont="1" applyBorder="1" applyAlignment="1">
      <alignment horizontal="center"/>
    </xf>
    <xf numFmtId="0" fontId="45" fillId="0" borderId="11" xfId="51" applyFont="1" applyBorder="1" applyAlignment="1">
      <alignment horizontal="center"/>
    </xf>
    <xf numFmtId="0" fontId="45" fillId="0" borderId="12" xfId="51" applyFont="1" applyBorder="1" applyAlignment="1">
      <alignment horizontal="center"/>
    </xf>
    <xf numFmtId="0" fontId="45" fillId="0" borderId="13" xfId="51" applyFont="1" applyBorder="1" applyAlignment="1">
      <alignment horizontal="center"/>
    </xf>
    <xf numFmtId="166" fontId="45" fillId="0" borderId="12" xfId="51" applyNumberFormat="1" applyFont="1" applyBorder="1" applyAlignment="1">
      <alignment horizontal="center"/>
    </xf>
    <xf numFmtId="166" fontId="45" fillId="0" borderId="13" xfId="51" applyNumberFormat="1" applyFont="1" applyBorder="1" applyAlignment="1">
      <alignment horizontal="center"/>
    </xf>
    <xf numFmtId="166" fontId="45" fillId="0" borderId="14" xfId="51" applyNumberFormat="1" applyFont="1" applyBorder="1" applyAlignment="1">
      <alignment horizontal="center"/>
    </xf>
    <xf numFmtId="166" fontId="45" fillId="0" borderId="16" xfId="51" applyNumberFormat="1" applyFont="1" applyBorder="1" applyAlignment="1">
      <alignment horizontal="center"/>
    </xf>
    <xf numFmtId="0" fontId="46" fillId="0" borderId="0" xfId="51" applyFont="1" applyAlignment="1">
      <alignment horizontal="left" wrapText="1"/>
    </xf>
    <xf numFmtId="0" fontId="0" fillId="0" borderId="0" xfId="0" applyAlignment="1">
      <alignment horizontal="center"/>
    </xf>
    <xf numFmtId="0" fontId="1" fillId="4" borderId="25" xfId="0" applyFont="1" applyFill="1" applyBorder="1" applyAlignment="1">
      <alignment horizontal="left" vertical="top" wrapText="1"/>
    </xf>
    <xf numFmtId="0" fontId="0" fillId="0" borderId="56" xfId="0" applyBorder="1" applyAlignment="1">
      <alignment horizontal="right"/>
    </xf>
    <xf numFmtId="0" fontId="0" fillId="0" borderId="69" xfId="0" applyBorder="1" applyAlignment="1">
      <alignment horizontal="center"/>
    </xf>
    <xf numFmtId="0" fontId="0" fillId="0" borderId="72" xfId="0" applyBorder="1" applyAlignment="1">
      <alignment horizontal="center"/>
    </xf>
    <xf numFmtId="0" fontId="0" fillId="0" borderId="59" xfId="0" applyBorder="1" applyAlignment="1">
      <alignment horizontal="center"/>
    </xf>
    <xf numFmtId="0" fontId="30" fillId="50" borderId="0" xfId="0" applyFont="1" applyFill="1" applyAlignment="1">
      <alignment horizontal="center" vertical="top" textRotation="90" wrapText="1"/>
    </xf>
    <xf numFmtId="0" fontId="35" fillId="0" borderId="15" xfId="0" applyFont="1" applyBorder="1" applyAlignment="1">
      <alignment horizontal="center"/>
    </xf>
    <xf numFmtId="0" fontId="10" fillId="0" borderId="58" xfId="0" applyFont="1" applyBorder="1" applyAlignment="1">
      <alignment horizontal="center"/>
    </xf>
    <xf numFmtId="0" fontId="10" fillId="0" borderId="59" xfId="0" applyFont="1" applyBorder="1" applyAlignment="1">
      <alignment horizontal="center"/>
    </xf>
    <xf numFmtId="0" fontId="10" fillId="0" borderId="46" xfId="0" applyFont="1" applyBorder="1" applyAlignment="1">
      <alignment horizontal="center"/>
    </xf>
    <xf numFmtId="0" fontId="10" fillId="0" borderId="63" xfId="0" applyFont="1" applyBorder="1" applyAlignment="1">
      <alignment horizontal="center"/>
    </xf>
    <xf numFmtId="0" fontId="0" fillId="4" borderId="41" xfId="0" applyFill="1" applyBorder="1" applyAlignment="1">
      <alignment horizontal="center" vertical="top" wrapText="1"/>
    </xf>
    <xf numFmtId="0" fontId="0" fillId="4" borderId="67" xfId="0" applyFill="1" applyBorder="1" applyAlignment="1">
      <alignment horizontal="center" vertical="top" wrapText="1"/>
    </xf>
    <xf numFmtId="0" fontId="0" fillId="4" borderId="64" xfId="0" applyFill="1" applyBorder="1" applyAlignment="1">
      <alignment horizontal="center" vertical="top" wrapText="1"/>
    </xf>
    <xf numFmtId="0" fontId="0" fillId="4" borderId="39" xfId="0" applyFill="1" applyBorder="1" applyAlignment="1">
      <alignment horizontal="center"/>
    </xf>
    <xf numFmtId="0" fontId="0" fillId="4" borderId="38" xfId="0" applyFill="1" applyBorder="1" applyAlignment="1">
      <alignment horizontal="center"/>
    </xf>
    <xf numFmtId="0" fontId="0" fillId="4" borderId="33" xfId="0" applyFill="1" applyBorder="1" applyAlignment="1">
      <alignment horizontal="center" vertical="center" wrapText="1"/>
    </xf>
    <xf numFmtId="0" fontId="0" fillId="4" borderId="1" xfId="0" applyFill="1" applyBorder="1" applyAlignment="1">
      <alignment horizontal="center" vertical="center" wrapText="1"/>
    </xf>
    <xf numFmtId="0" fontId="0" fillId="4" borderId="34" xfId="0" applyFill="1" applyBorder="1" applyAlignment="1">
      <alignment horizontal="center" vertical="center" wrapText="1"/>
    </xf>
    <xf numFmtId="0" fontId="0" fillId="4" borderId="31" xfId="0" applyFill="1" applyBorder="1" applyAlignment="1">
      <alignment horizontal="center" vertical="center" wrapText="1"/>
    </xf>
    <xf numFmtId="0" fontId="0" fillId="4" borderId="6" xfId="0" applyFill="1" applyBorder="1" applyAlignment="1">
      <alignment horizontal="center" vertical="center" wrapText="1"/>
    </xf>
    <xf numFmtId="0" fontId="0" fillId="0" borderId="30" xfId="0" applyBorder="1" applyAlignment="1">
      <alignment horizontal="center" vertical="center" wrapText="1"/>
    </xf>
    <xf numFmtId="0" fontId="0" fillId="0" borderId="28" xfId="0" applyBorder="1" applyAlignment="1">
      <alignment horizontal="center" vertical="center" wrapText="1"/>
    </xf>
    <xf numFmtId="0" fontId="0" fillId="59" borderId="0" xfId="0" applyFill="1" applyAlignment="1">
      <alignment horizontal="center" vertical="center" textRotation="90" wrapText="1"/>
    </xf>
    <xf numFmtId="0" fontId="11" fillId="59" borderId="0" xfId="0" applyFont="1"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0" xfId="0" applyAlignment="1">
      <alignment horizontal="center" textRotation="90"/>
    </xf>
    <xf numFmtId="0" fontId="0" fillId="56" borderId="0" xfId="0" applyFill="1" applyAlignment="1">
      <alignment horizontal="center" vertical="center"/>
    </xf>
    <xf numFmtId="0" fontId="0" fillId="4" borderId="0" xfId="0" applyFill="1" applyAlignment="1">
      <alignment horizontal="center"/>
    </xf>
  </cellXfs>
  <cellStyles count="59">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53" xr:uid="{39EC1689-B459-44E0-BF96-E5EAA01733DF}"/>
    <cellStyle name="60% - Accent2" xfId="26" builtinId="36" customBuiltin="1"/>
    <cellStyle name="60% - Accent2 2" xfId="54" xr:uid="{60A7DA97-1DA2-4533-918A-6DB474EDAA9A}"/>
    <cellStyle name="60% - Accent3" xfId="30" builtinId="40" customBuiltin="1"/>
    <cellStyle name="60% - Accent3 2" xfId="55" xr:uid="{0A54E94B-54F7-4367-97D7-3B474618B140}"/>
    <cellStyle name="60% - Accent4" xfId="34" builtinId="44" customBuiltin="1"/>
    <cellStyle name="60% - Accent4 2" xfId="56" xr:uid="{AFEA2679-4D42-46F6-8BDC-7BCDAB14F38E}"/>
    <cellStyle name="60% - Accent5" xfId="38" builtinId="48" customBuiltin="1"/>
    <cellStyle name="60% - Accent5 2" xfId="57" xr:uid="{495E07CE-9F5A-45B0-9D10-62D8AA6C7DBA}"/>
    <cellStyle name="60% - Accent6" xfId="42" builtinId="52" customBuiltin="1"/>
    <cellStyle name="60% - Accent6 2" xfId="58" xr:uid="{FE404A0E-7877-4B46-B9A2-46E37CE94BFD}"/>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5" builtinId="27" customBuiltin="1"/>
    <cellStyle name="Calculation" xfId="3" builtinId="22" customBuiltin="1"/>
    <cellStyle name="Check Cell" xfId="14" builtinId="23" customBuiltin="1"/>
    <cellStyle name="Comma 2" xfId="49" xr:uid="{00000000-0005-0000-0000-00001B000000}"/>
    <cellStyle name="Explanatory Text" xfId="17" builtinId="53" customBuiltin="1"/>
    <cellStyle name="Good" xfId="4"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7" builtinId="8" hidden="1"/>
    <cellStyle name="Hyperlink" xfId="48" builtinId="8"/>
    <cellStyle name="Input" xfId="1" builtinId="20" customBuiltin="1"/>
    <cellStyle name="Linked Cell" xfId="13" builtinId="24" customBuiltin="1"/>
    <cellStyle name="Neutral" xfId="6" builtinId="28" customBuiltin="1"/>
    <cellStyle name="Neutral 2" xfId="52" xr:uid="{01F96BFD-D2FB-4B1A-A32B-031BF129AC94}"/>
    <cellStyle name="Normal" xfId="0" builtinId="0"/>
    <cellStyle name="Normal 2" xfId="43" xr:uid="{00000000-0005-0000-0000-000028000000}"/>
    <cellStyle name="Normal 3" xfId="46" xr:uid="{00000000-0005-0000-0000-000029000000}"/>
    <cellStyle name="Normal 4" xfId="50" xr:uid="{00000000-0005-0000-0000-00002A000000}"/>
    <cellStyle name="Normal 5" xfId="51" xr:uid="{9822C3DA-A0D7-4A70-8712-31EE1CB49C37}"/>
    <cellStyle name="Note" xfId="16" builtinId="10" customBuiltin="1"/>
    <cellStyle name="Output" xfId="2" builtinId="21" customBuiltin="1"/>
    <cellStyle name="Percent" xfId="45" builtinId="5"/>
    <cellStyle name="Percent 2" xfId="44" xr:uid="{00000000-0005-0000-0000-00002E000000}"/>
    <cellStyle name="Title" xfId="8" builtinId="15" customBuiltin="1"/>
    <cellStyle name="Title 2" xfId="47" xr:uid="{00000000-0005-0000-0000-000030000000}"/>
    <cellStyle name="Total" xfId="18" builtinId="25" customBuiltin="1"/>
    <cellStyle name="Warning Text" xfId="15" builtinId="11" customBuiltin="1"/>
  </cellStyles>
  <dxfs count="0"/>
  <tableStyles count="0" defaultTableStyle="TableStyleMedium9" defaultPivotStyle="PivotStyleLight16"/>
  <colors>
    <mruColors>
      <color rgb="FFF11A09"/>
      <color rgb="FFC4BD97"/>
      <color rgb="FF0996FF"/>
      <color rgb="FFCCC0DA"/>
      <color rgb="FFE6B8B7"/>
      <color rgb="FF3AC441"/>
      <color rgb="FFF39307"/>
      <color rgb="FF027418"/>
      <color rgb="FF04CC2A"/>
      <color rgb="FF3BE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Road</a:t>
            </a:r>
            <a:r>
              <a:rPr lang="en-US" baseline="0"/>
              <a:t> L</a:t>
            </a:r>
            <a:r>
              <a:rPr lang="en-US"/>
              <a:t>oad</a:t>
            </a:r>
            <a:r>
              <a:rPr lang="en-US" baseline="0"/>
              <a:t> Power vs. Vehicle Speed</a:t>
            </a:r>
            <a:endParaRPr lang="en-US"/>
          </a:p>
        </c:rich>
      </c:tx>
      <c:overlay val="0"/>
    </c:title>
    <c:autoTitleDeleted val="0"/>
    <c:plotArea>
      <c:layout>
        <c:manualLayout>
          <c:layoutTarget val="inner"/>
          <c:xMode val="edge"/>
          <c:yMode val="edge"/>
          <c:x val="9.6498699788719916E-2"/>
          <c:y val="0.11072658508272543"/>
          <c:w val="0.87801349177189358"/>
          <c:h val="0.74563881047376424"/>
        </c:manualLayout>
      </c:layout>
      <c:scatterChart>
        <c:scatterStyle val="lineMarker"/>
        <c:varyColors val="0"/>
        <c:ser>
          <c:idx val="0"/>
          <c:order val="0"/>
          <c:tx>
            <c:strRef>
              <c:f>TestInfoInstru!$O$28</c:f>
              <c:strCache>
                <c:ptCount val="1"/>
                <c:pt idx="0">
                  <c:v>AVTE Power [kW]</c:v>
                </c:pt>
              </c:strCache>
            </c:strRef>
          </c:tx>
          <c:spPr>
            <a:ln>
              <a:solidFill>
                <a:schemeClr val="accent6">
                  <a:lumMod val="75000"/>
                </a:schemeClr>
              </a:solidFill>
            </a:ln>
          </c:spPr>
          <c:marker>
            <c:symbol val="none"/>
          </c:marker>
          <c:xVal>
            <c:numRef>
              <c:f>TestInfoInstru!$N$29:$N$37</c:f>
              <c:numCache>
                <c:formatCode>General</c:formatCode>
                <c:ptCount val="9"/>
                <c:pt idx="0">
                  <c:v>0</c:v>
                </c:pt>
                <c:pt idx="1">
                  <c:v>10</c:v>
                </c:pt>
                <c:pt idx="2">
                  <c:v>20</c:v>
                </c:pt>
                <c:pt idx="3">
                  <c:v>30</c:v>
                </c:pt>
                <c:pt idx="4">
                  <c:v>40</c:v>
                </c:pt>
                <c:pt idx="5">
                  <c:v>50</c:v>
                </c:pt>
                <c:pt idx="6">
                  <c:v>60</c:v>
                </c:pt>
                <c:pt idx="7">
                  <c:v>70</c:v>
                </c:pt>
                <c:pt idx="8">
                  <c:v>80</c:v>
                </c:pt>
              </c:numCache>
            </c:numRef>
          </c:xVal>
          <c:yVal>
            <c:numRef>
              <c:f>TestInfoInstru!$O$29:$O$37</c:f>
              <c:numCache>
                <c:formatCode>0.0</c:formatCode>
                <c:ptCount val="9"/>
                <c:pt idx="0">
                  <c:v>0</c:v>
                </c:pt>
                <c:pt idx="1">
                  <c:v>0.8056541421158947</c:v>
                </c:pt>
                <c:pt idx="2">
                  <c:v>1.8024063048595507</c:v>
                </c:pt>
                <c:pt idx="3">
                  <c:v>3.1692244576013997</c:v>
                </c:pt>
                <c:pt idx="4">
                  <c:v>5.0850765697118741</c:v>
                </c:pt>
                <c:pt idx="5">
                  <c:v>7.728930610561406</c:v>
                </c:pt>
                <c:pt idx="6">
                  <c:v>11.279754549520426</c:v>
                </c:pt>
                <c:pt idx="7">
                  <c:v>15.916516355959372</c:v>
                </c:pt>
                <c:pt idx="8">
                  <c:v>21.818183999248667</c:v>
                </c:pt>
              </c:numCache>
            </c:numRef>
          </c:yVal>
          <c:smooth val="0"/>
          <c:extLst>
            <c:ext xmlns:c16="http://schemas.microsoft.com/office/drawing/2014/chart" uri="{C3380CC4-5D6E-409C-BE32-E72D297353CC}">
              <c16:uniqueId val="{00000000-AC4D-4BE9-A059-B3BA8A67A811}"/>
            </c:ext>
          </c:extLst>
        </c:ser>
        <c:dLbls>
          <c:showLegendKey val="0"/>
          <c:showVal val="0"/>
          <c:showCatName val="0"/>
          <c:showSerName val="0"/>
          <c:showPercent val="0"/>
          <c:showBubbleSize val="0"/>
        </c:dLbls>
        <c:axId val="408112088"/>
        <c:axId val="461518768"/>
      </c:scatterChart>
      <c:valAx>
        <c:axId val="408112088"/>
        <c:scaling>
          <c:orientation val="minMax"/>
          <c:max val="80"/>
          <c:min val="0"/>
        </c:scaling>
        <c:delete val="0"/>
        <c:axPos val="b"/>
        <c:title>
          <c:tx>
            <c:rich>
              <a:bodyPr/>
              <a:lstStyle/>
              <a:p>
                <a:pPr>
                  <a:defRPr sz="1050"/>
                </a:pPr>
                <a:r>
                  <a:rPr lang="en-US" sz="1050"/>
                  <a:t>Vehicle speed [mph]</a:t>
                </a:r>
              </a:p>
            </c:rich>
          </c:tx>
          <c:overlay val="0"/>
        </c:title>
        <c:numFmt formatCode="General" sourceLinked="1"/>
        <c:majorTickMark val="out"/>
        <c:minorTickMark val="none"/>
        <c:tickLblPos val="nextTo"/>
        <c:crossAx val="461518768"/>
        <c:crosses val="autoZero"/>
        <c:crossBetween val="midCat"/>
      </c:valAx>
      <c:valAx>
        <c:axId val="461518768"/>
        <c:scaling>
          <c:orientation val="minMax"/>
        </c:scaling>
        <c:delete val="0"/>
        <c:axPos val="l"/>
        <c:majorGridlines/>
        <c:title>
          <c:tx>
            <c:rich>
              <a:bodyPr rot="-5400000" vert="horz"/>
              <a:lstStyle/>
              <a:p>
                <a:pPr>
                  <a:defRPr sz="1100"/>
                </a:pPr>
                <a:r>
                  <a:rPr lang="en-US" sz="1100"/>
                  <a:t>Road load power [kW]</a:t>
                </a:r>
              </a:p>
            </c:rich>
          </c:tx>
          <c:overlay val="0"/>
        </c:title>
        <c:numFmt formatCode="0.0" sourceLinked="1"/>
        <c:majorTickMark val="out"/>
        <c:minorTickMark val="none"/>
        <c:tickLblPos val="nextTo"/>
        <c:crossAx val="408112088"/>
        <c:crosses val="autoZero"/>
        <c:crossBetween val="midCat"/>
      </c:valAx>
    </c:plotArea>
    <c:legend>
      <c:legendPos val="r"/>
      <c:layout>
        <c:manualLayout>
          <c:xMode val="edge"/>
          <c:yMode val="edge"/>
          <c:x val="0.11460934124177445"/>
          <c:y val="0.14716225830727214"/>
          <c:w val="0.2437915505622251"/>
          <c:h val="0.19521597900557339"/>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4019790806919732E-2"/>
          <c:y val="0.15962931741615491"/>
          <c:w val="0.62350100594091296"/>
          <c:h val="0.74533241408481499"/>
        </c:manualLayout>
      </c:layout>
      <c:scatterChart>
        <c:scatterStyle val="smoothMarker"/>
        <c:varyColors val="0"/>
        <c:ser>
          <c:idx val="0"/>
          <c:order val="0"/>
          <c:tx>
            <c:strRef>
              <c:f>TestInfoInstru!$O$46</c:f>
              <c:strCache>
                <c:ptCount val="1"/>
                <c:pt idx="0">
                  <c:v>Wheel Speed [rpm]</c:v>
                </c:pt>
              </c:strCache>
            </c:strRef>
          </c:tx>
          <c:marker>
            <c:symbol val="none"/>
          </c:marker>
          <c:trendline>
            <c:trendlineType val="linear"/>
            <c:dispRSqr val="0"/>
            <c:dispEq val="1"/>
            <c:trendlineLbl>
              <c:numFmt formatCode="General" sourceLinked="0"/>
            </c:trendlineLbl>
          </c:trendline>
          <c:xVal>
            <c:numRef>
              <c:f>TestInfoInstru!$N$47:$N$54</c:f>
              <c:numCache>
                <c:formatCode>General</c:formatCode>
                <c:ptCount val="8"/>
                <c:pt idx="0">
                  <c:v>10</c:v>
                </c:pt>
                <c:pt idx="1">
                  <c:v>20</c:v>
                </c:pt>
                <c:pt idx="2">
                  <c:v>30</c:v>
                </c:pt>
                <c:pt idx="3">
                  <c:v>40</c:v>
                </c:pt>
                <c:pt idx="4">
                  <c:v>50</c:v>
                </c:pt>
                <c:pt idx="5">
                  <c:v>60</c:v>
                </c:pt>
                <c:pt idx="6">
                  <c:v>70</c:v>
                </c:pt>
                <c:pt idx="7">
                  <c:v>80</c:v>
                </c:pt>
              </c:numCache>
            </c:numRef>
          </c:xVal>
          <c:yVal>
            <c:numRef>
              <c:f>TestInfoInstru!$O$47:$O$54</c:f>
              <c:numCache>
                <c:formatCode>General</c:formatCode>
                <c:ptCount val="8"/>
                <c:pt idx="0">
                  <c:v>138.9</c:v>
                </c:pt>
                <c:pt idx="1">
                  <c:v>278</c:v>
                </c:pt>
                <c:pt idx="2">
                  <c:v>416.9</c:v>
                </c:pt>
                <c:pt idx="3">
                  <c:v>555.5</c:v>
                </c:pt>
                <c:pt idx="4">
                  <c:v>697.3</c:v>
                </c:pt>
                <c:pt idx="5">
                  <c:v>832.7</c:v>
                </c:pt>
                <c:pt idx="6">
                  <c:v>970.6</c:v>
                </c:pt>
                <c:pt idx="7">
                  <c:v>1108</c:v>
                </c:pt>
              </c:numCache>
            </c:numRef>
          </c:yVal>
          <c:smooth val="1"/>
          <c:extLst>
            <c:ext xmlns:c16="http://schemas.microsoft.com/office/drawing/2014/chart" uri="{C3380CC4-5D6E-409C-BE32-E72D297353CC}">
              <c16:uniqueId val="{00000000-B0D5-4250-97AB-0B020EB1CAD2}"/>
            </c:ext>
          </c:extLst>
        </c:ser>
        <c:dLbls>
          <c:showLegendKey val="0"/>
          <c:showVal val="0"/>
          <c:showCatName val="0"/>
          <c:showSerName val="0"/>
          <c:showPercent val="0"/>
          <c:showBubbleSize val="0"/>
        </c:dLbls>
        <c:axId val="461515632"/>
        <c:axId val="461516808"/>
      </c:scatterChart>
      <c:valAx>
        <c:axId val="461515632"/>
        <c:scaling>
          <c:orientation val="minMax"/>
        </c:scaling>
        <c:delete val="0"/>
        <c:axPos val="b"/>
        <c:numFmt formatCode="General" sourceLinked="1"/>
        <c:majorTickMark val="out"/>
        <c:minorTickMark val="none"/>
        <c:tickLblPos val="nextTo"/>
        <c:crossAx val="461516808"/>
        <c:crosses val="autoZero"/>
        <c:crossBetween val="midCat"/>
      </c:valAx>
      <c:valAx>
        <c:axId val="461516808"/>
        <c:scaling>
          <c:orientation val="minMax"/>
        </c:scaling>
        <c:delete val="0"/>
        <c:axPos val="l"/>
        <c:majorGridlines/>
        <c:numFmt formatCode="General" sourceLinked="1"/>
        <c:majorTickMark val="out"/>
        <c:minorTickMark val="none"/>
        <c:tickLblPos val="nextTo"/>
        <c:crossAx val="4615156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a:t>
            </a:r>
            <a:r>
              <a:rPr lang="en-US" sz="2400" baseline="0"/>
              <a:t> Tesla Model 3 -</a:t>
            </a:r>
            <a:r>
              <a:rPr lang="en-US" sz="2400"/>
              <a:t> Range [mi]</a:t>
            </a:r>
          </a:p>
        </c:rich>
      </c:tx>
      <c:overlay val="0"/>
    </c:title>
    <c:autoTitleDeleted val="0"/>
    <c:plotArea>
      <c:layout/>
      <c:barChart>
        <c:barDir val="col"/>
        <c:grouping val="clustered"/>
        <c:varyColors val="0"/>
        <c:ser>
          <c:idx val="3"/>
          <c:order val="0"/>
          <c:tx>
            <c:strRef>
              <c:f>'J1634 Calcs_new'!$AG$6</c:f>
              <c:strCache>
                <c:ptCount val="1"/>
                <c:pt idx="0">
                  <c:v>-18°C Ambient with 72°F Cabin</c:v>
                </c:pt>
              </c:strCache>
            </c:strRef>
          </c:tx>
          <c:spPr>
            <a:solidFill>
              <a:schemeClr val="accent4"/>
            </a:solidFill>
          </c:spPr>
          <c:invertIfNegative val="0"/>
          <c:cat>
            <c:strRef>
              <c:f>'J1634 Calcs_new'!$AF$36:$AF$38</c:f>
              <c:strCache>
                <c:ptCount val="3"/>
                <c:pt idx="0">
                  <c:v>UDDS</c:v>
                </c:pt>
                <c:pt idx="1">
                  <c:v>HWFET</c:v>
                </c:pt>
                <c:pt idx="2">
                  <c:v>US06</c:v>
                </c:pt>
              </c:strCache>
            </c:strRef>
          </c:cat>
          <c:val>
            <c:numRef>
              <c:f>'J1634 Calcs_new'!$AG$36:$AG$38</c:f>
              <c:numCache>
                <c:formatCode>0</c:formatCode>
                <c:ptCount val="3"/>
                <c:pt idx="0">
                  <c:v>171.57953872429457</c:v>
                </c:pt>
                <c:pt idx="1">
                  <c:v>236.65404455114</c:v>
                </c:pt>
                <c:pt idx="2">
                  <c:v>197.91611120779453</c:v>
                </c:pt>
              </c:numCache>
            </c:numRef>
          </c:val>
          <c:extLst>
            <c:ext xmlns:c16="http://schemas.microsoft.com/office/drawing/2014/chart" uri="{C3380CC4-5D6E-409C-BE32-E72D297353CC}">
              <c16:uniqueId val="{00000000-4CBB-427C-8AE7-04B423A012B4}"/>
            </c:ext>
          </c:extLst>
        </c:ser>
        <c:ser>
          <c:idx val="4"/>
          <c:order val="1"/>
          <c:tx>
            <c:strRef>
              <c:f>'J1634 Calcs_new'!$AH$6</c:f>
              <c:strCache>
                <c:ptCount val="1"/>
                <c:pt idx="0">
                  <c:v>-7°C Ambient with 72°F Cabin</c:v>
                </c:pt>
              </c:strCache>
            </c:strRef>
          </c:tx>
          <c:spPr>
            <a:solidFill>
              <a:srgbClr val="00B0F0"/>
            </a:solidFill>
            <a:ln>
              <a:solidFill>
                <a:sysClr val="windowText" lastClr="000000"/>
              </a:solidFill>
            </a:ln>
          </c:spPr>
          <c:invertIfNegative val="0"/>
          <c:cat>
            <c:strRef>
              <c:f>'J1634 Calcs_new'!$AF$36:$AF$38</c:f>
              <c:strCache>
                <c:ptCount val="3"/>
                <c:pt idx="0">
                  <c:v>UDDS</c:v>
                </c:pt>
                <c:pt idx="1">
                  <c:v>HWFET</c:v>
                </c:pt>
                <c:pt idx="2">
                  <c:v>US06</c:v>
                </c:pt>
              </c:strCache>
            </c:strRef>
          </c:cat>
          <c:val>
            <c:numRef>
              <c:f>'J1634 Calcs_new'!$AH$36:$AH$38</c:f>
              <c:numCache>
                <c:formatCode>0</c:formatCode>
                <c:ptCount val="3"/>
                <c:pt idx="0">
                  <c:v>249.73487122499714</c:v>
                </c:pt>
                <c:pt idx="1">
                  <c:v>289.83683071814158</c:v>
                </c:pt>
                <c:pt idx="2">
                  <c:v>229.66205962607515</c:v>
                </c:pt>
              </c:numCache>
            </c:numRef>
          </c:val>
          <c:extLst>
            <c:ext xmlns:c16="http://schemas.microsoft.com/office/drawing/2014/chart" uri="{C3380CC4-5D6E-409C-BE32-E72D297353CC}">
              <c16:uniqueId val="{00000001-4CBB-427C-8AE7-04B423A012B4}"/>
            </c:ext>
          </c:extLst>
        </c:ser>
        <c:ser>
          <c:idx val="6"/>
          <c:order val="2"/>
          <c:tx>
            <c:strRef>
              <c:f>'J1634 Calcs_new'!$AJ$6</c:f>
              <c:strCache>
                <c:ptCount val="1"/>
                <c:pt idx="0">
                  <c:v>22°C Ambient with Climate off</c:v>
                </c:pt>
              </c:strCache>
            </c:strRef>
          </c:tx>
          <c:spPr>
            <a:solidFill>
              <a:srgbClr val="3AC441"/>
            </a:solidFill>
            <a:ln>
              <a:solidFill>
                <a:sysClr val="windowText" lastClr="000000"/>
              </a:solidFill>
            </a:ln>
          </c:spPr>
          <c:invertIfNegative val="0"/>
          <c:cat>
            <c:strRef>
              <c:f>'J1634 Calcs_new'!$AF$36:$AF$38</c:f>
              <c:strCache>
                <c:ptCount val="3"/>
                <c:pt idx="0">
                  <c:v>UDDS</c:v>
                </c:pt>
                <c:pt idx="1">
                  <c:v>HWFET</c:v>
                </c:pt>
                <c:pt idx="2">
                  <c:v>US06</c:v>
                </c:pt>
              </c:strCache>
            </c:strRef>
          </c:cat>
          <c:val>
            <c:numRef>
              <c:f>'J1634 Calcs_new'!$AJ$36:$AJ$38</c:f>
              <c:numCache>
                <c:formatCode>0</c:formatCode>
                <c:ptCount val="3"/>
                <c:pt idx="0">
                  <c:v>446.93915204262737</c:v>
                </c:pt>
                <c:pt idx="1">
                  <c:v>414.21135369584124</c:v>
                </c:pt>
                <c:pt idx="2">
                  <c:v>312.66133314588524</c:v>
                </c:pt>
              </c:numCache>
            </c:numRef>
          </c:val>
          <c:extLst>
            <c:ext xmlns:c16="http://schemas.microsoft.com/office/drawing/2014/chart" uri="{C3380CC4-5D6E-409C-BE32-E72D297353CC}">
              <c16:uniqueId val="{00000002-4CBB-427C-8AE7-04B423A012B4}"/>
            </c:ext>
          </c:extLst>
        </c:ser>
        <c:ser>
          <c:idx val="0"/>
          <c:order val="3"/>
          <c:tx>
            <c:strRef>
              <c:f>'J1634 Calcs_new'!$AK$6</c:f>
              <c:strCache>
                <c:ptCount val="1"/>
                <c:pt idx="0">
                  <c:v>35°C Ambient with 72°F Cabin</c:v>
                </c:pt>
              </c:strCache>
            </c:strRef>
          </c:tx>
          <c:spPr>
            <a:solidFill>
              <a:srgbClr val="F11A09"/>
            </a:solidFill>
          </c:spPr>
          <c:invertIfNegative val="0"/>
          <c:cat>
            <c:strRef>
              <c:f>'J1634 Calcs_new'!$AF$36:$AF$38</c:f>
              <c:strCache>
                <c:ptCount val="3"/>
                <c:pt idx="0">
                  <c:v>UDDS</c:v>
                </c:pt>
                <c:pt idx="1">
                  <c:v>HWFET</c:v>
                </c:pt>
                <c:pt idx="2">
                  <c:v>US06</c:v>
                </c:pt>
              </c:strCache>
            </c:strRef>
          </c:cat>
          <c:val>
            <c:numRef>
              <c:f>'J1634 Calcs_new'!$AK$36:$AK$38</c:f>
              <c:numCache>
                <c:formatCode>0</c:formatCode>
                <c:ptCount val="3"/>
                <c:pt idx="0">
                  <c:v>349.82744365534592</c:v>
                </c:pt>
                <c:pt idx="1">
                  <c:v>413.51991229697302</c:v>
                </c:pt>
                <c:pt idx="2">
                  <c:v>312.29337731184557</c:v>
                </c:pt>
              </c:numCache>
            </c:numRef>
          </c:val>
          <c:extLst>
            <c:ext xmlns:c16="http://schemas.microsoft.com/office/drawing/2014/chart" uri="{C3380CC4-5D6E-409C-BE32-E72D297353CC}">
              <c16:uniqueId val="{00000003-4CBB-427C-8AE7-04B423A012B4}"/>
            </c:ext>
          </c:extLst>
        </c:ser>
        <c:dLbls>
          <c:showLegendKey val="0"/>
          <c:showVal val="0"/>
          <c:showCatName val="0"/>
          <c:showSerName val="0"/>
          <c:showPercent val="0"/>
          <c:showBubbleSize val="0"/>
        </c:dLbls>
        <c:gapWidth val="150"/>
        <c:axId val="866524464"/>
        <c:axId val="866525248"/>
      </c:barChart>
      <c:catAx>
        <c:axId val="866524464"/>
        <c:scaling>
          <c:orientation val="minMax"/>
        </c:scaling>
        <c:delete val="0"/>
        <c:axPos val="b"/>
        <c:numFmt formatCode="General" sourceLinked="1"/>
        <c:majorTickMark val="none"/>
        <c:minorTickMark val="none"/>
        <c:tickLblPos val="nextTo"/>
        <c:crossAx val="866525248"/>
        <c:crosses val="autoZero"/>
        <c:auto val="1"/>
        <c:lblAlgn val="ctr"/>
        <c:lblOffset val="100"/>
        <c:noMultiLvlLbl val="0"/>
      </c:catAx>
      <c:valAx>
        <c:axId val="866525248"/>
        <c:scaling>
          <c:orientation val="minMax"/>
          <c:max val="500"/>
          <c:min val="0"/>
        </c:scaling>
        <c:delete val="0"/>
        <c:axPos val="l"/>
        <c:majorGridlines/>
        <c:title>
          <c:tx>
            <c:rich>
              <a:bodyPr/>
              <a:lstStyle/>
              <a:p>
                <a:pPr>
                  <a:defRPr sz="2000"/>
                </a:pPr>
                <a:r>
                  <a:rPr lang="en-US" sz="2000"/>
                  <a:t>Range[mi]</a:t>
                </a:r>
              </a:p>
            </c:rich>
          </c:tx>
          <c:layout>
            <c:manualLayout>
              <c:xMode val="edge"/>
              <c:yMode val="edge"/>
              <c:x val="2.6522297161877512E-2"/>
              <c:y val="0.35630697499743136"/>
            </c:manualLayout>
          </c:layout>
          <c:overlay val="0"/>
        </c:title>
        <c:numFmt formatCode="0" sourceLinked="0"/>
        <c:majorTickMark val="none"/>
        <c:minorTickMark val="none"/>
        <c:tickLblPos val="nextTo"/>
        <c:crossAx val="866524464"/>
        <c:crosses val="autoZero"/>
        <c:crossBetween val="between"/>
      </c:valAx>
      <c:dTable>
        <c:showHorzBorder val="1"/>
        <c:showVertBorder val="1"/>
        <c:showOutline val="1"/>
        <c:showKeys val="1"/>
        <c:txPr>
          <a:bodyPr/>
          <a:lstStyle/>
          <a:p>
            <a:pPr rtl="0">
              <a:defRPr sz="1200"/>
            </a:pPr>
            <a:endParaRPr lang="en-US"/>
          </a:p>
        </c:txPr>
      </c:dTable>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Calculated Range of the 2020 Tesla Model 3 LR AWD [mi] </a:t>
            </a:r>
          </a:p>
        </c:rich>
      </c:tx>
      <c:overlay val="0"/>
    </c:title>
    <c:autoTitleDeleted val="0"/>
    <c:plotArea>
      <c:layout>
        <c:manualLayout>
          <c:layoutTarget val="inner"/>
          <c:xMode val="edge"/>
          <c:yMode val="edge"/>
          <c:x val="0.21093986949547974"/>
          <c:y val="0.12105893510883965"/>
          <c:w val="0.77489537766112571"/>
          <c:h val="0.6798770661664626"/>
        </c:manualLayout>
      </c:layout>
      <c:barChart>
        <c:barDir val="col"/>
        <c:grouping val="clustered"/>
        <c:varyColors val="0"/>
        <c:ser>
          <c:idx val="3"/>
          <c:order val="0"/>
          <c:tx>
            <c:strRef>
              <c:f>'J1634 Calcs_new'!$AG$6</c:f>
              <c:strCache>
                <c:ptCount val="1"/>
                <c:pt idx="0">
                  <c:v>-18°C Ambient with 72°F Cabin</c:v>
                </c:pt>
              </c:strCache>
            </c:strRef>
          </c:tx>
          <c:spPr>
            <a:solidFill>
              <a:schemeClr val="accent4"/>
            </a:solidFill>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Calcs_new'!$AF$36:$AF$38</c:f>
              <c:strCache>
                <c:ptCount val="3"/>
                <c:pt idx="0">
                  <c:v>UDDS</c:v>
                </c:pt>
                <c:pt idx="1">
                  <c:v>HWFET</c:v>
                </c:pt>
                <c:pt idx="2">
                  <c:v>US06</c:v>
                </c:pt>
              </c:strCache>
            </c:strRef>
          </c:cat>
          <c:val>
            <c:numRef>
              <c:f>'J1634 Calcs_new'!$AG$36:$AG$38</c:f>
              <c:numCache>
                <c:formatCode>0</c:formatCode>
                <c:ptCount val="3"/>
                <c:pt idx="0">
                  <c:v>171.57953872429457</c:v>
                </c:pt>
                <c:pt idx="1">
                  <c:v>236.65404455114</c:v>
                </c:pt>
                <c:pt idx="2">
                  <c:v>197.91611120779453</c:v>
                </c:pt>
              </c:numCache>
            </c:numRef>
          </c:val>
          <c:extLst>
            <c:ext xmlns:c16="http://schemas.microsoft.com/office/drawing/2014/chart" uri="{C3380CC4-5D6E-409C-BE32-E72D297353CC}">
              <c16:uniqueId val="{00000000-B696-40B6-BAB7-E19314F04BB4}"/>
            </c:ext>
          </c:extLst>
        </c:ser>
        <c:ser>
          <c:idx val="4"/>
          <c:order val="1"/>
          <c:tx>
            <c:strRef>
              <c:f>'J1634 Calcs_new'!$AH$6</c:f>
              <c:strCache>
                <c:ptCount val="1"/>
                <c:pt idx="0">
                  <c:v>-7°C Ambient with 72°F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Calcs_new'!$AF$36:$AF$38</c:f>
              <c:strCache>
                <c:ptCount val="3"/>
                <c:pt idx="0">
                  <c:v>UDDS</c:v>
                </c:pt>
                <c:pt idx="1">
                  <c:v>HWFET</c:v>
                </c:pt>
                <c:pt idx="2">
                  <c:v>US06</c:v>
                </c:pt>
              </c:strCache>
            </c:strRef>
          </c:cat>
          <c:val>
            <c:numRef>
              <c:f>'J1634 Calcs_new'!$AH$36:$AH$38</c:f>
              <c:numCache>
                <c:formatCode>0</c:formatCode>
                <c:ptCount val="3"/>
                <c:pt idx="0">
                  <c:v>249.73487122499714</c:v>
                </c:pt>
                <c:pt idx="1">
                  <c:v>289.83683071814158</c:v>
                </c:pt>
                <c:pt idx="2">
                  <c:v>229.66205962607515</c:v>
                </c:pt>
              </c:numCache>
            </c:numRef>
          </c:val>
          <c:extLst>
            <c:ext xmlns:c16="http://schemas.microsoft.com/office/drawing/2014/chart" uri="{C3380CC4-5D6E-409C-BE32-E72D297353CC}">
              <c16:uniqueId val="{00000001-B696-40B6-BAB7-E19314F04BB4}"/>
            </c:ext>
          </c:extLst>
        </c:ser>
        <c:ser>
          <c:idx val="0"/>
          <c:order val="2"/>
          <c:tx>
            <c:strRef>
              <c:f>'J1634 Calcs_new'!$AJ$6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Calcs_new'!$AF$36:$AF$38</c:f>
              <c:strCache>
                <c:ptCount val="3"/>
                <c:pt idx="0">
                  <c:v>UDDS</c:v>
                </c:pt>
                <c:pt idx="1">
                  <c:v>HWFET</c:v>
                </c:pt>
                <c:pt idx="2">
                  <c:v>US06</c:v>
                </c:pt>
              </c:strCache>
            </c:strRef>
          </c:cat>
          <c:val>
            <c:numRef>
              <c:f>'J1634 Calcs_new'!$AJ$36:$AJ$38</c:f>
              <c:numCache>
                <c:formatCode>0</c:formatCode>
                <c:ptCount val="3"/>
                <c:pt idx="0">
                  <c:v>446.93915204262737</c:v>
                </c:pt>
                <c:pt idx="1">
                  <c:v>414.21135369584124</c:v>
                </c:pt>
                <c:pt idx="2">
                  <c:v>312.66133314588524</c:v>
                </c:pt>
              </c:numCache>
            </c:numRef>
          </c:val>
          <c:extLst>
            <c:ext xmlns:c16="http://schemas.microsoft.com/office/drawing/2014/chart" uri="{C3380CC4-5D6E-409C-BE32-E72D297353CC}">
              <c16:uniqueId val="{00000002-B696-40B6-BAB7-E19314F04BB4}"/>
            </c:ext>
          </c:extLst>
        </c:ser>
        <c:ser>
          <c:idx val="1"/>
          <c:order val="3"/>
          <c:tx>
            <c:strRef>
              <c:f>'J1634 Calcs_new'!$AK$6</c:f>
              <c:strCache>
                <c:ptCount val="1"/>
                <c:pt idx="0">
                  <c:v>35°C Ambient with 72°F Cabin</c:v>
                </c:pt>
              </c:strCache>
            </c:strRef>
          </c:tx>
          <c:spPr>
            <a:solidFill>
              <a:schemeClr val="accent2"/>
            </a:solidFill>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Calcs_new'!$AF$36:$AF$38</c:f>
              <c:strCache>
                <c:ptCount val="3"/>
                <c:pt idx="0">
                  <c:v>UDDS</c:v>
                </c:pt>
                <c:pt idx="1">
                  <c:v>HWFET</c:v>
                </c:pt>
                <c:pt idx="2">
                  <c:v>US06</c:v>
                </c:pt>
              </c:strCache>
            </c:strRef>
          </c:cat>
          <c:val>
            <c:numRef>
              <c:f>'J1634 Calcs_new'!$AK$36:$AK$38</c:f>
              <c:numCache>
                <c:formatCode>0</c:formatCode>
                <c:ptCount val="3"/>
                <c:pt idx="0">
                  <c:v>349.82744365534592</c:v>
                </c:pt>
                <c:pt idx="1">
                  <c:v>413.51991229697302</c:v>
                </c:pt>
                <c:pt idx="2">
                  <c:v>312.29337731184557</c:v>
                </c:pt>
              </c:numCache>
            </c:numRef>
          </c:val>
          <c:extLst>
            <c:ext xmlns:c16="http://schemas.microsoft.com/office/drawing/2014/chart" uri="{C3380CC4-5D6E-409C-BE32-E72D297353CC}">
              <c16:uniqueId val="{00000003-B696-40B6-BAB7-E19314F04BB4}"/>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500"/>
          <c:min val="0"/>
        </c:scaling>
        <c:delete val="0"/>
        <c:axPos val="l"/>
        <c:majorGridlines/>
        <c:title>
          <c:tx>
            <c:rich>
              <a:bodyPr/>
              <a:lstStyle/>
              <a:p>
                <a:pPr>
                  <a:defRPr sz="2400"/>
                </a:pPr>
                <a:r>
                  <a:rPr lang="en-US" sz="2400"/>
                  <a:t>SAE J1634</a:t>
                </a:r>
              </a:p>
              <a:p>
                <a:pPr>
                  <a:defRPr sz="2400"/>
                </a:pPr>
                <a:r>
                  <a:rPr lang="en-US" sz="2400"/>
                  <a:t> Calculated Range </a:t>
                </a:r>
              </a:p>
              <a:p>
                <a:pPr>
                  <a:defRPr sz="2400"/>
                </a:pPr>
                <a:r>
                  <a:rPr lang="en-US" sz="2400"/>
                  <a:t>[miles]</a:t>
                </a:r>
              </a:p>
            </c:rich>
          </c:tx>
          <c:layout>
            <c:manualLayout>
              <c:xMode val="edge"/>
              <c:yMode val="edge"/>
              <c:x val="5.1908172936716242E-2"/>
              <c:y val="0.19998432487605719"/>
            </c:manualLayout>
          </c:layout>
          <c:overlay val="0"/>
        </c:title>
        <c:numFmt formatCode="0" sourceLinked="1"/>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Energy Consumption</a:t>
            </a:r>
            <a:r>
              <a:rPr lang="en-US" sz="2400" baseline="0"/>
              <a:t> of the </a:t>
            </a:r>
            <a:r>
              <a:rPr lang="en-US" sz="2400"/>
              <a:t>2020 Tesla </a:t>
            </a:r>
            <a:r>
              <a:rPr lang="en-US" sz="2400" b="1" i="0" u="none" strike="noStrike" baseline="0">
                <a:effectLst/>
              </a:rPr>
              <a:t>Model 3 LR AWD [DC Wh/mi]</a:t>
            </a:r>
            <a:r>
              <a:rPr lang="en-US" sz="2400"/>
              <a:t> </a:t>
            </a:r>
          </a:p>
        </c:rich>
      </c:tx>
      <c:overlay val="0"/>
    </c:title>
    <c:autoTitleDeleted val="0"/>
    <c:plotArea>
      <c:layout/>
      <c:barChart>
        <c:barDir val="col"/>
        <c:grouping val="clustered"/>
        <c:varyColors val="0"/>
        <c:ser>
          <c:idx val="3"/>
          <c:order val="0"/>
          <c:tx>
            <c:strRef>
              <c:f>'J1634 Calcs_new'!$AG$6</c:f>
              <c:strCache>
                <c:ptCount val="1"/>
                <c:pt idx="0">
                  <c:v>-18°C Ambient with 72°F Cabin</c:v>
                </c:pt>
              </c:strCache>
            </c:strRef>
          </c:tx>
          <c:spPr>
            <a:solidFill>
              <a:schemeClr val="accent4"/>
            </a:solidFill>
          </c:spPr>
          <c:invertIfNegative val="0"/>
          <c:dLbls>
            <c:dLbl>
              <c:idx val="0"/>
              <c:layout>
                <c:manualLayout>
                  <c:x val="1.4887582923543822E-3"/>
                  <c:y val="7.9889789833237929E-3"/>
                </c:manualLayout>
              </c:layout>
              <c:tx>
                <c:rich>
                  <a:bodyPr/>
                  <a:lstStyle/>
                  <a:p>
                    <a:fld id="{52E43E02-3978-4016-A209-E6333B24FF4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Calcs_new'!$AG$30</c15:f>
                      <c15:dlblFieldTableCache>
                        <c:ptCount val="1"/>
                        <c:pt idx="0">
                          <c:v>244%</c:v>
                        </c:pt>
                      </c15:dlblFieldTableCache>
                    </c15:dlblFTEntry>
                  </c15:dlblFieldTable>
                  <c15:showDataLabelsRange val="0"/>
                </c:ext>
                <c:ext xmlns:c16="http://schemas.microsoft.com/office/drawing/2014/chart" uri="{C3380CC4-5D6E-409C-BE32-E72D297353CC}">
                  <c16:uniqueId val="{00000000-3BB4-4A19-B01C-CBBCF27C709B}"/>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Calcs_new'!$AG$31</c15:f>
                      <c15:dlblFieldTableCache>
                        <c:ptCount val="1"/>
                        <c:pt idx="0">
                          <c:v>71%</c:v>
                        </c:pt>
                      </c15:dlblFieldTableCache>
                    </c15:dlblFTEntry>
                  </c15:dlblFieldTable>
                  <c15:showDataLabelsRange val="0"/>
                </c:ext>
                <c:ext xmlns:c16="http://schemas.microsoft.com/office/drawing/2014/chart" uri="{C3380CC4-5D6E-409C-BE32-E72D297353CC}">
                  <c16:uniqueId val="{00000001-3BB4-4A19-B01C-CBBCF27C709B}"/>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Calcs_new'!$AG$32</c15:f>
                      <c15:dlblFieldTableCache>
                        <c:ptCount val="1"/>
                        <c:pt idx="0">
                          <c:v>140%</c:v>
                        </c:pt>
                      </c15:dlblFieldTableCache>
                    </c15:dlblFTEntry>
                  </c15:dlblFieldTable>
                  <c15:showDataLabelsRange val="0"/>
                </c:ext>
                <c:ext xmlns:c16="http://schemas.microsoft.com/office/drawing/2014/chart" uri="{C3380CC4-5D6E-409C-BE32-E72D297353CC}">
                  <c16:uniqueId val="{00000002-3BB4-4A19-B01C-CBBCF27C709B}"/>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Calcs_new'!$AG$33</c15:f>
                      <c15:dlblFieldTableCache>
                        <c:ptCount val="1"/>
                        <c:pt idx="0">
                          <c:v>55%</c:v>
                        </c:pt>
                      </c15:dlblFieldTableCache>
                    </c15:dlblFTEntry>
                  </c15:dlblFieldTable>
                  <c15:showDataLabelsRange val="0"/>
                </c:ext>
                <c:ext xmlns:c16="http://schemas.microsoft.com/office/drawing/2014/chart" uri="{C3380CC4-5D6E-409C-BE32-E72D297353CC}">
                  <c16:uniqueId val="{00000003-3BB4-4A19-B01C-CBBCF27C709B}"/>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Calcs_new'!$AF$7:$AF$10</c:f>
              <c:strCache>
                <c:ptCount val="4"/>
                <c:pt idx="0">
                  <c:v>UDDS Cold Start</c:v>
                </c:pt>
                <c:pt idx="1">
                  <c:v>HWFET</c:v>
                </c:pt>
                <c:pt idx="2">
                  <c:v>UDDS Hot Start</c:v>
                </c:pt>
                <c:pt idx="3">
                  <c:v>US06</c:v>
                </c:pt>
              </c:strCache>
            </c:strRef>
          </c:cat>
          <c:val>
            <c:numRef>
              <c:f>'J1634 Calcs_new'!$AG$7:$AG$10</c:f>
              <c:numCache>
                <c:formatCode>0</c:formatCode>
                <c:ptCount val="4"/>
                <c:pt idx="0">
                  <c:v>700.68688138001437</c:v>
                </c:pt>
                <c:pt idx="1">
                  <c:v>321.66363412204487</c:v>
                </c:pt>
                <c:pt idx="2">
                  <c:v>419.65296629742369</c:v>
                </c:pt>
                <c:pt idx="3">
                  <c:v>384.62255313857463</c:v>
                </c:pt>
              </c:numCache>
            </c:numRef>
          </c:val>
          <c:extLst>
            <c:ext xmlns:c16="http://schemas.microsoft.com/office/drawing/2014/chart" uri="{C3380CC4-5D6E-409C-BE32-E72D297353CC}">
              <c16:uniqueId val="{00000004-3BB4-4A19-B01C-CBBCF27C709B}"/>
            </c:ext>
          </c:extLst>
        </c:ser>
        <c:ser>
          <c:idx val="4"/>
          <c:order val="1"/>
          <c:tx>
            <c:strRef>
              <c:f>'J1634 Calcs_new'!$AH$6</c:f>
              <c:strCache>
                <c:ptCount val="1"/>
                <c:pt idx="0">
                  <c:v>-7°C Ambient with 72°F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Calcs_new'!$AH$30</c15:f>
                      <c15:dlblFieldTableCache>
                        <c:ptCount val="1"/>
                        <c:pt idx="0">
                          <c:v>131%</c:v>
                        </c:pt>
                      </c15:dlblFieldTableCache>
                    </c15:dlblFTEntry>
                  </c15:dlblFieldTable>
                  <c15:showDataLabelsRange val="0"/>
                </c:ext>
                <c:ext xmlns:c16="http://schemas.microsoft.com/office/drawing/2014/chart" uri="{C3380CC4-5D6E-409C-BE32-E72D297353CC}">
                  <c16:uniqueId val="{00000005-3BB4-4A19-B01C-CBBCF27C709B}"/>
                </c:ext>
              </c:extLst>
            </c:dLbl>
            <c:dLbl>
              <c:idx val="1"/>
              <c:layout>
                <c:manualLayout>
                  <c:x val="2.9775165847086551E-3"/>
                  <c:y val="2.6629929944412154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Calcs_new'!$AH$31</c15:f>
                      <c15:dlblFieldTableCache>
                        <c:ptCount val="1"/>
                        <c:pt idx="0">
                          <c:v>48%</c:v>
                        </c:pt>
                      </c15:dlblFieldTableCache>
                    </c15:dlblFTEntry>
                  </c15:dlblFieldTable>
                  <c15:showDataLabelsRange val="0"/>
                </c:ext>
                <c:ext xmlns:c16="http://schemas.microsoft.com/office/drawing/2014/chart" uri="{C3380CC4-5D6E-409C-BE32-E72D297353CC}">
                  <c16:uniqueId val="{00000006-3BB4-4A19-B01C-CBBCF27C709B}"/>
                </c:ext>
              </c:extLst>
            </c:dLbl>
            <c:dLbl>
              <c:idx val="2"/>
              <c:layout>
                <c:manualLayout>
                  <c:x val="1.4887582923543822E-3"/>
                  <c:y val="2.662992994441264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Calcs_new'!$AH$32</c15:f>
                      <c15:dlblFieldTableCache>
                        <c:ptCount val="1"/>
                        <c:pt idx="0">
                          <c:v>88%</c:v>
                        </c:pt>
                      </c15:dlblFieldTableCache>
                    </c15:dlblFTEntry>
                  </c15:dlblFieldTable>
                  <c15:showDataLabelsRange val="0"/>
                </c:ext>
                <c:ext xmlns:c16="http://schemas.microsoft.com/office/drawing/2014/chart" uri="{C3380CC4-5D6E-409C-BE32-E72D297353CC}">
                  <c16:uniqueId val="{00000007-3BB4-4A19-B01C-CBBCF27C709B}"/>
                </c:ext>
              </c:extLst>
            </c:dLbl>
            <c:dLbl>
              <c:idx val="3"/>
              <c:layout>
                <c:manualLayout>
                  <c:x val="3.4346590816893546E-3"/>
                  <c:y val="-7.7292157323902014E-17"/>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Calcs_new'!$AH$33</c15:f>
                      <c15:dlblFieldTableCache>
                        <c:ptCount val="1"/>
                        <c:pt idx="0">
                          <c:v>40%</c:v>
                        </c:pt>
                      </c15:dlblFieldTableCache>
                    </c15:dlblFTEntry>
                  </c15:dlblFieldTable>
                  <c15:showDataLabelsRange val="0"/>
                </c:ext>
                <c:ext xmlns:c16="http://schemas.microsoft.com/office/drawing/2014/chart" uri="{C3380CC4-5D6E-409C-BE32-E72D297353CC}">
                  <c16:uniqueId val="{00000008-3BB4-4A19-B01C-CBBCF27C709B}"/>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Calcs_new'!$AF$7:$AF$10</c:f>
              <c:strCache>
                <c:ptCount val="4"/>
                <c:pt idx="0">
                  <c:v>UDDS Cold Start</c:v>
                </c:pt>
                <c:pt idx="1">
                  <c:v>HWFET</c:v>
                </c:pt>
                <c:pt idx="2">
                  <c:v>UDDS Hot Start</c:v>
                </c:pt>
                <c:pt idx="3">
                  <c:v>US06</c:v>
                </c:pt>
              </c:strCache>
            </c:strRef>
          </c:cat>
          <c:val>
            <c:numRef>
              <c:f>'J1634 Calcs_new'!$AH$7:$AH$10</c:f>
              <c:numCache>
                <c:formatCode>0</c:formatCode>
                <c:ptCount val="4"/>
                <c:pt idx="0">
                  <c:v>469.0965060193933</c:v>
                </c:pt>
                <c:pt idx="1">
                  <c:v>278.10190061988408</c:v>
                </c:pt>
                <c:pt idx="2">
                  <c:v>328.74062524614067</c:v>
                </c:pt>
                <c:pt idx="3">
                  <c:v>348.80172626287606</c:v>
                </c:pt>
              </c:numCache>
            </c:numRef>
          </c:val>
          <c:extLst>
            <c:ext xmlns:c16="http://schemas.microsoft.com/office/drawing/2014/chart" uri="{C3380CC4-5D6E-409C-BE32-E72D297353CC}">
              <c16:uniqueId val="{00000009-3BB4-4A19-B01C-CBBCF27C709B}"/>
            </c:ext>
          </c:extLst>
        </c:ser>
        <c:ser>
          <c:idx val="6"/>
          <c:order val="2"/>
          <c:tx>
            <c:strRef>
              <c:f>'J1634 Calcs_new'!$AI$6</c:f>
              <c:strCache>
                <c:ptCount val="1"/>
                <c:pt idx="0">
                  <c:v>-7°C Ambient with 72°F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Calcs_new'!$AI$30</c15:f>
                      <c15:dlblFieldTableCache>
                        <c:ptCount val="1"/>
                        <c:pt idx="0">
                          <c:v>47%</c:v>
                        </c:pt>
                      </c15:dlblFieldTableCache>
                    </c15:dlblFTEntry>
                  </c15:dlblFieldTable>
                  <c15:showDataLabelsRange val="0"/>
                </c:ext>
                <c:ext xmlns:c16="http://schemas.microsoft.com/office/drawing/2014/chart" uri="{C3380CC4-5D6E-409C-BE32-E72D297353CC}">
                  <c16:uniqueId val="{0000000A-3BB4-4A19-B01C-CBBCF27C709B}"/>
                </c:ext>
              </c:extLst>
            </c:dLbl>
            <c:dLbl>
              <c:idx val="1"/>
              <c:layout>
                <c:manualLayout>
                  <c:x val="4.4662748770631462E-3"/>
                  <c:y val="-4.8820974247362615E-17"/>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Calcs_new'!$AI$31</c15:f>
                      <c15:dlblFieldTableCache>
                        <c:ptCount val="1"/>
                        <c:pt idx="0">
                          <c:v>35%</c:v>
                        </c:pt>
                      </c15:dlblFieldTableCache>
                    </c15:dlblFTEntry>
                  </c15:dlblFieldTable>
                  <c15:showDataLabelsRange val="0"/>
                </c:ext>
                <c:ext xmlns:c16="http://schemas.microsoft.com/office/drawing/2014/chart" uri="{C3380CC4-5D6E-409C-BE32-E72D297353CC}">
                  <c16:uniqueId val="{0000000B-3BB4-4A19-B01C-CBBCF27C709B}"/>
                </c:ext>
              </c:extLst>
            </c:dLbl>
            <c:dLbl>
              <c:idx val="2"/>
              <c:layout>
                <c:manualLayout>
                  <c:x val="2.9775165847087644E-3"/>
                  <c:y val="2.6629929944412154E-3"/>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Calcs_new'!$AI$32</c15:f>
                      <c15:dlblFieldTableCache>
                        <c:ptCount val="1"/>
                        <c:pt idx="0">
                          <c:v>70%</c:v>
                        </c:pt>
                      </c15:dlblFieldTableCache>
                    </c15:dlblFTEntry>
                  </c15:dlblFieldTable>
                  <c15:showDataLabelsRange val="0"/>
                </c:ext>
                <c:ext xmlns:c16="http://schemas.microsoft.com/office/drawing/2014/chart" uri="{C3380CC4-5D6E-409C-BE32-E72D297353CC}">
                  <c16:uniqueId val="{0000000C-3BB4-4A19-B01C-CBBCF27C709B}"/>
                </c:ext>
              </c:extLst>
            </c:dLbl>
            <c:dLbl>
              <c:idx val="3"/>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Calcs_new'!$AI$33</c15:f>
                      <c15:dlblFieldTableCache>
                        <c:ptCount val="1"/>
                        <c:pt idx="0">
                          <c:v>27%</c:v>
                        </c:pt>
                      </c15:dlblFieldTableCache>
                    </c15:dlblFTEntry>
                  </c15:dlblFieldTable>
                  <c15:showDataLabelsRange val="0"/>
                </c:ext>
                <c:ext xmlns:c16="http://schemas.microsoft.com/office/drawing/2014/chart" uri="{C3380CC4-5D6E-409C-BE32-E72D297353CC}">
                  <c16:uniqueId val="{0000000D-3BB4-4A19-B01C-CBBCF27C709B}"/>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Calcs_new'!$AF$7:$AF$10</c:f>
              <c:strCache>
                <c:ptCount val="4"/>
                <c:pt idx="0">
                  <c:v>UDDS Cold Start</c:v>
                </c:pt>
                <c:pt idx="1">
                  <c:v>HWFET</c:v>
                </c:pt>
                <c:pt idx="2">
                  <c:v>UDDS Hot Start</c:v>
                </c:pt>
                <c:pt idx="3">
                  <c:v>US06</c:v>
                </c:pt>
              </c:strCache>
            </c:strRef>
          </c:cat>
          <c:val>
            <c:numRef>
              <c:f>'J1634 Calcs_new'!$AI$7:$AI$10</c:f>
              <c:numCache>
                <c:formatCode>0</c:formatCode>
                <c:ptCount val="4"/>
                <c:pt idx="0">
                  <c:v>298.10994621343252</c:v>
                </c:pt>
                <c:pt idx="1">
                  <c:v>253.5955850198836</c:v>
                </c:pt>
                <c:pt idx="2">
                  <c:v>296.69309151463682</c:v>
                </c:pt>
                <c:pt idx="3">
                  <c:v>315.5139080067076</c:v>
                </c:pt>
              </c:numCache>
            </c:numRef>
          </c:val>
          <c:extLst>
            <c:ext xmlns:c16="http://schemas.microsoft.com/office/drawing/2014/chart" uri="{C3380CC4-5D6E-409C-BE32-E72D297353CC}">
              <c16:uniqueId val="{0000000E-3BB4-4A19-B01C-CBBCF27C709B}"/>
            </c:ext>
          </c:extLst>
        </c:ser>
        <c:ser>
          <c:idx val="0"/>
          <c:order val="3"/>
          <c:tx>
            <c:strRef>
              <c:f>'J1634 Calcs_new'!$AJ$6</c:f>
              <c:strCache>
                <c:ptCount val="1"/>
                <c:pt idx="0">
                  <c:v>22°C Ambient with Climate off</c:v>
                </c:pt>
              </c:strCache>
            </c:strRef>
          </c:tx>
          <c:spPr>
            <a:solidFill>
              <a:schemeClr val="accent3"/>
            </a:solidFill>
          </c:spPr>
          <c:invertIfNegative val="0"/>
          <c:cat>
            <c:strRef>
              <c:f>'J1634 Calcs_new'!$AF$7:$AF$10</c:f>
              <c:strCache>
                <c:ptCount val="4"/>
                <c:pt idx="0">
                  <c:v>UDDS Cold Start</c:v>
                </c:pt>
                <c:pt idx="1">
                  <c:v>HWFET</c:v>
                </c:pt>
                <c:pt idx="2">
                  <c:v>UDDS Hot Start</c:v>
                </c:pt>
                <c:pt idx="3">
                  <c:v>US06</c:v>
                </c:pt>
              </c:strCache>
            </c:strRef>
          </c:cat>
          <c:val>
            <c:numRef>
              <c:f>'J1634 Calcs_new'!$AJ$7:$AJ$10</c:f>
              <c:numCache>
                <c:formatCode>0</c:formatCode>
                <c:ptCount val="4"/>
                <c:pt idx="0">
                  <c:v>203.41457470979122</c:v>
                </c:pt>
                <c:pt idx="1">
                  <c:v>188.15743630364653</c:v>
                </c:pt>
                <c:pt idx="2">
                  <c:v>174.5613985316528</c:v>
                </c:pt>
                <c:pt idx="3">
                  <c:v>248.82556482745954</c:v>
                </c:pt>
              </c:numCache>
            </c:numRef>
          </c:val>
          <c:extLst>
            <c:ext xmlns:c16="http://schemas.microsoft.com/office/drawing/2014/chart" uri="{C3380CC4-5D6E-409C-BE32-E72D297353CC}">
              <c16:uniqueId val="{0000000F-3BB4-4A19-B01C-CBBCF27C709B}"/>
            </c:ext>
          </c:extLst>
        </c:ser>
        <c:ser>
          <c:idx val="1"/>
          <c:order val="4"/>
          <c:tx>
            <c:strRef>
              <c:f>'J1634 Calcs_new'!$AK$6</c:f>
              <c:strCache>
                <c:ptCount val="1"/>
                <c:pt idx="0">
                  <c:v>35°C Ambient with 72°F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Calcs_new'!$AK$30</c15:f>
                      <c15:dlblFieldTableCache>
                        <c:ptCount val="1"/>
                        <c:pt idx="0">
                          <c:v>26%</c:v>
                        </c:pt>
                      </c15:dlblFieldTableCache>
                    </c15:dlblFTEntry>
                  </c15:dlblFieldTable>
                  <c15:showDataLabelsRange val="0"/>
                </c:ext>
                <c:ext xmlns:c16="http://schemas.microsoft.com/office/drawing/2014/chart" uri="{C3380CC4-5D6E-409C-BE32-E72D297353CC}">
                  <c16:uniqueId val="{00000010-3BB4-4A19-B01C-CBBCF27C709B}"/>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Calcs_new'!$AK$31</c15:f>
                      <c15:dlblFieldTableCache>
                        <c:ptCount val="1"/>
                        <c:pt idx="0">
                          <c:v>-2%</c:v>
                        </c:pt>
                      </c15:dlblFieldTableCache>
                    </c15:dlblFTEntry>
                  </c15:dlblFieldTable>
                  <c15:showDataLabelsRange val="0"/>
                </c:ext>
                <c:ext xmlns:c16="http://schemas.microsoft.com/office/drawing/2014/chart" uri="{C3380CC4-5D6E-409C-BE32-E72D297353CC}">
                  <c16:uniqueId val="{00000011-3BB4-4A19-B01C-CBBCF27C709B}"/>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Calcs_new'!$AK$32</c15:f>
                      <c15:dlblFieldTableCache>
                        <c:ptCount val="1"/>
                        <c:pt idx="0">
                          <c:v>24%</c:v>
                        </c:pt>
                      </c15:dlblFieldTableCache>
                    </c15:dlblFTEntry>
                  </c15:dlblFieldTable>
                  <c15:showDataLabelsRange val="0"/>
                </c:ext>
                <c:ext xmlns:c16="http://schemas.microsoft.com/office/drawing/2014/chart" uri="{C3380CC4-5D6E-409C-BE32-E72D297353CC}">
                  <c16:uniqueId val="{00000012-3BB4-4A19-B01C-CBBCF27C709B}"/>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Calcs_new'!$AK$33</c15:f>
                      <c15:dlblFieldTableCache>
                        <c:ptCount val="1"/>
                        <c:pt idx="0">
                          <c:v>-2%</c:v>
                        </c:pt>
                      </c15:dlblFieldTableCache>
                    </c15:dlblFTEntry>
                  </c15:dlblFieldTable>
                  <c15:showDataLabelsRange val="0"/>
                </c:ext>
                <c:ext xmlns:c16="http://schemas.microsoft.com/office/drawing/2014/chart" uri="{C3380CC4-5D6E-409C-BE32-E72D297353CC}">
                  <c16:uniqueId val="{00000013-3BB4-4A19-B01C-CBBCF27C709B}"/>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Calcs_new'!$AF$7:$AF$10</c:f>
              <c:strCache>
                <c:ptCount val="4"/>
                <c:pt idx="0">
                  <c:v>UDDS Cold Start</c:v>
                </c:pt>
                <c:pt idx="1">
                  <c:v>HWFET</c:v>
                </c:pt>
                <c:pt idx="2">
                  <c:v>UDDS Hot Start</c:v>
                </c:pt>
                <c:pt idx="3">
                  <c:v>US06</c:v>
                </c:pt>
              </c:strCache>
            </c:strRef>
          </c:cat>
          <c:val>
            <c:numRef>
              <c:f>'J1634 Calcs_new'!$AK$7:$AK$10</c:f>
              <c:numCache>
                <c:formatCode>0</c:formatCode>
                <c:ptCount val="4"/>
                <c:pt idx="0">
                  <c:v>256.35105756388606</c:v>
                </c:pt>
                <c:pt idx="1">
                  <c:v>184.08545208176477</c:v>
                </c:pt>
                <c:pt idx="2">
                  <c:v>216.60152639363722</c:v>
                </c:pt>
                <c:pt idx="3">
                  <c:v>243.75476884988871</c:v>
                </c:pt>
              </c:numCache>
            </c:numRef>
          </c:val>
          <c:extLst>
            <c:ext xmlns:c16="http://schemas.microsoft.com/office/drawing/2014/chart" uri="{C3380CC4-5D6E-409C-BE32-E72D297353CC}">
              <c16:uniqueId val="{00000014-3BB4-4A19-B01C-CBBCF27C709B}"/>
            </c:ext>
          </c:extLst>
        </c:ser>
        <c:ser>
          <c:idx val="2"/>
          <c:order val="5"/>
          <c:tx>
            <c:strRef>
              <c:f>'J1634 Calcs_new'!$AL$6</c:f>
              <c:strCache>
                <c:ptCount val="1"/>
                <c:pt idx="0">
                  <c:v>35°C w/o solar with 72°F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Calcs_new'!$AL$30</c15:f>
                      <c15:dlblFieldTableCache>
                        <c:ptCount val="1"/>
                        <c:pt idx="0">
                          <c:v>8%</c:v>
                        </c:pt>
                      </c15:dlblFieldTableCache>
                    </c15:dlblFTEntry>
                  </c15:dlblFieldTable>
                  <c15:showDataLabelsRange val="0"/>
                </c:ext>
                <c:ext xmlns:c16="http://schemas.microsoft.com/office/drawing/2014/chart" uri="{C3380CC4-5D6E-409C-BE32-E72D297353CC}">
                  <c16:uniqueId val="{00000015-3BB4-4A19-B01C-CBBCF27C709B}"/>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Calcs_new'!$AL$31</c15:f>
                      <c15:dlblFieldTableCache>
                        <c:ptCount val="1"/>
                        <c:pt idx="0">
                          <c:v>0%</c:v>
                        </c:pt>
                      </c15:dlblFieldTableCache>
                    </c15:dlblFTEntry>
                  </c15:dlblFieldTable>
                  <c15:showDataLabelsRange val="0"/>
                </c:ext>
                <c:ext xmlns:c16="http://schemas.microsoft.com/office/drawing/2014/chart" uri="{C3380CC4-5D6E-409C-BE32-E72D297353CC}">
                  <c16:uniqueId val="{00000016-3BB4-4A19-B01C-CBBCF27C709B}"/>
                </c:ext>
              </c:extLst>
            </c:dLbl>
            <c:dLbl>
              <c:idx val="2"/>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Calcs_new'!$AL$32</c15:f>
                      <c15:dlblFieldTableCache>
                        <c:ptCount val="1"/>
                        <c:pt idx="0">
                          <c:v>16%</c:v>
                        </c:pt>
                      </c15:dlblFieldTableCache>
                    </c15:dlblFTEntry>
                  </c15:dlblFieldTable>
                  <c15:showDataLabelsRange val="0"/>
                </c:ext>
                <c:ext xmlns:c16="http://schemas.microsoft.com/office/drawing/2014/chart" uri="{C3380CC4-5D6E-409C-BE32-E72D297353CC}">
                  <c16:uniqueId val="{00000017-3BB4-4A19-B01C-CBBCF27C709B}"/>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Calcs_new'!$AL$33</c15:f>
                      <c15:dlblFieldTableCache>
                        <c:ptCount val="1"/>
                        <c:pt idx="0">
                          <c:v>3%</c:v>
                        </c:pt>
                      </c15:dlblFieldTableCache>
                    </c15:dlblFTEntry>
                  </c15:dlblFieldTable>
                  <c15:showDataLabelsRange val="0"/>
                </c:ext>
                <c:ext xmlns:c16="http://schemas.microsoft.com/office/drawing/2014/chart" uri="{C3380CC4-5D6E-409C-BE32-E72D297353CC}">
                  <c16:uniqueId val="{00000018-3BB4-4A19-B01C-CBBCF27C709B}"/>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Calcs_new'!$AF$7:$AF$10</c:f>
              <c:strCache>
                <c:ptCount val="4"/>
                <c:pt idx="0">
                  <c:v>UDDS Cold Start</c:v>
                </c:pt>
                <c:pt idx="1">
                  <c:v>HWFET</c:v>
                </c:pt>
                <c:pt idx="2">
                  <c:v>UDDS Hot Start</c:v>
                </c:pt>
                <c:pt idx="3">
                  <c:v>US06</c:v>
                </c:pt>
              </c:strCache>
            </c:strRef>
          </c:cat>
          <c:val>
            <c:numRef>
              <c:f>'J1634 Calcs_new'!$AL$7:$AL$10</c:f>
              <c:numCache>
                <c:formatCode>0</c:formatCode>
                <c:ptCount val="4"/>
                <c:pt idx="0">
                  <c:v>220.08670870744461</c:v>
                </c:pt>
                <c:pt idx="1">
                  <c:v>187.27883066559775</c:v>
                </c:pt>
                <c:pt idx="2">
                  <c:v>202.83206270718966</c:v>
                </c:pt>
                <c:pt idx="3">
                  <c:v>256.30866318237582</c:v>
                </c:pt>
              </c:numCache>
            </c:numRef>
          </c:val>
          <c:extLst>
            <c:ext xmlns:c16="http://schemas.microsoft.com/office/drawing/2014/chart" uri="{C3380CC4-5D6E-409C-BE32-E72D297353CC}">
              <c16:uniqueId val="{00000019-3BB4-4A19-B01C-CBBCF27C709B}"/>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1"/>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b="1" i="0" u="none" strike="noStrike" baseline="0">
                <a:effectLst/>
              </a:rPr>
              <a:t>Energy Consumption of the 2020 Tesla Model 3 LR AWD [AC Wh/mi]</a:t>
            </a:r>
            <a:r>
              <a:rPr lang="en-US" sz="2400"/>
              <a:t> </a:t>
            </a:r>
          </a:p>
        </c:rich>
      </c:tx>
      <c:overlay val="0"/>
    </c:title>
    <c:autoTitleDeleted val="0"/>
    <c:plotArea>
      <c:layout/>
      <c:barChart>
        <c:barDir val="col"/>
        <c:grouping val="clustered"/>
        <c:varyColors val="0"/>
        <c:ser>
          <c:idx val="3"/>
          <c:order val="0"/>
          <c:tx>
            <c:strRef>
              <c:f>'J1634 Calcs_new'!$AG$6</c:f>
              <c:strCache>
                <c:ptCount val="1"/>
                <c:pt idx="0">
                  <c:v>-18°C Ambient with 72°F Cabin</c:v>
                </c:pt>
              </c:strCache>
            </c:strRef>
          </c:tx>
          <c:spPr>
            <a:solidFill>
              <a:schemeClr val="accent4"/>
            </a:solidFill>
          </c:spPr>
          <c:invertIfNegative val="0"/>
          <c:dLbls>
            <c:dLbl>
              <c:idx val="0"/>
              <c:tx>
                <c:rich>
                  <a:bodyPr/>
                  <a:lstStyle/>
                  <a:p>
                    <a:fld id="{84B4DA2D-DEDE-413A-8E81-00866827EA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5BB-4DB8-8F48-4557CFED8665}"/>
                </c:ext>
              </c:extLst>
            </c:dLbl>
            <c:dLbl>
              <c:idx val="1"/>
              <c:tx>
                <c:rich>
                  <a:bodyPr/>
                  <a:lstStyle/>
                  <a:p>
                    <a:fld id="{E122AE57-8FA3-467F-A413-5CFF7C572D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5BB-4DB8-8F48-4557CFED8665}"/>
                </c:ext>
              </c:extLst>
            </c:dLbl>
            <c:dLbl>
              <c:idx val="2"/>
              <c:tx>
                <c:rich>
                  <a:bodyPr/>
                  <a:lstStyle/>
                  <a:p>
                    <a:fld id="{3F1FDF98-BF7F-450E-A30F-9AF7F9323D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5BB-4DB8-8F48-4557CFED8665}"/>
                </c:ext>
              </c:extLst>
            </c:dLbl>
            <c:spPr>
              <a:noFill/>
              <a:ln>
                <a:noFill/>
              </a:ln>
              <a:effectLst/>
            </c:spPr>
            <c:txPr>
              <a:bodyPr wrap="square" lIns="38100" tIns="19050" rIns="38100" bIns="19050" anchor="ctr" anchorCtr="0">
                <a:spAutoFit/>
              </a:bodyPr>
              <a:lstStyle/>
              <a:p>
                <a:pPr algn="ctr">
                  <a:defRPr lang="en-US" sz="12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'J1634 Calcs_new'!$AF$13:$AF$15</c:f>
              <c:strCache>
                <c:ptCount val="3"/>
                <c:pt idx="0">
                  <c:v>UDDS</c:v>
                </c:pt>
                <c:pt idx="1">
                  <c:v>HWFET</c:v>
                </c:pt>
                <c:pt idx="2">
                  <c:v>US06</c:v>
                </c:pt>
              </c:strCache>
            </c:strRef>
          </c:cat>
          <c:val>
            <c:numRef>
              <c:f>'J1634 Calcs_new'!$AG$13:$AG$15</c:f>
              <c:numCache>
                <c:formatCode>0</c:formatCode>
                <c:ptCount val="3"/>
                <c:pt idx="0">
                  <c:v>623.1978102885663</c:v>
                </c:pt>
                <c:pt idx="1">
                  <c:v>451.83251791074258</c:v>
                </c:pt>
                <c:pt idx="2">
                  <c:v>540.26926949386973</c:v>
                </c:pt>
              </c:numCache>
            </c:numRef>
          </c:val>
          <c:extLst>
            <c:ext xmlns:c15="http://schemas.microsoft.com/office/drawing/2012/chart" uri="{02D57815-91ED-43cb-92C2-25804820EDAC}">
              <c15:datalabelsRange>
                <c15:f>'J1634 Calcs_new'!$AG$18:$AG$20</c15:f>
                <c15:dlblRangeCache>
                  <c:ptCount val="3"/>
                  <c:pt idx="0">
                    <c:v>225%</c:v>
                  </c:pt>
                  <c:pt idx="1">
                    <c:v>118%</c:v>
                  </c:pt>
                  <c:pt idx="2">
                    <c:v>97%</c:v>
                  </c:pt>
                </c15:dlblRangeCache>
              </c15:datalabelsRange>
            </c:ext>
            <c:ext xmlns:c16="http://schemas.microsoft.com/office/drawing/2014/chart" uri="{C3380CC4-5D6E-409C-BE32-E72D297353CC}">
              <c16:uniqueId val="{00000004-45BB-4DB8-8F48-4557CFED8665}"/>
            </c:ext>
          </c:extLst>
        </c:ser>
        <c:ser>
          <c:idx val="4"/>
          <c:order val="1"/>
          <c:tx>
            <c:strRef>
              <c:f>'J1634 Calcs_new'!$AH$6</c:f>
              <c:strCache>
                <c:ptCount val="1"/>
                <c:pt idx="0">
                  <c:v>-7°C Ambient with 72°F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394CBF15-CA2B-4CE4-86C1-FE79926227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5BB-4DB8-8F48-4557CFED8665}"/>
                </c:ext>
              </c:extLst>
            </c:dLbl>
            <c:dLbl>
              <c:idx val="1"/>
              <c:layout>
                <c:manualLayout>
                  <c:x val="2.9775165847086551E-3"/>
                  <c:y val="2.6629929944412154E-3"/>
                </c:manualLayout>
              </c:layout>
              <c:tx>
                <c:rich>
                  <a:bodyPr/>
                  <a:lstStyle/>
                  <a:p>
                    <a:fld id="{BEE348A3-79C8-4AC0-87D6-3CCEC53297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5BB-4DB8-8F48-4557CFED8665}"/>
                </c:ext>
              </c:extLst>
            </c:dLbl>
            <c:dLbl>
              <c:idx val="2"/>
              <c:layout>
                <c:manualLayout>
                  <c:x val="1.4887582923543822E-3"/>
                  <c:y val="2.662992994441264E-3"/>
                </c:manualLayout>
              </c:layout>
              <c:tx>
                <c:rich>
                  <a:bodyPr/>
                  <a:lstStyle/>
                  <a:p>
                    <a:fld id="{70C77100-B9D9-4A3E-B984-F4C2E5849C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5BB-4DB8-8F48-4557CFED8665}"/>
                </c:ext>
              </c:extLst>
            </c:dLbl>
            <c:dLbl>
              <c:idx val="3"/>
              <c:layout>
                <c:manualLayout>
                  <c:x val="3.4346590816893546E-3"/>
                  <c:y val="-7.7292157323902014E-17"/>
                </c:manualLayout>
              </c:layout>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45BB-4DB8-8F48-4557CFED8665}"/>
                </c:ext>
              </c:extLst>
            </c:dLbl>
            <c:spPr>
              <a:solidFill>
                <a:schemeClr val="bg1"/>
              </a:solidFill>
              <a:ln>
                <a:noFill/>
              </a:ln>
              <a:effectLst/>
            </c:spPr>
            <c:txPr>
              <a:bodyPr wrap="square" lIns="38100" tIns="19050" rIns="38100" bIns="19050" anchor="ctr">
                <a:spAutoFit/>
              </a:bodyPr>
              <a:lstStyle/>
              <a:p>
                <a:pPr>
                  <a:defRPr sz="1200" b="1"/>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'J1634 Calcs_new'!$AF$13:$AF$15</c:f>
              <c:strCache>
                <c:ptCount val="3"/>
                <c:pt idx="0">
                  <c:v>UDDS</c:v>
                </c:pt>
                <c:pt idx="1">
                  <c:v>HWFET</c:v>
                </c:pt>
                <c:pt idx="2">
                  <c:v>US06</c:v>
                </c:pt>
              </c:strCache>
            </c:strRef>
          </c:cat>
          <c:val>
            <c:numRef>
              <c:f>'J1634 Calcs_new'!$AH$13:$AH$15</c:f>
              <c:numCache>
                <c:formatCode>0</c:formatCode>
                <c:ptCount val="3"/>
                <c:pt idx="0">
                  <c:v>345.61076559747676</c:v>
                </c:pt>
                <c:pt idx="1">
                  <c:v>297.79189838158862</c:v>
                </c:pt>
                <c:pt idx="2">
                  <c:v>375.81766958367479</c:v>
                </c:pt>
              </c:numCache>
            </c:numRef>
          </c:val>
          <c:extLst>
            <c:ext xmlns:c15="http://schemas.microsoft.com/office/drawing/2012/chart" uri="{02D57815-91ED-43cb-92C2-25804820EDAC}">
              <c15:datalabelsRange>
                <c15:f>'J1634 Calcs_new'!$AH$18:$AH$20</c15:f>
                <c15:dlblRangeCache>
                  <c:ptCount val="3"/>
                  <c:pt idx="0">
                    <c:v>80%</c:v>
                  </c:pt>
                  <c:pt idx="1">
                    <c:v>44%</c:v>
                  </c:pt>
                  <c:pt idx="2">
                    <c:v>37%</c:v>
                  </c:pt>
                </c15:dlblRangeCache>
              </c15:datalabelsRange>
            </c:ext>
            <c:ext xmlns:c16="http://schemas.microsoft.com/office/drawing/2014/chart" uri="{C3380CC4-5D6E-409C-BE32-E72D297353CC}">
              <c16:uniqueId val="{00000009-45BB-4DB8-8F48-4557CFED8665}"/>
            </c:ext>
          </c:extLst>
        </c:ser>
        <c:ser>
          <c:idx val="0"/>
          <c:order val="2"/>
          <c:tx>
            <c:strRef>
              <c:f>'J1634 Calcs_new'!$AJ$6</c:f>
              <c:strCache>
                <c:ptCount val="1"/>
                <c:pt idx="0">
                  <c:v>22°C Ambient with Climate off</c:v>
                </c:pt>
              </c:strCache>
            </c:strRef>
          </c:tx>
          <c:spPr>
            <a:solidFill>
              <a:schemeClr val="accent3"/>
            </a:solidFill>
          </c:spPr>
          <c:invertIfNegative val="0"/>
          <c:cat>
            <c:strRef>
              <c:f>'J1634 Calcs_new'!$AF$13:$AF$15</c:f>
              <c:strCache>
                <c:ptCount val="3"/>
                <c:pt idx="0">
                  <c:v>UDDS</c:v>
                </c:pt>
                <c:pt idx="1">
                  <c:v>HWFET</c:v>
                </c:pt>
                <c:pt idx="2">
                  <c:v>US06</c:v>
                </c:pt>
              </c:strCache>
            </c:strRef>
          </c:cat>
          <c:val>
            <c:numRef>
              <c:f>'J1634 Calcs_new'!$AJ$13:$AJ$15</c:f>
              <c:numCache>
                <c:formatCode>0</c:formatCode>
                <c:ptCount val="3"/>
                <c:pt idx="0">
                  <c:v>191.87086118564312</c:v>
                </c:pt>
                <c:pt idx="1">
                  <c:v>207.03102229054375</c:v>
                </c:pt>
                <c:pt idx="2">
                  <c:v>274.27312209401856</c:v>
                </c:pt>
              </c:numCache>
            </c:numRef>
          </c:val>
          <c:extLst>
            <c:ext xmlns:c16="http://schemas.microsoft.com/office/drawing/2014/chart" uri="{C3380CC4-5D6E-409C-BE32-E72D297353CC}">
              <c16:uniqueId val="{0000000A-45BB-4DB8-8F48-4557CFED8665}"/>
            </c:ext>
          </c:extLst>
        </c:ser>
        <c:ser>
          <c:idx val="1"/>
          <c:order val="3"/>
          <c:tx>
            <c:strRef>
              <c:f>'J1634 Calcs_new'!$AK$6</c:f>
              <c:strCache>
                <c:ptCount val="1"/>
                <c:pt idx="0">
                  <c:v>35°C Ambient with 72°F Cabin</c:v>
                </c:pt>
              </c:strCache>
            </c:strRef>
          </c:tx>
          <c:spPr>
            <a:solidFill>
              <a:schemeClr val="accent2"/>
            </a:solidFill>
          </c:spPr>
          <c:invertIfNegative val="0"/>
          <c:dLbls>
            <c:dLbl>
              <c:idx val="0"/>
              <c:layout>
                <c:manualLayout>
                  <c:x val="-2.7208425476230329E-4"/>
                  <c:y val="9.1465686595936196E-4"/>
                </c:manualLayout>
              </c:layout>
              <c:tx>
                <c:rich>
                  <a:bodyPr/>
                  <a:lstStyle/>
                  <a:p>
                    <a:fld id="{E8192D58-EC4B-4C36-9811-CDC60F9575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5BB-4DB8-8F48-4557CFED8665}"/>
                </c:ext>
              </c:extLst>
            </c:dLbl>
            <c:dLbl>
              <c:idx val="1"/>
              <c:tx>
                <c:rich>
                  <a:bodyPr/>
                  <a:lstStyle/>
                  <a:p>
                    <a:fld id="{BF5B6AB7-0D41-4239-BF0C-8A99E4CBDF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5BB-4DB8-8F48-4557CFED8665}"/>
                </c:ext>
              </c:extLst>
            </c:dLbl>
            <c:dLbl>
              <c:idx val="2"/>
              <c:tx>
                <c:rich>
                  <a:bodyPr/>
                  <a:lstStyle/>
                  <a:p>
                    <a:fld id="{06419361-1155-4D71-BB63-39AC48AA20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5BB-4DB8-8F48-4557CFED8665}"/>
                </c:ext>
              </c:extLst>
            </c:dLbl>
            <c:spPr>
              <a:solidFill>
                <a:schemeClr val="bg1"/>
              </a:solidFill>
              <a:ln>
                <a:noFill/>
              </a:ln>
              <a:effectLst/>
            </c:spPr>
            <c:txPr>
              <a:bodyPr wrap="square" lIns="38100" tIns="19050" rIns="38100" bIns="19050" anchor="ctr">
                <a:spAutoFit/>
              </a:bodyPr>
              <a:lstStyle/>
              <a:p>
                <a:pPr>
                  <a:defRPr sz="1200" b="1"/>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'J1634 Calcs_new'!$AF$13:$AF$15</c:f>
              <c:strCache>
                <c:ptCount val="3"/>
                <c:pt idx="0">
                  <c:v>UDDS</c:v>
                </c:pt>
                <c:pt idx="1">
                  <c:v>HWFET</c:v>
                </c:pt>
                <c:pt idx="2">
                  <c:v>US06</c:v>
                </c:pt>
              </c:strCache>
            </c:strRef>
          </c:cat>
          <c:val>
            <c:numRef>
              <c:f>'J1634 Calcs_new'!$AK$13:$AK$15</c:f>
              <c:numCache>
                <c:formatCode>0</c:formatCode>
                <c:ptCount val="3"/>
                <c:pt idx="0">
                  <c:v>246.52071759330829</c:v>
                </c:pt>
                <c:pt idx="1">
                  <c:v>208.55032582279784</c:v>
                </c:pt>
                <c:pt idx="2">
                  <c:v>276.14966793750625</c:v>
                </c:pt>
              </c:numCache>
            </c:numRef>
          </c:val>
          <c:extLst>
            <c:ext xmlns:c15="http://schemas.microsoft.com/office/drawing/2012/chart" uri="{02D57815-91ED-43cb-92C2-25804820EDAC}">
              <c15:datalabelsRange>
                <c15:f>'J1634 Calcs_new'!$AK$18:$AK$20</c15:f>
                <c15:dlblRangeCache>
                  <c:ptCount val="3"/>
                  <c:pt idx="0">
                    <c:v>28%</c:v>
                  </c:pt>
                  <c:pt idx="1">
                    <c:v>1%</c:v>
                  </c:pt>
                  <c:pt idx="2">
                    <c:v>1%</c:v>
                  </c:pt>
                </c15:dlblRangeCache>
              </c15:datalabelsRange>
            </c:ext>
            <c:ext xmlns:c16="http://schemas.microsoft.com/office/drawing/2014/chart" uri="{C3380CC4-5D6E-409C-BE32-E72D297353CC}">
              <c16:uniqueId val="{0000000F-45BB-4DB8-8F48-4557CFED8665}"/>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in val="0"/>
        </c:scaling>
        <c:delete val="0"/>
        <c:axPos val="l"/>
        <c:majorGridlines/>
        <c:title>
          <c:tx>
            <c:rich>
              <a:bodyPr/>
              <a:lstStyle/>
              <a:p>
                <a:pPr>
                  <a:defRPr sz="2400"/>
                </a:pPr>
                <a:r>
                  <a:rPr lang="en-US" sz="2400"/>
                  <a:t>Energy Consumption</a:t>
                </a:r>
              </a:p>
              <a:p>
                <a:pPr>
                  <a:defRPr sz="2400"/>
                </a:pPr>
                <a:r>
                  <a:rPr lang="en-US" sz="2400"/>
                  <a:t> J1634</a:t>
                </a:r>
                <a:r>
                  <a:rPr lang="en-US" sz="2400" baseline="0"/>
                  <a:t> </a:t>
                </a:r>
                <a:r>
                  <a:rPr lang="en-US" sz="2400"/>
                  <a:t>Weighted</a:t>
                </a:r>
                <a:r>
                  <a:rPr lang="en-US" sz="2400" baseline="0"/>
                  <a:t> </a:t>
                </a:r>
              </a:p>
              <a:p>
                <a:pPr>
                  <a:defRPr sz="2400"/>
                </a:pPr>
                <a:r>
                  <a:rPr lang="en-US" sz="2400"/>
                  <a:t>[AC Wh/mi]</a:t>
                </a:r>
              </a:p>
            </c:rich>
          </c:tx>
          <c:layout>
            <c:manualLayout>
              <c:xMode val="edge"/>
              <c:yMode val="edge"/>
              <c:x val="3.0711558244555646E-2"/>
              <c:y val="0.24590766526657187"/>
            </c:manualLayout>
          </c:layout>
          <c:overlay val="0"/>
        </c:title>
        <c:numFmt formatCode="0" sourceLinked="1"/>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268155082674316"/>
          <c:y val="0.14316962862699625"/>
          <c:w val="0.83367432012384679"/>
          <c:h val="0.82275872808645545"/>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5-952D-4809-87CD-AEBB7F6E2429}"/>
              </c:ext>
            </c:extLst>
          </c:dPt>
          <c:dPt>
            <c:idx val="1"/>
            <c:invertIfNegative val="0"/>
            <c:bubble3D val="0"/>
            <c:spPr>
              <a:solidFill>
                <a:srgbClr val="00B050"/>
              </a:solidFill>
              <a:ln>
                <a:noFill/>
              </a:ln>
              <a:effectLst/>
            </c:spPr>
            <c:extLst>
              <c:ext xmlns:c16="http://schemas.microsoft.com/office/drawing/2014/chart" uri="{C3380CC4-5D6E-409C-BE32-E72D297353CC}">
                <c16:uniqueId val="{00000004-952D-4809-87CD-AEBB7F6E2429}"/>
              </c:ext>
            </c:extLst>
          </c:dPt>
          <c:dPt>
            <c:idx val="2"/>
            <c:invertIfNegative val="0"/>
            <c:bubble3D val="0"/>
            <c:spPr>
              <a:solidFill>
                <a:srgbClr val="FFC000"/>
              </a:solidFill>
              <a:ln>
                <a:noFill/>
              </a:ln>
              <a:effectLst/>
            </c:spPr>
            <c:extLst>
              <c:ext xmlns:c16="http://schemas.microsoft.com/office/drawing/2014/chart" uri="{C3380CC4-5D6E-409C-BE32-E72D297353CC}">
                <c16:uniqueId val="{00000003-952D-4809-87CD-AEBB7F6E2429}"/>
              </c:ext>
            </c:extLst>
          </c:dPt>
          <c:dPt>
            <c:idx val="4"/>
            <c:invertIfNegative val="0"/>
            <c:bubble3D val="0"/>
            <c:spPr>
              <a:solidFill>
                <a:srgbClr val="FFC000"/>
              </a:solidFill>
              <a:ln>
                <a:noFill/>
              </a:ln>
              <a:effectLst/>
            </c:spPr>
            <c:extLst>
              <c:ext xmlns:c16="http://schemas.microsoft.com/office/drawing/2014/chart" uri="{C3380CC4-5D6E-409C-BE32-E72D297353CC}">
                <c16:uniqueId val="{00000002-952D-4809-87CD-AEBB7F6E2429}"/>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'J1634 Calcs_new'!$O$82:$O$89</c:f>
              <c:strCache>
                <c:ptCount val="8"/>
                <c:pt idx="0">
                  <c:v>Cyc5: US06 2</c:v>
                </c:pt>
                <c:pt idx="1">
                  <c:v>Cyc4: US06 1</c:v>
                </c:pt>
                <c:pt idx="2">
                  <c:v>Cyc2: HWFET 1</c:v>
                </c:pt>
                <c:pt idx="3">
                  <c:v>Cyc8: UDDS4</c:v>
                </c:pt>
                <c:pt idx="4">
                  <c:v>Cyc7: HWFET 2</c:v>
                </c:pt>
                <c:pt idx="5">
                  <c:v>Cyc6: UDDS 3</c:v>
                </c:pt>
                <c:pt idx="6">
                  <c:v>Cyc3: UDDS 2</c:v>
                </c:pt>
                <c:pt idx="7">
                  <c:v>Cyc1: UDDS 1</c:v>
                </c:pt>
              </c:strCache>
            </c:strRef>
          </c:cat>
          <c:val>
            <c:numRef>
              <c:f>'J1634 Calcs_new'!$P$82:$P$89</c:f>
              <c:numCache>
                <c:formatCode>0%</c:formatCode>
                <c:ptCount val="8"/>
                <c:pt idx="0">
                  <c:v>0.20892761947975713</c:v>
                </c:pt>
                <c:pt idx="1">
                  <c:v>0.4017921611259756</c:v>
                </c:pt>
                <c:pt idx="2">
                  <c:v>0.47802768831887188</c:v>
                </c:pt>
                <c:pt idx="3">
                  <c:v>0.48196909070383276</c:v>
                </c:pt>
                <c:pt idx="4">
                  <c:v>0.60015208378300677</c:v>
                </c:pt>
                <c:pt idx="5">
                  <c:v>0.87427912461523882</c:v>
                </c:pt>
                <c:pt idx="6">
                  <c:v>0.88323780636147298</c:v>
                </c:pt>
                <c:pt idx="7">
                  <c:v>1.3061105955099177</c:v>
                </c:pt>
              </c:numCache>
            </c:numRef>
          </c:val>
          <c:extLst>
            <c:ext xmlns:c16="http://schemas.microsoft.com/office/drawing/2014/chart" uri="{C3380CC4-5D6E-409C-BE32-E72D297353CC}">
              <c16:uniqueId val="{00000000-952D-4809-87CD-AEBB7F6E2429}"/>
            </c:ext>
          </c:extLst>
        </c:ser>
        <c:dLbls>
          <c:showLegendKey val="0"/>
          <c:showVal val="0"/>
          <c:showCatName val="0"/>
          <c:showSerName val="0"/>
          <c:showPercent val="0"/>
          <c:showBubbleSize val="0"/>
        </c:dLbls>
        <c:gapWidth val="182"/>
        <c:axId val="625712223"/>
        <c:axId val="625709727"/>
      </c:barChart>
      <c:catAx>
        <c:axId val="6257122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25709727"/>
        <c:crosses val="autoZero"/>
        <c:auto val="1"/>
        <c:lblAlgn val="ctr"/>
        <c:lblOffset val="100"/>
        <c:noMultiLvlLbl val="0"/>
      </c:catAx>
      <c:valAx>
        <c:axId val="625709727"/>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b"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257122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b="1" i="0" u="none" strike="noStrike" baseline="0">
                <a:effectLst/>
              </a:rPr>
              <a:t>Calculated Range of the 2020 </a:t>
            </a:r>
            <a:r>
              <a:rPr lang="en-US" sz="2400"/>
              <a:t>Tesla </a:t>
            </a:r>
            <a:r>
              <a:rPr lang="en-US" sz="2400" b="1" i="0" u="none" strike="noStrike" baseline="0">
                <a:effectLst/>
              </a:rPr>
              <a:t>Model 3 LR AWD [mi]</a:t>
            </a:r>
            <a:r>
              <a:rPr lang="en-US" sz="2400"/>
              <a:t> </a:t>
            </a:r>
          </a:p>
        </c:rich>
      </c:tx>
      <c:overlay val="0"/>
    </c:title>
    <c:autoTitleDeleted val="0"/>
    <c:plotArea>
      <c:layout/>
      <c:barChart>
        <c:barDir val="col"/>
        <c:grouping val="clustered"/>
        <c:varyColors val="0"/>
        <c:ser>
          <c:idx val="3"/>
          <c:order val="0"/>
          <c:tx>
            <c:strRef>
              <c:f>'J1634 Calcs_new'!$AG$6</c:f>
              <c:strCache>
                <c:ptCount val="1"/>
                <c:pt idx="0">
                  <c:v>-18°C Ambient with 72°F Cabin</c:v>
                </c:pt>
              </c:strCache>
            </c:strRef>
          </c:tx>
          <c:spPr>
            <a:solidFill>
              <a:schemeClr val="accent4"/>
            </a:solidFill>
          </c:spPr>
          <c:invertIfNegative val="0"/>
          <c:dLbls>
            <c:dLbl>
              <c:idx val="0"/>
              <c:layout>
                <c:manualLayout>
                  <c:x val="1.4887745010134603E-3"/>
                  <c:y val="9.1772439983218437E-4"/>
                </c:manualLayout>
              </c:layout>
              <c:tx>
                <c:rich>
                  <a:bodyPr/>
                  <a:lstStyle/>
                  <a:p>
                    <a:fld id="{F887D380-CCAE-4EFB-AFBD-C392D19546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943F-4A71-8616-AE0B5F6262B5}"/>
                </c:ext>
              </c:extLst>
            </c:dLbl>
            <c:dLbl>
              <c:idx val="1"/>
              <c:tx>
                <c:rich>
                  <a:bodyPr/>
                  <a:lstStyle/>
                  <a:p>
                    <a:fld id="{D1BED7C0-7E5F-4E93-8BE4-ABCAE76D57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43F-4A71-8616-AE0B5F6262B5}"/>
                </c:ext>
              </c:extLst>
            </c:dLbl>
            <c:dLbl>
              <c:idx val="2"/>
              <c:tx>
                <c:rich>
                  <a:bodyPr/>
                  <a:lstStyle/>
                  <a:p>
                    <a:fld id="{F704D699-0BA8-4455-8BD0-2348CD00E4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43F-4A71-8616-AE0B5F6262B5}"/>
                </c:ext>
              </c:extLst>
            </c:dLbl>
            <c:spPr>
              <a:solidFill>
                <a:schemeClr val="bg1"/>
              </a:solidFill>
              <a:ln>
                <a:noFill/>
              </a:ln>
              <a:effectLst/>
            </c:spPr>
            <c:txPr>
              <a:bodyPr wrap="square" lIns="38100" tIns="19050" rIns="38100" bIns="19050" anchor="ctr">
                <a:spAutoFit/>
              </a:bodyPr>
              <a:lstStyle/>
              <a:p>
                <a:pPr>
                  <a:defRPr sz="1200" b="1"/>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'J1634 Calcs_new'!$AF$41:$AF$43</c:f>
              <c:strCache>
                <c:ptCount val="3"/>
                <c:pt idx="0">
                  <c:v>UDDS</c:v>
                </c:pt>
                <c:pt idx="1">
                  <c:v>HWY</c:v>
                </c:pt>
                <c:pt idx="2">
                  <c:v>US06</c:v>
                </c:pt>
              </c:strCache>
            </c:strRef>
          </c:cat>
          <c:val>
            <c:numRef>
              <c:f>'J1634 Calcs_new'!$AG$36:$AG$38</c:f>
              <c:numCache>
                <c:formatCode>0</c:formatCode>
                <c:ptCount val="3"/>
                <c:pt idx="0">
                  <c:v>171.57953872429457</c:v>
                </c:pt>
                <c:pt idx="1">
                  <c:v>236.65404455114</c:v>
                </c:pt>
                <c:pt idx="2">
                  <c:v>197.91611120779453</c:v>
                </c:pt>
              </c:numCache>
            </c:numRef>
          </c:val>
          <c:extLst>
            <c:ext xmlns:c15="http://schemas.microsoft.com/office/drawing/2012/chart" uri="{02D57815-91ED-43cb-92C2-25804820EDAC}">
              <c15:datalabelsRange>
                <c15:f>'J1634 Calcs_new'!$AG$41:$AG$43</c15:f>
                <c15:dlblRangeCache>
                  <c:ptCount val="3"/>
                  <c:pt idx="0">
                    <c:v>38%</c:v>
                  </c:pt>
                  <c:pt idx="1">
                    <c:v>57%</c:v>
                  </c:pt>
                  <c:pt idx="2">
                    <c:v>63%</c:v>
                  </c:pt>
                </c15:dlblRangeCache>
              </c15:datalabelsRange>
            </c:ext>
            <c:ext xmlns:c16="http://schemas.microsoft.com/office/drawing/2014/chart" uri="{C3380CC4-5D6E-409C-BE32-E72D297353CC}">
              <c16:uniqueId val="{00000004-943F-4A71-8616-AE0B5F6262B5}"/>
            </c:ext>
          </c:extLst>
        </c:ser>
        <c:ser>
          <c:idx val="4"/>
          <c:order val="1"/>
          <c:tx>
            <c:strRef>
              <c:f>'J1634 Calcs_new'!$AH$6</c:f>
              <c:strCache>
                <c:ptCount val="1"/>
                <c:pt idx="0">
                  <c:v>-7°C Ambient with 72°F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FBBBAB20-D398-4118-B0B6-5797732CCA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943F-4A71-8616-AE0B5F6262B5}"/>
                </c:ext>
              </c:extLst>
            </c:dLbl>
            <c:dLbl>
              <c:idx val="1"/>
              <c:layout>
                <c:manualLayout>
                  <c:x val="2.9775165847086551E-3"/>
                  <c:y val="2.6629929944412154E-3"/>
                </c:manualLayout>
              </c:layout>
              <c:tx>
                <c:rich>
                  <a:bodyPr/>
                  <a:lstStyle/>
                  <a:p>
                    <a:fld id="{77E04935-3AFC-41E3-967D-ABBD2FB136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43F-4A71-8616-AE0B5F6262B5}"/>
                </c:ext>
              </c:extLst>
            </c:dLbl>
            <c:dLbl>
              <c:idx val="2"/>
              <c:layout>
                <c:manualLayout>
                  <c:x val="1.4887582923543822E-3"/>
                  <c:y val="2.662992994441264E-3"/>
                </c:manualLayout>
              </c:layout>
              <c:tx>
                <c:rich>
                  <a:bodyPr/>
                  <a:lstStyle/>
                  <a:p>
                    <a:fld id="{5AD08F0E-BFB7-41F0-AF6F-B61836E009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943F-4A71-8616-AE0B5F6262B5}"/>
                </c:ext>
              </c:extLst>
            </c:dLbl>
            <c:dLbl>
              <c:idx val="3"/>
              <c:layout>
                <c:manualLayout>
                  <c:x val="3.4346590816893546E-3"/>
                  <c:y val="-7.7292157323902014E-17"/>
                </c:manualLayout>
              </c:layout>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943F-4A71-8616-AE0B5F6262B5}"/>
                </c:ext>
              </c:extLst>
            </c:dLbl>
            <c:spPr>
              <a:solidFill>
                <a:schemeClr val="bg1"/>
              </a:solidFill>
              <a:ln>
                <a:noFill/>
              </a:ln>
              <a:effectLst/>
            </c:spPr>
            <c:txPr>
              <a:bodyPr wrap="square" lIns="38100" tIns="19050" rIns="38100" bIns="19050" anchor="ctr">
                <a:spAutoFit/>
              </a:bodyPr>
              <a:lstStyle/>
              <a:p>
                <a:pPr>
                  <a:defRPr sz="1200" b="1"/>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'J1634 Calcs_new'!$AF$41:$AF$43</c:f>
              <c:strCache>
                <c:ptCount val="3"/>
                <c:pt idx="0">
                  <c:v>UDDS</c:v>
                </c:pt>
                <c:pt idx="1">
                  <c:v>HWY</c:v>
                </c:pt>
                <c:pt idx="2">
                  <c:v>US06</c:v>
                </c:pt>
              </c:strCache>
            </c:strRef>
          </c:cat>
          <c:val>
            <c:numRef>
              <c:f>'J1634 Calcs_new'!$AH$36:$AH$38</c:f>
              <c:numCache>
                <c:formatCode>0</c:formatCode>
                <c:ptCount val="3"/>
                <c:pt idx="0">
                  <c:v>249.73487122499714</c:v>
                </c:pt>
                <c:pt idx="1">
                  <c:v>289.83683071814158</c:v>
                </c:pt>
                <c:pt idx="2">
                  <c:v>229.66205962607515</c:v>
                </c:pt>
              </c:numCache>
            </c:numRef>
          </c:val>
          <c:extLst>
            <c:ext xmlns:c15="http://schemas.microsoft.com/office/drawing/2012/chart" uri="{02D57815-91ED-43cb-92C2-25804820EDAC}">
              <c15:datalabelsRange>
                <c15:f>'J1634 Calcs_new'!$AH$41:$AH$43</c15:f>
                <c15:dlblRangeCache>
                  <c:ptCount val="3"/>
                  <c:pt idx="0">
                    <c:v>56%</c:v>
                  </c:pt>
                  <c:pt idx="1">
                    <c:v>70%</c:v>
                  </c:pt>
                  <c:pt idx="2">
                    <c:v>73%</c:v>
                  </c:pt>
                </c15:dlblRangeCache>
              </c15:datalabelsRange>
            </c:ext>
            <c:ext xmlns:c16="http://schemas.microsoft.com/office/drawing/2014/chart" uri="{C3380CC4-5D6E-409C-BE32-E72D297353CC}">
              <c16:uniqueId val="{00000009-943F-4A71-8616-AE0B5F6262B5}"/>
            </c:ext>
          </c:extLst>
        </c:ser>
        <c:ser>
          <c:idx val="0"/>
          <c:order val="2"/>
          <c:tx>
            <c:strRef>
              <c:f>'J1634 Calcs_new'!$AJ$6</c:f>
              <c:strCache>
                <c:ptCount val="1"/>
                <c:pt idx="0">
                  <c:v>22°C Ambient with Climate off</c:v>
                </c:pt>
              </c:strCache>
            </c:strRef>
          </c:tx>
          <c:spPr>
            <a:solidFill>
              <a:schemeClr val="accent3"/>
            </a:solidFill>
          </c:spPr>
          <c:invertIfNegative val="0"/>
          <c:dLbls>
            <c:spPr>
              <a:solidFill>
                <a:schemeClr val="bg1"/>
              </a:solidFill>
              <a:ln>
                <a:noFill/>
              </a:ln>
              <a:effectLst/>
            </c:spPr>
            <c:txPr>
              <a:bodyPr wrap="square" lIns="38100" tIns="19050" rIns="38100" bIns="19050" anchor="ctr">
                <a:spAutoFit/>
              </a:bodyPr>
              <a:lstStyle/>
              <a:p>
                <a:pPr>
                  <a:defRPr sz="1400" b="1" u="sng">
                    <a:ln>
                      <a:noFill/>
                    </a:l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Calcs_new'!$AF$41:$AF$43</c:f>
              <c:strCache>
                <c:ptCount val="3"/>
                <c:pt idx="0">
                  <c:v>UDDS</c:v>
                </c:pt>
                <c:pt idx="1">
                  <c:v>HWY</c:v>
                </c:pt>
                <c:pt idx="2">
                  <c:v>US06</c:v>
                </c:pt>
              </c:strCache>
            </c:strRef>
          </c:cat>
          <c:val>
            <c:numRef>
              <c:f>'J1634 Calcs_new'!$AJ$36:$AJ$38</c:f>
              <c:numCache>
                <c:formatCode>0</c:formatCode>
                <c:ptCount val="3"/>
                <c:pt idx="0">
                  <c:v>446.93915204262737</c:v>
                </c:pt>
                <c:pt idx="1">
                  <c:v>414.21135369584124</c:v>
                </c:pt>
                <c:pt idx="2">
                  <c:v>312.66133314588524</c:v>
                </c:pt>
              </c:numCache>
            </c:numRef>
          </c:val>
          <c:extLst>
            <c:ext xmlns:c16="http://schemas.microsoft.com/office/drawing/2014/chart" uri="{C3380CC4-5D6E-409C-BE32-E72D297353CC}">
              <c16:uniqueId val="{0000000F-943F-4A71-8616-AE0B5F6262B5}"/>
            </c:ext>
          </c:extLst>
        </c:ser>
        <c:ser>
          <c:idx val="1"/>
          <c:order val="3"/>
          <c:tx>
            <c:strRef>
              <c:f>'J1634 Calcs_new'!$AK$6</c:f>
              <c:strCache>
                <c:ptCount val="1"/>
                <c:pt idx="0">
                  <c:v>35°C Ambient with 72°F Cabin</c:v>
                </c:pt>
              </c:strCache>
            </c:strRef>
          </c:tx>
          <c:spPr>
            <a:solidFill>
              <a:schemeClr val="accent2"/>
            </a:solidFill>
          </c:spPr>
          <c:invertIfNegative val="0"/>
          <c:dLbls>
            <c:dLbl>
              <c:idx val="0"/>
              <c:layout>
                <c:manualLayout>
                  <c:x val="2.5727051976158388E-3"/>
                  <c:y val="9.1370524318928274E-4"/>
                </c:manualLayout>
              </c:layout>
              <c:tx>
                <c:rich>
                  <a:bodyPr/>
                  <a:lstStyle/>
                  <a:p>
                    <a:fld id="{C0E31060-0B34-457B-95AE-62D87FD6B5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943F-4A71-8616-AE0B5F6262B5}"/>
                </c:ext>
              </c:extLst>
            </c:dLbl>
            <c:dLbl>
              <c:idx val="1"/>
              <c:tx>
                <c:rich>
                  <a:bodyPr/>
                  <a:lstStyle/>
                  <a:p>
                    <a:fld id="{0E144B1D-7208-4AB3-829A-83C936B425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43F-4A71-8616-AE0B5F6262B5}"/>
                </c:ext>
              </c:extLst>
            </c:dLbl>
            <c:dLbl>
              <c:idx val="2"/>
              <c:tx>
                <c:rich>
                  <a:bodyPr/>
                  <a:lstStyle/>
                  <a:p>
                    <a:fld id="{671D31EE-1CAD-4A12-8B7E-93ACCD4B7B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43F-4A71-8616-AE0B5F6262B5}"/>
                </c:ext>
              </c:extLst>
            </c:dLbl>
            <c:numFmt formatCode="0.00%" sourceLinked="0"/>
            <c:spPr>
              <a:solidFill>
                <a:schemeClr val="bg1"/>
              </a:solidFill>
              <a:ln>
                <a:noFill/>
              </a:ln>
              <a:effectLst/>
            </c:spPr>
            <c:txPr>
              <a:bodyPr wrap="square" lIns="38100" tIns="19050" rIns="38100" bIns="19050" anchor="ctr">
                <a:spAutoFit/>
              </a:bodyPr>
              <a:lstStyle/>
              <a:p>
                <a:pPr>
                  <a:defRPr sz="1200" b="1"/>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'J1634 Calcs_new'!$AF$41:$AF$43</c:f>
              <c:strCache>
                <c:ptCount val="3"/>
                <c:pt idx="0">
                  <c:v>UDDS</c:v>
                </c:pt>
                <c:pt idx="1">
                  <c:v>HWY</c:v>
                </c:pt>
                <c:pt idx="2">
                  <c:v>US06</c:v>
                </c:pt>
              </c:strCache>
            </c:strRef>
          </c:cat>
          <c:val>
            <c:numRef>
              <c:f>'J1634 Calcs_new'!$AK$36:$AK$38</c:f>
              <c:numCache>
                <c:formatCode>0</c:formatCode>
                <c:ptCount val="3"/>
                <c:pt idx="0">
                  <c:v>349.82744365534592</c:v>
                </c:pt>
                <c:pt idx="1">
                  <c:v>413.51991229697302</c:v>
                </c:pt>
                <c:pt idx="2">
                  <c:v>312.29337731184557</c:v>
                </c:pt>
              </c:numCache>
            </c:numRef>
          </c:val>
          <c:extLst>
            <c:ext xmlns:c15="http://schemas.microsoft.com/office/drawing/2012/chart" uri="{02D57815-91ED-43cb-92C2-25804820EDAC}">
              <c15:datalabelsRange>
                <c15:f>'J1634 Calcs_new'!$AK$41:$AK$43</c15:f>
                <c15:dlblRangeCache>
                  <c:ptCount val="3"/>
                  <c:pt idx="0">
                    <c:v>78%</c:v>
                  </c:pt>
                  <c:pt idx="1">
                    <c:v>100%</c:v>
                  </c:pt>
                  <c:pt idx="2">
                    <c:v>100%</c:v>
                  </c:pt>
                </c15:dlblRangeCache>
              </c15:datalabelsRange>
            </c:ext>
            <c:ext xmlns:c16="http://schemas.microsoft.com/office/drawing/2014/chart" uri="{C3380CC4-5D6E-409C-BE32-E72D297353CC}">
              <c16:uniqueId val="{00000014-943F-4A71-8616-AE0B5F6262B5}"/>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in val="0"/>
        </c:scaling>
        <c:delete val="0"/>
        <c:axPos val="l"/>
        <c:majorGridlines/>
        <c:title>
          <c:tx>
            <c:rich>
              <a:bodyPr/>
              <a:lstStyle/>
              <a:p>
                <a:pPr>
                  <a:defRPr sz="2400"/>
                </a:pPr>
                <a:r>
                  <a:rPr lang="en-US" sz="2400"/>
                  <a:t>SAE J1634</a:t>
                </a:r>
              </a:p>
              <a:p>
                <a:pPr>
                  <a:defRPr sz="2400"/>
                </a:pPr>
                <a:r>
                  <a:rPr lang="en-US" sz="2400"/>
                  <a:t>Calculated</a:t>
                </a:r>
                <a:r>
                  <a:rPr lang="en-US" sz="2400" baseline="0"/>
                  <a:t> Range</a:t>
                </a:r>
                <a:endParaRPr lang="en-US" sz="2400"/>
              </a:p>
              <a:p>
                <a:pPr>
                  <a:defRPr sz="2400"/>
                </a:pPr>
                <a:r>
                  <a:rPr lang="en-US" sz="2400"/>
                  <a:t> [mi]</a:t>
                </a:r>
              </a:p>
            </c:rich>
          </c:tx>
          <c:layout>
            <c:manualLayout>
              <c:xMode val="edge"/>
              <c:yMode val="edge"/>
              <c:x val="2.7177981729445456E-2"/>
              <c:y val="0.25525446907673138"/>
            </c:manualLayout>
          </c:layout>
          <c:overlay val="0"/>
        </c:title>
        <c:numFmt formatCode="0" sourceLinked="1"/>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baseline="0">
                <a:effectLst/>
              </a:rPr>
              <a:t>AVTE 2015 VW EGolf Steady State Energy Consumption</a:t>
            </a:r>
          </a:p>
        </c:rich>
      </c:tx>
      <c:layout>
        <c:manualLayout>
          <c:xMode val="edge"/>
          <c:yMode val="edge"/>
          <c:x val="0.17908342458435084"/>
          <c:y val="2.0782393287319696E-2"/>
        </c:manualLayout>
      </c:layout>
      <c:overlay val="0"/>
    </c:title>
    <c:autoTitleDeleted val="0"/>
    <c:plotArea>
      <c:layout>
        <c:manualLayout>
          <c:layoutTarget val="inner"/>
          <c:xMode val="edge"/>
          <c:yMode val="edge"/>
          <c:x val="0.10723480431832659"/>
          <c:y val="0.17916092150768245"/>
          <c:w val="0.82107257113565391"/>
          <c:h val="0.63937049312528249"/>
        </c:manualLayout>
      </c:layout>
      <c:scatterChart>
        <c:scatterStyle val="lineMarker"/>
        <c:varyColors val="0"/>
        <c:ser>
          <c:idx val="0"/>
          <c:order val="0"/>
          <c:tx>
            <c:strRef>
              <c:f>AVTEReporting!$D$15</c:f>
              <c:strCache>
                <c:ptCount val="1"/>
                <c:pt idx="0">
                  <c:v>0% grade</c:v>
                </c:pt>
              </c:strCache>
            </c:strRef>
          </c:tx>
          <c:spPr>
            <a:ln>
              <a:solidFill>
                <a:srgbClr val="92D050"/>
              </a:solidFill>
            </a:ln>
          </c:spPr>
          <c:marker>
            <c:spPr>
              <a:solidFill>
                <a:srgbClr val="92D050"/>
              </a:solidFill>
              <a:ln>
                <a:solidFill>
                  <a:srgbClr val="92D050"/>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AVTEReporting!$D$16:$D$23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117A-4FD5-8569-2F5474880881}"/>
            </c:ext>
          </c:extLst>
        </c:ser>
        <c:ser>
          <c:idx val="2"/>
          <c:order val="1"/>
          <c:tx>
            <c:strRef>
              <c:f>AVTEReporting!$E$15</c:f>
              <c:strCache>
                <c:ptCount val="1"/>
                <c:pt idx="0">
                  <c:v>6% grade</c:v>
                </c:pt>
              </c:strCache>
            </c:strRef>
          </c:tx>
          <c:spPr>
            <a:ln>
              <a:solidFill>
                <a:schemeClr val="accent2">
                  <a:lumMod val="75000"/>
                </a:schemeClr>
              </a:solidFill>
            </a:ln>
          </c:spPr>
          <c:marker>
            <c:spPr>
              <a:solidFill>
                <a:schemeClr val="accent2">
                  <a:lumMod val="75000"/>
                </a:schemeClr>
              </a:solidFill>
              <a:ln>
                <a:solidFill>
                  <a:schemeClr val="accent2">
                    <a:lumMod val="75000"/>
                  </a:schemeClr>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AVTEReporting!$E$16:$E$23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117A-4FD5-8569-2F5474880881}"/>
            </c:ext>
          </c:extLst>
        </c:ser>
        <c:dLbls>
          <c:showLegendKey val="0"/>
          <c:showVal val="0"/>
          <c:showCatName val="0"/>
          <c:showSerName val="0"/>
          <c:showPercent val="0"/>
          <c:showBubbleSize val="0"/>
        </c:dLbls>
        <c:axId val="429209760"/>
        <c:axId val="901367136"/>
        <c:extLst/>
      </c:scatterChart>
      <c:valAx>
        <c:axId val="429209760"/>
        <c:scaling>
          <c:orientation val="minMax"/>
          <c:max val="80"/>
        </c:scaling>
        <c:delete val="0"/>
        <c:axPos val="b"/>
        <c:minorGridlines/>
        <c:title>
          <c:tx>
            <c:rich>
              <a:bodyPr/>
              <a:lstStyle/>
              <a:p>
                <a:pPr>
                  <a:defRPr/>
                </a:pPr>
                <a:r>
                  <a:rPr lang="en-US"/>
                  <a:t>Vehicle speed [mph]</a:t>
                </a:r>
              </a:p>
            </c:rich>
          </c:tx>
          <c:overlay val="0"/>
        </c:title>
        <c:numFmt formatCode="General" sourceLinked="1"/>
        <c:majorTickMark val="out"/>
        <c:minorTickMark val="none"/>
        <c:tickLblPos val="nextTo"/>
        <c:crossAx val="901367136"/>
        <c:crosses val="autoZero"/>
        <c:crossBetween val="midCat"/>
        <c:majorUnit val="20"/>
        <c:minorUnit val="10"/>
      </c:valAx>
      <c:valAx>
        <c:axId val="901367136"/>
        <c:scaling>
          <c:orientation val="minMax"/>
        </c:scaling>
        <c:delete val="0"/>
        <c:axPos val="l"/>
        <c:majorGridlines/>
        <c:title>
          <c:tx>
            <c:rich>
              <a:bodyPr rot="-5400000" vert="horz"/>
              <a:lstStyle/>
              <a:p>
                <a:pPr>
                  <a:defRPr/>
                </a:pPr>
                <a:r>
                  <a:rPr lang="en-US"/>
                  <a:t>Energy Consumption (AC Wh/mi)</a:t>
                </a:r>
              </a:p>
            </c:rich>
          </c:tx>
          <c:overlay val="0"/>
        </c:title>
        <c:numFmt formatCode="General" sourceLinked="0"/>
        <c:majorTickMark val="out"/>
        <c:minorTickMark val="none"/>
        <c:tickLblPos val="nextTo"/>
        <c:crossAx val="429209760"/>
        <c:crosses val="autoZero"/>
        <c:crossBetween val="midCat"/>
      </c:valAx>
    </c:plotArea>
    <c:legend>
      <c:legendPos val="r"/>
      <c:layout>
        <c:manualLayout>
          <c:xMode val="edge"/>
          <c:yMode val="edge"/>
          <c:x val="0.10990075934254655"/>
          <c:y val="0.13633740919157802"/>
          <c:w val="0.14529150664993024"/>
          <c:h val="0.15032248710591592"/>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2015 VW EGolf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AF2A-4F29-B7B2-9CBBD93EF0B3}"/>
            </c:ext>
          </c:extLst>
        </c:ser>
        <c:ser>
          <c:idx val="2"/>
          <c:order val="1"/>
          <c:tx>
            <c:strRef>
              <c:f>AVTEReporting!$A$58</c:f>
              <c:strCache>
                <c:ptCount val="1"/>
                <c:pt idx="0">
                  <c:v>20F</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F2A-4F29-B7B2-9CBBD93EF0B3}"/>
            </c:ext>
          </c:extLst>
        </c:ser>
        <c:ser>
          <c:idx val="0"/>
          <c:order val="2"/>
          <c:tx>
            <c:strRef>
              <c:f>AVTEReporting!$A$39</c:f>
              <c:strCache>
                <c:ptCount val="1"/>
                <c:pt idx="0">
                  <c:v>72F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F2A-4F29-B7B2-9CBBD93EF0B3}"/>
            </c:ext>
          </c:extLst>
        </c:ser>
        <c:ser>
          <c:idx val="1"/>
          <c:order val="3"/>
          <c:tx>
            <c:strRef>
              <c:f>AVTEReporting!$A$48</c:f>
              <c:strCache>
                <c:ptCount val="1"/>
                <c:pt idx="0">
                  <c:v>95F</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F2A-4F29-B7B2-9CBBD93EF0B3}"/>
            </c:ext>
          </c:extLst>
        </c:ser>
        <c:dLbls>
          <c:showLegendKey val="0"/>
          <c:showVal val="0"/>
          <c:showCatName val="0"/>
          <c:showSerName val="0"/>
          <c:showPercent val="0"/>
          <c:showBubbleSize val="0"/>
        </c:dLbls>
        <c:gapWidth val="243"/>
        <c:axId val="901364392"/>
        <c:axId val="901362432"/>
      </c:barChart>
      <c:catAx>
        <c:axId val="901364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2432"/>
        <c:crosses val="autoZero"/>
        <c:auto val="1"/>
        <c:lblAlgn val="ctr"/>
        <c:lblOffset val="100"/>
        <c:noMultiLvlLbl val="0"/>
      </c:catAx>
      <c:valAx>
        <c:axId val="901362432"/>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4392"/>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Energy Consumption Increase Relative to 72F</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AVTEReporting!$K$69:$K$74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21-4C05-91E3-B3F58081C477}"/>
            </c:ext>
          </c:extLst>
        </c:ser>
        <c:ser>
          <c:idx val="2"/>
          <c:order val="1"/>
          <c:tx>
            <c:strRef>
              <c:f>AVTEReporting!$A$58</c:f>
              <c:strCache>
                <c:ptCount val="1"/>
                <c:pt idx="0">
                  <c:v>20F</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AVTEReporting!$J$69:$J$74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21-4C05-91E3-B3F58081C477}"/>
            </c:ext>
          </c:extLst>
        </c:ser>
        <c:ser>
          <c:idx val="1"/>
          <c:order val="2"/>
          <c:tx>
            <c:strRef>
              <c:f>AVTEReporting!$A$48</c:f>
              <c:strCache>
                <c:ptCount val="1"/>
                <c:pt idx="0">
                  <c:v>95F</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AVTEReporting!$I$69:$I$74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2821-4C05-91E3-B3F58081C477}"/>
            </c:ext>
          </c:extLst>
        </c:ser>
        <c:dLbls>
          <c:showLegendKey val="0"/>
          <c:showVal val="0"/>
          <c:showCatName val="0"/>
          <c:showSerName val="0"/>
          <c:showPercent val="0"/>
          <c:showBubbleSize val="0"/>
        </c:dLbls>
        <c:gapWidth val="243"/>
        <c:axId val="366901296"/>
        <c:axId val="866523680"/>
      </c:barChart>
      <c:catAx>
        <c:axId val="36690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3680"/>
        <c:crosses val="autoZero"/>
        <c:auto val="1"/>
        <c:lblAlgn val="ctr"/>
        <c:lblOffset val="100"/>
        <c:noMultiLvlLbl val="0"/>
      </c:catAx>
      <c:valAx>
        <c:axId val="86652368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Increase</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6690129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2015 VW EGolf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4AB-49E1-AC9A-492523AACB2C}"/>
            </c:ext>
          </c:extLst>
        </c:ser>
        <c:ser>
          <c:idx val="2"/>
          <c:order val="1"/>
          <c:tx>
            <c:strRef>
              <c:f>AVTEReporting!$A$58</c:f>
              <c:strCache>
                <c:ptCount val="1"/>
                <c:pt idx="0">
                  <c:v>20F</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4AB-49E1-AC9A-492523AACB2C}"/>
            </c:ext>
          </c:extLst>
        </c:ser>
        <c:ser>
          <c:idx val="0"/>
          <c:order val="2"/>
          <c:tx>
            <c:strRef>
              <c:f>AVTEReporting!$A$39</c:f>
              <c:strCache>
                <c:ptCount val="1"/>
                <c:pt idx="0">
                  <c:v>72F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4AB-49E1-AC9A-492523AACB2C}"/>
            </c:ext>
          </c:extLst>
        </c:ser>
        <c:ser>
          <c:idx val="1"/>
          <c:order val="3"/>
          <c:tx>
            <c:strRef>
              <c:f>AVTEReporting!$A$48</c:f>
              <c:strCache>
                <c:ptCount val="1"/>
                <c:pt idx="0">
                  <c:v>95F</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4AB-49E1-AC9A-492523AACB2C}"/>
            </c:ext>
          </c:extLst>
        </c:ser>
        <c:dLbls>
          <c:showLegendKey val="0"/>
          <c:showVal val="0"/>
          <c:showCatName val="0"/>
          <c:showSerName val="0"/>
          <c:showPercent val="0"/>
          <c:showBubbleSize val="0"/>
        </c:dLbls>
        <c:gapWidth val="243"/>
        <c:axId val="866526032"/>
        <c:axId val="866533480"/>
      </c:barChart>
      <c:catAx>
        <c:axId val="86652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3480"/>
        <c:crosses val="autoZero"/>
        <c:auto val="1"/>
        <c:lblAlgn val="ctr"/>
        <c:lblOffset val="100"/>
        <c:noMultiLvlLbl val="0"/>
      </c:catAx>
      <c:valAx>
        <c:axId val="866533480"/>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6032"/>
        <c:crosses val="autoZero"/>
        <c:crossBetween val="between"/>
      </c:valAx>
      <c:dTable>
        <c:showHorzBorder val="1"/>
        <c:showVertBorder val="1"/>
        <c:showOutline val="1"/>
        <c:showKeys val="1"/>
      </c:dTable>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2015 VW EGolf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c:v>
                </c:pt>
              </c:strCache>
            </c:strRef>
          </c:tx>
          <c:invertIfNegative val="0"/>
          <c:dLbls>
            <c:spPr>
              <a:noFill/>
              <a:ln>
                <a:noFill/>
              </a:ln>
              <a:effectLst/>
            </c:spPr>
            <c:txPr>
              <a:bodyPr rot="-5400000" vert="horz" wrap="square" lIns="38100" tIns="19050" rIns="38100" bIns="19050" anchor="t" anchorCtr="1">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6C9-49A1-8EFB-5F065680CD1D}"/>
            </c:ext>
          </c:extLst>
        </c:ser>
        <c:ser>
          <c:idx val="2"/>
          <c:order val="1"/>
          <c:tx>
            <c:strRef>
              <c:f>AVTEReporting!$A$58</c:f>
              <c:strCache>
                <c:ptCount val="1"/>
                <c:pt idx="0">
                  <c:v>20F</c:v>
                </c:pt>
              </c:strCache>
            </c:strRef>
          </c:tx>
          <c:spPr>
            <a:solidFill>
              <a:schemeClr val="accent1"/>
            </a:solidFill>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76C9-49A1-8EFB-5F065680CD1D}"/>
            </c:ext>
          </c:extLst>
        </c:ser>
        <c:ser>
          <c:idx val="0"/>
          <c:order val="2"/>
          <c:tx>
            <c:strRef>
              <c:f>AVTEReporting!$A$39</c:f>
              <c:strCache>
                <c:ptCount val="1"/>
                <c:pt idx="0">
                  <c:v>72F</c:v>
                </c:pt>
              </c:strCache>
            </c:strRef>
          </c:tx>
          <c:spPr>
            <a:solidFill>
              <a:srgbClr val="92D050"/>
            </a:solidFill>
            <a:ln>
              <a:noFill/>
            </a:ln>
            <a:effectLst/>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76C9-49A1-8EFB-5F065680CD1D}"/>
            </c:ext>
          </c:extLst>
        </c:ser>
        <c:ser>
          <c:idx val="1"/>
          <c:order val="3"/>
          <c:tx>
            <c:strRef>
              <c:f>AVTEReporting!$A$48</c:f>
              <c:strCache>
                <c:ptCount val="1"/>
                <c:pt idx="0">
                  <c:v>95F</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76C9-49A1-8EFB-5F065680CD1D}"/>
            </c:ext>
          </c:extLst>
        </c:ser>
        <c:dLbls>
          <c:showLegendKey val="0"/>
          <c:showVal val="1"/>
          <c:showCatName val="0"/>
          <c:showSerName val="0"/>
          <c:showPercent val="0"/>
          <c:showBubbleSize val="0"/>
        </c:dLbls>
        <c:gapWidth val="243"/>
        <c:axId val="866534656"/>
        <c:axId val="866527208"/>
      </c:barChart>
      <c:catAx>
        <c:axId val="86653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7208"/>
        <c:crosses val="autoZero"/>
        <c:auto val="1"/>
        <c:lblAlgn val="ctr"/>
        <c:lblOffset val="100"/>
        <c:noMultiLvlLbl val="0"/>
      </c:catAx>
      <c:valAx>
        <c:axId val="866527208"/>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465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'Accessory Load'!$L$6</c:f>
              <c:strCache>
                <c:ptCount val="1"/>
                <c:pt idx="0">
                  <c:v>HV Watts</c:v>
                </c:pt>
              </c:strCache>
            </c:strRef>
          </c:tx>
          <c:spPr>
            <a:solidFill>
              <a:schemeClr val="accent3">
                <a:lumMod val="50000"/>
              </a:schemeClr>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low fan</c:v>
                </c:pt>
                <c:pt idx="24">
                  <c:v>ac max cool, high fan</c:v>
                </c:pt>
                <c:pt idx="26">
                  <c:v>ac off</c:v>
                </c:pt>
                <c:pt idx="28">
                  <c:v>rear def</c:v>
                </c:pt>
                <c:pt idx="30">
                  <c:v>heater, max heat, fan low</c:v>
                </c:pt>
                <c:pt idx="32">
                  <c:v>heater, max heat, fan hi</c:v>
                </c:pt>
                <c:pt idx="34">
                  <c:v>Reduce Heat dial to mid</c:v>
                </c:pt>
                <c:pt idx="36">
                  <c:v>return to full</c:v>
                </c:pt>
                <c:pt idx="38">
                  <c:v>Ramp heat off</c:v>
                </c:pt>
                <c:pt idx="40">
                  <c:v>mirror </c:v>
                </c:pt>
                <c:pt idx="42">
                  <c:v>door lock/unlock x2</c:v>
                </c:pt>
                <c:pt idx="44">
                  <c:v> PF window down/up hold</c:v>
                </c:pt>
                <c:pt idx="46">
                  <c:v>radio max</c:v>
                </c:pt>
                <c:pt idx="48">
                  <c:v>radio off</c:v>
                </c:pt>
                <c:pt idx="50">
                  <c:v>horn</c:v>
                </c:pt>
                <c:pt idx="52">
                  <c:v>wipers int</c:v>
                </c:pt>
                <c:pt idx="54">
                  <c:v>wipers full on</c:v>
                </c:pt>
                <c:pt idx="56">
                  <c:v>wipers max</c:v>
                </c:pt>
                <c:pt idx="58">
                  <c:v>rear wiper</c:v>
                </c:pt>
                <c:pt idx="60">
                  <c:v>defrost max</c:v>
                </c:pt>
                <c:pt idx="62">
                  <c:v>key off</c:v>
                </c:pt>
                <c:pt idx="64">
                  <c:v>full off</c:v>
                </c:pt>
                <c:pt idx="66">
                  <c:v>door open and close</c:v>
                </c:pt>
              </c:strCache>
            </c:strRef>
          </c:cat>
          <c:val>
            <c:numRef>
              <c:f>'Accessory Load'!$L$7:$L$77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0-4510-48A0-BF98-2911A67D1D1E}"/>
            </c:ext>
          </c:extLst>
        </c:ser>
        <c:ser>
          <c:idx val="1"/>
          <c:order val="1"/>
          <c:tx>
            <c:v>12V watts</c:v>
          </c:tx>
          <c:spPr>
            <a:solidFill>
              <a:schemeClr val="accent3"/>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low fan</c:v>
                </c:pt>
                <c:pt idx="24">
                  <c:v>ac max cool, high fan</c:v>
                </c:pt>
                <c:pt idx="26">
                  <c:v>ac off</c:v>
                </c:pt>
                <c:pt idx="28">
                  <c:v>rear def</c:v>
                </c:pt>
                <c:pt idx="30">
                  <c:v>heater, max heat, fan low</c:v>
                </c:pt>
                <c:pt idx="32">
                  <c:v>heater, max heat, fan hi</c:v>
                </c:pt>
                <c:pt idx="34">
                  <c:v>Reduce Heat dial to mid</c:v>
                </c:pt>
                <c:pt idx="36">
                  <c:v>return to full</c:v>
                </c:pt>
                <c:pt idx="38">
                  <c:v>Ramp heat off</c:v>
                </c:pt>
                <c:pt idx="40">
                  <c:v>mirror </c:v>
                </c:pt>
                <c:pt idx="42">
                  <c:v>door lock/unlock x2</c:v>
                </c:pt>
                <c:pt idx="44">
                  <c:v> PF window down/up hold</c:v>
                </c:pt>
                <c:pt idx="46">
                  <c:v>radio max</c:v>
                </c:pt>
                <c:pt idx="48">
                  <c:v>radio off</c:v>
                </c:pt>
                <c:pt idx="50">
                  <c:v>horn</c:v>
                </c:pt>
                <c:pt idx="52">
                  <c:v>wipers int</c:v>
                </c:pt>
                <c:pt idx="54">
                  <c:v>wipers full on</c:v>
                </c:pt>
                <c:pt idx="56">
                  <c:v>wipers max</c:v>
                </c:pt>
                <c:pt idx="58">
                  <c:v>rear wiper</c:v>
                </c:pt>
                <c:pt idx="60">
                  <c:v>defrost max</c:v>
                </c:pt>
                <c:pt idx="62">
                  <c:v>key off</c:v>
                </c:pt>
                <c:pt idx="64">
                  <c:v>full off</c:v>
                </c:pt>
                <c:pt idx="66">
                  <c:v>door open and close</c:v>
                </c:pt>
              </c:strCache>
            </c:strRef>
          </c:cat>
          <c:val>
            <c:numRef>
              <c:f>'Accessory Load'!$M$7:$M$77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1-4510-48A0-BF98-2911A67D1D1E}"/>
            </c:ext>
          </c:extLst>
        </c:ser>
        <c:ser>
          <c:idx val="2"/>
          <c:order val="2"/>
          <c:tx>
            <c:v>DC-DC Loss</c:v>
          </c:tx>
          <c:spPr>
            <a:solidFill>
              <a:schemeClr val="accent6">
                <a:lumMod val="75000"/>
              </a:schemeClr>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low fan</c:v>
                </c:pt>
                <c:pt idx="24">
                  <c:v>ac max cool, high fan</c:v>
                </c:pt>
                <c:pt idx="26">
                  <c:v>ac off</c:v>
                </c:pt>
                <c:pt idx="28">
                  <c:v>rear def</c:v>
                </c:pt>
                <c:pt idx="30">
                  <c:v>heater, max heat, fan low</c:v>
                </c:pt>
                <c:pt idx="32">
                  <c:v>heater, max heat, fan hi</c:v>
                </c:pt>
                <c:pt idx="34">
                  <c:v>Reduce Heat dial to mid</c:v>
                </c:pt>
                <c:pt idx="36">
                  <c:v>return to full</c:v>
                </c:pt>
                <c:pt idx="38">
                  <c:v>Ramp heat off</c:v>
                </c:pt>
                <c:pt idx="40">
                  <c:v>mirror </c:v>
                </c:pt>
                <c:pt idx="42">
                  <c:v>door lock/unlock x2</c:v>
                </c:pt>
                <c:pt idx="44">
                  <c:v> PF window down/up hold</c:v>
                </c:pt>
                <c:pt idx="46">
                  <c:v>radio max</c:v>
                </c:pt>
                <c:pt idx="48">
                  <c:v>radio off</c:v>
                </c:pt>
                <c:pt idx="50">
                  <c:v>horn</c:v>
                </c:pt>
                <c:pt idx="52">
                  <c:v>wipers int</c:v>
                </c:pt>
                <c:pt idx="54">
                  <c:v>wipers full on</c:v>
                </c:pt>
                <c:pt idx="56">
                  <c:v>wipers max</c:v>
                </c:pt>
                <c:pt idx="58">
                  <c:v>rear wiper</c:v>
                </c:pt>
                <c:pt idx="60">
                  <c:v>defrost max</c:v>
                </c:pt>
                <c:pt idx="62">
                  <c:v>key off</c:v>
                </c:pt>
                <c:pt idx="64">
                  <c:v>full off</c:v>
                </c:pt>
                <c:pt idx="66">
                  <c:v>door open and close</c:v>
                </c:pt>
              </c:strCache>
            </c:strRef>
          </c:cat>
          <c:val>
            <c:numRef>
              <c:f>'Accessory Load'!$Q$7:$Q$77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2-4510-48A0-BF98-2911A67D1D1E}"/>
            </c:ext>
          </c:extLst>
        </c:ser>
        <c:dLbls>
          <c:showLegendKey val="0"/>
          <c:showVal val="0"/>
          <c:showCatName val="0"/>
          <c:showSerName val="0"/>
          <c:showPercent val="0"/>
          <c:showBubbleSize val="0"/>
        </c:dLbls>
        <c:gapWidth val="75"/>
        <c:overlap val="100"/>
        <c:axId val="866528384"/>
        <c:axId val="866530736"/>
      </c:barChart>
      <c:catAx>
        <c:axId val="8665283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Accessory Selected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30736"/>
        <c:crosses val="autoZero"/>
        <c:auto val="1"/>
        <c:lblAlgn val="ctr"/>
        <c:lblOffset val="100"/>
        <c:noMultiLvlLbl val="0"/>
      </c:catAx>
      <c:valAx>
        <c:axId val="866530736"/>
        <c:scaling>
          <c:orientation val="minMax"/>
          <c:max val="52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Consumption</a:t>
                </a:r>
                <a:r>
                  <a:rPr lang="en-US" baseline="0"/>
                  <a:t> (Watts)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28384"/>
        <c:crosses val="autoZero"/>
        <c:crossBetween val="between"/>
      </c:valAx>
      <c:spPr>
        <a:gradFill>
          <a:gsLst>
            <a:gs pos="55000">
              <a:schemeClr val="accent1">
                <a:lumMod val="5000"/>
                <a:lumOff val="95000"/>
              </a:schemeClr>
            </a:gs>
            <a:gs pos="0">
              <a:schemeClr val="bg1">
                <a:lumMod val="65000"/>
              </a:schemeClr>
            </a:gs>
            <a:gs pos="15000">
              <a:schemeClr val="bg1">
                <a:lumMod val="75000"/>
              </a:schemeClr>
            </a:gs>
            <a:gs pos="72358">
              <a:schemeClr val="bg1">
                <a:lumMod val="95000"/>
              </a:schemeClr>
            </a:gs>
            <a:gs pos="91000">
              <a:schemeClr val="accent1">
                <a:lumMod val="30000"/>
                <a:lumOff val="70000"/>
              </a:schemeClr>
            </a:gs>
          </a:gsLst>
          <a:lin ang="5400000" scaled="1"/>
        </a:grad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Charge Duration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7030A0"/>
            </a:solidFill>
            <a:ln>
              <a:noFill/>
            </a:ln>
            <a:effectLst/>
          </c:spPr>
          <c:invertIfNegative val="0"/>
          <c:dPt>
            <c:idx val="1"/>
            <c:invertIfNegative val="0"/>
            <c:bubble3D val="0"/>
            <c:spPr>
              <a:solidFill>
                <a:srgbClr val="0070C0"/>
              </a:solidFill>
              <a:ln>
                <a:noFill/>
              </a:ln>
              <a:effectLst/>
            </c:spPr>
            <c:extLst>
              <c:ext xmlns:c16="http://schemas.microsoft.com/office/drawing/2014/chart" uri="{C3380CC4-5D6E-409C-BE32-E72D297353CC}">
                <c16:uniqueId val="{00000002-A509-40BA-85E6-71F52194F542}"/>
              </c:ext>
            </c:extLst>
          </c:dPt>
          <c:dPt>
            <c:idx val="2"/>
            <c:invertIfNegative val="0"/>
            <c:bubble3D val="0"/>
            <c:spPr>
              <a:solidFill>
                <a:srgbClr val="00B050"/>
              </a:solidFill>
              <a:ln>
                <a:noFill/>
              </a:ln>
              <a:effectLst/>
            </c:spPr>
            <c:extLst>
              <c:ext xmlns:c16="http://schemas.microsoft.com/office/drawing/2014/chart" uri="{C3380CC4-5D6E-409C-BE32-E72D297353CC}">
                <c16:uniqueId val="{00000003-A509-40BA-85E6-71F52194F542}"/>
              </c:ext>
            </c:extLst>
          </c:dPt>
          <c:dPt>
            <c:idx val="3"/>
            <c:invertIfNegative val="0"/>
            <c:bubble3D val="0"/>
            <c:spPr>
              <a:solidFill>
                <a:srgbClr val="F11A09"/>
              </a:solidFill>
              <a:ln>
                <a:noFill/>
              </a:ln>
              <a:effectLst/>
            </c:spPr>
            <c:extLst>
              <c:ext xmlns:c16="http://schemas.microsoft.com/office/drawing/2014/chart" uri="{C3380CC4-5D6E-409C-BE32-E72D297353CC}">
                <c16:uniqueId val="{00000004-A509-40BA-85E6-71F52194F542}"/>
              </c:ext>
            </c:extLst>
          </c:dPt>
          <c:cat>
            <c:strRef>
              <c:f>'Charge Summary'!$D$34:$D$37</c:f>
              <c:strCache>
                <c:ptCount val="4"/>
                <c:pt idx="0">
                  <c:v>-18C</c:v>
                </c:pt>
                <c:pt idx="1">
                  <c:v>-7C</c:v>
                </c:pt>
                <c:pt idx="2">
                  <c:v>+22C</c:v>
                </c:pt>
                <c:pt idx="3">
                  <c:v>+35C</c:v>
                </c:pt>
              </c:strCache>
            </c:strRef>
          </c:cat>
          <c:val>
            <c:numRef>
              <c:f>'Charge Summary'!$E$34:$E$37</c:f>
              <c:numCache>
                <c:formatCode>0.00</c:formatCode>
                <c:ptCount val="4"/>
                <c:pt idx="0">
                  <c:v>8.3641666666666659</c:v>
                </c:pt>
                <c:pt idx="1">
                  <c:v>8.1385555555555555</c:v>
                </c:pt>
                <c:pt idx="2">
                  <c:v>8.019166666666667</c:v>
                </c:pt>
                <c:pt idx="3">
                  <c:v>7.95</c:v>
                </c:pt>
              </c:numCache>
            </c:numRef>
          </c:val>
          <c:extLst>
            <c:ext xmlns:c16="http://schemas.microsoft.com/office/drawing/2014/chart" uri="{C3380CC4-5D6E-409C-BE32-E72D297353CC}">
              <c16:uniqueId val="{00000000-A509-40BA-85E6-71F52194F542}"/>
            </c:ext>
          </c:extLst>
        </c:ser>
        <c:dLbls>
          <c:showLegendKey val="0"/>
          <c:showVal val="0"/>
          <c:showCatName val="0"/>
          <c:showSerName val="0"/>
          <c:showPercent val="0"/>
          <c:showBubbleSize val="0"/>
        </c:dLbls>
        <c:gapWidth val="219"/>
        <c:overlap val="-27"/>
        <c:axId val="1442857536"/>
        <c:axId val="1442857952"/>
      </c:barChart>
      <c:catAx>
        <c:axId val="144285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42857952"/>
        <c:crosses val="autoZero"/>
        <c:auto val="1"/>
        <c:lblAlgn val="ctr"/>
        <c:lblOffset val="100"/>
        <c:noMultiLvlLbl val="0"/>
      </c:catAx>
      <c:valAx>
        <c:axId val="1442857952"/>
        <c:scaling>
          <c:orientation val="minMax"/>
          <c:max val="9"/>
          <c:min val="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Time</a:t>
                </a:r>
                <a:r>
                  <a:rPr lang="en-US" sz="1100" b="1" baseline="0"/>
                  <a:t> [hr]</a:t>
                </a:r>
                <a:endParaRPr lang="en-US" sz="1100" b="1"/>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442857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Charger</a:t>
            </a:r>
            <a:r>
              <a:rPr lang="en-US" baseline="0"/>
              <a:t> Efficiency </a:t>
            </a:r>
          </a:p>
          <a:p>
            <a:pPr>
              <a:defRPr/>
            </a:pPr>
            <a:r>
              <a:rPr lang="en-US" baseline="0"/>
              <a:t>(Charger DC Wh out / Charger DC Wh 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7030A0"/>
            </a:solidFill>
            <a:ln>
              <a:noFill/>
            </a:ln>
            <a:effectLst/>
          </c:spPr>
          <c:invertIfNegative val="0"/>
          <c:dPt>
            <c:idx val="1"/>
            <c:invertIfNegative val="0"/>
            <c:bubble3D val="0"/>
            <c:spPr>
              <a:solidFill>
                <a:srgbClr val="0070C0"/>
              </a:solidFill>
              <a:ln>
                <a:noFill/>
              </a:ln>
              <a:effectLst/>
            </c:spPr>
            <c:extLst>
              <c:ext xmlns:c16="http://schemas.microsoft.com/office/drawing/2014/chart" uri="{C3380CC4-5D6E-409C-BE32-E72D297353CC}">
                <c16:uniqueId val="{00000001-47E0-471F-87D7-5ECFA22B4699}"/>
              </c:ext>
            </c:extLst>
          </c:dPt>
          <c:dPt>
            <c:idx val="2"/>
            <c:invertIfNegative val="0"/>
            <c:bubble3D val="0"/>
            <c:spPr>
              <a:solidFill>
                <a:srgbClr val="00B050"/>
              </a:solidFill>
              <a:ln>
                <a:noFill/>
              </a:ln>
              <a:effectLst/>
            </c:spPr>
            <c:extLst>
              <c:ext xmlns:c16="http://schemas.microsoft.com/office/drawing/2014/chart" uri="{C3380CC4-5D6E-409C-BE32-E72D297353CC}">
                <c16:uniqueId val="{00000003-47E0-471F-87D7-5ECFA22B4699}"/>
              </c:ext>
            </c:extLst>
          </c:dPt>
          <c:dPt>
            <c:idx val="3"/>
            <c:invertIfNegative val="0"/>
            <c:bubble3D val="0"/>
            <c:spPr>
              <a:solidFill>
                <a:srgbClr val="F11A09"/>
              </a:solidFill>
              <a:ln>
                <a:noFill/>
              </a:ln>
              <a:effectLst/>
            </c:spPr>
            <c:extLst>
              <c:ext xmlns:c16="http://schemas.microsoft.com/office/drawing/2014/chart" uri="{C3380CC4-5D6E-409C-BE32-E72D297353CC}">
                <c16:uniqueId val="{00000005-47E0-471F-87D7-5ECFA22B4699}"/>
              </c:ext>
            </c:extLst>
          </c:dPt>
          <c:cat>
            <c:strRef>
              <c:f>'Charge Summary'!$D$34:$D$37</c:f>
              <c:strCache>
                <c:ptCount val="4"/>
                <c:pt idx="0">
                  <c:v>-18C</c:v>
                </c:pt>
                <c:pt idx="1">
                  <c:v>-7C</c:v>
                </c:pt>
                <c:pt idx="2">
                  <c:v>+22C</c:v>
                </c:pt>
                <c:pt idx="3">
                  <c:v>+35C</c:v>
                </c:pt>
              </c:strCache>
            </c:strRef>
          </c:cat>
          <c:val>
            <c:numRef>
              <c:f>'Charge Summary'!$G$34:$G$37</c:f>
              <c:numCache>
                <c:formatCode>0.0%</c:formatCode>
                <c:ptCount val="4"/>
                <c:pt idx="0">
                  <c:v>0.92968510714189956</c:v>
                </c:pt>
                <c:pt idx="1">
                  <c:v>0.93038727416959421</c:v>
                </c:pt>
                <c:pt idx="2">
                  <c:v>0.9276328915156451</c:v>
                </c:pt>
                <c:pt idx="3">
                  <c:v>0.9238446629750976</c:v>
                </c:pt>
              </c:numCache>
            </c:numRef>
          </c:val>
          <c:extLst>
            <c:ext xmlns:c16="http://schemas.microsoft.com/office/drawing/2014/chart" uri="{C3380CC4-5D6E-409C-BE32-E72D297353CC}">
              <c16:uniqueId val="{00000006-47E0-471F-87D7-5ECFA22B4699}"/>
            </c:ext>
          </c:extLst>
        </c:ser>
        <c:dLbls>
          <c:showLegendKey val="0"/>
          <c:showVal val="0"/>
          <c:showCatName val="0"/>
          <c:showSerName val="0"/>
          <c:showPercent val="0"/>
          <c:showBubbleSize val="0"/>
        </c:dLbls>
        <c:gapWidth val="219"/>
        <c:overlap val="-27"/>
        <c:axId val="1442857536"/>
        <c:axId val="1442857952"/>
      </c:barChart>
      <c:catAx>
        <c:axId val="144285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42857952"/>
        <c:crosses val="autoZero"/>
        <c:auto val="1"/>
        <c:lblAlgn val="ctr"/>
        <c:lblOffset val="100"/>
        <c:noMultiLvlLbl val="0"/>
      </c:catAx>
      <c:valAx>
        <c:axId val="1442857952"/>
        <c:scaling>
          <c:orientation val="minMax"/>
          <c:max val="0.94000000000000006"/>
          <c:min val="0.9"/>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baseline="0"/>
                  <a:t>Efficienty [per]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442857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ReCharge</a:t>
            </a:r>
            <a:r>
              <a:rPr lang="en-US" baseline="0"/>
              <a:t> Efficiency </a:t>
            </a:r>
          </a:p>
          <a:p>
            <a:pPr>
              <a:defRPr/>
            </a:pPr>
            <a:r>
              <a:rPr lang="en-US" baseline="0"/>
              <a:t>(DC Wh to HV Battery / AC Wh 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7030A0"/>
            </a:solidFill>
            <a:ln>
              <a:noFill/>
            </a:ln>
            <a:effectLst/>
          </c:spPr>
          <c:invertIfNegative val="0"/>
          <c:dPt>
            <c:idx val="1"/>
            <c:invertIfNegative val="0"/>
            <c:bubble3D val="0"/>
            <c:spPr>
              <a:solidFill>
                <a:srgbClr val="0070C0"/>
              </a:solidFill>
              <a:ln>
                <a:noFill/>
              </a:ln>
              <a:effectLst/>
            </c:spPr>
            <c:extLst>
              <c:ext xmlns:c16="http://schemas.microsoft.com/office/drawing/2014/chart" uri="{C3380CC4-5D6E-409C-BE32-E72D297353CC}">
                <c16:uniqueId val="{00000001-236B-41F6-B809-2DAE26D96CDB}"/>
              </c:ext>
            </c:extLst>
          </c:dPt>
          <c:dPt>
            <c:idx val="2"/>
            <c:invertIfNegative val="0"/>
            <c:bubble3D val="0"/>
            <c:spPr>
              <a:solidFill>
                <a:srgbClr val="00B050"/>
              </a:solidFill>
              <a:ln>
                <a:noFill/>
              </a:ln>
              <a:effectLst/>
            </c:spPr>
            <c:extLst>
              <c:ext xmlns:c16="http://schemas.microsoft.com/office/drawing/2014/chart" uri="{C3380CC4-5D6E-409C-BE32-E72D297353CC}">
                <c16:uniqueId val="{00000003-236B-41F6-B809-2DAE26D96CDB}"/>
              </c:ext>
            </c:extLst>
          </c:dPt>
          <c:dPt>
            <c:idx val="3"/>
            <c:invertIfNegative val="0"/>
            <c:bubble3D val="0"/>
            <c:spPr>
              <a:solidFill>
                <a:srgbClr val="F11A09"/>
              </a:solidFill>
              <a:ln>
                <a:noFill/>
              </a:ln>
              <a:effectLst/>
            </c:spPr>
            <c:extLst>
              <c:ext xmlns:c16="http://schemas.microsoft.com/office/drawing/2014/chart" uri="{C3380CC4-5D6E-409C-BE32-E72D297353CC}">
                <c16:uniqueId val="{00000005-236B-41F6-B809-2DAE26D96CDB}"/>
              </c:ext>
            </c:extLst>
          </c:dPt>
          <c:cat>
            <c:strRef>
              <c:f>'Charge Summary'!$D$34:$D$37</c:f>
              <c:strCache>
                <c:ptCount val="4"/>
                <c:pt idx="0">
                  <c:v>-18C</c:v>
                </c:pt>
                <c:pt idx="1">
                  <c:v>-7C</c:v>
                </c:pt>
                <c:pt idx="2">
                  <c:v>+22C</c:v>
                </c:pt>
                <c:pt idx="3">
                  <c:v>+35C</c:v>
                </c:pt>
              </c:strCache>
            </c:strRef>
          </c:cat>
          <c:val>
            <c:numRef>
              <c:f>'Charge Summary'!$H$34:$H$37</c:f>
              <c:numCache>
                <c:formatCode>0.0%</c:formatCode>
                <c:ptCount val="4"/>
                <c:pt idx="0">
                  <c:v>0.89352719083415988</c:v>
                </c:pt>
                <c:pt idx="1">
                  <c:v>0.92979201832290537</c:v>
                </c:pt>
                <c:pt idx="2">
                  <c:v>0.92697216008712724</c:v>
                </c:pt>
                <c:pt idx="3">
                  <c:v>0.92248527031135719</c:v>
                </c:pt>
              </c:numCache>
            </c:numRef>
          </c:val>
          <c:extLst>
            <c:ext xmlns:c16="http://schemas.microsoft.com/office/drawing/2014/chart" uri="{C3380CC4-5D6E-409C-BE32-E72D297353CC}">
              <c16:uniqueId val="{00000006-236B-41F6-B809-2DAE26D96CDB}"/>
            </c:ext>
          </c:extLst>
        </c:ser>
        <c:dLbls>
          <c:showLegendKey val="0"/>
          <c:showVal val="0"/>
          <c:showCatName val="0"/>
          <c:showSerName val="0"/>
          <c:showPercent val="0"/>
          <c:showBubbleSize val="0"/>
        </c:dLbls>
        <c:gapWidth val="219"/>
        <c:overlap val="-27"/>
        <c:axId val="1442857536"/>
        <c:axId val="1442857952"/>
      </c:barChart>
      <c:catAx>
        <c:axId val="144285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42857952"/>
        <c:crosses val="autoZero"/>
        <c:auto val="1"/>
        <c:lblAlgn val="ctr"/>
        <c:lblOffset val="100"/>
        <c:noMultiLvlLbl val="0"/>
      </c:catAx>
      <c:valAx>
        <c:axId val="1442857952"/>
        <c:scaling>
          <c:orientation val="minMax"/>
          <c:max val="1"/>
          <c:min val="0.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Efficienty [per]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442857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Charging </a:t>
            </a:r>
            <a:r>
              <a:rPr lang="en-US" baseline="0"/>
              <a:t> Efficiency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7030A0"/>
            </a:solidFill>
            <a:ln>
              <a:noFill/>
            </a:ln>
            <a:effectLst/>
          </c:spPr>
          <c:invertIfNegative val="0"/>
          <c:dPt>
            <c:idx val="1"/>
            <c:invertIfNegative val="0"/>
            <c:bubble3D val="0"/>
            <c:spPr>
              <a:solidFill>
                <a:srgbClr val="0070C0"/>
              </a:solidFill>
              <a:ln>
                <a:noFill/>
              </a:ln>
              <a:effectLst/>
            </c:spPr>
            <c:extLst>
              <c:ext xmlns:c16="http://schemas.microsoft.com/office/drawing/2014/chart" uri="{C3380CC4-5D6E-409C-BE32-E72D297353CC}">
                <c16:uniqueId val="{00000001-B070-429F-99B0-B7290046C215}"/>
              </c:ext>
            </c:extLst>
          </c:dPt>
          <c:dPt>
            <c:idx val="2"/>
            <c:invertIfNegative val="0"/>
            <c:bubble3D val="0"/>
            <c:spPr>
              <a:solidFill>
                <a:srgbClr val="00B050"/>
              </a:solidFill>
              <a:ln>
                <a:noFill/>
              </a:ln>
              <a:effectLst/>
            </c:spPr>
            <c:extLst>
              <c:ext xmlns:c16="http://schemas.microsoft.com/office/drawing/2014/chart" uri="{C3380CC4-5D6E-409C-BE32-E72D297353CC}">
                <c16:uniqueId val="{00000003-B070-429F-99B0-B7290046C215}"/>
              </c:ext>
            </c:extLst>
          </c:dPt>
          <c:dPt>
            <c:idx val="3"/>
            <c:invertIfNegative val="0"/>
            <c:bubble3D val="0"/>
            <c:spPr>
              <a:solidFill>
                <a:srgbClr val="F11A09"/>
              </a:solidFill>
              <a:ln>
                <a:noFill/>
              </a:ln>
              <a:effectLst/>
            </c:spPr>
            <c:extLst>
              <c:ext xmlns:c16="http://schemas.microsoft.com/office/drawing/2014/chart" uri="{C3380CC4-5D6E-409C-BE32-E72D297353CC}">
                <c16:uniqueId val="{00000005-B070-429F-99B0-B7290046C215}"/>
              </c:ext>
            </c:extLst>
          </c:dPt>
          <c:cat>
            <c:strRef>
              <c:f>'Charge Summary'!$D$34:$D$37</c:f>
              <c:strCache>
                <c:ptCount val="4"/>
                <c:pt idx="0">
                  <c:v>-18C</c:v>
                </c:pt>
                <c:pt idx="1">
                  <c:v>-7C</c:v>
                </c:pt>
                <c:pt idx="2">
                  <c:v>+22C</c:v>
                </c:pt>
                <c:pt idx="3">
                  <c:v>+35C</c:v>
                </c:pt>
              </c:strCache>
            </c:strRef>
          </c:cat>
          <c:val>
            <c:numRef>
              <c:f>'Charge Summary'!$H$34:$H$37</c:f>
              <c:numCache>
                <c:formatCode>0.0%</c:formatCode>
                <c:ptCount val="4"/>
                <c:pt idx="0">
                  <c:v>0.89352719083415988</c:v>
                </c:pt>
                <c:pt idx="1">
                  <c:v>0.92979201832290537</c:v>
                </c:pt>
                <c:pt idx="2">
                  <c:v>0.92697216008712724</c:v>
                </c:pt>
                <c:pt idx="3">
                  <c:v>0.92248527031135719</c:v>
                </c:pt>
              </c:numCache>
            </c:numRef>
          </c:val>
          <c:extLst>
            <c:ext xmlns:c16="http://schemas.microsoft.com/office/drawing/2014/chart" uri="{C3380CC4-5D6E-409C-BE32-E72D297353CC}">
              <c16:uniqueId val="{00000006-B070-429F-99B0-B7290046C215}"/>
            </c:ext>
          </c:extLst>
        </c:ser>
        <c:dLbls>
          <c:showLegendKey val="0"/>
          <c:showVal val="0"/>
          <c:showCatName val="0"/>
          <c:showSerName val="0"/>
          <c:showPercent val="0"/>
          <c:showBubbleSize val="0"/>
        </c:dLbls>
        <c:gapWidth val="219"/>
        <c:overlap val="-27"/>
        <c:axId val="1442857536"/>
        <c:axId val="1442857952"/>
      </c:barChart>
      <c:catAx>
        <c:axId val="144285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42857952"/>
        <c:crosses val="autoZero"/>
        <c:auto val="1"/>
        <c:lblAlgn val="ctr"/>
        <c:lblOffset val="100"/>
        <c:noMultiLvlLbl val="0"/>
      </c:catAx>
      <c:valAx>
        <c:axId val="1442857952"/>
        <c:scaling>
          <c:orientation val="minMax"/>
          <c:max val="1"/>
          <c:min val="0.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Time</a:t>
                </a:r>
                <a:r>
                  <a:rPr lang="en-US" sz="1100" b="1" baseline="0"/>
                  <a:t> [hr]</a:t>
                </a:r>
                <a:endParaRPr lang="en-US" sz="1100" b="1"/>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442857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a:t>
            </a:r>
            <a:r>
              <a:rPr lang="en-US" sz="2400" baseline="0"/>
              <a:t> Tesla Model 3 -</a:t>
            </a:r>
            <a:r>
              <a:rPr lang="en-US" sz="2400"/>
              <a:t> Range [mi]</a:t>
            </a:r>
          </a:p>
        </c:rich>
      </c:tx>
      <c:overlay val="0"/>
    </c:title>
    <c:autoTitleDeleted val="0"/>
    <c:plotArea>
      <c:layout/>
      <c:barChart>
        <c:barDir val="col"/>
        <c:grouping val="clustered"/>
        <c:varyColors val="0"/>
        <c:ser>
          <c:idx val="3"/>
          <c:order val="0"/>
          <c:tx>
            <c:strRef>
              <c:f>'J1634 Calcs_old'!$AD$6</c:f>
              <c:strCache>
                <c:ptCount val="1"/>
                <c:pt idx="0">
                  <c:v>-17°C Ambient with 72F Cabin</c:v>
                </c:pt>
              </c:strCache>
            </c:strRef>
          </c:tx>
          <c:spPr>
            <a:solidFill>
              <a:schemeClr val="accent4"/>
            </a:solidFill>
          </c:spPr>
          <c:invertIfNegative val="0"/>
          <c:cat>
            <c:strRef>
              <c:f>'J1634 Calcs_old'!$AC$29:$AC$31</c:f>
              <c:strCache>
                <c:ptCount val="3"/>
                <c:pt idx="0">
                  <c:v>UDDS</c:v>
                </c:pt>
                <c:pt idx="1">
                  <c:v>HWY</c:v>
                </c:pt>
                <c:pt idx="2">
                  <c:v>US06</c:v>
                </c:pt>
              </c:strCache>
            </c:strRef>
          </c:cat>
          <c:val>
            <c:numRef>
              <c:f>'J1634 Calcs_old'!$AD$29:$AD$31</c:f>
              <c:numCache>
                <c:formatCode>0</c:formatCode>
                <c:ptCount val="3"/>
                <c:pt idx="0">
                  <c:v>188.33468833599363</c:v>
                </c:pt>
                <c:pt idx="1">
                  <c:v>236.58250463440748</c:v>
                </c:pt>
                <c:pt idx="2">
                  <c:v>197.49195944298515</c:v>
                </c:pt>
              </c:numCache>
            </c:numRef>
          </c:val>
          <c:extLst>
            <c:ext xmlns:c16="http://schemas.microsoft.com/office/drawing/2014/chart" uri="{C3380CC4-5D6E-409C-BE32-E72D297353CC}">
              <c16:uniqueId val="{00000000-4E75-4CAA-9C6E-9155B06FA207}"/>
            </c:ext>
          </c:extLst>
        </c:ser>
        <c:ser>
          <c:idx val="4"/>
          <c:order val="1"/>
          <c:tx>
            <c:strRef>
              <c:f>'J1634 Calcs_old'!$AE$6</c:f>
              <c:strCache>
                <c:ptCount val="1"/>
                <c:pt idx="0">
                  <c:v>-7°C Ambient with 72°F Cabin</c:v>
                </c:pt>
              </c:strCache>
            </c:strRef>
          </c:tx>
          <c:spPr>
            <a:solidFill>
              <a:srgbClr val="00B0F0"/>
            </a:solidFill>
            <a:ln>
              <a:solidFill>
                <a:sysClr val="windowText" lastClr="000000"/>
              </a:solidFill>
            </a:ln>
          </c:spPr>
          <c:invertIfNegative val="0"/>
          <c:cat>
            <c:strRef>
              <c:f>'J1634 Calcs_old'!$AC$29:$AC$31</c:f>
              <c:strCache>
                <c:ptCount val="3"/>
                <c:pt idx="0">
                  <c:v>UDDS</c:v>
                </c:pt>
                <c:pt idx="1">
                  <c:v>HWY</c:v>
                </c:pt>
                <c:pt idx="2">
                  <c:v>US06</c:v>
                </c:pt>
              </c:strCache>
            </c:strRef>
          </c:cat>
          <c:val>
            <c:numRef>
              <c:f>'J1634 Calcs_old'!$AE$29:$AE$31</c:f>
              <c:numCache>
                <c:formatCode>0</c:formatCode>
                <c:ptCount val="3"/>
                <c:pt idx="0">
                  <c:v>226.13399422091658</c:v>
                </c:pt>
                <c:pt idx="1">
                  <c:v>273.24553888965431</c:v>
                </c:pt>
                <c:pt idx="2">
                  <c:v>217.85216596598997</c:v>
                </c:pt>
              </c:numCache>
            </c:numRef>
          </c:val>
          <c:extLst>
            <c:ext xmlns:c16="http://schemas.microsoft.com/office/drawing/2014/chart" uri="{C3380CC4-5D6E-409C-BE32-E72D297353CC}">
              <c16:uniqueId val="{00000001-4E75-4CAA-9C6E-9155B06FA207}"/>
            </c:ext>
          </c:extLst>
        </c:ser>
        <c:ser>
          <c:idx val="6"/>
          <c:order val="2"/>
          <c:tx>
            <c:strRef>
              <c:f>'J1634 Calcs_old'!$AG$6</c:f>
              <c:strCache>
                <c:ptCount val="1"/>
                <c:pt idx="0">
                  <c:v>23°C Ambient with Climate off</c:v>
                </c:pt>
              </c:strCache>
            </c:strRef>
          </c:tx>
          <c:spPr>
            <a:solidFill>
              <a:srgbClr val="3AC441"/>
            </a:solidFill>
            <a:ln>
              <a:solidFill>
                <a:sysClr val="windowText" lastClr="000000"/>
              </a:solidFill>
            </a:ln>
          </c:spPr>
          <c:invertIfNegative val="0"/>
          <c:cat>
            <c:strRef>
              <c:f>'J1634 Calcs_old'!$AC$29:$AC$31</c:f>
              <c:strCache>
                <c:ptCount val="3"/>
                <c:pt idx="0">
                  <c:v>UDDS</c:v>
                </c:pt>
                <c:pt idx="1">
                  <c:v>HWY</c:v>
                </c:pt>
                <c:pt idx="2">
                  <c:v>US06</c:v>
                </c:pt>
              </c:strCache>
            </c:strRef>
          </c:cat>
          <c:val>
            <c:numRef>
              <c:f>'J1634 Calcs_old'!$AG$29:$AG$31</c:f>
              <c:numCache>
                <c:formatCode>0</c:formatCode>
                <c:ptCount val="3"/>
                <c:pt idx="0">
                  <c:v>446.1922264649354</c:v>
                </c:pt>
                <c:pt idx="1">
                  <c:v>404.15304667022201</c:v>
                </c:pt>
                <c:pt idx="2">
                  <c:v>305.47028217420495</c:v>
                </c:pt>
              </c:numCache>
            </c:numRef>
          </c:val>
          <c:extLst>
            <c:ext xmlns:c16="http://schemas.microsoft.com/office/drawing/2014/chart" uri="{C3380CC4-5D6E-409C-BE32-E72D297353CC}">
              <c16:uniqueId val="{00000002-4E75-4CAA-9C6E-9155B06FA207}"/>
            </c:ext>
          </c:extLst>
        </c:ser>
        <c:ser>
          <c:idx val="0"/>
          <c:order val="3"/>
          <c:tx>
            <c:strRef>
              <c:f>'J1634 Calcs_old'!$AH$6</c:f>
              <c:strCache>
                <c:ptCount val="1"/>
                <c:pt idx="0">
                  <c:v>35°C Ambient with 72°F Cabin</c:v>
                </c:pt>
              </c:strCache>
            </c:strRef>
          </c:tx>
          <c:spPr>
            <a:solidFill>
              <a:srgbClr val="F11A09"/>
            </a:solidFill>
          </c:spPr>
          <c:invertIfNegative val="0"/>
          <c:cat>
            <c:strRef>
              <c:f>'J1634 Calcs_old'!$AC$29:$AC$31</c:f>
              <c:strCache>
                <c:ptCount val="3"/>
                <c:pt idx="0">
                  <c:v>UDDS</c:v>
                </c:pt>
                <c:pt idx="1">
                  <c:v>HWY</c:v>
                </c:pt>
                <c:pt idx="2">
                  <c:v>US06</c:v>
                </c:pt>
              </c:strCache>
            </c:strRef>
          </c:cat>
          <c:val>
            <c:numRef>
              <c:f>'J1634 Calcs_old'!$AH$29:$AH$31</c:f>
              <c:numCache>
                <c:formatCode>0</c:formatCode>
                <c:ptCount val="3"/>
                <c:pt idx="0">
                  <c:v>350.84756767130159</c:v>
                </c:pt>
                <c:pt idx="1">
                  <c:v>414.39555001491266</c:v>
                </c:pt>
                <c:pt idx="2">
                  <c:v>312.77309064104963</c:v>
                </c:pt>
              </c:numCache>
            </c:numRef>
          </c:val>
          <c:extLst>
            <c:ext xmlns:c16="http://schemas.microsoft.com/office/drawing/2014/chart" uri="{C3380CC4-5D6E-409C-BE32-E72D297353CC}">
              <c16:uniqueId val="{00000003-4E75-4CAA-9C6E-9155B06FA207}"/>
            </c:ext>
          </c:extLst>
        </c:ser>
        <c:dLbls>
          <c:showLegendKey val="0"/>
          <c:showVal val="0"/>
          <c:showCatName val="0"/>
          <c:showSerName val="0"/>
          <c:showPercent val="0"/>
          <c:showBubbleSize val="0"/>
        </c:dLbls>
        <c:gapWidth val="150"/>
        <c:axId val="866524464"/>
        <c:axId val="866525248"/>
      </c:barChart>
      <c:catAx>
        <c:axId val="866524464"/>
        <c:scaling>
          <c:orientation val="minMax"/>
        </c:scaling>
        <c:delete val="0"/>
        <c:axPos val="b"/>
        <c:numFmt formatCode="General" sourceLinked="1"/>
        <c:majorTickMark val="none"/>
        <c:minorTickMark val="none"/>
        <c:tickLblPos val="nextTo"/>
        <c:crossAx val="866525248"/>
        <c:crosses val="autoZero"/>
        <c:auto val="1"/>
        <c:lblAlgn val="ctr"/>
        <c:lblOffset val="100"/>
        <c:noMultiLvlLbl val="0"/>
      </c:catAx>
      <c:valAx>
        <c:axId val="866525248"/>
        <c:scaling>
          <c:orientation val="minMax"/>
          <c:max val="500"/>
          <c:min val="0"/>
        </c:scaling>
        <c:delete val="0"/>
        <c:axPos val="l"/>
        <c:majorGridlines/>
        <c:title>
          <c:tx>
            <c:rich>
              <a:bodyPr/>
              <a:lstStyle/>
              <a:p>
                <a:pPr>
                  <a:defRPr sz="2000"/>
                </a:pPr>
                <a:r>
                  <a:rPr lang="en-US" sz="2000"/>
                  <a:t>Range[mi]</a:t>
                </a:r>
              </a:p>
            </c:rich>
          </c:tx>
          <c:layout>
            <c:manualLayout>
              <c:xMode val="edge"/>
              <c:yMode val="edge"/>
              <c:x val="2.6522297161877512E-2"/>
              <c:y val="0.35630697499743136"/>
            </c:manualLayout>
          </c:layout>
          <c:overlay val="0"/>
        </c:title>
        <c:numFmt formatCode="0" sourceLinked="0"/>
        <c:majorTickMark val="none"/>
        <c:minorTickMark val="none"/>
        <c:tickLblPos val="nextTo"/>
        <c:crossAx val="866524464"/>
        <c:crosses val="autoZero"/>
        <c:crossBetween val="between"/>
      </c:valAx>
      <c:dTable>
        <c:showHorzBorder val="1"/>
        <c:showVertBorder val="1"/>
        <c:showOutline val="1"/>
        <c:showKeys val="1"/>
        <c:txPr>
          <a:bodyPr/>
          <a:lstStyle/>
          <a:p>
            <a:pPr rtl="0">
              <a:defRPr sz="1200"/>
            </a:pPr>
            <a:endParaRPr lang="en-US"/>
          </a:p>
        </c:txPr>
      </c:dTable>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b="1" i="0" u="none" strike="noStrike" baseline="0">
                <a:effectLst/>
              </a:rPr>
              <a:t>2020 Tesla Model 3 </a:t>
            </a:r>
            <a:r>
              <a:rPr lang="en-US" sz="2400"/>
              <a:t>- Range [mi]</a:t>
            </a:r>
          </a:p>
        </c:rich>
      </c:tx>
      <c:overlay val="0"/>
    </c:title>
    <c:autoTitleDeleted val="0"/>
    <c:plotArea>
      <c:layout>
        <c:manualLayout>
          <c:layoutTarget val="inner"/>
          <c:xMode val="edge"/>
          <c:yMode val="edge"/>
          <c:x val="7.8532737363389352E-2"/>
          <c:y val="8.8883662875185135E-2"/>
          <c:w val="0.90887012513547338"/>
          <c:h val="0.88493800533801203"/>
        </c:manualLayout>
      </c:layout>
      <c:barChart>
        <c:barDir val="col"/>
        <c:grouping val="clustered"/>
        <c:varyColors val="0"/>
        <c:ser>
          <c:idx val="3"/>
          <c:order val="0"/>
          <c:tx>
            <c:strRef>
              <c:f>'J1634 Calcs_old'!$AD$6</c:f>
              <c:strCache>
                <c:ptCount val="1"/>
                <c:pt idx="0">
                  <c:v>-17°C Ambient with 72F Cabin</c:v>
                </c:pt>
              </c:strCache>
            </c:strRef>
          </c:tx>
          <c:spPr>
            <a:solidFill>
              <a:schemeClr val="accent4"/>
            </a:solidFill>
          </c:spPr>
          <c:invertIfNegative val="0"/>
          <c:cat>
            <c:strRef>
              <c:f>'J1634 Calcs_old'!$AC$29:$AC$31</c:f>
              <c:strCache>
                <c:ptCount val="3"/>
                <c:pt idx="0">
                  <c:v>UDDS</c:v>
                </c:pt>
                <c:pt idx="1">
                  <c:v>HWY</c:v>
                </c:pt>
                <c:pt idx="2">
                  <c:v>US06</c:v>
                </c:pt>
              </c:strCache>
            </c:strRef>
          </c:cat>
          <c:val>
            <c:numRef>
              <c:f>'J1634 Calcs_old'!$AD$29:$AD$31</c:f>
              <c:numCache>
                <c:formatCode>0</c:formatCode>
                <c:ptCount val="3"/>
                <c:pt idx="0">
                  <c:v>188.33468833599363</c:v>
                </c:pt>
                <c:pt idx="1">
                  <c:v>236.58250463440748</c:v>
                </c:pt>
                <c:pt idx="2">
                  <c:v>197.49195944298515</c:v>
                </c:pt>
              </c:numCache>
            </c:numRef>
          </c:val>
          <c:extLst>
            <c:ext xmlns:c16="http://schemas.microsoft.com/office/drawing/2014/chart" uri="{C3380CC4-5D6E-409C-BE32-E72D297353CC}">
              <c16:uniqueId val="{00000000-59F6-4861-B16E-D2EB261A471C}"/>
            </c:ext>
          </c:extLst>
        </c:ser>
        <c:ser>
          <c:idx val="4"/>
          <c:order val="1"/>
          <c:tx>
            <c:strRef>
              <c:f>'J1634 Calcs_old'!$AE$6</c:f>
              <c:strCache>
                <c:ptCount val="1"/>
                <c:pt idx="0">
                  <c:v>-7°C Ambient with 72°F Cabin</c:v>
                </c:pt>
              </c:strCache>
            </c:strRef>
          </c:tx>
          <c:spPr>
            <a:solidFill>
              <a:srgbClr val="00B0F0"/>
            </a:solidFill>
            <a:ln>
              <a:solidFill>
                <a:sysClr val="windowText" lastClr="000000"/>
              </a:solidFill>
            </a:ln>
          </c:spPr>
          <c:invertIfNegative val="0"/>
          <c:cat>
            <c:strRef>
              <c:f>'J1634 Calcs_old'!$AC$29:$AC$31</c:f>
              <c:strCache>
                <c:ptCount val="3"/>
                <c:pt idx="0">
                  <c:v>UDDS</c:v>
                </c:pt>
                <c:pt idx="1">
                  <c:v>HWY</c:v>
                </c:pt>
                <c:pt idx="2">
                  <c:v>US06</c:v>
                </c:pt>
              </c:strCache>
            </c:strRef>
          </c:cat>
          <c:val>
            <c:numRef>
              <c:f>'J1634 Calcs_old'!$AE$29:$AE$31</c:f>
              <c:numCache>
                <c:formatCode>0</c:formatCode>
                <c:ptCount val="3"/>
                <c:pt idx="0">
                  <c:v>226.13399422091658</c:v>
                </c:pt>
                <c:pt idx="1">
                  <c:v>273.24553888965431</c:v>
                </c:pt>
                <c:pt idx="2">
                  <c:v>217.85216596598997</c:v>
                </c:pt>
              </c:numCache>
            </c:numRef>
          </c:val>
          <c:extLst>
            <c:ext xmlns:c16="http://schemas.microsoft.com/office/drawing/2014/chart" uri="{C3380CC4-5D6E-409C-BE32-E72D297353CC}">
              <c16:uniqueId val="{00000001-59F6-4861-B16E-D2EB261A471C}"/>
            </c:ext>
          </c:extLst>
        </c:ser>
        <c:ser>
          <c:idx val="6"/>
          <c:order val="2"/>
          <c:tx>
            <c:strRef>
              <c:f>'J1634 Calcs_old'!$AG$6</c:f>
              <c:strCache>
                <c:ptCount val="1"/>
                <c:pt idx="0">
                  <c:v>23°C Ambient with Climate off</c:v>
                </c:pt>
              </c:strCache>
            </c:strRef>
          </c:tx>
          <c:spPr>
            <a:solidFill>
              <a:srgbClr val="3AC441"/>
            </a:solidFill>
            <a:ln>
              <a:solidFill>
                <a:sysClr val="windowText" lastClr="000000"/>
              </a:solidFill>
            </a:ln>
          </c:spPr>
          <c:invertIfNegative val="0"/>
          <c:cat>
            <c:strRef>
              <c:f>'J1634 Calcs_old'!$AC$29:$AC$31</c:f>
              <c:strCache>
                <c:ptCount val="3"/>
                <c:pt idx="0">
                  <c:v>UDDS</c:v>
                </c:pt>
                <c:pt idx="1">
                  <c:v>HWY</c:v>
                </c:pt>
                <c:pt idx="2">
                  <c:v>US06</c:v>
                </c:pt>
              </c:strCache>
            </c:strRef>
          </c:cat>
          <c:val>
            <c:numRef>
              <c:f>'J1634 Calcs_old'!$AG$29:$AG$31</c:f>
              <c:numCache>
                <c:formatCode>0</c:formatCode>
                <c:ptCount val="3"/>
                <c:pt idx="0">
                  <c:v>446.1922264649354</c:v>
                </c:pt>
                <c:pt idx="1">
                  <c:v>404.15304667022201</c:v>
                </c:pt>
                <c:pt idx="2">
                  <c:v>305.47028217420495</c:v>
                </c:pt>
              </c:numCache>
            </c:numRef>
          </c:val>
          <c:extLst>
            <c:ext xmlns:c16="http://schemas.microsoft.com/office/drawing/2014/chart" uri="{C3380CC4-5D6E-409C-BE32-E72D297353CC}">
              <c16:uniqueId val="{00000002-59F6-4861-B16E-D2EB261A471C}"/>
            </c:ext>
          </c:extLst>
        </c:ser>
        <c:ser>
          <c:idx val="0"/>
          <c:order val="3"/>
          <c:tx>
            <c:strRef>
              <c:f>'J1634 Calcs_old'!$AH$6</c:f>
              <c:strCache>
                <c:ptCount val="1"/>
                <c:pt idx="0">
                  <c:v>35°C Ambient with 72°F Cabin</c:v>
                </c:pt>
              </c:strCache>
            </c:strRef>
          </c:tx>
          <c:spPr>
            <a:solidFill>
              <a:srgbClr val="F11A09"/>
            </a:solidFill>
          </c:spPr>
          <c:invertIfNegative val="0"/>
          <c:cat>
            <c:strRef>
              <c:f>'J1634 Calcs_old'!$AC$29:$AC$31</c:f>
              <c:strCache>
                <c:ptCount val="3"/>
                <c:pt idx="0">
                  <c:v>UDDS</c:v>
                </c:pt>
                <c:pt idx="1">
                  <c:v>HWY</c:v>
                </c:pt>
                <c:pt idx="2">
                  <c:v>US06</c:v>
                </c:pt>
              </c:strCache>
            </c:strRef>
          </c:cat>
          <c:val>
            <c:numRef>
              <c:f>'J1634 Calcs_old'!$AH$29:$AH$31</c:f>
              <c:numCache>
                <c:formatCode>0</c:formatCode>
                <c:ptCount val="3"/>
                <c:pt idx="0">
                  <c:v>350.84756767130159</c:v>
                </c:pt>
                <c:pt idx="1">
                  <c:v>414.39555001491266</c:v>
                </c:pt>
                <c:pt idx="2">
                  <c:v>312.77309064104963</c:v>
                </c:pt>
              </c:numCache>
            </c:numRef>
          </c:val>
          <c:extLst>
            <c:ext xmlns:c16="http://schemas.microsoft.com/office/drawing/2014/chart" uri="{C3380CC4-5D6E-409C-BE32-E72D297353CC}">
              <c16:uniqueId val="{00000003-59F6-4861-B16E-D2EB261A471C}"/>
            </c:ext>
          </c:extLst>
        </c:ser>
        <c:dLbls>
          <c:showLegendKey val="0"/>
          <c:showVal val="0"/>
          <c:showCatName val="0"/>
          <c:showSerName val="0"/>
          <c:showPercent val="0"/>
          <c:showBubbleSize val="0"/>
        </c:dLbls>
        <c:gapWidth val="150"/>
        <c:axId val="866527600"/>
        <c:axId val="866530344"/>
      </c:barChart>
      <c:catAx>
        <c:axId val="866527600"/>
        <c:scaling>
          <c:orientation val="minMax"/>
        </c:scaling>
        <c:delete val="1"/>
        <c:axPos val="b"/>
        <c:numFmt formatCode="General" sourceLinked="1"/>
        <c:majorTickMark val="none"/>
        <c:minorTickMark val="none"/>
        <c:tickLblPos val="nextTo"/>
        <c:crossAx val="866530344"/>
        <c:crosses val="autoZero"/>
        <c:auto val="1"/>
        <c:lblAlgn val="ctr"/>
        <c:lblOffset val="100"/>
        <c:noMultiLvlLbl val="0"/>
      </c:catAx>
      <c:valAx>
        <c:axId val="866530344"/>
        <c:scaling>
          <c:orientation val="minMax"/>
          <c:max val="500"/>
          <c:min val="0"/>
        </c:scaling>
        <c:delete val="0"/>
        <c:axPos val="l"/>
        <c:majorGridlines/>
        <c:numFmt formatCode="0" sourceLinked="0"/>
        <c:majorTickMark val="none"/>
        <c:minorTickMark val="none"/>
        <c:tickLblPos val="nextTo"/>
        <c:txPr>
          <a:bodyPr/>
          <a:lstStyle/>
          <a:p>
            <a:pPr>
              <a:defRPr sz="1800"/>
            </a:pPr>
            <a:endParaRPr lang="en-US"/>
          </a:p>
        </c:txPr>
        <c:crossAx val="866527600"/>
        <c:crosses val="autoZero"/>
        <c:crossBetween val="between"/>
      </c:valAx>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Tesla Model 3 </a:t>
            </a:r>
            <a:r>
              <a:rPr lang="en-US" sz="2400" b="1" i="0" u="none" strike="noStrike" baseline="0">
                <a:effectLst/>
              </a:rPr>
              <a:t>Dual Motor / Long Range</a:t>
            </a:r>
            <a:r>
              <a:rPr lang="en-US" sz="2400"/>
              <a:t> - Range [mi]</a:t>
            </a:r>
          </a:p>
        </c:rich>
      </c:tx>
      <c:overlay val="0"/>
    </c:title>
    <c:autoTitleDeleted val="0"/>
    <c:plotArea>
      <c:layout>
        <c:manualLayout>
          <c:layoutTarget val="inner"/>
          <c:xMode val="edge"/>
          <c:yMode val="edge"/>
          <c:x val="0.21093986949547974"/>
          <c:y val="0.12105893510883965"/>
          <c:w val="0.77489537766112571"/>
          <c:h val="0.64462142752989204"/>
        </c:manualLayout>
      </c:layout>
      <c:barChart>
        <c:barDir val="col"/>
        <c:grouping val="clustered"/>
        <c:varyColors val="0"/>
        <c:ser>
          <c:idx val="3"/>
          <c:order val="0"/>
          <c:tx>
            <c:strRef>
              <c:f>'J1634 Calcs_old'!$AD$6</c:f>
              <c:strCache>
                <c:ptCount val="1"/>
                <c:pt idx="0">
                  <c:v>-17°C Ambient with 72F Cabin</c:v>
                </c:pt>
              </c:strCache>
            </c:strRef>
          </c:tx>
          <c:spPr>
            <a:solidFill>
              <a:schemeClr val="accent4"/>
            </a:solidFill>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Calcs_old'!$AC$29:$AC$31</c:f>
              <c:strCache>
                <c:ptCount val="3"/>
                <c:pt idx="0">
                  <c:v>UDDS</c:v>
                </c:pt>
                <c:pt idx="1">
                  <c:v>HWY</c:v>
                </c:pt>
                <c:pt idx="2">
                  <c:v>US06</c:v>
                </c:pt>
              </c:strCache>
            </c:strRef>
          </c:cat>
          <c:val>
            <c:numRef>
              <c:f>'J1634 Calcs_old'!$AD$29:$AD$31</c:f>
              <c:numCache>
                <c:formatCode>0</c:formatCode>
                <c:ptCount val="3"/>
                <c:pt idx="0">
                  <c:v>188.33468833599363</c:v>
                </c:pt>
                <c:pt idx="1">
                  <c:v>236.58250463440748</c:v>
                </c:pt>
                <c:pt idx="2">
                  <c:v>197.49195944298515</c:v>
                </c:pt>
              </c:numCache>
            </c:numRef>
          </c:val>
          <c:extLst>
            <c:ext xmlns:c16="http://schemas.microsoft.com/office/drawing/2014/chart" uri="{C3380CC4-5D6E-409C-BE32-E72D297353CC}">
              <c16:uniqueId val="{00000000-58A4-458A-BF6D-BB5D30CE4107}"/>
            </c:ext>
          </c:extLst>
        </c:ser>
        <c:ser>
          <c:idx val="4"/>
          <c:order val="1"/>
          <c:tx>
            <c:strRef>
              <c:f>'J1634 Calcs_old'!$AE$6</c:f>
              <c:strCache>
                <c:ptCount val="1"/>
                <c:pt idx="0">
                  <c:v>-7°C Ambient with 72°F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Calcs_old'!$AC$29:$AC$31</c:f>
              <c:strCache>
                <c:ptCount val="3"/>
                <c:pt idx="0">
                  <c:v>UDDS</c:v>
                </c:pt>
                <c:pt idx="1">
                  <c:v>HWY</c:v>
                </c:pt>
                <c:pt idx="2">
                  <c:v>US06</c:v>
                </c:pt>
              </c:strCache>
            </c:strRef>
          </c:cat>
          <c:val>
            <c:numRef>
              <c:f>'J1634 Calcs_old'!$AE$29:$AE$31</c:f>
              <c:numCache>
                <c:formatCode>0</c:formatCode>
                <c:ptCount val="3"/>
                <c:pt idx="0">
                  <c:v>226.13399422091658</c:v>
                </c:pt>
                <c:pt idx="1">
                  <c:v>273.24553888965431</c:v>
                </c:pt>
                <c:pt idx="2">
                  <c:v>217.85216596598997</c:v>
                </c:pt>
              </c:numCache>
            </c:numRef>
          </c:val>
          <c:extLst>
            <c:ext xmlns:c16="http://schemas.microsoft.com/office/drawing/2014/chart" uri="{C3380CC4-5D6E-409C-BE32-E72D297353CC}">
              <c16:uniqueId val="{00000001-58A4-458A-BF6D-BB5D30CE4107}"/>
            </c:ext>
          </c:extLst>
        </c:ser>
        <c:ser>
          <c:idx val="0"/>
          <c:order val="2"/>
          <c:tx>
            <c:strRef>
              <c:f>'J1634 Calcs_old'!$AG$6</c:f>
              <c:strCache>
                <c:ptCount val="1"/>
                <c:pt idx="0">
                  <c:v>23°C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Calcs_old'!$AC$29:$AC$31</c:f>
              <c:strCache>
                <c:ptCount val="3"/>
                <c:pt idx="0">
                  <c:v>UDDS</c:v>
                </c:pt>
                <c:pt idx="1">
                  <c:v>HWY</c:v>
                </c:pt>
                <c:pt idx="2">
                  <c:v>US06</c:v>
                </c:pt>
              </c:strCache>
            </c:strRef>
          </c:cat>
          <c:val>
            <c:numRef>
              <c:f>'J1634 Calcs_old'!$AG$29:$AG$31</c:f>
              <c:numCache>
                <c:formatCode>0</c:formatCode>
                <c:ptCount val="3"/>
                <c:pt idx="0">
                  <c:v>446.1922264649354</c:v>
                </c:pt>
                <c:pt idx="1">
                  <c:v>404.15304667022201</c:v>
                </c:pt>
                <c:pt idx="2">
                  <c:v>305.47028217420495</c:v>
                </c:pt>
              </c:numCache>
            </c:numRef>
          </c:val>
          <c:extLst>
            <c:ext xmlns:c16="http://schemas.microsoft.com/office/drawing/2014/chart" uri="{C3380CC4-5D6E-409C-BE32-E72D297353CC}">
              <c16:uniqueId val="{00000003-58A4-458A-BF6D-BB5D30CE4107}"/>
            </c:ext>
          </c:extLst>
        </c:ser>
        <c:ser>
          <c:idx val="1"/>
          <c:order val="3"/>
          <c:tx>
            <c:strRef>
              <c:f>'J1634 Calcs_old'!$AH$6</c:f>
              <c:strCache>
                <c:ptCount val="1"/>
                <c:pt idx="0">
                  <c:v>35°C Ambient with 72°F Cabin</c:v>
                </c:pt>
              </c:strCache>
            </c:strRef>
          </c:tx>
          <c:spPr>
            <a:solidFill>
              <a:schemeClr val="accent2"/>
            </a:solidFill>
          </c:spPr>
          <c:invertIfNegative val="0"/>
          <c:dLbls>
            <c:numFmt formatCode="#,##0" sourceLinked="0"/>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Calcs_old'!$AC$29:$AC$31</c:f>
              <c:strCache>
                <c:ptCount val="3"/>
                <c:pt idx="0">
                  <c:v>UDDS</c:v>
                </c:pt>
                <c:pt idx="1">
                  <c:v>HWY</c:v>
                </c:pt>
                <c:pt idx="2">
                  <c:v>US06</c:v>
                </c:pt>
              </c:strCache>
            </c:strRef>
          </c:cat>
          <c:val>
            <c:numRef>
              <c:f>'J1634 Calcs_old'!$AH$29:$AH$31</c:f>
              <c:numCache>
                <c:formatCode>0</c:formatCode>
                <c:ptCount val="3"/>
                <c:pt idx="0">
                  <c:v>350.84756767130159</c:v>
                </c:pt>
                <c:pt idx="1">
                  <c:v>414.39555001491266</c:v>
                </c:pt>
                <c:pt idx="2">
                  <c:v>312.77309064104963</c:v>
                </c:pt>
              </c:numCache>
            </c:numRef>
          </c:val>
          <c:extLst>
            <c:ext xmlns:c16="http://schemas.microsoft.com/office/drawing/2014/chart" uri="{C3380CC4-5D6E-409C-BE32-E72D297353CC}">
              <c16:uniqueId val="{00000004-58A4-458A-BF6D-BB5D30CE4107}"/>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500"/>
          <c:min val="0"/>
        </c:scaling>
        <c:delete val="0"/>
        <c:axPos val="l"/>
        <c:majorGridlines/>
        <c:title>
          <c:tx>
            <c:rich>
              <a:bodyPr/>
              <a:lstStyle/>
              <a:p>
                <a:pPr>
                  <a:defRPr sz="2400"/>
                </a:pPr>
                <a:r>
                  <a:rPr lang="en-US" sz="2400"/>
                  <a:t>SAE J1634</a:t>
                </a:r>
              </a:p>
              <a:p>
                <a:pPr>
                  <a:defRPr sz="2400"/>
                </a:pPr>
                <a:r>
                  <a:rPr lang="en-US" sz="2400"/>
                  <a:t> Calculated Range </a:t>
                </a:r>
              </a:p>
              <a:p>
                <a:pPr>
                  <a:defRPr sz="2400"/>
                </a:pPr>
                <a:r>
                  <a:rPr lang="en-US" sz="2400"/>
                  <a:t>[miles]</a:t>
                </a:r>
              </a:p>
            </c:rich>
          </c:tx>
          <c:layout>
            <c:manualLayout>
              <c:xMode val="edge"/>
              <c:yMode val="edge"/>
              <c:x val="5.1908172936716242E-2"/>
              <c:y val="0.19998432487605719"/>
            </c:manualLayout>
          </c:layout>
          <c:overlay val="0"/>
        </c:title>
        <c:numFmt formatCode="0" sourceLinked="1"/>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Tesla </a:t>
            </a:r>
            <a:r>
              <a:rPr lang="en-US" sz="2400" b="1" i="0" u="none" strike="noStrike" baseline="0">
                <a:effectLst/>
              </a:rPr>
              <a:t>Model 3 Dual Motor / Long Range [DC Wh/mi]</a:t>
            </a:r>
            <a:r>
              <a:rPr lang="en-US" sz="2400"/>
              <a:t> </a:t>
            </a:r>
          </a:p>
        </c:rich>
      </c:tx>
      <c:overlay val="0"/>
    </c:title>
    <c:autoTitleDeleted val="0"/>
    <c:plotArea>
      <c:layout/>
      <c:barChart>
        <c:barDir val="col"/>
        <c:grouping val="clustered"/>
        <c:varyColors val="0"/>
        <c:ser>
          <c:idx val="3"/>
          <c:order val="0"/>
          <c:tx>
            <c:strRef>
              <c:f>'J1634 Calcs_old'!$AD$6</c:f>
              <c:strCache>
                <c:ptCount val="1"/>
                <c:pt idx="0">
                  <c:v>-17°C Ambient with 72F Cabin</c:v>
                </c:pt>
              </c:strCache>
            </c:strRef>
          </c:tx>
          <c:spPr>
            <a:solidFill>
              <a:schemeClr val="accent4"/>
            </a:solidFill>
          </c:spPr>
          <c:invertIfNegative val="0"/>
          <c:dLbls>
            <c:dLbl>
              <c:idx val="0"/>
              <c:layout>
                <c:manualLayout>
                  <c:x val="1.4887582923543822E-3"/>
                  <c:y val="7.9889789833237929E-3"/>
                </c:manualLayout>
              </c:layout>
              <c:tx>
                <c:rich>
                  <a:bodyPr/>
                  <a:lstStyle/>
                  <a:p>
                    <a:fld id="{52E43E02-3978-4016-A209-E6333B24FF4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Calcs_old'!$AD$23</c15:f>
                      <c15:dlblFieldTableCache>
                        <c:ptCount val="1"/>
                        <c:pt idx="0">
                          <c:v>244%</c:v>
                        </c:pt>
                      </c15:dlblFieldTableCache>
                    </c15:dlblFTEntry>
                  </c15:dlblFieldTable>
                  <c15:showDataLabelsRange val="0"/>
                </c:ext>
                <c:ext xmlns:c16="http://schemas.microsoft.com/office/drawing/2014/chart" uri="{C3380CC4-5D6E-409C-BE32-E72D297353CC}">
                  <c16:uniqueId val="{00000000-B24D-4C4F-BF96-C5B353E27368}"/>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Calcs_old'!$AD$24</c15:f>
                      <c15:dlblFieldTableCache>
                        <c:ptCount val="1"/>
                        <c:pt idx="0">
                          <c:v>71%</c:v>
                        </c:pt>
                      </c15:dlblFieldTableCache>
                    </c15:dlblFTEntry>
                  </c15:dlblFieldTable>
                  <c15:showDataLabelsRange val="0"/>
                </c:ext>
                <c:ext xmlns:c16="http://schemas.microsoft.com/office/drawing/2014/chart" uri="{C3380CC4-5D6E-409C-BE32-E72D297353CC}">
                  <c16:uniqueId val="{00000001-B24D-4C4F-BF96-C5B353E27368}"/>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Calcs_old'!$AD$25</c15:f>
                      <c15:dlblFieldTableCache>
                        <c:ptCount val="1"/>
                        <c:pt idx="0">
                          <c:v>140%</c:v>
                        </c:pt>
                      </c15:dlblFieldTableCache>
                    </c15:dlblFTEntry>
                  </c15:dlblFieldTable>
                  <c15:showDataLabelsRange val="0"/>
                </c:ext>
                <c:ext xmlns:c16="http://schemas.microsoft.com/office/drawing/2014/chart" uri="{C3380CC4-5D6E-409C-BE32-E72D297353CC}">
                  <c16:uniqueId val="{00000002-B24D-4C4F-BF96-C5B353E27368}"/>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Calcs_old'!$AD$26</c15:f>
                      <c15:dlblFieldTableCache>
                        <c:ptCount val="1"/>
                        <c:pt idx="0">
                          <c:v>55%</c:v>
                        </c:pt>
                      </c15:dlblFieldTableCache>
                    </c15:dlblFTEntry>
                  </c15:dlblFieldTable>
                  <c15:showDataLabelsRange val="0"/>
                </c:ext>
                <c:ext xmlns:c16="http://schemas.microsoft.com/office/drawing/2014/chart" uri="{C3380CC4-5D6E-409C-BE32-E72D297353CC}">
                  <c16:uniqueId val="{00000015-B24D-4C4F-BF96-C5B353E27368}"/>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Calcs_old'!$AC$7:$AC$10</c:f>
              <c:strCache>
                <c:ptCount val="4"/>
                <c:pt idx="0">
                  <c:v>UDDS#1</c:v>
                </c:pt>
                <c:pt idx="1">
                  <c:v>HWY#1</c:v>
                </c:pt>
                <c:pt idx="2">
                  <c:v>UDDS#2</c:v>
                </c:pt>
                <c:pt idx="3">
                  <c:v>US06#1</c:v>
                </c:pt>
              </c:strCache>
            </c:strRef>
          </c:cat>
          <c:val>
            <c:numRef>
              <c:f>'J1634 Calcs_old'!$AD$7:$AD$10</c:f>
              <c:numCache>
                <c:formatCode>0</c:formatCode>
                <c:ptCount val="4"/>
                <c:pt idx="0">
                  <c:v>702.56288373980021</c:v>
                </c:pt>
                <c:pt idx="1">
                  <c:v>321.76090162555926</c:v>
                </c:pt>
                <c:pt idx="2">
                  <c:v>419.29468774498673</c:v>
                </c:pt>
                <c:pt idx="3">
                  <c:v>385.44860365303276</c:v>
                </c:pt>
              </c:numCache>
            </c:numRef>
          </c:val>
          <c:extLst>
            <c:ext xmlns:c16="http://schemas.microsoft.com/office/drawing/2014/chart" uri="{C3380CC4-5D6E-409C-BE32-E72D297353CC}">
              <c16:uniqueId val="{00000003-B24D-4C4F-BF96-C5B353E27368}"/>
            </c:ext>
          </c:extLst>
        </c:ser>
        <c:ser>
          <c:idx val="4"/>
          <c:order val="1"/>
          <c:tx>
            <c:strRef>
              <c:f>'J1634 Calcs_old'!$AE$6</c:f>
              <c:strCache>
                <c:ptCount val="1"/>
                <c:pt idx="0">
                  <c:v>-7°C Ambient with 72°F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Calcs_old'!$AE$23</c15:f>
                      <c15:dlblFieldTableCache>
                        <c:ptCount val="1"/>
                        <c:pt idx="0">
                          <c:v>131%</c:v>
                        </c:pt>
                      </c15:dlblFieldTableCache>
                    </c15:dlblFTEntry>
                  </c15:dlblFieldTable>
                  <c15:showDataLabelsRange val="0"/>
                </c:ext>
                <c:ext xmlns:c16="http://schemas.microsoft.com/office/drawing/2014/chart" uri="{C3380CC4-5D6E-409C-BE32-E72D297353CC}">
                  <c16:uniqueId val="{00000004-B24D-4C4F-BF96-C5B353E27368}"/>
                </c:ext>
              </c:extLst>
            </c:dLbl>
            <c:dLbl>
              <c:idx val="1"/>
              <c:layout>
                <c:manualLayout>
                  <c:x val="2.9775165847086551E-3"/>
                  <c:y val="2.6629929944412154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Calcs_old'!$AE$24</c15:f>
                      <c15:dlblFieldTableCache>
                        <c:ptCount val="1"/>
                        <c:pt idx="0">
                          <c:v>48%</c:v>
                        </c:pt>
                      </c15:dlblFieldTableCache>
                    </c15:dlblFTEntry>
                  </c15:dlblFieldTable>
                  <c15:showDataLabelsRange val="0"/>
                </c:ext>
                <c:ext xmlns:c16="http://schemas.microsoft.com/office/drawing/2014/chart" uri="{C3380CC4-5D6E-409C-BE32-E72D297353CC}">
                  <c16:uniqueId val="{00000005-B24D-4C4F-BF96-C5B353E27368}"/>
                </c:ext>
              </c:extLst>
            </c:dLbl>
            <c:dLbl>
              <c:idx val="2"/>
              <c:layout>
                <c:manualLayout>
                  <c:x val="1.4887582923543822E-3"/>
                  <c:y val="2.662992994441264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Calcs_old'!$AE$25</c15:f>
                      <c15:dlblFieldTableCache>
                        <c:ptCount val="1"/>
                        <c:pt idx="0">
                          <c:v>89%</c:v>
                        </c:pt>
                      </c15:dlblFieldTableCache>
                    </c15:dlblFTEntry>
                  </c15:dlblFieldTable>
                  <c15:showDataLabelsRange val="0"/>
                </c:ext>
                <c:ext xmlns:c16="http://schemas.microsoft.com/office/drawing/2014/chart" uri="{C3380CC4-5D6E-409C-BE32-E72D297353CC}">
                  <c16:uniqueId val="{00000006-B24D-4C4F-BF96-C5B353E27368}"/>
                </c:ext>
              </c:extLst>
            </c:dLbl>
            <c:dLbl>
              <c:idx val="3"/>
              <c:layout>
                <c:manualLayout>
                  <c:x val="3.4346590816893546E-3"/>
                  <c:y val="-7.7292157323902014E-17"/>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Calcs_old'!$AE$26</c15:f>
                      <c15:dlblFieldTableCache>
                        <c:ptCount val="1"/>
                        <c:pt idx="0">
                          <c:v>40%</c:v>
                        </c:pt>
                      </c15:dlblFieldTableCache>
                    </c15:dlblFTEntry>
                  </c15:dlblFieldTable>
                  <c15:showDataLabelsRange val="0"/>
                </c:ext>
                <c:ext xmlns:c16="http://schemas.microsoft.com/office/drawing/2014/chart" uri="{C3380CC4-5D6E-409C-BE32-E72D297353CC}">
                  <c16:uniqueId val="{00000016-B24D-4C4F-BF96-C5B353E27368}"/>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Calcs_old'!$AC$7:$AC$10</c:f>
              <c:strCache>
                <c:ptCount val="4"/>
                <c:pt idx="0">
                  <c:v>UDDS#1</c:v>
                </c:pt>
                <c:pt idx="1">
                  <c:v>HWY#1</c:v>
                </c:pt>
                <c:pt idx="2">
                  <c:v>UDDS#2</c:v>
                </c:pt>
                <c:pt idx="3">
                  <c:v>US06#1</c:v>
                </c:pt>
              </c:strCache>
            </c:strRef>
          </c:cat>
          <c:val>
            <c:numRef>
              <c:f>'J1634 Calcs_old'!$AE$7:$AE$10</c:f>
              <c:numCache>
                <c:formatCode>0</c:formatCode>
                <c:ptCount val="4"/>
                <c:pt idx="0">
                  <c:v>470.19803431674404</c:v>
                </c:pt>
                <c:pt idx="1">
                  <c:v>278.58826281054496</c:v>
                </c:pt>
                <c:pt idx="2">
                  <c:v>329.9472588624601</c:v>
                </c:pt>
                <c:pt idx="3">
                  <c:v>349.42503170651952</c:v>
                </c:pt>
              </c:numCache>
            </c:numRef>
          </c:val>
          <c:extLst>
            <c:ext xmlns:c16="http://schemas.microsoft.com/office/drawing/2014/chart" uri="{C3380CC4-5D6E-409C-BE32-E72D297353CC}">
              <c16:uniqueId val="{00000007-B24D-4C4F-BF96-C5B353E27368}"/>
            </c:ext>
          </c:extLst>
        </c:ser>
        <c:ser>
          <c:idx val="6"/>
          <c:order val="2"/>
          <c:tx>
            <c:strRef>
              <c:f>'J1634 Calcs_old'!$AF$6</c:f>
              <c:strCache>
                <c:ptCount val="1"/>
                <c:pt idx="0">
                  <c:v>-7°C Ambient with 72°F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Calcs_old'!$AF$23</c15:f>
                      <c15:dlblFieldTableCache>
                        <c:ptCount val="1"/>
                        <c:pt idx="0">
                          <c:v>47%</c:v>
                        </c:pt>
                      </c15:dlblFieldTableCache>
                    </c15:dlblFTEntry>
                  </c15:dlblFieldTable>
                  <c15:showDataLabelsRange val="0"/>
                </c:ext>
                <c:ext xmlns:c16="http://schemas.microsoft.com/office/drawing/2014/chart" uri="{C3380CC4-5D6E-409C-BE32-E72D297353CC}">
                  <c16:uniqueId val="{00000008-B24D-4C4F-BF96-C5B353E27368}"/>
                </c:ext>
              </c:extLst>
            </c:dLbl>
            <c:dLbl>
              <c:idx val="1"/>
              <c:layout>
                <c:manualLayout>
                  <c:x val="4.4662748770631462E-3"/>
                  <c:y val="-4.8820974247362615E-17"/>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Calcs_old'!$AF$24</c15:f>
                      <c15:dlblFieldTableCache>
                        <c:ptCount val="1"/>
                        <c:pt idx="0">
                          <c:v>35%</c:v>
                        </c:pt>
                      </c15:dlblFieldTableCache>
                    </c15:dlblFTEntry>
                  </c15:dlblFieldTable>
                  <c15:showDataLabelsRange val="0"/>
                </c:ext>
                <c:ext xmlns:c16="http://schemas.microsoft.com/office/drawing/2014/chart" uri="{C3380CC4-5D6E-409C-BE32-E72D297353CC}">
                  <c16:uniqueId val="{00000009-B24D-4C4F-BF96-C5B353E27368}"/>
                </c:ext>
              </c:extLst>
            </c:dLbl>
            <c:dLbl>
              <c:idx val="2"/>
              <c:layout>
                <c:manualLayout>
                  <c:x val="2.9775165847087644E-3"/>
                  <c:y val="2.6629929944412154E-3"/>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Calcs_old'!$AF$25</c15:f>
                      <c15:dlblFieldTableCache>
                        <c:ptCount val="1"/>
                        <c:pt idx="0">
                          <c:v>70%</c:v>
                        </c:pt>
                      </c15:dlblFieldTableCache>
                    </c15:dlblFTEntry>
                  </c15:dlblFieldTable>
                  <c15:showDataLabelsRange val="0"/>
                </c:ext>
                <c:ext xmlns:c16="http://schemas.microsoft.com/office/drawing/2014/chart" uri="{C3380CC4-5D6E-409C-BE32-E72D297353CC}">
                  <c16:uniqueId val="{0000000A-B24D-4C4F-BF96-C5B353E27368}"/>
                </c:ext>
              </c:extLst>
            </c:dLbl>
            <c:dLbl>
              <c:idx val="3"/>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Calcs_old'!$AF$26</c15:f>
                      <c15:dlblFieldTableCache>
                        <c:ptCount val="1"/>
                        <c:pt idx="0">
                          <c:v>27%</c:v>
                        </c:pt>
                      </c15:dlblFieldTableCache>
                    </c15:dlblFTEntry>
                  </c15:dlblFieldTable>
                  <c15:showDataLabelsRange val="0"/>
                </c:ext>
                <c:ext xmlns:c16="http://schemas.microsoft.com/office/drawing/2014/chart" uri="{C3380CC4-5D6E-409C-BE32-E72D297353CC}">
                  <c16:uniqueId val="{00000017-B24D-4C4F-BF96-C5B353E27368}"/>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Calcs_old'!$AC$7:$AC$10</c:f>
              <c:strCache>
                <c:ptCount val="4"/>
                <c:pt idx="0">
                  <c:v>UDDS#1</c:v>
                </c:pt>
                <c:pt idx="1">
                  <c:v>HWY#1</c:v>
                </c:pt>
                <c:pt idx="2">
                  <c:v>UDDS#2</c:v>
                </c:pt>
                <c:pt idx="3">
                  <c:v>US06#1</c:v>
                </c:pt>
              </c:strCache>
            </c:strRef>
          </c:cat>
          <c:val>
            <c:numRef>
              <c:f>'J1634 Calcs_old'!$AF$7:$AF$10</c:f>
              <c:numCache>
                <c:formatCode>0</c:formatCode>
                <c:ptCount val="4"/>
                <c:pt idx="0">
                  <c:v>299.18228414945207</c:v>
                </c:pt>
                <c:pt idx="1">
                  <c:v>254.17901044554284</c:v>
                </c:pt>
                <c:pt idx="2">
                  <c:v>298.0337742598453</c:v>
                </c:pt>
                <c:pt idx="3">
                  <c:v>315.96771451860485</c:v>
                </c:pt>
              </c:numCache>
            </c:numRef>
          </c:val>
          <c:extLst>
            <c:ext xmlns:c16="http://schemas.microsoft.com/office/drawing/2014/chart" uri="{C3380CC4-5D6E-409C-BE32-E72D297353CC}">
              <c16:uniqueId val="{0000000B-B24D-4C4F-BF96-C5B353E27368}"/>
            </c:ext>
          </c:extLst>
        </c:ser>
        <c:ser>
          <c:idx val="0"/>
          <c:order val="3"/>
          <c:tx>
            <c:strRef>
              <c:f>'J1634 Calcs_old'!$AG$6</c:f>
              <c:strCache>
                <c:ptCount val="1"/>
                <c:pt idx="0">
                  <c:v>23°C Ambient with Climate off</c:v>
                </c:pt>
              </c:strCache>
            </c:strRef>
          </c:tx>
          <c:spPr>
            <a:solidFill>
              <a:schemeClr val="accent3"/>
            </a:solidFill>
          </c:spPr>
          <c:invertIfNegative val="0"/>
          <c:cat>
            <c:strRef>
              <c:f>'J1634 Calcs_old'!$AC$7:$AC$10</c:f>
              <c:strCache>
                <c:ptCount val="4"/>
                <c:pt idx="0">
                  <c:v>UDDS#1</c:v>
                </c:pt>
                <c:pt idx="1">
                  <c:v>HWY#1</c:v>
                </c:pt>
                <c:pt idx="2">
                  <c:v>UDDS#2</c:v>
                </c:pt>
                <c:pt idx="3">
                  <c:v>US06#1</c:v>
                </c:pt>
              </c:strCache>
            </c:strRef>
          </c:cat>
          <c:val>
            <c:numRef>
              <c:f>'J1634 Calcs_old'!$AG$7:$AG$10</c:f>
              <c:numCache>
                <c:formatCode>0</c:formatCode>
                <c:ptCount val="4"/>
                <c:pt idx="0">
                  <c:v>203.95093482768127</c:v>
                </c:pt>
                <c:pt idx="1">
                  <c:v>188.35191427398621</c:v>
                </c:pt>
                <c:pt idx="2">
                  <c:v>174.96361373564278</c:v>
                </c:pt>
                <c:pt idx="3">
                  <c:v>249.19936387326945</c:v>
                </c:pt>
              </c:numCache>
            </c:numRef>
          </c:val>
          <c:extLst>
            <c:ext xmlns:c16="http://schemas.microsoft.com/office/drawing/2014/chart" uri="{C3380CC4-5D6E-409C-BE32-E72D297353CC}">
              <c16:uniqueId val="{0000000C-B24D-4C4F-BF96-C5B353E27368}"/>
            </c:ext>
          </c:extLst>
        </c:ser>
        <c:ser>
          <c:idx val="1"/>
          <c:order val="4"/>
          <c:tx>
            <c:strRef>
              <c:f>'J1634 Calcs_old'!$AH$6</c:f>
              <c:strCache>
                <c:ptCount val="1"/>
                <c:pt idx="0">
                  <c:v>35°C Ambient with 72°F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Calcs_old'!$AH$23</c15:f>
                      <c15:dlblFieldTableCache>
                        <c:ptCount val="1"/>
                        <c:pt idx="0">
                          <c:v>25%</c:v>
                        </c:pt>
                      </c15:dlblFieldTableCache>
                    </c15:dlblFTEntry>
                  </c15:dlblFieldTable>
                  <c15:showDataLabelsRange val="0"/>
                </c:ext>
                <c:ext xmlns:c16="http://schemas.microsoft.com/office/drawing/2014/chart" uri="{C3380CC4-5D6E-409C-BE32-E72D297353CC}">
                  <c16:uniqueId val="{0000000D-B24D-4C4F-BF96-C5B353E27368}"/>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Calcs_old'!$AH$24</c15:f>
                      <c15:dlblFieldTableCache>
                        <c:ptCount val="1"/>
                        <c:pt idx="0">
                          <c:v>-2%</c:v>
                        </c:pt>
                      </c15:dlblFieldTableCache>
                    </c15:dlblFTEntry>
                  </c15:dlblFieldTable>
                  <c15:showDataLabelsRange val="0"/>
                </c:ext>
                <c:ext xmlns:c16="http://schemas.microsoft.com/office/drawing/2014/chart" uri="{C3380CC4-5D6E-409C-BE32-E72D297353CC}">
                  <c16:uniqueId val="{0000000E-B24D-4C4F-BF96-C5B353E27368}"/>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Calcs_old'!$AH$25</c15:f>
                      <c15:dlblFieldTableCache>
                        <c:ptCount val="1"/>
                        <c:pt idx="0">
                          <c:v>23%</c:v>
                        </c:pt>
                      </c15:dlblFieldTableCache>
                    </c15:dlblFTEntry>
                  </c15:dlblFieldTable>
                  <c15:showDataLabelsRange val="0"/>
                </c:ext>
                <c:ext xmlns:c16="http://schemas.microsoft.com/office/drawing/2014/chart" uri="{C3380CC4-5D6E-409C-BE32-E72D297353CC}">
                  <c16:uniqueId val="{0000000F-B24D-4C4F-BF96-C5B353E27368}"/>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Calcs_old'!$AH$26</c15:f>
                      <c15:dlblFieldTableCache>
                        <c:ptCount val="1"/>
                        <c:pt idx="0">
                          <c:v>-2%</c:v>
                        </c:pt>
                      </c15:dlblFieldTableCache>
                    </c15:dlblFTEntry>
                  </c15:dlblFieldTable>
                  <c15:showDataLabelsRange val="0"/>
                </c:ext>
                <c:ext xmlns:c16="http://schemas.microsoft.com/office/drawing/2014/chart" uri="{C3380CC4-5D6E-409C-BE32-E72D297353CC}">
                  <c16:uniqueId val="{00000018-B24D-4C4F-BF96-C5B353E27368}"/>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Calcs_old'!$AC$7:$AC$10</c:f>
              <c:strCache>
                <c:ptCount val="4"/>
                <c:pt idx="0">
                  <c:v>UDDS#1</c:v>
                </c:pt>
                <c:pt idx="1">
                  <c:v>HWY#1</c:v>
                </c:pt>
                <c:pt idx="2">
                  <c:v>UDDS#2</c:v>
                </c:pt>
                <c:pt idx="3">
                  <c:v>US06#1</c:v>
                </c:pt>
              </c:strCache>
            </c:strRef>
          </c:cat>
          <c:val>
            <c:numRef>
              <c:f>'J1634 Calcs_old'!$AH$7:$AH$10</c:f>
              <c:numCache>
                <c:formatCode>0</c:formatCode>
                <c:ptCount val="4"/>
                <c:pt idx="0">
                  <c:v>255.81475828027962</c:v>
                </c:pt>
                <c:pt idx="1">
                  <c:v>183.69647067218892</c:v>
                </c:pt>
                <c:pt idx="2">
                  <c:v>215.93134840355788</c:v>
                </c:pt>
                <c:pt idx="3">
                  <c:v>243.38091184245025</c:v>
                </c:pt>
              </c:numCache>
            </c:numRef>
          </c:val>
          <c:extLst>
            <c:ext xmlns:c16="http://schemas.microsoft.com/office/drawing/2014/chart" uri="{C3380CC4-5D6E-409C-BE32-E72D297353CC}">
              <c16:uniqueId val="{00000010-B24D-4C4F-BF96-C5B353E27368}"/>
            </c:ext>
          </c:extLst>
        </c:ser>
        <c:ser>
          <c:idx val="2"/>
          <c:order val="5"/>
          <c:tx>
            <c:strRef>
              <c:f>'J1634 Calcs_old'!$AI$6</c:f>
              <c:strCache>
                <c:ptCount val="1"/>
                <c:pt idx="0">
                  <c:v>35°C w/o solar with 72F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Calcs_old'!$AI$23</c15:f>
                      <c15:dlblFieldTableCache>
                        <c:ptCount val="1"/>
                        <c:pt idx="0">
                          <c:v>8%</c:v>
                        </c:pt>
                      </c15:dlblFieldTableCache>
                    </c15:dlblFTEntry>
                  </c15:dlblFieldTable>
                  <c15:showDataLabelsRange val="0"/>
                </c:ext>
                <c:ext xmlns:c16="http://schemas.microsoft.com/office/drawing/2014/chart" uri="{C3380CC4-5D6E-409C-BE32-E72D297353CC}">
                  <c16:uniqueId val="{00000011-B24D-4C4F-BF96-C5B353E27368}"/>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Calcs_old'!$AI$24</c15:f>
                      <c15:dlblFieldTableCache>
                        <c:ptCount val="1"/>
                        <c:pt idx="0">
                          <c:v>-1%</c:v>
                        </c:pt>
                      </c15:dlblFieldTableCache>
                    </c15:dlblFTEntry>
                  </c15:dlblFieldTable>
                  <c15:showDataLabelsRange val="0"/>
                </c:ext>
                <c:ext xmlns:c16="http://schemas.microsoft.com/office/drawing/2014/chart" uri="{C3380CC4-5D6E-409C-BE32-E72D297353CC}">
                  <c16:uniqueId val="{00000012-B24D-4C4F-BF96-C5B353E27368}"/>
                </c:ext>
              </c:extLst>
            </c:dLbl>
            <c:dLbl>
              <c:idx val="2"/>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Calcs_old'!$AI$25</c15:f>
                      <c15:dlblFieldTableCache>
                        <c:ptCount val="1"/>
                        <c:pt idx="0">
                          <c:v>16%</c:v>
                        </c:pt>
                      </c15:dlblFieldTableCache>
                    </c15:dlblFTEntry>
                  </c15:dlblFieldTable>
                  <c15:showDataLabelsRange val="0"/>
                </c:ext>
                <c:ext xmlns:c16="http://schemas.microsoft.com/office/drawing/2014/chart" uri="{C3380CC4-5D6E-409C-BE32-E72D297353CC}">
                  <c16:uniqueId val="{00000013-B24D-4C4F-BF96-C5B353E27368}"/>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Calcs_old'!$AI$26</c15:f>
                      <c15:dlblFieldTableCache>
                        <c:ptCount val="1"/>
                        <c:pt idx="0">
                          <c:v>3%</c:v>
                        </c:pt>
                      </c15:dlblFieldTableCache>
                    </c15:dlblFTEntry>
                  </c15:dlblFieldTable>
                  <c15:showDataLabelsRange val="0"/>
                </c:ext>
                <c:ext xmlns:c16="http://schemas.microsoft.com/office/drawing/2014/chart" uri="{C3380CC4-5D6E-409C-BE32-E72D297353CC}">
                  <c16:uniqueId val="{00000019-B24D-4C4F-BF96-C5B353E27368}"/>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Calcs_old'!$AC$7:$AC$10</c:f>
              <c:strCache>
                <c:ptCount val="4"/>
                <c:pt idx="0">
                  <c:v>UDDS#1</c:v>
                </c:pt>
                <c:pt idx="1">
                  <c:v>HWY#1</c:v>
                </c:pt>
                <c:pt idx="2">
                  <c:v>UDDS#2</c:v>
                </c:pt>
                <c:pt idx="3">
                  <c:v>US06#1</c:v>
                </c:pt>
              </c:strCache>
            </c:strRef>
          </c:cat>
          <c:val>
            <c:numRef>
              <c:f>'J1634 Calcs_old'!$AI$7:$AI$10</c:f>
              <c:numCache>
                <c:formatCode>0</c:formatCode>
                <c:ptCount val="4"/>
                <c:pt idx="0">
                  <c:v>220.88241993321552</c:v>
                </c:pt>
                <c:pt idx="1">
                  <c:v>187.37606785701291</c:v>
                </c:pt>
                <c:pt idx="2">
                  <c:v>203.35605563119788</c:v>
                </c:pt>
                <c:pt idx="3">
                  <c:v>256.5577483749729</c:v>
                </c:pt>
              </c:numCache>
            </c:numRef>
          </c:val>
          <c:extLst>
            <c:ext xmlns:c16="http://schemas.microsoft.com/office/drawing/2014/chart" uri="{C3380CC4-5D6E-409C-BE32-E72D297353CC}">
              <c16:uniqueId val="{00000014-B24D-4C4F-BF96-C5B353E27368}"/>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1"/>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2020 Tesla </a:t>
            </a:r>
            <a:r>
              <a:rPr lang="en-US" sz="2400" b="1" i="0" u="none" strike="noStrike" baseline="0">
                <a:effectLst/>
              </a:rPr>
              <a:t>Model 3 Dual Motor / Long Range [AC Wh/mi]</a:t>
            </a:r>
            <a:r>
              <a:rPr lang="en-US" sz="2400"/>
              <a:t> </a:t>
            </a:r>
          </a:p>
        </c:rich>
      </c:tx>
      <c:overlay val="0"/>
    </c:title>
    <c:autoTitleDeleted val="0"/>
    <c:plotArea>
      <c:layout/>
      <c:barChart>
        <c:barDir val="col"/>
        <c:grouping val="clustered"/>
        <c:varyColors val="0"/>
        <c:ser>
          <c:idx val="3"/>
          <c:order val="0"/>
          <c:tx>
            <c:strRef>
              <c:f>'J1634 Calcs_old'!$AD$6</c:f>
              <c:strCache>
                <c:ptCount val="1"/>
                <c:pt idx="0">
                  <c:v>-17°C Ambient with 72F Cabin</c:v>
                </c:pt>
              </c:strCache>
            </c:strRef>
          </c:tx>
          <c:spPr>
            <a:solidFill>
              <a:schemeClr val="accent4"/>
            </a:solidFill>
          </c:spPr>
          <c:invertIfNegative val="0"/>
          <c:dLbls>
            <c:dLbl>
              <c:idx val="0"/>
              <c:layout>
                <c:manualLayout>
                  <c:x val="1.4887582923543822E-3"/>
                  <c:y val="7.9889789833237929E-3"/>
                </c:manualLayout>
              </c:layout>
              <c:tx>
                <c:rich>
                  <a:bodyPr/>
                  <a:lstStyle/>
                  <a:p>
                    <a:fld id="{52E43E02-3978-4016-A209-E6333B24FF4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Calcs_old'!$AD$23</c15:f>
                      <c15:dlblFieldTableCache>
                        <c:ptCount val="1"/>
                        <c:pt idx="0">
                          <c:v>244%</c:v>
                        </c:pt>
                      </c15:dlblFieldTableCache>
                    </c15:dlblFTEntry>
                  </c15:dlblFieldTable>
                  <c15:showDataLabelsRange val="0"/>
                </c:ext>
                <c:ext xmlns:c16="http://schemas.microsoft.com/office/drawing/2014/chart" uri="{C3380CC4-5D6E-409C-BE32-E72D297353CC}">
                  <c16:uniqueId val="{00000000-1322-4262-B91F-2BA6F3FF49A4}"/>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Calcs_old'!$AD$24</c15:f>
                      <c15:dlblFieldTableCache>
                        <c:ptCount val="1"/>
                        <c:pt idx="0">
                          <c:v>71%</c:v>
                        </c:pt>
                      </c15:dlblFieldTableCache>
                    </c15:dlblFTEntry>
                  </c15:dlblFieldTable>
                  <c15:showDataLabelsRange val="0"/>
                </c:ext>
                <c:ext xmlns:c16="http://schemas.microsoft.com/office/drawing/2014/chart" uri="{C3380CC4-5D6E-409C-BE32-E72D297353CC}">
                  <c16:uniqueId val="{00000001-1322-4262-B91F-2BA6F3FF49A4}"/>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Calcs_old'!$AD$25</c15:f>
                      <c15:dlblFieldTableCache>
                        <c:ptCount val="1"/>
                        <c:pt idx="0">
                          <c:v>140%</c:v>
                        </c:pt>
                      </c15:dlblFieldTableCache>
                    </c15:dlblFTEntry>
                  </c15:dlblFieldTable>
                  <c15:showDataLabelsRange val="0"/>
                </c:ext>
                <c:ext xmlns:c16="http://schemas.microsoft.com/office/drawing/2014/chart" uri="{C3380CC4-5D6E-409C-BE32-E72D297353CC}">
                  <c16:uniqueId val="{00000002-1322-4262-B91F-2BA6F3FF49A4}"/>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Calcs_old'!$AD$26</c15:f>
                      <c15:dlblFieldTableCache>
                        <c:ptCount val="1"/>
                        <c:pt idx="0">
                          <c:v>55%</c:v>
                        </c:pt>
                      </c15:dlblFieldTableCache>
                    </c15:dlblFTEntry>
                  </c15:dlblFieldTable>
                  <c15:showDataLabelsRange val="0"/>
                </c:ext>
                <c:ext xmlns:c16="http://schemas.microsoft.com/office/drawing/2014/chart" uri="{C3380CC4-5D6E-409C-BE32-E72D297353CC}">
                  <c16:uniqueId val="{00000003-1322-4262-B91F-2BA6F3FF49A4}"/>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Calcs_old'!$AC$13:$AC$15</c:f>
              <c:strCache>
                <c:ptCount val="3"/>
                <c:pt idx="0">
                  <c:v>UDDS</c:v>
                </c:pt>
                <c:pt idx="1">
                  <c:v>HWY</c:v>
                </c:pt>
                <c:pt idx="2">
                  <c:v>US06</c:v>
                </c:pt>
              </c:strCache>
            </c:strRef>
          </c:cat>
          <c:val>
            <c:numRef>
              <c:f>'J1634 Calcs_old'!$AD$13:$AD$15</c:f>
              <c:numCache>
                <c:formatCode>0</c:formatCode>
                <c:ptCount val="3"/>
                <c:pt idx="0">
                  <c:v>567.75516909843236</c:v>
                </c:pt>
                <c:pt idx="1">
                  <c:v>451.96914703620695</c:v>
                </c:pt>
                <c:pt idx="2">
                  <c:v>541.42960110825254</c:v>
                </c:pt>
              </c:numCache>
            </c:numRef>
          </c:val>
          <c:extLst>
            <c:ext xmlns:c16="http://schemas.microsoft.com/office/drawing/2014/chart" uri="{C3380CC4-5D6E-409C-BE32-E72D297353CC}">
              <c16:uniqueId val="{00000004-1322-4262-B91F-2BA6F3FF49A4}"/>
            </c:ext>
          </c:extLst>
        </c:ser>
        <c:ser>
          <c:idx val="4"/>
          <c:order val="1"/>
          <c:tx>
            <c:strRef>
              <c:f>'J1634 Calcs_old'!$AE$6</c:f>
              <c:strCache>
                <c:ptCount val="1"/>
                <c:pt idx="0">
                  <c:v>-7°C Ambient with 72°F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Calcs_old'!$AE$23</c15:f>
                      <c15:dlblFieldTableCache>
                        <c:ptCount val="1"/>
                        <c:pt idx="0">
                          <c:v>131%</c:v>
                        </c:pt>
                      </c15:dlblFieldTableCache>
                    </c15:dlblFTEntry>
                  </c15:dlblFieldTable>
                  <c15:showDataLabelsRange val="0"/>
                </c:ext>
                <c:ext xmlns:c16="http://schemas.microsoft.com/office/drawing/2014/chart" uri="{C3380CC4-5D6E-409C-BE32-E72D297353CC}">
                  <c16:uniqueId val="{00000005-1322-4262-B91F-2BA6F3FF49A4}"/>
                </c:ext>
              </c:extLst>
            </c:dLbl>
            <c:dLbl>
              <c:idx val="1"/>
              <c:layout>
                <c:manualLayout>
                  <c:x val="2.9775165847086551E-3"/>
                  <c:y val="2.6629929944412154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Calcs_old'!$AE$24</c15:f>
                      <c15:dlblFieldTableCache>
                        <c:ptCount val="1"/>
                        <c:pt idx="0">
                          <c:v>48%</c:v>
                        </c:pt>
                      </c15:dlblFieldTableCache>
                    </c15:dlblFTEntry>
                  </c15:dlblFieldTable>
                  <c15:showDataLabelsRange val="0"/>
                </c:ext>
                <c:ext xmlns:c16="http://schemas.microsoft.com/office/drawing/2014/chart" uri="{C3380CC4-5D6E-409C-BE32-E72D297353CC}">
                  <c16:uniqueId val="{00000006-1322-4262-B91F-2BA6F3FF49A4}"/>
                </c:ext>
              </c:extLst>
            </c:dLbl>
            <c:dLbl>
              <c:idx val="2"/>
              <c:layout>
                <c:manualLayout>
                  <c:x val="1.4887582923543822E-3"/>
                  <c:y val="2.662992994441264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Calcs_old'!$AE$25</c15:f>
                      <c15:dlblFieldTableCache>
                        <c:ptCount val="1"/>
                        <c:pt idx="0">
                          <c:v>89%</c:v>
                        </c:pt>
                      </c15:dlblFieldTableCache>
                    </c15:dlblFTEntry>
                  </c15:dlblFieldTable>
                  <c15:showDataLabelsRange val="0"/>
                </c:ext>
                <c:ext xmlns:c16="http://schemas.microsoft.com/office/drawing/2014/chart" uri="{C3380CC4-5D6E-409C-BE32-E72D297353CC}">
                  <c16:uniqueId val="{00000007-1322-4262-B91F-2BA6F3FF49A4}"/>
                </c:ext>
              </c:extLst>
            </c:dLbl>
            <c:dLbl>
              <c:idx val="3"/>
              <c:layout>
                <c:manualLayout>
                  <c:x val="3.4346590816893546E-3"/>
                  <c:y val="-7.7292157323902014E-17"/>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Calcs_old'!$AE$26</c15:f>
                      <c15:dlblFieldTableCache>
                        <c:ptCount val="1"/>
                        <c:pt idx="0">
                          <c:v>40%</c:v>
                        </c:pt>
                      </c15:dlblFieldTableCache>
                    </c15:dlblFTEntry>
                  </c15:dlblFieldTable>
                  <c15:showDataLabelsRange val="0"/>
                </c:ext>
                <c:ext xmlns:c16="http://schemas.microsoft.com/office/drawing/2014/chart" uri="{C3380CC4-5D6E-409C-BE32-E72D297353CC}">
                  <c16:uniqueId val="{00000008-1322-4262-B91F-2BA6F3FF49A4}"/>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Calcs_old'!$AC$13:$AC$15</c:f>
              <c:strCache>
                <c:ptCount val="3"/>
                <c:pt idx="0">
                  <c:v>UDDS</c:v>
                </c:pt>
                <c:pt idx="1">
                  <c:v>HWY</c:v>
                </c:pt>
                <c:pt idx="2">
                  <c:v>US06</c:v>
                </c:pt>
              </c:strCache>
            </c:strRef>
          </c:cat>
          <c:val>
            <c:numRef>
              <c:f>'J1634 Calcs_old'!$AE$13:$AE$15</c:f>
              <c:numCache>
                <c:formatCode>0</c:formatCode>
                <c:ptCount val="3"/>
                <c:pt idx="0">
                  <c:v>381.68104860934295</c:v>
                </c:pt>
                <c:pt idx="1">
                  <c:v>315.87362923174317</c:v>
                </c:pt>
                <c:pt idx="2">
                  <c:v>396.19096582190053</c:v>
                </c:pt>
              </c:numCache>
            </c:numRef>
          </c:val>
          <c:extLst>
            <c:ext xmlns:c16="http://schemas.microsoft.com/office/drawing/2014/chart" uri="{C3380CC4-5D6E-409C-BE32-E72D297353CC}">
              <c16:uniqueId val="{00000009-1322-4262-B91F-2BA6F3FF49A4}"/>
            </c:ext>
          </c:extLst>
        </c:ser>
        <c:ser>
          <c:idx val="0"/>
          <c:order val="2"/>
          <c:tx>
            <c:strRef>
              <c:f>'J1634 Calcs_old'!$AG$6</c:f>
              <c:strCache>
                <c:ptCount val="1"/>
                <c:pt idx="0">
                  <c:v>23°C Ambient with Climate off</c:v>
                </c:pt>
              </c:strCache>
            </c:strRef>
          </c:tx>
          <c:spPr>
            <a:solidFill>
              <a:schemeClr val="accent3"/>
            </a:solidFill>
          </c:spPr>
          <c:invertIfNegative val="0"/>
          <c:cat>
            <c:strRef>
              <c:f>'J1634 Calcs_old'!$AC$13:$AC$15</c:f>
              <c:strCache>
                <c:ptCount val="3"/>
                <c:pt idx="0">
                  <c:v>UDDS</c:v>
                </c:pt>
                <c:pt idx="1">
                  <c:v>HWY</c:v>
                </c:pt>
                <c:pt idx="2">
                  <c:v>US06</c:v>
                </c:pt>
              </c:strCache>
            </c:strRef>
          </c:cat>
          <c:val>
            <c:numRef>
              <c:f>'J1634 Calcs_old'!$AG$13:$AG$15</c:f>
              <c:numCache>
                <c:formatCode>0</c:formatCode>
                <c:ptCount val="3"/>
                <c:pt idx="0">
                  <c:v>192.19205291721761</c:v>
                </c:pt>
                <c:pt idx="1">
                  <c:v>212.1834802595796</c:v>
                </c:pt>
                <c:pt idx="2">
                  <c:v>280.72976326743128</c:v>
                </c:pt>
              </c:numCache>
            </c:numRef>
          </c:val>
          <c:extLst>
            <c:ext xmlns:c16="http://schemas.microsoft.com/office/drawing/2014/chart" uri="{C3380CC4-5D6E-409C-BE32-E72D297353CC}">
              <c16:uniqueId val="{0000000F-1322-4262-B91F-2BA6F3FF49A4}"/>
            </c:ext>
          </c:extLst>
        </c:ser>
        <c:ser>
          <c:idx val="1"/>
          <c:order val="3"/>
          <c:tx>
            <c:strRef>
              <c:f>'J1634 Calcs_old'!$AH$6</c:f>
              <c:strCache>
                <c:ptCount val="1"/>
                <c:pt idx="0">
                  <c:v>35°C Ambient with 72°F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Calcs_old'!$AH$23</c15:f>
                      <c15:dlblFieldTableCache>
                        <c:ptCount val="1"/>
                        <c:pt idx="0">
                          <c:v>25%</c:v>
                        </c:pt>
                      </c15:dlblFieldTableCache>
                    </c15:dlblFTEntry>
                  </c15:dlblFieldTable>
                  <c15:showDataLabelsRange val="0"/>
                </c:ext>
                <c:ext xmlns:c16="http://schemas.microsoft.com/office/drawing/2014/chart" uri="{C3380CC4-5D6E-409C-BE32-E72D297353CC}">
                  <c16:uniqueId val="{00000010-1322-4262-B91F-2BA6F3FF49A4}"/>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Calcs_old'!$AH$24</c15:f>
                      <c15:dlblFieldTableCache>
                        <c:ptCount val="1"/>
                        <c:pt idx="0">
                          <c:v>-2%</c:v>
                        </c:pt>
                      </c15:dlblFieldTableCache>
                    </c15:dlblFTEntry>
                  </c15:dlblFieldTable>
                  <c15:showDataLabelsRange val="0"/>
                </c:ext>
                <c:ext xmlns:c16="http://schemas.microsoft.com/office/drawing/2014/chart" uri="{C3380CC4-5D6E-409C-BE32-E72D297353CC}">
                  <c16:uniqueId val="{00000011-1322-4262-B91F-2BA6F3FF49A4}"/>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Calcs_old'!$AH$25</c15:f>
                      <c15:dlblFieldTableCache>
                        <c:ptCount val="1"/>
                        <c:pt idx="0">
                          <c:v>23%</c:v>
                        </c:pt>
                      </c15:dlblFieldTableCache>
                    </c15:dlblFTEntry>
                  </c15:dlblFieldTable>
                  <c15:showDataLabelsRange val="0"/>
                </c:ext>
                <c:ext xmlns:c16="http://schemas.microsoft.com/office/drawing/2014/chart" uri="{C3380CC4-5D6E-409C-BE32-E72D297353CC}">
                  <c16:uniqueId val="{00000012-1322-4262-B91F-2BA6F3FF49A4}"/>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Calcs_old'!$AH$26</c15:f>
                      <c15:dlblFieldTableCache>
                        <c:ptCount val="1"/>
                        <c:pt idx="0">
                          <c:v>-2%</c:v>
                        </c:pt>
                      </c15:dlblFieldTableCache>
                    </c15:dlblFTEntry>
                  </c15:dlblFieldTable>
                  <c15:showDataLabelsRange val="0"/>
                </c:ext>
                <c:ext xmlns:c16="http://schemas.microsoft.com/office/drawing/2014/chart" uri="{C3380CC4-5D6E-409C-BE32-E72D297353CC}">
                  <c16:uniqueId val="{00000013-1322-4262-B91F-2BA6F3FF49A4}"/>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Calcs_old'!$AC$13:$AC$15</c:f>
              <c:strCache>
                <c:ptCount val="3"/>
                <c:pt idx="0">
                  <c:v>UDDS</c:v>
                </c:pt>
                <c:pt idx="1">
                  <c:v>HWY</c:v>
                </c:pt>
                <c:pt idx="2">
                  <c:v>US06</c:v>
                </c:pt>
              </c:strCache>
            </c:strRef>
          </c:cat>
          <c:val>
            <c:numRef>
              <c:f>'J1634 Calcs_old'!$AH$13:$AH$15</c:f>
              <c:numCache>
                <c:formatCode>0</c:formatCode>
                <c:ptCount val="3"/>
                <c:pt idx="0">
                  <c:v>245.80393421608062</c:v>
                </c:pt>
                <c:pt idx="1">
                  <c:v>208.10964895893559</c:v>
                </c:pt>
                <c:pt idx="2">
                  <c:v>275.72612550201933</c:v>
                </c:pt>
              </c:numCache>
            </c:numRef>
          </c:val>
          <c:extLst>
            <c:ext xmlns:c16="http://schemas.microsoft.com/office/drawing/2014/chart" uri="{C3380CC4-5D6E-409C-BE32-E72D297353CC}">
              <c16:uniqueId val="{00000014-1322-4262-B91F-2BA6F3FF49A4}"/>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1"/>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5" Type="http://schemas.openxmlformats.org/officeDocument/2006/relationships/chart" Target="../charts/chart23.xml"/><Relationship Id="rId4"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tiff"/></Relationships>
</file>

<file path=xl/drawings/drawing1.xml><?xml version="1.0" encoding="utf-8"?>
<xdr:wsDr xmlns:xdr="http://schemas.openxmlformats.org/drawingml/2006/spreadsheetDrawing" xmlns:a="http://schemas.openxmlformats.org/drawingml/2006/main">
  <xdr:twoCellAnchor editAs="oneCell">
    <xdr:from>
      <xdr:col>14</xdr:col>
      <xdr:colOff>1595438</xdr:colOff>
      <xdr:row>1</xdr:row>
      <xdr:rowOff>0</xdr:rowOff>
    </xdr:from>
    <xdr:to>
      <xdr:col>15</xdr:col>
      <xdr:colOff>7938</xdr:colOff>
      <xdr:row>4</xdr:row>
      <xdr:rowOff>148079</xdr:rowOff>
    </xdr:to>
    <xdr:pic>
      <xdr:nvPicPr>
        <xdr:cNvPr id="4" name="Picture 3" descr="https://docs.anl.gov/main/groups/intranet/@shared/@cpa/@div/documents/multimedia/114726.jp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192251" y="0"/>
          <a:ext cx="2155825" cy="6910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179294</xdr:colOff>
      <xdr:row>20</xdr:row>
      <xdr:rowOff>136473</xdr:rowOff>
    </xdr:from>
    <xdr:to>
      <xdr:col>24</xdr:col>
      <xdr:colOff>694765</xdr:colOff>
      <xdr:row>42</xdr:row>
      <xdr:rowOff>56192</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124891</xdr:colOff>
      <xdr:row>44</xdr:row>
      <xdr:rowOff>3021</xdr:rowOff>
    </xdr:from>
    <xdr:to>
      <xdr:col>24</xdr:col>
      <xdr:colOff>33961</xdr:colOff>
      <xdr:row>61</xdr:row>
      <xdr:rowOff>28979</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xdr:row>
      <xdr:rowOff>156881</xdr:rowOff>
    </xdr:from>
    <xdr:to>
      <xdr:col>16</xdr:col>
      <xdr:colOff>585881</xdr:colOff>
      <xdr:row>5</xdr:row>
      <xdr:rowOff>74679</xdr:rowOff>
    </xdr:to>
    <xdr:pic>
      <xdr:nvPicPr>
        <xdr:cNvPr id="2" name="Picture 1" descr="https://docs.anl.gov/main/groups/intranet/@shared/@cpa/@div/documents/multimedia/114726.jp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781059" y="347381"/>
          <a:ext cx="1908175" cy="6910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363683</xdr:colOff>
      <xdr:row>2</xdr:row>
      <xdr:rowOff>269811</xdr:rowOff>
    </xdr:from>
    <xdr:to>
      <xdr:col>9</xdr:col>
      <xdr:colOff>521124</xdr:colOff>
      <xdr:row>4</xdr:row>
      <xdr:rowOff>41306</xdr:rowOff>
    </xdr:to>
    <xdr:pic>
      <xdr:nvPicPr>
        <xdr:cNvPr id="2" name="Picture 1" descr="https://docs.anl.gov/main/groups/intranet/@shared/@cpa/@div/documents/multimedia/114726.jpg">
          <a:extLst>
            <a:ext uri="{FF2B5EF4-FFF2-40B4-BE49-F238E27FC236}">
              <a16:creationId xmlns:a16="http://schemas.microsoft.com/office/drawing/2014/main" id="{56A66C2E-8479-4B41-9DDA-904892C0A07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910456" y="1083766"/>
          <a:ext cx="2636105" cy="9469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85725</xdr:colOff>
      <xdr:row>1</xdr:row>
      <xdr:rowOff>133350</xdr:rowOff>
    </xdr:from>
    <xdr:to>
      <xdr:col>22</xdr:col>
      <xdr:colOff>8634</xdr:colOff>
      <xdr:row>34</xdr:row>
      <xdr:rowOff>113482</xdr:rowOff>
    </xdr:to>
    <xdr:pic>
      <xdr:nvPicPr>
        <xdr:cNvPr id="2" name="Picture 1">
          <a:extLst>
            <a:ext uri="{FF2B5EF4-FFF2-40B4-BE49-F238E27FC236}">
              <a16:creationId xmlns:a16="http://schemas.microsoft.com/office/drawing/2014/main" id="{8F72FB62-9152-4768-B25F-8CCD33F9AD70}"/>
            </a:ext>
          </a:extLst>
        </xdr:cNvPr>
        <xdr:cNvPicPr>
          <a:picLocks noChangeAspect="1"/>
        </xdr:cNvPicPr>
      </xdr:nvPicPr>
      <xdr:blipFill>
        <a:blip xmlns:r="http://schemas.openxmlformats.org/officeDocument/2006/relationships" r:embed="rId1"/>
        <a:stretch>
          <a:fillRect/>
        </a:stretch>
      </xdr:blipFill>
      <xdr:spPr>
        <a:xfrm>
          <a:off x="7410450" y="323850"/>
          <a:ext cx="7123809" cy="65428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46</xdr:col>
      <xdr:colOff>108972</xdr:colOff>
      <xdr:row>99</xdr:row>
      <xdr:rowOff>122204</xdr:rowOff>
    </xdr:from>
    <xdr:to>
      <xdr:col>65</xdr:col>
      <xdr:colOff>584728</xdr:colOff>
      <xdr:row>142</xdr:row>
      <xdr:rowOff>28699</xdr:rowOff>
    </xdr:to>
    <xdr:graphicFrame macro="">
      <xdr:nvGraphicFramePr>
        <xdr:cNvPr id="2" name="Chart 1">
          <a:extLst>
            <a:ext uri="{FF2B5EF4-FFF2-40B4-BE49-F238E27FC236}">
              <a16:creationId xmlns:a16="http://schemas.microsoft.com/office/drawing/2014/main" id="{9339FE78-9383-4C26-AF59-2C5AD712B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48</xdr:col>
      <xdr:colOff>300960</xdr:colOff>
      <xdr:row>54</xdr:row>
      <xdr:rowOff>129012</xdr:rowOff>
    </xdr:from>
    <xdr:to>
      <xdr:col>67</xdr:col>
      <xdr:colOff>508892</xdr:colOff>
      <xdr:row>91</xdr:row>
      <xdr:rowOff>146493</xdr:rowOff>
    </xdr:to>
    <xdr:graphicFrame macro="">
      <xdr:nvGraphicFramePr>
        <xdr:cNvPr id="4" name="Chart 3">
          <a:extLst>
            <a:ext uri="{FF2B5EF4-FFF2-40B4-BE49-F238E27FC236}">
              <a16:creationId xmlns:a16="http://schemas.microsoft.com/office/drawing/2014/main" id="{18B87C8F-57D8-45D6-B7ED-3DE002FCB7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38</xdr:col>
      <xdr:colOff>519546</xdr:colOff>
      <xdr:row>5</xdr:row>
      <xdr:rowOff>34636</xdr:rowOff>
    </xdr:from>
    <xdr:to>
      <xdr:col>57</xdr:col>
      <xdr:colOff>174290</xdr:colOff>
      <xdr:row>35</xdr:row>
      <xdr:rowOff>100937</xdr:rowOff>
    </xdr:to>
    <xdr:graphicFrame macro="">
      <xdr:nvGraphicFramePr>
        <xdr:cNvPr id="5" name="Chart 4">
          <a:extLst>
            <a:ext uri="{FF2B5EF4-FFF2-40B4-BE49-F238E27FC236}">
              <a16:creationId xmlns:a16="http://schemas.microsoft.com/office/drawing/2014/main" id="{C87A9EAA-2896-4763-AADB-95B4D86C6FF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57</xdr:col>
      <xdr:colOff>588818</xdr:colOff>
      <xdr:row>5</xdr:row>
      <xdr:rowOff>744682</xdr:rowOff>
    </xdr:from>
    <xdr:to>
      <xdr:col>76</xdr:col>
      <xdr:colOff>97724</xdr:colOff>
      <xdr:row>35</xdr:row>
      <xdr:rowOff>86591</xdr:rowOff>
    </xdr:to>
    <xdr:graphicFrame macro="">
      <xdr:nvGraphicFramePr>
        <xdr:cNvPr id="6" name="Chart 5">
          <a:extLst>
            <a:ext uri="{FF2B5EF4-FFF2-40B4-BE49-F238E27FC236}">
              <a16:creationId xmlns:a16="http://schemas.microsoft.com/office/drawing/2014/main" id="{2E7FAE20-3FE1-490F-83AC-3E6E0DCDABC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37620</xdr:colOff>
      <xdr:row>85</xdr:row>
      <xdr:rowOff>63555</xdr:rowOff>
    </xdr:from>
    <xdr:to>
      <xdr:col>8</xdr:col>
      <xdr:colOff>249731</xdr:colOff>
      <xdr:row>105</xdr:row>
      <xdr:rowOff>156883</xdr:rowOff>
    </xdr:to>
    <xdr:graphicFrame macro="">
      <xdr:nvGraphicFramePr>
        <xdr:cNvPr id="10" name="Chart 9">
          <a:extLst>
            <a:ext uri="{FF2B5EF4-FFF2-40B4-BE49-F238E27FC236}">
              <a16:creationId xmlns:a16="http://schemas.microsoft.com/office/drawing/2014/main" id="{BF06B70E-028A-40CC-9174-3790E385E2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54</xdr:row>
      <xdr:rowOff>0</xdr:rowOff>
    </xdr:from>
    <xdr:to>
      <xdr:col>47</xdr:col>
      <xdr:colOff>347472</xdr:colOff>
      <xdr:row>90</xdr:row>
      <xdr:rowOff>187529</xdr:rowOff>
    </xdr:to>
    <xdr:graphicFrame macro="">
      <xdr:nvGraphicFramePr>
        <xdr:cNvPr id="8" name="Chart 7">
          <a:extLst>
            <a:ext uri="{FF2B5EF4-FFF2-40B4-BE49-F238E27FC236}">
              <a16:creationId xmlns:a16="http://schemas.microsoft.com/office/drawing/2014/main" id="{73A8B6C9-516B-4D33-99E1-BC29A881BC3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1004607</xdr:colOff>
      <xdr:row>12</xdr:row>
      <xdr:rowOff>136153</xdr:rowOff>
    </xdr:from>
    <xdr:to>
      <xdr:col>14</xdr:col>
      <xdr:colOff>1120</xdr:colOff>
      <xdr:row>34</xdr:row>
      <xdr:rowOff>123703</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141945</xdr:colOff>
      <xdr:row>36</xdr:row>
      <xdr:rowOff>176547</xdr:rowOff>
    </xdr:from>
    <xdr:to>
      <xdr:col>13</xdr:col>
      <xdr:colOff>586480</xdr:colOff>
      <xdr:row>64</xdr:row>
      <xdr:rowOff>33579</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76</xdr:row>
      <xdr:rowOff>0</xdr:rowOff>
    </xdr:from>
    <xdr:to>
      <xdr:col>13</xdr:col>
      <xdr:colOff>444535</xdr:colOff>
      <xdr:row>104</xdr:row>
      <xdr:rowOff>85632</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47625</xdr:colOff>
      <xdr:row>76</xdr:row>
      <xdr:rowOff>0</xdr:rowOff>
    </xdr:from>
    <xdr:to>
      <xdr:col>22</xdr:col>
      <xdr:colOff>244510</xdr:colOff>
      <xdr:row>104</xdr:row>
      <xdr:rowOff>85632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447675</xdr:colOff>
      <xdr:row>76</xdr:row>
      <xdr:rowOff>0</xdr:rowOff>
    </xdr:from>
    <xdr:to>
      <xdr:col>28</xdr:col>
      <xdr:colOff>958885</xdr:colOff>
      <xdr:row>104</xdr:row>
      <xdr:rowOff>85632</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342899</xdr:colOff>
      <xdr:row>94</xdr:row>
      <xdr:rowOff>63499</xdr:rowOff>
    </xdr:from>
    <xdr:to>
      <xdr:col>15</xdr:col>
      <xdr:colOff>372533</xdr:colOff>
      <xdr:row>115</xdr:row>
      <xdr:rowOff>110067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770004</xdr:colOff>
      <xdr:row>41</xdr:row>
      <xdr:rowOff>31535</xdr:rowOff>
    </xdr:from>
    <xdr:to>
      <xdr:col>3</xdr:col>
      <xdr:colOff>329774</xdr:colOff>
      <xdr:row>60</xdr:row>
      <xdr:rowOff>131268</xdr:rowOff>
    </xdr:to>
    <xdr:graphicFrame macro="">
      <xdr:nvGraphicFramePr>
        <xdr:cNvPr id="2" name="Chart 1">
          <a:extLst>
            <a:ext uri="{FF2B5EF4-FFF2-40B4-BE49-F238E27FC236}">
              <a16:creationId xmlns:a16="http://schemas.microsoft.com/office/drawing/2014/main" id="{76F9D6B8-8DF0-4AD3-90A7-92D396F95E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436230</xdr:colOff>
      <xdr:row>41</xdr:row>
      <xdr:rowOff>52828</xdr:rowOff>
    </xdr:from>
    <xdr:to>
      <xdr:col>6</xdr:col>
      <xdr:colOff>156082</xdr:colOff>
      <xdr:row>60</xdr:row>
      <xdr:rowOff>152561</xdr:rowOff>
    </xdr:to>
    <xdr:graphicFrame macro="">
      <xdr:nvGraphicFramePr>
        <xdr:cNvPr id="3" name="Chart 2">
          <a:extLst>
            <a:ext uri="{FF2B5EF4-FFF2-40B4-BE49-F238E27FC236}">
              <a16:creationId xmlns:a16="http://schemas.microsoft.com/office/drawing/2014/main" id="{3711D0D8-86DC-4A8B-A2F7-BE4045D1C4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707572</xdr:colOff>
      <xdr:row>41</xdr:row>
      <xdr:rowOff>149678</xdr:rowOff>
    </xdr:from>
    <xdr:to>
      <xdr:col>9</xdr:col>
      <xdr:colOff>903675</xdr:colOff>
      <xdr:row>61</xdr:row>
      <xdr:rowOff>58911</xdr:rowOff>
    </xdr:to>
    <xdr:graphicFrame macro="">
      <xdr:nvGraphicFramePr>
        <xdr:cNvPr id="4" name="Chart 3">
          <a:extLst>
            <a:ext uri="{FF2B5EF4-FFF2-40B4-BE49-F238E27FC236}">
              <a16:creationId xmlns:a16="http://schemas.microsoft.com/office/drawing/2014/main" id="{C461D414-665B-4B3E-B9B8-F67AA04917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1143000</xdr:colOff>
      <xdr:row>41</xdr:row>
      <xdr:rowOff>136072</xdr:rowOff>
    </xdr:from>
    <xdr:to>
      <xdr:col>12</xdr:col>
      <xdr:colOff>1339102</xdr:colOff>
      <xdr:row>61</xdr:row>
      <xdr:rowOff>45305</xdr:rowOff>
    </xdr:to>
    <xdr:graphicFrame macro="">
      <xdr:nvGraphicFramePr>
        <xdr:cNvPr id="5" name="Chart 4">
          <a:extLst>
            <a:ext uri="{FF2B5EF4-FFF2-40B4-BE49-F238E27FC236}">
              <a16:creationId xmlns:a16="http://schemas.microsoft.com/office/drawing/2014/main" id="{BE0C254D-2BEF-4220-921A-7722CF82A7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28</xdr:col>
      <xdr:colOff>351427</xdr:colOff>
      <xdr:row>97</xdr:row>
      <xdr:rowOff>70250</xdr:rowOff>
    </xdr:from>
    <xdr:to>
      <xdr:col>46</xdr:col>
      <xdr:colOff>359591</xdr:colOff>
      <xdr:row>139</xdr:row>
      <xdr:rowOff>167245</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539338</xdr:colOff>
      <xdr:row>48</xdr:row>
      <xdr:rowOff>180603</xdr:rowOff>
    </xdr:from>
    <xdr:to>
      <xdr:col>65</xdr:col>
      <xdr:colOff>468582</xdr:colOff>
      <xdr:row>92</xdr:row>
      <xdr:rowOff>57397</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266324</xdr:colOff>
      <xdr:row>45</xdr:row>
      <xdr:rowOff>180967</xdr:rowOff>
    </xdr:from>
    <xdr:to>
      <xdr:col>46</xdr:col>
      <xdr:colOff>328669</xdr:colOff>
      <xdr:row>74</xdr:row>
      <xdr:rowOff>4322</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519546</xdr:colOff>
      <xdr:row>2</xdr:row>
      <xdr:rowOff>34636</xdr:rowOff>
    </xdr:from>
    <xdr:to>
      <xdr:col>53</xdr:col>
      <xdr:colOff>103909</xdr:colOff>
      <xdr:row>26</xdr:row>
      <xdr:rowOff>86591</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54</xdr:col>
      <xdr:colOff>0</xdr:colOff>
      <xdr:row>2</xdr:row>
      <xdr:rowOff>0</xdr:rowOff>
    </xdr:from>
    <xdr:to>
      <xdr:col>72</xdr:col>
      <xdr:colOff>115042</xdr:colOff>
      <xdr:row>26</xdr:row>
      <xdr:rowOff>51955</xdr:rowOff>
    </xdr:to>
    <xdr:graphicFrame macro="">
      <xdr:nvGraphicFramePr>
        <xdr:cNvPr id="8" name="Chart 7">
          <a:extLst>
            <a:ext uri="{FF2B5EF4-FFF2-40B4-BE49-F238E27FC236}">
              <a16:creationId xmlns:a16="http://schemas.microsoft.com/office/drawing/2014/main" id="{DC7BF85F-095E-40BB-A742-A838921070C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ales\APTF%20Docs\Users\kstutenberg\AppData\Local\Microsoft\Windows\INetCache\Content.Outlook\ZUJC1O24\Lightweight\FEvsMass_Leafonlypower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LABC"/>
      <sheetName val="INLcoef"/>
      <sheetName val="THEOcoef"/>
      <sheetName val="LEAFTheoreticalRL"/>
      <sheetName val="FusionConvTheoreticalRL"/>
      <sheetName val="SpdtoABCcalcFocus"/>
    </sheetNames>
    <sheetDataSet>
      <sheetData sheetId="0" refreshError="1"/>
      <sheetData sheetId="1" refreshError="1"/>
      <sheetData sheetId="2" refreshError="1"/>
      <sheetData sheetId="3">
        <row r="2">
          <cell r="H2">
            <v>0</v>
          </cell>
        </row>
      </sheetData>
      <sheetData sheetId="4" refreshError="1"/>
      <sheetData sheetId="5">
        <row r="2">
          <cell r="P2">
            <v>3125</v>
          </cell>
          <cell r="Q2">
            <v>30.85</v>
          </cell>
          <cell r="R2">
            <v>0.50800000000000001</v>
          </cell>
          <cell r="S2">
            <v>1.6490000000000001E-2</v>
          </cell>
        </row>
        <row r="3">
          <cell r="Q3">
            <v>34.296999999999997</v>
          </cell>
          <cell r="R3">
            <v>0.56420000000000003</v>
          </cell>
          <cell r="S3">
            <v>1.84E-2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epa.gov/compliance-and-fuel-economy-data/data-cars-used-testing-fuel-economy"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hyperlink" Target="file:///C:\Users\kstutenberg\AppData\Roaming\Microsoft\AppData\All%20Daq\Drive%20Cycles\J1634%20Combined" TargetMode="External"/><Relationship Id="rId1" Type="http://schemas.openxmlformats.org/officeDocument/2006/relationships/hyperlink" Target="file:///C:\Users\kstutenberg\AppData\Roaming\Microsoft\AppData\All%20Daq\Drive%20Cycles\J1634%20Combined"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A95"/>
  <sheetViews>
    <sheetView workbookViewId="0">
      <selection activeCell="L2" sqref="L2"/>
    </sheetView>
  </sheetViews>
  <sheetFormatPr defaultColWidth="9.140625" defaultRowHeight="15"/>
  <cols>
    <col min="1" max="1" width="66.28515625" style="267" customWidth="1"/>
    <col min="2" max="2" width="9.42578125" style="267" customWidth="1"/>
    <col min="3" max="3" width="6.5703125" style="267" customWidth="1"/>
    <col min="4" max="4" width="8.5703125" style="267" customWidth="1"/>
    <col min="5" max="5" width="5.5703125" style="267" customWidth="1"/>
    <col min="6" max="6" width="8.5703125" style="267" customWidth="1"/>
    <col min="7" max="7" width="5.5703125" style="267" customWidth="1"/>
    <col min="8" max="8" width="9.42578125" style="267" customWidth="1"/>
    <col min="9" max="10" width="5.5703125" style="267" customWidth="1"/>
    <col min="11" max="11" width="12.5703125" style="267" customWidth="1"/>
    <col min="12" max="12" width="11" style="267" customWidth="1"/>
    <col min="13" max="13" width="8.5703125" style="267" customWidth="1"/>
    <col min="14" max="14" width="12.85546875" style="267" customWidth="1"/>
    <col min="15" max="15" width="52.42578125" style="267" customWidth="1"/>
    <col min="16" max="16" width="19.140625" style="267" customWidth="1"/>
    <col min="17" max="21" width="9.140625" style="267"/>
    <col min="22" max="22" width="14.5703125" style="267" customWidth="1"/>
    <col min="23" max="16384" width="9.140625" style="267"/>
  </cols>
  <sheetData>
    <row r="1" spans="1:25" s="512" customFormat="1"/>
    <row r="2" spans="1:25" ht="14.45" customHeight="1">
      <c r="A2" s="38" t="s">
        <v>5</v>
      </c>
      <c r="B2" s="38" t="s">
        <v>483</v>
      </c>
      <c r="C2" s="38"/>
      <c r="K2" s="38" t="s">
        <v>6</v>
      </c>
      <c r="L2" s="38" t="s">
        <v>479</v>
      </c>
    </row>
    <row r="3" spans="1:25" ht="14.45" customHeight="1">
      <c r="A3" s="38" t="s">
        <v>7</v>
      </c>
      <c r="B3" s="38" t="s">
        <v>480</v>
      </c>
      <c r="C3" s="38"/>
      <c r="K3" s="38" t="s">
        <v>328</v>
      </c>
      <c r="L3" s="21">
        <v>43754</v>
      </c>
    </row>
    <row r="4" spans="1:25" ht="14.45" customHeight="1">
      <c r="A4" s="3" t="s">
        <v>8</v>
      </c>
      <c r="B4" s="3" t="s">
        <v>320</v>
      </c>
      <c r="C4" s="3"/>
      <c r="D4" s="213"/>
      <c r="E4" s="214" t="s">
        <v>321</v>
      </c>
      <c r="K4" s="38" t="s">
        <v>322</v>
      </c>
      <c r="L4" s="21">
        <f ca="1">TODAY()</f>
        <v>44515</v>
      </c>
    </row>
    <row r="5" spans="1:25" s="512" customFormat="1" ht="14.45" customHeight="1">
      <c r="A5" s="3" t="s">
        <v>1289</v>
      </c>
      <c r="B5" t="s">
        <v>1290</v>
      </c>
      <c r="C5" s="3"/>
      <c r="D5" s="213"/>
      <c r="E5" s="214"/>
      <c r="K5" s="514"/>
      <c r="L5" s="21"/>
    </row>
    <row r="6" spans="1:25" ht="14.45" customHeight="1">
      <c r="C6" s="5"/>
      <c r="D6" s="4"/>
    </row>
    <row r="7" spans="1:25" s="7" customFormat="1" ht="99.95" customHeight="1">
      <c r="A7" s="215" t="s">
        <v>9</v>
      </c>
      <c r="B7" s="216" t="s">
        <v>10</v>
      </c>
      <c r="C7" s="217" t="s">
        <v>11</v>
      </c>
      <c r="D7" s="217" t="s">
        <v>323</v>
      </c>
      <c r="E7" s="217" t="s">
        <v>12</v>
      </c>
      <c r="F7" s="217" t="s">
        <v>13</v>
      </c>
      <c r="G7" s="217" t="s">
        <v>324</v>
      </c>
      <c r="H7" s="218" t="s">
        <v>14</v>
      </c>
      <c r="I7" s="218" t="s">
        <v>15</v>
      </c>
      <c r="J7" s="218" t="s">
        <v>16</v>
      </c>
      <c r="K7" s="219" t="s">
        <v>17</v>
      </c>
      <c r="L7" s="219" t="s">
        <v>18</v>
      </c>
      <c r="M7" s="219" t="s">
        <v>19</v>
      </c>
      <c r="N7" s="219" t="s">
        <v>20</v>
      </c>
      <c r="O7" s="220" t="s">
        <v>325</v>
      </c>
    </row>
    <row r="8" spans="1:25" ht="14.45" customHeight="1">
      <c r="A8" s="413" t="s">
        <v>382</v>
      </c>
      <c r="B8" s="395"/>
      <c r="C8" s="395"/>
      <c r="D8" s="395"/>
      <c r="E8" s="395"/>
      <c r="F8" s="395"/>
      <c r="G8" s="395"/>
      <c r="H8" s="395"/>
      <c r="I8" s="395"/>
      <c r="J8" s="395"/>
      <c r="K8" s="395"/>
      <c r="L8" s="395"/>
      <c r="M8" s="395"/>
      <c r="N8" s="395"/>
      <c r="O8" s="396"/>
    </row>
    <row r="9" spans="1:25" ht="15" customHeight="1">
      <c r="A9" s="391" t="s">
        <v>384</v>
      </c>
      <c r="B9" s="392"/>
      <c r="C9" s="392"/>
      <c r="D9" s="392"/>
      <c r="E9" s="392"/>
      <c r="F9" s="392"/>
      <c r="G9" s="392"/>
      <c r="H9" s="392"/>
      <c r="I9" s="392"/>
      <c r="J9" s="392"/>
      <c r="K9" s="392"/>
      <c r="L9" s="392"/>
      <c r="M9" s="392"/>
      <c r="N9" s="392"/>
      <c r="O9" s="393"/>
    </row>
    <row r="10" spans="1:25" ht="30">
      <c r="A10" s="391" t="s">
        <v>393</v>
      </c>
      <c r="B10" s="392"/>
      <c r="C10" s="392"/>
      <c r="D10" s="392"/>
      <c r="E10" s="392"/>
      <c r="F10" s="392"/>
      <c r="G10" s="392"/>
      <c r="H10" s="392"/>
      <c r="I10" s="392"/>
      <c r="J10" s="392"/>
      <c r="K10" s="392"/>
      <c r="L10" s="392"/>
      <c r="M10" s="392"/>
      <c r="N10" s="392"/>
      <c r="O10" s="393"/>
    </row>
    <row r="11" spans="1:25" ht="15" customHeight="1">
      <c r="A11" s="39" t="s">
        <v>376</v>
      </c>
      <c r="B11" s="151" t="s">
        <v>620</v>
      </c>
      <c r="C11" s="40" t="s">
        <v>21</v>
      </c>
      <c r="D11" s="40" t="s">
        <v>364</v>
      </c>
      <c r="E11" s="40" t="s">
        <v>22</v>
      </c>
      <c r="F11" s="40" t="s">
        <v>50</v>
      </c>
      <c r="G11" s="40" t="s">
        <v>23</v>
      </c>
      <c r="H11" s="41" t="s">
        <v>23</v>
      </c>
      <c r="I11" s="41" t="s">
        <v>24</v>
      </c>
      <c r="J11" s="41" t="s">
        <v>25</v>
      </c>
      <c r="K11" s="42" t="s">
        <v>26</v>
      </c>
      <c r="L11" s="42" t="s">
        <v>51</v>
      </c>
      <c r="M11" s="42" t="s">
        <v>27</v>
      </c>
      <c r="N11" s="42" t="s">
        <v>465</v>
      </c>
      <c r="O11" s="43" t="s">
        <v>29</v>
      </c>
    </row>
    <row r="12" spans="1:25" s="279" customFormat="1" ht="15" customHeight="1">
      <c r="A12" s="39" t="s">
        <v>406</v>
      </c>
      <c r="B12" s="151" t="s">
        <v>620</v>
      </c>
      <c r="C12" s="40" t="s">
        <v>21</v>
      </c>
      <c r="D12" s="40" t="s">
        <v>364</v>
      </c>
      <c r="E12" s="40" t="s">
        <v>22</v>
      </c>
      <c r="F12" s="40" t="s">
        <v>50</v>
      </c>
      <c r="G12" s="40" t="s">
        <v>23</v>
      </c>
      <c r="H12" s="41" t="s">
        <v>23</v>
      </c>
      <c r="I12" s="41" t="s">
        <v>24</v>
      </c>
      <c r="J12" s="41" t="s">
        <v>25</v>
      </c>
      <c r="K12" s="42" t="s">
        <v>26</v>
      </c>
      <c r="L12" s="42" t="s">
        <v>51</v>
      </c>
      <c r="M12" s="42" t="s">
        <v>27</v>
      </c>
      <c r="N12" s="42" t="s">
        <v>465</v>
      </c>
      <c r="O12" s="43"/>
    </row>
    <row r="13" spans="1:25" s="279" customFormat="1">
      <c r="A13" s="410" t="s">
        <v>467</v>
      </c>
      <c r="B13" s="411"/>
      <c r="C13" s="412"/>
      <c r="D13" s="412" t="s">
        <v>364</v>
      </c>
      <c r="E13" s="412" t="s">
        <v>364</v>
      </c>
      <c r="F13" s="412"/>
      <c r="G13" s="412"/>
      <c r="H13" s="412"/>
      <c r="I13" s="412"/>
      <c r="J13" s="412" t="s">
        <v>25</v>
      </c>
      <c r="K13" s="412"/>
      <c r="L13" s="412" t="s">
        <v>51</v>
      </c>
      <c r="M13" s="412" t="s">
        <v>27</v>
      </c>
      <c r="N13" s="412"/>
      <c r="O13" s="410" t="s">
        <v>466</v>
      </c>
      <c r="X13" s="25"/>
      <c r="Y13" s="38"/>
    </row>
    <row r="14" spans="1:25" s="279" customFormat="1" ht="14.45" customHeight="1">
      <c r="A14" s="8"/>
      <c r="B14" s="8"/>
      <c r="C14" s="9"/>
      <c r="D14" s="9"/>
      <c r="E14" s="9"/>
      <c r="F14" s="9"/>
      <c r="G14" s="9"/>
      <c r="H14" s="9"/>
      <c r="I14" s="9"/>
      <c r="J14" s="9"/>
      <c r="K14" s="9"/>
      <c r="L14" s="9"/>
      <c r="M14" s="9"/>
      <c r="N14" s="9"/>
      <c r="O14" s="8"/>
    </row>
    <row r="15" spans="1:25" ht="14.45" customHeight="1">
      <c r="A15" s="413" t="s">
        <v>470</v>
      </c>
      <c r="B15" s="395"/>
      <c r="C15" s="395"/>
      <c r="D15" s="395"/>
      <c r="E15" s="395"/>
      <c r="F15" s="395"/>
      <c r="G15" s="395"/>
      <c r="H15" s="395"/>
      <c r="I15" s="395"/>
      <c r="J15" s="395"/>
      <c r="K15" s="395"/>
      <c r="L15" s="395"/>
      <c r="M15" s="395"/>
      <c r="N15" s="395"/>
      <c r="O15" s="396"/>
      <c r="P15" s="279" t="s">
        <v>626</v>
      </c>
      <c r="X15" s="25"/>
      <c r="Y15" s="38"/>
    </row>
    <row r="16" spans="1:25" ht="14.45" customHeight="1">
      <c r="A16" s="397" t="s">
        <v>481</v>
      </c>
      <c r="B16" s="151" t="s">
        <v>620</v>
      </c>
      <c r="C16" s="389" t="s">
        <v>30</v>
      </c>
      <c r="D16" s="389" t="s">
        <v>364</v>
      </c>
      <c r="E16" s="389" t="s">
        <v>364</v>
      </c>
      <c r="F16" s="389" t="s">
        <v>50</v>
      </c>
      <c r="G16" s="389" t="s">
        <v>23</v>
      </c>
      <c r="H16" s="390" t="s">
        <v>23</v>
      </c>
      <c r="I16" s="390" t="s">
        <v>24</v>
      </c>
      <c r="J16" s="390" t="s">
        <v>25</v>
      </c>
      <c r="K16" s="399" t="s">
        <v>26</v>
      </c>
      <c r="L16" s="399" t="s">
        <v>51</v>
      </c>
      <c r="M16" s="399" t="s">
        <v>326</v>
      </c>
      <c r="N16" s="42" t="s">
        <v>465</v>
      </c>
      <c r="O16" s="409"/>
      <c r="P16" s="279"/>
      <c r="X16" s="25"/>
      <c r="Y16" s="38"/>
    </row>
    <row r="17" spans="1:25" ht="15" customHeight="1">
      <c r="A17" s="39" t="s">
        <v>331</v>
      </c>
      <c r="B17" s="151" t="s">
        <v>620</v>
      </c>
      <c r="C17" s="40" t="s">
        <v>268</v>
      </c>
      <c r="D17" s="40" t="s">
        <v>364</v>
      </c>
      <c r="E17" s="40" t="s">
        <v>364</v>
      </c>
      <c r="F17" s="40" t="s">
        <v>50</v>
      </c>
      <c r="G17" s="40" t="s">
        <v>23</v>
      </c>
      <c r="H17" s="41" t="s">
        <v>23</v>
      </c>
      <c r="I17" s="41" t="s">
        <v>24</v>
      </c>
      <c r="J17" s="41" t="s">
        <v>25</v>
      </c>
      <c r="K17" s="42" t="s">
        <v>26</v>
      </c>
      <c r="L17" s="42" t="s">
        <v>51</v>
      </c>
      <c r="M17" s="42" t="s">
        <v>326</v>
      </c>
      <c r="N17" s="42" t="s">
        <v>465</v>
      </c>
      <c r="O17" s="152" t="s">
        <v>368</v>
      </c>
      <c r="P17" s="279"/>
    </row>
    <row r="18" spans="1:25" ht="15.6" customHeight="1">
      <c r="A18" s="397" t="s">
        <v>482</v>
      </c>
      <c r="B18" s="398" t="s">
        <v>620</v>
      </c>
      <c r="C18" s="40" t="s">
        <v>268</v>
      </c>
      <c r="D18" s="40" t="s">
        <v>364</v>
      </c>
      <c r="E18" s="40" t="s">
        <v>364</v>
      </c>
      <c r="F18" s="40" t="s">
        <v>50</v>
      </c>
      <c r="G18" s="40" t="s">
        <v>23</v>
      </c>
      <c r="H18" s="41" t="s">
        <v>23</v>
      </c>
      <c r="I18" s="41" t="s">
        <v>24</v>
      </c>
      <c r="J18" s="41" t="s">
        <v>25</v>
      </c>
      <c r="K18" s="42" t="s">
        <v>26</v>
      </c>
      <c r="L18" s="42" t="s">
        <v>51</v>
      </c>
      <c r="M18" s="42" t="s">
        <v>326</v>
      </c>
      <c r="N18" s="42" t="s">
        <v>465</v>
      </c>
      <c r="O18" s="152"/>
      <c r="P18" s="279"/>
      <c r="X18" s="38"/>
      <c r="Y18" s="38"/>
    </row>
    <row r="19" spans="1:25" ht="14.45" customHeight="1">
      <c r="A19" s="39" t="s">
        <v>369</v>
      </c>
      <c r="B19" s="151" t="s">
        <v>620</v>
      </c>
      <c r="C19" s="40" t="s">
        <v>268</v>
      </c>
      <c r="D19" s="40" t="s">
        <v>364</v>
      </c>
      <c r="E19" s="40" t="s">
        <v>364</v>
      </c>
      <c r="F19" s="40" t="s">
        <v>50</v>
      </c>
      <c r="G19" s="40" t="s">
        <v>23</v>
      </c>
      <c r="H19" s="41" t="s">
        <v>23</v>
      </c>
      <c r="I19" s="41" t="s">
        <v>24</v>
      </c>
      <c r="J19" s="41" t="s">
        <v>25</v>
      </c>
      <c r="K19" s="42" t="s">
        <v>26</v>
      </c>
      <c r="L19" s="42" t="s">
        <v>51</v>
      </c>
      <c r="M19" s="42" t="s">
        <v>326</v>
      </c>
      <c r="N19" s="42" t="s">
        <v>465</v>
      </c>
      <c r="O19" s="152"/>
      <c r="P19" s="279"/>
      <c r="X19" s="38"/>
      <c r="Y19" s="38"/>
    </row>
    <row r="20" spans="1:25" s="279" customFormat="1" ht="14.45" customHeight="1">
      <c r="A20" s="410" t="s">
        <v>467</v>
      </c>
      <c r="B20" s="411"/>
      <c r="C20" s="412"/>
      <c r="D20" s="412" t="s">
        <v>364</v>
      </c>
      <c r="E20" s="412" t="s">
        <v>364</v>
      </c>
      <c r="F20" s="412"/>
      <c r="G20" s="412"/>
      <c r="H20" s="412"/>
      <c r="I20" s="412"/>
      <c r="J20" s="412" t="s">
        <v>25</v>
      </c>
      <c r="K20" s="412" t="s">
        <v>435</v>
      </c>
      <c r="L20" s="412" t="s">
        <v>51</v>
      </c>
      <c r="M20" s="412" t="s">
        <v>27</v>
      </c>
      <c r="N20" s="412"/>
      <c r="O20" s="410" t="s">
        <v>466</v>
      </c>
      <c r="X20" s="38"/>
      <c r="Y20" s="38"/>
    </row>
    <row r="21" spans="1:25" s="279" customFormat="1" ht="14.45" customHeight="1">
      <c r="A21" s="8"/>
      <c r="B21" s="8"/>
      <c r="C21" s="9"/>
      <c r="D21" s="9"/>
      <c r="E21" s="9"/>
      <c r="F21" s="9"/>
      <c r="G21" s="9"/>
      <c r="H21" s="9"/>
      <c r="I21" s="9"/>
      <c r="J21" s="9"/>
      <c r="K21" s="9"/>
      <c r="L21" s="9"/>
      <c r="M21" s="9"/>
      <c r="N21" s="9"/>
      <c r="O21" s="8"/>
    </row>
    <row r="22" spans="1:25" s="279" customFormat="1" ht="14.45" customHeight="1">
      <c r="A22" s="111" t="s">
        <v>622</v>
      </c>
      <c r="B22" s="339"/>
      <c r="C22" s="339"/>
      <c r="D22" s="339"/>
      <c r="E22" s="339"/>
      <c r="F22" s="339"/>
      <c r="G22" s="339"/>
      <c r="H22" s="339"/>
      <c r="I22" s="339"/>
      <c r="J22" s="339"/>
      <c r="K22" s="339"/>
      <c r="L22" s="339"/>
      <c r="M22" s="339"/>
      <c r="N22" s="339"/>
      <c r="O22" s="340"/>
      <c r="P22" s="279" t="s">
        <v>628</v>
      </c>
    </row>
    <row r="23" spans="1:25" s="279" customFormat="1" ht="15" customHeight="1">
      <c r="A23" s="39" t="s">
        <v>772</v>
      </c>
      <c r="B23" s="151" t="s">
        <v>620</v>
      </c>
      <c r="C23" s="40"/>
      <c r="D23" s="40"/>
      <c r="E23" s="40"/>
      <c r="F23" s="40"/>
      <c r="G23" s="40"/>
      <c r="H23" s="41"/>
      <c r="I23" s="41"/>
      <c r="J23" s="41"/>
      <c r="K23" s="42"/>
      <c r="L23" s="42"/>
      <c r="M23" s="42"/>
      <c r="N23" s="42"/>
      <c r="O23" s="43"/>
    </row>
    <row r="24" spans="1:25" s="447" customFormat="1" ht="14.45" customHeight="1">
      <c r="A24" s="39" t="s">
        <v>464</v>
      </c>
      <c r="B24" s="46" t="s">
        <v>620</v>
      </c>
      <c r="C24" s="40" t="s">
        <v>21</v>
      </c>
      <c r="D24" s="40" t="s">
        <v>364</v>
      </c>
      <c r="E24" s="40" t="s">
        <v>364</v>
      </c>
      <c r="F24" s="40" t="s">
        <v>50</v>
      </c>
      <c r="G24" s="40" t="s">
        <v>23</v>
      </c>
      <c r="H24" s="41" t="s">
        <v>24</v>
      </c>
      <c r="I24" s="41" t="s">
        <v>24</v>
      </c>
      <c r="J24" s="41" t="s">
        <v>25</v>
      </c>
      <c r="K24" s="42" t="s">
        <v>26</v>
      </c>
      <c r="L24" s="42" t="s">
        <v>51</v>
      </c>
      <c r="M24" s="42" t="s">
        <v>27</v>
      </c>
      <c r="N24" s="42" t="s">
        <v>465</v>
      </c>
      <c r="O24" s="43"/>
      <c r="X24" s="25"/>
      <c r="Y24" s="38"/>
    </row>
    <row r="25" spans="1:25" s="447" customFormat="1" ht="14.45" customHeight="1">
      <c r="A25" s="39" t="s">
        <v>773</v>
      </c>
      <c r="B25" s="46" t="s">
        <v>620</v>
      </c>
      <c r="C25" s="40" t="s">
        <v>21</v>
      </c>
      <c r="D25" s="40" t="s">
        <v>364</v>
      </c>
      <c r="E25" s="40" t="s">
        <v>364</v>
      </c>
      <c r="F25" s="40" t="s">
        <v>50</v>
      </c>
      <c r="G25" s="40" t="s">
        <v>23</v>
      </c>
      <c r="H25" s="41" t="s">
        <v>24</v>
      </c>
      <c r="I25" s="41" t="s">
        <v>24</v>
      </c>
      <c r="J25" s="41" t="s">
        <v>25</v>
      </c>
      <c r="K25" s="42" t="s">
        <v>26</v>
      </c>
      <c r="L25" s="42" t="s">
        <v>51</v>
      </c>
      <c r="M25" s="42" t="s">
        <v>27</v>
      </c>
      <c r="N25" s="42" t="s">
        <v>465</v>
      </c>
      <c r="O25" s="43"/>
      <c r="X25" s="25"/>
      <c r="Y25" s="38"/>
    </row>
    <row r="26" spans="1:25">
      <c r="A26" s="39" t="s">
        <v>408</v>
      </c>
      <c r="B26" s="46" t="s">
        <v>620</v>
      </c>
      <c r="C26" s="40" t="s">
        <v>21</v>
      </c>
      <c r="D26" s="40" t="s">
        <v>364</v>
      </c>
      <c r="E26" s="40" t="s">
        <v>364</v>
      </c>
      <c r="F26" s="40" t="s">
        <v>50</v>
      </c>
      <c r="G26" s="40" t="s">
        <v>23</v>
      </c>
      <c r="H26" s="41" t="s">
        <v>24</v>
      </c>
      <c r="I26" s="41" t="s">
        <v>24</v>
      </c>
      <c r="J26" s="41" t="s">
        <v>25</v>
      </c>
      <c r="K26" s="42" t="s">
        <v>26</v>
      </c>
      <c r="L26" s="42" t="s">
        <v>51</v>
      </c>
      <c r="M26" s="42" t="s">
        <v>27</v>
      </c>
      <c r="N26" s="42" t="s">
        <v>465</v>
      </c>
      <c r="O26" s="43" t="s">
        <v>629</v>
      </c>
      <c r="X26" s="25"/>
      <c r="Y26" s="38"/>
    </row>
    <row r="27" spans="1:25" s="447" customFormat="1" ht="14.45" customHeight="1">
      <c r="A27" s="39" t="s">
        <v>365</v>
      </c>
      <c r="B27" s="46" t="s">
        <v>620</v>
      </c>
      <c r="C27" s="40" t="s">
        <v>21</v>
      </c>
      <c r="D27" s="40" t="s">
        <v>364</v>
      </c>
      <c r="E27" s="40" t="s">
        <v>364</v>
      </c>
      <c r="F27" s="40" t="s">
        <v>50</v>
      </c>
      <c r="G27" s="40" t="s">
        <v>23</v>
      </c>
      <c r="H27" s="41" t="s">
        <v>24</v>
      </c>
      <c r="I27" s="41" t="s">
        <v>24</v>
      </c>
      <c r="J27" s="41" t="s">
        <v>25</v>
      </c>
      <c r="K27" s="42" t="s">
        <v>26</v>
      </c>
      <c r="L27" s="42" t="s">
        <v>51</v>
      </c>
      <c r="M27" s="42" t="s">
        <v>27</v>
      </c>
      <c r="N27" s="42" t="s">
        <v>465</v>
      </c>
      <c r="O27" s="43" t="s">
        <v>366</v>
      </c>
      <c r="X27" s="38"/>
      <c r="Y27" s="38"/>
    </row>
    <row r="28" spans="1:25">
      <c r="A28" s="39" t="s">
        <v>469</v>
      </c>
      <c r="B28" s="46" t="s">
        <v>620</v>
      </c>
      <c r="C28" s="40" t="s">
        <v>21</v>
      </c>
      <c r="D28" s="40" t="s">
        <v>364</v>
      </c>
      <c r="E28" s="40" t="s">
        <v>364</v>
      </c>
      <c r="F28" s="40" t="s">
        <v>50</v>
      </c>
      <c r="G28" s="40" t="s">
        <v>23</v>
      </c>
      <c r="H28" s="41" t="s">
        <v>24</v>
      </c>
      <c r="I28" s="41" t="s">
        <v>24</v>
      </c>
      <c r="J28" s="41" t="s">
        <v>25</v>
      </c>
      <c r="K28" s="42" t="s">
        <v>26</v>
      </c>
      <c r="L28" s="42" t="s">
        <v>51</v>
      </c>
      <c r="M28" s="42" t="s">
        <v>27</v>
      </c>
      <c r="N28" s="42" t="s">
        <v>465</v>
      </c>
      <c r="O28" s="43" t="s">
        <v>629</v>
      </c>
      <c r="X28" s="25"/>
      <c r="Y28" s="38"/>
    </row>
    <row r="29" spans="1:25" s="279" customFormat="1" ht="14.45" customHeight="1">
      <c r="A29" s="39" t="s">
        <v>786</v>
      </c>
      <c r="B29" s="46" t="s">
        <v>620</v>
      </c>
      <c r="C29" s="40" t="s">
        <v>21</v>
      </c>
      <c r="D29" s="40" t="s">
        <v>364</v>
      </c>
      <c r="E29" s="40" t="s">
        <v>364</v>
      </c>
      <c r="F29" s="40" t="s">
        <v>50</v>
      </c>
      <c r="G29" s="40" t="s">
        <v>23</v>
      </c>
      <c r="H29" s="41" t="s">
        <v>24</v>
      </c>
      <c r="I29" s="41" t="s">
        <v>24</v>
      </c>
      <c r="J29" s="41" t="s">
        <v>25</v>
      </c>
      <c r="K29" s="42" t="s">
        <v>26</v>
      </c>
      <c r="L29" s="42" t="s">
        <v>51</v>
      </c>
      <c r="M29" s="42" t="s">
        <v>27</v>
      </c>
      <c r="N29" s="42" t="s">
        <v>465</v>
      </c>
      <c r="O29" s="43" t="s">
        <v>631</v>
      </c>
      <c r="X29" s="38"/>
      <c r="Y29" s="38"/>
    </row>
    <row r="30" spans="1:25" s="279" customFormat="1" ht="14.45" customHeight="1">
      <c r="A30" s="410" t="s">
        <v>467</v>
      </c>
      <c r="B30" s="411"/>
      <c r="C30" s="412"/>
      <c r="D30" s="412" t="s">
        <v>364</v>
      </c>
      <c r="E30" s="412" t="s">
        <v>364</v>
      </c>
      <c r="F30" s="412"/>
      <c r="G30" s="412"/>
      <c r="H30" s="412"/>
      <c r="I30" s="412"/>
      <c r="J30" s="412" t="s">
        <v>25</v>
      </c>
      <c r="K30" s="412" t="s">
        <v>435</v>
      </c>
      <c r="L30" s="412" t="s">
        <v>51</v>
      </c>
      <c r="M30" s="412" t="s">
        <v>27</v>
      </c>
      <c r="N30" s="412"/>
      <c r="O30" s="410" t="s">
        <v>468</v>
      </c>
      <c r="X30" s="38"/>
      <c r="Y30" s="38"/>
    </row>
    <row r="31" spans="1:25" s="279" customFormat="1" ht="14.45" customHeight="1">
      <c r="A31" s="8"/>
      <c r="B31" s="8"/>
      <c r="C31" s="9"/>
      <c r="D31" s="9"/>
      <c r="E31" s="9"/>
      <c r="F31" s="9"/>
      <c r="G31" s="9"/>
      <c r="H31" s="9"/>
      <c r="I31" s="9"/>
      <c r="J31" s="9"/>
      <c r="K31" s="9"/>
      <c r="L31" s="9"/>
      <c r="M31" s="9"/>
      <c r="N31" s="9"/>
      <c r="O31" s="8"/>
    </row>
    <row r="32" spans="1:25" s="279" customFormat="1" ht="14.45" customHeight="1">
      <c r="A32" s="413" t="s">
        <v>623</v>
      </c>
      <c r="B32" s="395"/>
      <c r="C32" s="395"/>
      <c r="D32" s="395"/>
      <c r="E32" s="395"/>
      <c r="F32" s="395"/>
      <c r="G32" s="395"/>
      <c r="H32" s="395"/>
      <c r="I32" s="395"/>
      <c r="J32" s="395"/>
      <c r="K32" s="395"/>
      <c r="L32" s="395"/>
      <c r="M32" s="395"/>
      <c r="N32" s="395"/>
      <c r="O32" s="396"/>
      <c r="P32" s="279" t="s">
        <v>630</v>
      </c>
      <c r="X32" s="25"/>
      <c r="Y32" s="38"/>
    </row>
    <row r="33" spans="1:27" s="279" customFormat="1" ht="14.45" customHeight="1">
      <c r="A33" s="397" t="s">
        <v>372</v>
      </c>
      <c r="B33" s="398" t="s">
        <v>620</v>
      </c>
      <c r="C33" s="389" t="s">
        <v>30</v>
      </c>
      <c r="D33" s="389" t="s">
        <v>364</v>
      </c>
      <c r="E33" s="389" t="s">
        <v>364</v>
      </c>
      <c r="F33" s="389" t="s">
        <v>50</v>
      </c>
      <c r="G33" s="389" t="s">
        <v>23</v>
      </c>
      <c r="H33" s="390" t="s">
        <v>23</v>
      </c>
      <c r="I33" s="390" t="s">
        <v>24</v>
      </c>
      <c r="J33" s="390" t="s">
        <v>25</v>
      </c>
      <c r="K33" s="399" t="s">
        <v>26</v>
      </c>
      <c r="L33" s="399" t="s">
        <v>51</v>
      </c>
      <c r="M33" s="399" t="s">
        <v>326</v>
      </c>
      <c r="N33" s="42" t="s">
        <v>465</v>
      </c>
      <c r="O33" s="409"/>
      <c r="X33" s="25"/>
      <c r="Y33" s="38"/>
    </row>
    <row r="34" spans="1:27" s="279" customFormat="1" ht="14.45" customHeight="1">
      <c r="A34" s="397" t="s">
        <v>528</v>
      </c>
      <c r="B34" s="398" t="s">
        <v>620</v>
      </c>
      <c r="C34" s="40" t="s">
        <v>21</v>
      </c>
      <c r="D34" s="40" t="s">
        <v>364</v>
      </c>
      <c r="E34" s="40" t="s">
        <v>364</v>
      </c>
      <c r="F34" s="40" t="s">
        <v>50</v>
      </c>
      <c r="G34" s="40" t="s">
        <v>23</v>
      </c>
      <c r="H34" s="41" t="s">
        <v>23</v>
      </c>
      <c r="I34" s="41" t="s">
        <v>24</v>
      </c>
      <c r="J34" s="41" t="s">
        <v>25</v>
      </c>
      <c r="K34" s="42" t="s">
        <v>26</v>
      </c>
      <c r="L34" s="42" t="s">
        <v>51</v>
      </c>
      <c r="M34" s="42" t="s">
        <v>326</v>
      </c>
      <c r="N34" s="42" t="s">
        <v>465</v>
      </c>
      <c r="O34" s="409"/>
      <c r="X34" s="25"/>
      <c r="Y34" s="38"/>
    </row>
    <row r="35" spans="1:27" s="279" customFormat="1" ht="15" customHeight="1">
      <c r="A35" s="39" t="s">
        <v>525</v>
      </c>
      <c r="B35" s="151" t="s">
        <v>620</v>
      </c>
      <c r="C35" s="40" t="s">
        <v>21</v>
      </c>
      <c r="D35" s="40" t="s">
        <v>364</v>
      </c>
      <c r="E35" s="40" t="s">
        <v>364</v>
      </c>
      <c r="F35" s="40" t="s">
        <v>50</v>
      </c>
      <c r="G35" s="40" t="s">
        <v>23</v>
      </c>
      <c r="H35" s="41" t="s">
        <v>23</v>
      </c>
      <c r="I35" s="41" t="s">
        <v>24</v>
      </c>
      <c r="J35" s="41" t="s">
        <v>25</v>
      </c>
      <c r="K35" s="42" t="s">
        <v>26</v>
      </c>
      <c r="L35" s="42" t="s">
        <v>51</v>
      </c>
      <c r="M35" s="42" t="s">
        <v>326</v>
      </c>
      <c r="N35" s="42" t="s">
        <v>465</v>
      </c>
      <c r="O35" s="152" t="s">
        <v>526</v>
      </c>
    </row>
    <row r="36" spans="1:27" s="279" customFormat="1" ht="14.45" customHeight="1">
      <c r="A36" s="410" t="s">
        <v>467</v>
      </c>
      <c r="B36" s="411"/>
      <c r="C36" s="412"/>
      <c r="D36" s="412" t="s">
        <v>329</v>
      </c>
      <c r="E36" s="412" t="s">
        <v>329</v>
      </c>
      <c r="F36" s="412"/>
      <c r="G36" s="412"/>
      <c r="H36" s="412"/>
      <c r="I36" s="412"/>
      <c r="J36" s="412" t="s">
        <v>25</v>
      </c>
      <c r="K36" s="412"/>
      <c r="L36" s="412" t="s">
        <v>51</v>
      </c>
      <c r="M36" s="412" t="s">
        <v>27</v>
      </c>
      <c r="N36" s="412"/>
      <c r="O36" s="410" t="s">
        <v>466</v>
      </c>
      <c r="X36" s="38"/>
      <c r="Y36" s="38"/>
    </row>
    <row r="37" spans="1:27" s="447" customFormat="1" ht="15" customHeight="1">
      <c r="X37" s="38"/>
      <c r="Y37" s="38"/>
      <c r="Z37" s="25"/>
      <c r="AA37" s="38"/>
    </row>
    <row r="38" spans="1:27" s="447" customFormat="1" ht="15.75">
      <c r="A38" s="394" t="s">
        <v>868</v>
      </c>
      <c r="B38" s="395"/>
      <c r="C38" s="395"/>
      <c r="D38" s="395"/>
      <c r="E38" s="395"/>
      <c r="F38" s="395"/>
      <c r="G38" s="395"/>
      <c r="H38" s="395"/>
      <c r="I38" s="395"/>
      <c r="J38" s="395"/>
      <c r="K38" s="395"/>
      <c r="L38" s="395"/>
      <c r="M38" s="395"/>
      <c r="N38" s="395"/>
      <c r="O38" s="396"/>
      <c r="P38" s="447" t="s">
        <v>624</v>
      </c>
    </row>
    <row r="39" spans="1:27" s="447" customFormat="1" ht="14.45" customHeight="1">
      <c r="A39" s="397" t="s">
        <v>372</v>
      </c>
      <c r="B39" s="398" t="s">
        <v>620</v>
      </c>
      <c r="C39" s="389" t="s">
        <v>30</v>
      </c>
      <c r="D39" s="389" t="s">
        <v>329</v>
      </c>
      <c r="E39" s="389" t="s">
        <v>329</v>
      </c>
      <c r="F39" s="389" t="s">
        <v>50</v>
      </c>
      <c r="G39" s="40" t="s">
        <v>24</v>
      </c>
      <c r="H39" s="390" t="s">
        <v>24</v>
      </c>
      <c r="I39" s="390" t="s">
        <v>24</v>
      </c>
      <c r="J39" s="390" t="s">
        <v>25</v>
      </c>
      <c r="K39" s="399" t="s">
        <v>330</v>
      </c>
      <c r="L39" s="399" t="s">
        <v>51</v>
      </c>
      <c r="M39" s="399" t="s">
        <v>51</v>
      </c>
      <c r="N39" s="42" t="s">
        <v>465</v>
      </c>
      <c r="O39" s="409"/>
      <c r="X39" s="25"/>
      <c r="Y39" s="38"/>
    </row>
    <row r="40" spans="1:27" s="447" customFormat="1" ht="14.45" customHeight="1">
      <c r="A40" s="410" t="s">
        <v>467</v>
      </c>
      <c r="B40" s="411"/>
      <c r="C40" s="412"/>
      <c r="D40" s="412" t="s">
        <v>329</v>
      </c>
      <c r="E40" s="412" t="s">
        <v>364</v>
      </c>
      <c r="F40" s="412"/>
      <c r="G40" s="412"/>
      <c r="H40" s="412"/>
      <c r="I40" s="412"/>
      <c r="J40" s="412" t="s">
        <v>787</v>
      </c>
      <c r="K40" s="412" t="s">
        <v>435</v>
      </c>
      <c r="L40" s="412" t="s">
        <v>51</v>
      </c>
      <c r="M40" s="412" t="s">
        <v>27</v>
      </c>
      <c r="N40" s="412"/>
      <c r="O40" s="410" t="s">
        <v>466</v>
      </c>
      <c r="X40" s="38"/>
      <c r="Y40" s="38"/>
    </row>
    <row r="41" spans="1:27" s="279" customFormat="1" ht="15" customHeight="1">
      <c r="X41" s="38"/>
      <c r="Y41" s="38"/>
      <c r="Z41" s="25"/>
      <c r="AA41" s="38"/>
    </row>
    <row r="42" spans="1:27" s="279" customFormat="1" ht="14.45" customHeight="1">
      <c r="A42" s="413" t="s">
        <v>530</v>
      </c>
      <c r="B42" s="395"/>
      <c r="C42" s="395"/>
      <c r="D42" s="395"/>
      <c r="E42" s="395"/>
      <c r="F42" s="395"/>
      <c r="G42" s="395"/>
      <c r="H42" s="395"/>
      <c r="I42" s="395"/>
      <c r="J42" s="395"/>
      <c r="K42" s="395"/>
      <c r="L42" s="395"/>
      <c r="M42" s="395"/>
      <c r="N42" s="395"/>
      <c r="O42" s="396"/>
      <c r="P42" s="279" t="s">
        <v>626</v>
      </c>
      <c r="X42" s="25"/>
      <c r="Y42" s="38"/>
    </row>
    <row r="43" spans="1:27" s="279" customFormat="1" ht="14.45" customHeight="1">
      <c r="A43" s="397" t="s">
        <v>372</v>
      </c>
      <c r="B43" s="306" t="s">
        <v>620</v>
      </c>
      <c r="C43" s="389" t="s">
        <v>30</v>
      </c>
      <c r="D43" s="389" t="s">
        <v>361</v>
      </c>
      <c r="E43" s="389" t="s">
        <v>361</v>
      </c>
      <c r="F43" s="389" t="s">
        <v>50</v>
      </c>
      <c r="G43" s="389" t="s">
        <v>24</v>
      </c>
      <c r="H43" s="390" t="s">
        <v>24</v>
      </c>
      <c r="I43" s="390" t="s">
        <v>24</v>
      </c>
      <c r="J43" s="390" t="s">
        <v>25</v>
      </c>
      <c r="K43" s="399" t="s">
        <v>330</v>
      </c>
      <c r="L43" s="399" t="s">
        <v>51</v>
      </c>
      <c r="M43" s="399" t="s">
        <v>326</v>
      </c>
      <c r="N43" s="399" t="s">
        <v>28</v>
      </c>
      <c r="O43" s="409"/>
      <c r="X43" s="25"/>
      <c r="Y43" s="38"/>
    </row>
    <row r="44" spans="1:27" s="279" customFormat="1" ht="15" customHeight="1">
      <c r="A44" s="39" t="s">
        <v>331</v>
      </c>
      <c r="B44" s="151" t="s">
        <v>620</v>
      </c>
      <c r="C44" s="40" t="s">
        <v>268</v>
      </c>
      <c r="D44" s="40" t="s">
        <v>361</v>
      </c>
      <c r="E44" s="40" t="s">
        <v>361</v>
      </c>
      <c r="F44" s="40" t="s">
        <v>50</v>
      </c>
      <c r="G44" s="40" t="s">
        <v>24</v>
      </c>
      <c r="H44" s="273" t="s">
        <v>24</v>
      </c>
      <c r="I44" s="41" t="s">
        <v>24</v>
      </c>
      <c r="J44" s="41" t="s">
        <v>25</v>
      </c>
      <c r="K44" s="274" t="s">
        <v>330</v>
      </c>
      <c r="L44" s="42" t="s">
        <v>51</v>
      </c>
      <c r="M44" s="42" t="s">
        <v>326</v>
      </c>
      <c r="N44" s="42" t="s">
        <v>28</v>
      </c>
      <c r="O44" s="275"/>
    </row>
    <row r="45" spans="1:27" s="279" customFormat="1" ht="15.6" customHeight="1">
      <c r="A45" s="397" t="s">
        <v>373</v>
      </c>
      <c r="B45" s="398" t="s">
        <v>620</v>
      </c>
      <c r="C45" s="40" t="s">
        <v>268</v>
      </c>
      <c r="D45" s="40" t="s">
        <v>361</v>
      </c>
      <c r="E45" s="40" t="s">
        <v>361</v>
      </c>
      <c r="F45" s="40" t="s">
        <v>50</v>
      </c>
      <c r="G45" s="40" t="s">
        <v>24</v>
      </c>
      <c r="H45" s="273" t="s">
        <v>24</v>
      </c>
      <c r="I45" s="41" t="s">
        <v>24</v>
      </c>
      <c r="J45" s="41" t="s">
        <v>25</v>
      </c>
      <c r="K45" s="274" t="s">
        <v>330</v>
      </c>
      <c r="L45" s="42" t="s">
        <v>51</v>
      </c>
      <c r="M45" s="42" t="s">
        <v>326</v>
      </c>
      <c r="N45" s="42" t="s">
        <v>28</v>
      </c>
      <c r="O45" s="152"/>
      <c r="X45" s="38"/>
      <c r="Y45" s="38"/>
    </row>
    <row r="46" spans="1:27" s="279" customFormat="1" ht="14.45" customHeight="1">
      <c r="A46" s="39" t="s">
        <v>369</v>
      </c>
      <c r="B46" s="306" t="s">
        <v>620</v>
      </c>
      <c r="C46" s="40" t="s">
        <v>268</v>
      </c>
      <c r="D46" s="40" t="s">
        <v>361</v>
      </c>
      <c r="E46" s="40" t="s">
        <v>361</v>
      </c>
      <c r="F46" s="40" t="s">
        <v>50</v>
      </c>
      <c r="G46" s="40" t="s">
        <v>24</v>
      </c>
      <c r="H46" s="41" t="s">
        <v>24</v>
      </c>
      <c r="I46" s="41" t="s">
        <v>24</v>
      </c>
      <c r="J46" s="41" t="s">
        <v>25</v>
      </c>
      <c r="K46" s="42" t="s">
        <v>330</v>
      </c>
      <c r="L46" s="42" t="s">
        <v>51</v>
      </c>
      <c r="M46" s="42" t="s">
        <v>326</v>
      </c>
      <c r="N46" s="42" t="s">
        <v>28</v>
      </c>
      <c r="O46" s="152"/>
      <c r="X46" s="38"/>
      <c r="Y46" s="38"/>
    </row>
    <row r="47" spans="1:27" s="279" customFormat="1" ht="14.45" customHeight="1">
      <c r="A47" s="410" t="s">
        <v>467</v>
      </c>
      <c r="B47" s="411"/>
      <c r="C47" s="412"/>
      <c r="D47" s="412" t="s">
        <v>361</v>
      </c>
      <c r="E47" s="412" t="s">
        <v>361</v>
      </c>
      <c r="F47" s="412"/>
      <c r="G47" s="412"/>
      <c r="H47" s="412"/>
      <c r="I47" s="412"/>
      <c r="J47" s="412" t="s">
        <v>25</v>
      </c>
      <c r="K47" s="412" t="s">
        <v>435</v>
      </c>
      <c r="L47" s="412" t="s">
        <v>51</v>
      </c>
      <c r="M47" s="412" t="s">
        <v>27</v>
      </c>
      <c r="N47" s="412"/>
      <c r="O47" s="410" t="s">
        <v>466</v>
      </c>
      <c r="X47" s="38"/>
      <c r="Y47" s="38"/>
    </row>
    <row r="48" spans="1:27" s="279" customFormat="1" ht="15" customHeight="1">
      <c r="A48" s="391" t="s">
        <v>401</v>
      </c>
      <c r="B48" s="392"/>
      <c r="C48" s="392"/>
      <c r="D48" s="392"/>
      <c r="E48" s="392"/>
      <c r="F48" s="392"/>
      <c r="G48" s="392"/>
      <c r="H48" s="392"/>
      <c r="I48" s="392"/>
      <c r="J48" s="392"/>
      <c r="K48" s="392"/>
      <c r="L48" s="392"/>
      <c r="M48" s="392"/>
      <c r="N48" s="392"/>
      <c r="O48" s="393"/>
    </row>
    <row r="49" spans="1:27" s="279" customFormat="1" ht="15" customHeight="1">
      <c r="X49" s="38"/>
      <c r="Y49" s="38"/>
      <c r="Z49" s="25"/>
      <c r="AA49" s="38"/>
    </row>
    <row r="50" spans="1:27" s="279" customFormat="1" ht="14.45" customHeight="1">
      <c r="A50" s="413" t="s">
        <v>476</v>
      </c>
      <c r="B50" s="395"/>
      <c r="C50" s="395"/>
      <c r="D50" s="395"/>
      <c r="E50" s="395"/>
      <c r="F50" s="395"/>
      <c r="G50" s="395"/>
      <c r="H50" s="395"/>
      <c r="I50" s="395"/>
      <c r="J50" s="395"/>
      <c r="K50" s="395"/>
      <c r="L50" s="395"/>
      <c r="M50" s="395"/>
      <c r="N50" s="395"/>
      <c r="O50" s="396"/>
      <c r="P50" s="279" t="s">
        <v>625</v>
      </c>
      <c r="X50" s="25"/>
      <c r="Y50" s="38"/>
    </row>
    <row r="51" spans="1:27" s="447" customFormat="1" ht="14.45" customHeight="1">
      <c r="A51" s="397" t="s">
        <v>869</v>
      </c>
      <c r="B51" s="306" t="s">
        <v>620</v>
      </c>
      <c r="C51" s="389" t="s">
        <v>30</v>
      </c>
      <c r="D51" s="389" t="s">
        <v>361</v>
      </c>
      <c r="E51" s="389" t="s">
        <v>361</v>
      </c>
      <c r="F51" s="389" t="s">
        <v>50</v>
      </c>
      <c r="G51" s="389" t="s">
        <v>24</v>
      </c>
      <c r="H51" s="390" t="s">
        <v>24</v>
      </c>
      <c r="I51" s="390" t="s">
        <v>24</v>
      </c>
      <c r="J51" s="390" t="s">
        <v>25</v>
      </c>
      <c r="K51" s="399" t="s">
        <v>330</v>
      </c>
      <c r="L51" s="399" t="s">
        <v>51</v>
      </c>
      <c r="M51" s="399" t="s">
        <v>326</v>
      </c>
      <c r="N51" s="399" t="s">
        <v>28</v>
      </c>
      <c r="O51" s="409"/>
      <c r="X51" s="25"/>
      <c r="Y51" s="38"/>
    </row>
    <row r="52" spans="1:27" s="279" customFormat="1" ht="14.45" customHeight="1">
      <c r="A52" s="397" t="s">
        <v>372</v>
      </c>
      <c r="B52" s="306" t="s">
        <v>620</v>
      </c>
      <c r="C52" s="389" t="s">
        <v>30</v>
      </c>
      <c r="D52" s="389" t="s">
        <v>361</v>
      </c>
      <c r="E52" s="389" t="s">
        <v>361</v>
      </c>
      <c r="F52" s="389" t="s">
        <v>50</v>
      </c>
      <c r="G52" s="389" t="s">
        <v>24</v>
      </c>
      <c r="H52" s="390" t="s">
        <v>24</v>
      </c>
      <c r="I52" s="390" t="s">
        <v>24</v>
      </c>
      <c r="J52" s="390" t="s">
        <v>25</v>
      </c>
      <c r="K52" s="399" t="s">
        <v>330</v>
      </c>
      <c r="L52" s="399" t="s">
        <v>51</v>
      </c>
      <c r="M52" s="399" t="s">
        <v>326</v>
      </c>
      <c r="N52" s="399" t="s">
        <v>28</v>
      </c>
      <c r="O52" s="409"/>
      <c r="X52" s="25"/>
      <c r="Y52" s="38"/>
    </row>
    <row r="53" spans="1:27" s="279" customFormat="1" ht="14.45" customHeight="1">
      <c r="A53" s="410" t="s">
        <v>467</v>
      </c>
      <c r="B53" s="411"/>
      <c r="C53" s="412"/>
      <c r="D53" s="412" t="s">
        <v>361</v>
      </c>
      <c r="E53" s="412" t="s">
        <v>361</v>
      </c>
      <c r="F53" s="412"/>
      <c r="G53" s="412"/>
      <c r="H53" s="412"/>
      <c r="I53" s="412"/>
      <c r="J53" s="412" t="s">
        <v>25</v>
      </c>
      <c r="K53" s="412" t="s">
        <v>435</v>
      </c>
      <c r="L53" s="412" t="s">
        <v>51</v>
      </c>
      <c r="M53" s="412" t="s">
        <v>27</v>
      </c>
      <c r="N53" s="412"/>
      <c r="O53" s="410" t="s">
        <v>466</v>
      </c>
      <c r="X53" s="38"/>
      <c r="Y53" s="38"/>
    </row>
    <row r="54" spans="1:27" s="279" customFormat="1" ht="15" customHeight="1">
      <c r="X54" s="38"/>
      <c r="Y54" s="38"/>
      <c r="Z54" s="25"/>
      <c r="AA54" s="38"/>
    </row>
    <row r="55" spans="1:27" s="279" customFormat="1" ht="14.45" customHeight="1">
      <c r="A55" s="413" t="s">
        <v>477</v>
      </c>
      <c r="B55" s="395"/>
      <c r="C55" s="395"/>
      <c r="D55" s="395"/>
      <c r="E55" s="395"/>
      <c r="F55" s="395"/>
      <c r="G55" s="395"/>
      <c r="H55" s="395"/>
      <c r="I55" s="395"/>
      <c r="J55" s="395"/>
      <c r="K55" s="395"/>
      <c r="L55" s="395"/>
      <c r="M55" s="395"/>
      <c r="N55" s="395"/>
      <c r="O55" s="396"/>
      <c r="P55" s="279" t="s">
        <v>627</v>
      </c>
      <c r="X55" s="25"/>
      <c r="Y55" s="38"/>
    </row>
    <row r="56" spans="1:27" s="279" customFormat="1" ht="14.45" customHeight="1">
      <c r="A56" s="397" t="s">
        <v>372</v>
      </c>
      <c r="B56" s="151" t="s">
        <v>620</v>
      </c>
      <c r="C56" s="389" t="s">
        <v>30</v>
      </c>
      <c r="D56" s="389" t="s">
        <v>394</v>
      </c>
      <c r="E56" s="389" t="s">
        <v>394</v>
      </c>
      <c r="F56" s="389" t="s">
        <v>50</v>
      </c>
      <c r="G56" s="389" t="s">
        <v>24</v>
      </c>
      <c r="H56" s="390" t="s">
        <v>24</v>
      </c>
      <c r="I56" s="390" t="s">
        <v>24</v>
      </c>
      <c r="J56" s="390" t="s">
        <v>25</v>
      </c>
      <c r="K56" s="399" t="s">
        <v>330</v>
      </c>
      <c r="L56" s="399" t="s">
        <v>51</v>
      </c>
      <c r="M56" s="399" t="s">
        <v>326</v>
      </c>
      <c r="N56" s="399" t="s">
        <v>28</v>
      </c>
      <c r="O56" s="409"/>
      <c r="X56" s="25"/>
      <c r="Y56" s="38"/>
    </row>
    <row r="57" spans="1:27" s="279" customFormat="1" ht="15" customHeight="1">
      <c r="A57" s="39" t="s">
        <v>331</v>
      </c>
      <c r="B57" s="151" t="s">
        <v>620</v>
      </c>
      <c r="C57" s="40" t="s">
        <v>268</v>
      </c>
      <c r="D57" s="40" t="s">
        <v>394</v>
      </c>
      <c r="E57" s="40" t="s">
        <v>394</v>
      </c>
      <c r="F57" s="40" t="s">
        <v>50</v>
      </c>
      <c r="G57" s="40" t="s">
        <v>24</v>
      </c>
      <c r="H57" s="273" t="s">
        <v>24</v>
      </c>
      <c r="I57" s="41" t="s">
        <v>24</v>
      </c>
      <c r="J57" s="41" t="s">
        <v>25</v>
      </c>
      <c r="K57" s="274" t="s">
        <v>330</v>
      </c>
      <c r="L57" s="42" t="s">
        <v>51</v>
      </c>
      <c r="M57" s="42" t="s">
        <v>326</v>
      </c>
      <c r="N57" s="42" t="s">
        <v>28</v>
      </c>
      <c r="O57" s="275" t="s">
        <v>370</v>
      </c>
    </row>
    <row r="58" spans="1:27" s="279" customFormat="1" ht="15.6" customHeight="1">
      <c r="A58" s="397" t="s">
        <v>373</v>
      </c>
      <c r="B58" s="398" t="s">
        <v>620</v>
      </c>
      <c r="C58" s="40" t="s">
        <v>268</v>
      </c>
      <c r="D58" s="40" t="s">
        <v>394</v>
      </c>
      <c r="E58" s="40" t="s">
        <v>394</v>
      </c>
      <c r="F58" s="40" t="s">
        <v>50</v>
      </c>
      <c r="G58" s="40" t="s">
        <v>24</v>
      </c>
      <c r="H58" s="273" t="s">
        <v>24</v>
      </c>
      <c r="I58" s="41" t="s">
        <v>24</v>
      </c>
      <c r="J58" s="41" t="s">
        <v>25</v>
      </c>
      <c r="K58" s="274" t="s">
        <v>330</v>
      </c>
      <c r="L58" s="42" t="s">
        <v>51</v>
      </c>
      <c r="M58" s="42" t="s">
        <v>326</v>
      </c>
      <c r="N58" s="42" t="s">
        <v>28</v>
      </c>
      <c r="O58" s="152"/>
      <c r="X58" s="38"/>
      <c r="Y58" s="38"/>
    </row>
    <row r="59" spans="1:27" s="279" customFormat="1" ht="14.45" customHeight="1">
      <c r="A59" s="39" t="s">
        <v>369</v>
      </c>
      <c r="B59" s="306" t="s">
        <v>620</v>
      </c>
      <c r="C59" s="40" t="s">
        <v>268</v>
      </c>
      <c r="D59" s="40" t="s">
        <v>394</v>
      </c>
      <c r="E59" s="40" t="s">
        <v>394</v>
      </c>
      <c r="F59" s="40" t="s">
        <v>50</v>
      </c>
      <c r="G59" s="40" t="s">
        <v>24</v>
      </c>
      <c r="H59" s="41" t="s">
        <v>24</v>
      </c>
      <c r="I59" s="41" t="s">
        <v>24</v>
      </c>
      <c r="J59" s="41" t="s">
        <v>25</v>
      </c>
      <c r="K59" s="42" t="s">
        <v>330</v>
      </c>
      <c r="L59" s="42" t="s">
        <v>51</v>
      </c>
      <c r="M59" s="42" t="s">
        <v>326</v>
      </c>
      <c r="N59" s="42" t="s">
        <v>28</v>
      </c>
      <c r="O59" s="152"/>
      <c r="X59" s="38"/>
      <c r="Y59" s="38"/>
    </row>
    <row r="60" spans="1:27" s="279" customFormat="1" ht="15" customHeight="1">
      <c r="A60" s="391" t="s">
        <v>402</v>
      </c>
      <c r="B60" s="392"/>
      <c r="C60" s="392"/>
      <c r="D60" s="392"/>
      <c r="E60" s="392"/>
      <c r="F60" s="392"/>
      <c r="G60" s="392"/>
      <c r="H60" s="392"/>
      <c r="I60" s="392"/>
      <c r="J60" s="392"/>
      <c r="K60" s="392"/>
      <c r="L60" s="392"/>
      <c r="M60" s="392"/>
      <c r="N60" s="392"/>
      <c r="O60" s="393"/>
      <c r="X60" s="25"/>
      <c r="Y60" s="38"/>
    </row>
    <row r="61" spans="1:27" s="279" customFormat="1" ht="14.45" customHeight="1">
      <c r="A61" s="410" t="s">
        <v>467</v>
      </c>
      <c r="B61" s="411" t="s">
        <v>620</v>
      </c>
      <c r="C61" s="412"/>
      <c r="D61" s="412" t="s">
        <v>394</v>
      </c>
      <c r="E61" s="412" t="s">
        <v>394</v>
      </c>
      <c r="F61" s="412"/>
      <c r="G61" s="412"/>
      <c r="H61" s="412"/>
      <c r="I61" s="412"/>
      <c r="J61" s="412" t="s">
        <v>25</v>
      </c>
      <c r="K61" s="412" t="s">
        <v>435</v>
      </c>
      <c r="L61" s="412" t="s">
        <v>51</v>
      </c>
      <c r="M61" s="412" t="s">
        <v>27</v>
      </c>
      <c r="N61" s="412"/>
      <c r="O61" s="410" t="s">
        <v>466</v>
      </c>
      <c r="Q61" s="447"/>
      <c r="X61" s="38"/>
      <c r="Y61" s="38"/>
    </row>
    <row r="63" spans="1:27" s="447" customFormat="1" ht="14.45" customHeight="1">
      <c r="A63" s="413" t="s">
        <v>893</v>
      </c>
      <c r="B63" s="395"/>
      <c r="C63" s="395"/>
      <c r="D63" s="395"/>
      <c r="E63" s="395"/>
      <c r="F63" s="395"/>
      <c r="G63" s="395"/>
      <c r="H63" s="395"/>
      <c r="I63" s="395"/>
      <c r="J63" s="395"/>
      <c r="K63" s="395"/>
      <c r="L63" s="395"/>
      <c r="M63" s="395"/>
      <c r="N63" s="395"/>
      <c r="O63" s="396"/>
      <c r="X63" s="25"/>
      <c r="Y63" s="38"/>
    </row>
    <row r="64" spans="1:27" s="447" customFormat="1" ht="15" customHeight="1">
      <c r="A64" s="391" t="s">
        <v>894</v>
      </c>
      <c r="B64" s="392"/>
      <c r="C64" s="392"/>
      <c r="D64" s="392"/>
      <c r="E64" s="392"/>
      <c r="F64" s="392"/>
      <c r="G64" s="392"/>
      <c r="H64" s="392"/>
      <c r="I64" s="392"/>
      <c r="J64" s="392"/>
      <c r="K64" s="392"/>
      <c r="L64" s="392"/>
      <c r="M64" s="392"/>
      <c r="N64" s="392"/>
      <c r="O64" s="393"/>
      <c r="X64" s="25"/>
      <c r="Y64" s="38"/>
    </row>
    <row r="65" spans="1:25" s="447" customFormat="1" ht="15" customHeight="1">
      <c r="A65" s="39" t="s">
        <v>927</v>
      </c>
      <c r="B65" s="151" t="s">
        <v>620</v>
      </c>
      <c r="C65" s="40" t="s">
        <v>21</v>
      </c>
      <c r="D65" s="40" t="s">
        <v>364</v>
      </c>
      <c r="E65" s="40" t="s">
        <v>364</v>
      </c>
      <c r="F65" s="40" t="s">
        <v>50</v>
      </c>
      <c r="G65" s="40" t="s">
        <v>23</v>
      </c>
      <c r="H65" s="41" t="s">
        <v>23</v>
      </c>
      <c r="I65" s="41" t="s">
        <v>24</v>
      </c>
      <c r="J65" s="41" t="s">
        <v>25</v>
      </c>
      <c r="K65" s="42" t="s">
        <v>26</v>
      </c>
      <c r="L65" s="42" t="s">
        <v>51</v>
      </c>
      <c r="M65" s="42" t="s">
        <v>326</v>
      </c>
      <c r="N65" s="42" t="s">
        <v>465</v>
      </c>
      <c r="O65" s="152" t="s">
        <v>895</v>
      </c>
    </row>
    <row r="66" spans="1:25" s="447" customFormat="1" ht="14.45" customHeight="1">
      <c r="A66" s="515" t="s">
        <v>928</v>
      </c>
      <c r="B66" s="46" t="s">
        <v>620</v>
      </c>
      <c r="C66" s="40" t="s">
        <v>21</v>
      </c>
      <c r="D66" s="40" t="s">
        <v>364</v>
      </c>
      <c r="E66" s="40" t="s">
        <v>364</v>
      </c>
      <c r="F66" s="40" t="s">
        <v>50</v>
      </c>
      <c r="G66" s="40" t="s">
        <v>23</v>
      </c>
      <c r="H66" s="41" t="s">
        <v>24</v>
      </c>
      <c r="I66" s="41" t="s">
        <v>24</v>
      </c>
      <c r="J66" s="41" t="s">
        <v>25</v>
      </c>
      <c r="K66" s="42" t="s">
        <v>26</v>
      </c>
      <c r="L66" s="42" t="s">
        <v>51</v>
      </c>
      <c r="M66" s="42" t="s">
        <v>27</v>
      </c>
      <c r="N66" s="42" t="s">
        <v>465</v>
      </c>
      <c r="O66" s="43"/>
    </row>
    <row r="67" spans="1:25" s="447" customFormat="1" ht="14.45" customHeight="1">
      <c r="A67" s="515" t="s">
        <v>929</v>
      </c>
      <c r="B67" s="46" t="s">
        <v>620</v>
      </c>
      <c r="C67" s="40" t="s">
        <v>21</v>
      </c>
      <c r="D67" s="40" t="s">
        <v>364</v>
      </c>
      <c r="E67" s="40" t="s">
        <v>364</v>
      </c>
      <c r="F67" s="40" t="s">
        <v>50</v>
      </c>
      <c r="G67" s="40" t="s">
        <v>23</v>
      </c>
      <c r="H67" s="41" t="s">
        <v>24</v>
      </c>
      <c r="I67" s="41" t="s">
        <v>24</v>
      </c>
      <c r="J67" s="41" t="s">
        <v>25</v>
      </c>
      <c r="K67" s="42" t="s">
        <v>26</v>
      </c>
      <c r="L67" s="42" t="s">
        <v>51</v>
      </c>
      <c r="M67" s="42" t="s">
        <v>27</v>
      </c>
      <c r="N67" s="42" t="s">
        <v>465</v>
      </c>
      <c r="O67" s="43"/>
    </row>
    <row r="68" spans="1:25" s="279" customFormat="1" ht="14.45" customHeight="1">
      <c r="A68" s="515" t="s">
        <v>930</v>
      </c>
      <c r="B68" s="46" t="s">
        <v>620</v>
      </c>
      <c r="C68" s="40" t="s">
        <v>21</v>
      </c>
      <c r="D68" s="40" t="s">
        <v>364</v>
      </c>
      <c r="E68" s="40" t="s">
        <v>364</v>
      </c>
      <c r="F68" s="40" t="s">
        <v>50</v>
      </c>
      <c r="G68" s="40" t="s">
        <v>23</v>
      </c>
      <c r="H68" s="41" t="s">
        <v>24</v>
      </c>
      <c r="I68" s="41" t="s">
        <v>24</v>
      </c>
      <c r="J68" s="41" t="s">
        <v>25</v>
      </c>
      <c r="K68" s="42" t="s">
        <v>26</v>
      </c>
      <c r="L68" s="42" t="s">
        <v>51</v>
      </c>
      <c r="M68" s="42" t="s">
        <v>27</v>
      </c>
      <c r="N68" s="42" t="s">
        <v>465</v>
      </c>
      <c r="O68" s="43"/>
    </row>
    <row r="69" spans="1:25" s="447" customFormat="1" ht="14.45" customHeight="1">
      <c r="A69" s="515" t="s">
        <v>931</v>
      </c>
      <c r="B69" s="46" t="s">
        <v>620</v>
      </c>
      <c r="C69" s="516" t="s">
        <v>21</v>
      </c>
      <c r="D69" s="516" t="s">
        <v>364</v>
      </c>
      <c r="E69" s="516" t="s">
        <v>364</v>
      </c>
      <c r="F69" s="516" t="s">
        <v>50</v>
      </c>
      <c r="G69" s="516" t="s">
        <v>23</v>
      </c>
      <c r="H69" s="517" t="s">
        <v>24</v>
      </c>
      <c r="I69" s="517" t="s">
        <v>24</v>
      </c>
      <c r="J69" s="517" t="s">
        <v>25</v>
      </c>
      <c r="K69" s="518" t="s">
        <v>26</v>
      </c>
      <c r="L69" s="518" t="s">
        <v>51</v>
      </c>
      <c r="M69" s="518" t="s">
        <v>27</v>
      </c>
      <c r="N69" s="518" t="s">
        <v>465</v>
      </c>
      <c r="O69" s="43"/>
    </row>
    <row r="70" spans="1:25" s="279" customFormat="1" ht="14.45" customHeight="1">
      <c r="A70" s="39" t="s">
        <v>225</v>
      </c>
      <c r="B70" s="46" t="s">
        <v>620</v>
      </c>
      <c r="C70" s="40" t="s">
        <v>21</v>
      </c>
      <c r="D70" s="40" t="s">
        <v>364</v>
      </c>
      <c r="E70" s="40" t="s">
        <v>364</v>
      </c>
      <c r="F70" s="40" t="s">
        <v>50</v>
      </c>
      <c r="G70" s="40" t="s">
        <v>23</v>
      </c>
      <c r="H70" s="41" t="s">
        <v>24</v>
      </c>
      <c r="I70" s="41" t="s">
        <v>24</v>
      </c>
      <c r="J70" s="41" t="s">
        <v>25</v>
      </c>
      <c r="K70" s="42" t="s">
        <v>26</v>
      </c>
      <c r="L70" s="42" t="s">
        <v>51</v>
      </c>
      <c r="M70" s="42" t="s">
        <v>27</v>
      </c>
      <c r="N70" s="42" t="s">
        <v>465</v>
      </c>
      <c r="O70" s="43"/>
    </row>
    <row r="71" spans="1:25" s="447" customFormat="1" ht="14.45" customHeight="1">
      <c r="A71" s="39" t="s">
        <v>369</v>
      </c>
      <c r="B71" s="306" t="s">
        <v>620</v>
      </c>
      <c r="C71" s="516" t="s">
        <v>21</v>
      </c>
      <c r="D71" s="516" t="s">
        <v>364</v>
      </c>
      <c r="E71" s="516" t="s">
        <v>364</v>
      </c>
      <c r="F71" s="516" t="s">
        <v>50</v>
      </c>
      <c r="G71" s="516" t="s">
        <v>23</v>
      </c>
      <c r="H71" s="517" t="s">
        <v>24</v>
      </c>
      <c r="I71" s="517" t="s">
        <v>24</v>
      </c>
      <c r="J71" s="517" t="s">
        <v>25</v>
      </c>
      <c r="K71" s="518" t="s">
        <v>26</v>
      </c>
      <c r="L71" s="518" t="s">
        <v>51</v>
      </c>
      <c r="M71" s="518" t="s">
        <v>27</v>
      </c>
      <c r="N71" s="518" t="s">
        <v>465</v>
      </c>
      <c r="O71" s="152"/>
      <c r="X71" s="38"/>
      <c r="Y71" s="38"/>
    </row>
    <row r="72" spans="1:25" s="447" customFormat="1" ht="14.45" customHeight="1">
      <c r="A72" s="410" t="s">
        <v>467</v>
      </c>
      <c r="B72" s="411"/>
      <c r="C72" s="412"/>
      <c r="D72" s="412" t="s">
        <v>364</v>
      </c>
      <c r="E72" s="412" t="s">
        <v>364</v>
      </c>
      <c r="F72" s="412"/>
      <c r="G72" s="412"/>
      <c r="H72" s="412"/>
      <c r="I72" s="412"/>
      <c r="J72" s="412" t="s">
        <v>25</v>
      </c>
      <c r="K72" s="412" t="s">
        <v>435</v>
      </c>
      <c r="L72" s="412" t="s">
        <v>51</v>
      </c>
      <c r="M72" s="412" t="s">
        <v>27</v>
      </c>
      <c r="N72" s="412"/>
      <c r="O72" s="410" t="s">
        <v>466</v>
      </c>
      <c r="X72" s="38"/>
      <c r="Y72" s="38"/>
    </row>
    <row r="73" spans="1:25" s="279" customFormat="1" ht="14.45" customHeight="1">
      <c r="A73" s="8"/>
      <c r="B73" s="8"/>
      <c r="C73" s="9"/>
      <c r="D73" s="9"/>
      <c r="E73" s="9"/>
      <c r="F73" s="9"/>
      <c r="G73" s="9"/>
      <c r="H73" s="9"/>
      <c r="I73" s="9"/>
      <c r="J73" s="9"/>
      <c r="K73" s="9"/>
      <c r="L73" s="9"/>
      <c r="M73" s="9"/>
      <c r="N73" s="9"/>
      <c r="O73" s="8"/>
    </row>
    <row r="74" spans="1:25" s="279" customFormat="1" ht="14.45" customHeight="1">
      <c r="A74" s="413" t="s">
        <v>478</v>
      </c>
      <c r="B74" s="395"/>
      <c r="C74" s="395"/>
      <c r="D74" s="395"/>
      <c r="E74" s="395"/>
      <c r="F74" s="395"/>
      <c r="G74" s="395"/>
      <c r="H74" s="395"/>
      <c r="I74" s="395"/>
      <c r="J74" s="395"/>
      <c r="K74" s="395"/>
      <c r="L74" s="395"/>
      <c r="M74" s="395"/>
      <c r="N74" s="395"/>
      <c r="O74" s="396"/>
      <c r="X74" s="25"/>
      <c r="Y74" s="38"/>
    </row>
    <row r="75" spans="1:25" s="279" customFormat="1" ht="14.45" customHeight="1">
      <c r="A75" s="397" t="s">
        <v>372</v>
      </c>
      <c r="B75" s="522" t="s">
        <v>620</v>
      </c>
      <c r="C75" s="389" t="s">
        <v>30</v>
      </c>
      <c r="D75" s="389" t="s">
        <v>364</v>
      </c>
      <c r="E75" s="389" t="s">
        <v>364</v>
      </c>
      <c r="F75" s="389" t="s">
        <v>50</v>
      </c>
      <c r="G75" s="389" t="s">
        <v>23</v>
      </c>
      <c r="H75" s="390" t="s">
        <v>23</v>
      </c>
      <c r="I75" s="390" t="s">
        <v>24</v>
      </c>
      <c r="J75" s="390" t="s">
        <v>25</v>
      </c>
      <c r="K75" s="399" t="s">
        <v>26</v>
      </c>
      <c r="L75" s="399" t="s">
        <v>51</v>
      </c>
      <c r="M75" s="399" t="s">
        <v>326</v>
      </c>
      <c r="N75" s="399" t="s">
        <v>28</v>
      </c>
      <c r="O75" s="409"/>
      <c r="X75" s="25"/>
      <c r="Y75" s="38"/>
    </row>
    <row r="76" spans="1:25" s="512" customFormat="1" ht="15" customHeight="1">
      <c r="A76" s="515" t="s">
        <v>331</v>
      </c>
      <c r="B76" s="522" t="s">
        <v>620</v>
      </c>
      <c r="C76" s="516" t="s">
        <v>268</v>
      </c>
      <c r="D76" s="516" t="s">
        <v>364</v>
      </c>
      <c r="E76" s="516" t="s">
        <v>364</v>
      </c>
      <c r="F76" s="516" t="s">
        <v>50</v>
      </c>
      <c r="G76" s="516" t="s">
        <v>23</v>
      </c>
      <c r="H76" s="517" t="s">
        <v>23</v>
      </c>
      <c r="I76" s="517" t="s">
        <v>24</v>
      </c>
      <c r="J76" s="517" t="s">
        <v>25</v>
      </c>
      <c r="K76" s="518" t="s">
        <v>26</v>
      </c>
      <c r="L76" s="518" t="s">
        <v>51</v>
      </c>
      <c r="M76" s="518" t="s">
        <v>326</v>
      </c>
      <c r="N76" s="518" t="s">
        <v>465</v>
      </c>
      <c r="O76" s="523" t="s">
        <v>368</v>
      </c>
    </row>
    <row r="77" spans="1:25" s="512" customFormat="1" ht="15.6" customHeight="1">
      <c r="A77" s="525" t="s">
        <v>482</v>
      </c>
      <c r="B77" s="526" t="s">
        <v>620</v>
      </c>
      <c r="C77" s="516" t="s">
        <v>268</v>
      </c>
      <c r="D77" s="516" t="s">
        <v>364</v>
      </c>
      <c r="E77" s="516" t="s">
        <v>364</v>
      </c>
      <c r="F77" s="516" t="s">
        <v>50</v>
      </c>
      <c r="G77" s="516" t="s">
        <v>23</v>
      </c>
      <c r="H77" s="517" t="s">
        <v>23</v>
      </c>
      <c r="I77" s="517" t="s">
        <v>24</v>
      </c>
      <c r="J77" s="517" t="s">
        <v>25</v>
      </c>
      <c r="K77" s="518" t="s">
        <v>26</v>
      </c>
      <c r="L77" s="518" t="s">
        <v>51</v>
      </c>
      <c r="M77" s="518" t="s">
        <v>326</v>
      </c>
      <c r="N77" s="518" t="s">
        <v>465</v>
      </c>
      <c r="O77" s="523"/>
      <c r="X77" s="514"/>
      <c r="Y77" s="514"/>
    </row>
    <row r="78" spans="1:25" s="512" customFormat="1" ht="14.45" customHeight="1">
      <c r="A78" s="515" t="s">
        <v>369</v>
      </c>
      <c r="B78" s="522" t="s">
        <v>620</v>
      </c>
      <c r="C78" s="516" t="s">
        <v>268</v>
      </c>
      <c r="D78" s="516" t="s">
        <v>364</v>
      </c>
      <c r="E78" s="516" t="s">
        <v>364</v>
      </c>
      <c r="F78" s="516" t="s">
        <v>50</v>
      </c>
      <c r="G78" s="516" t="s">
        <v>23</v>
      </c>
      <c r="H78" s="517" t="s">
        <v>23</v>
      </c>
      <c r="I78" s="517" t="s">
        <v>24</v>
      </c>
      <c r="J78" s="517" t="s">
        <v>25</v>
      </c>
      <c r="K78" s="518" t="s">
        <v>26</v>
      </c>
      <c r="L78" s="518" t="s">
        <v>51</v>
      </c>
      <c r="M78" s="518" t="s">
        <v>326</v>
      </c>
      <c r="N78" s="518" t="s">
        <v>465</v>
      </c>
      <c r="O78" s="523"/>
      <c r="X78" s="514"/>
      <c r="Y78" s="514"/>
    </row>
    <row r="79" spans="1:25" s="279" customFormat="1" ht="14.45" customHeight="1">
      <c r="A79" s="410" t="s">
        <v>467</v>
      </c>
      <c r="B79" s="411" t="s">
        <v>620</v>
      </c>
      <c r="C79" s="412"/>
      <c r="D79" s="412" t="s">
        <v>364</v>
      </c>
      <c r="E79" s="412" t="s">
        <v>364</v>
      </c>
      <c r="F79" s="412"/>
      <c r="G79" s="412"/>
      <c r="H79" s="412"/>
      <c r="I79" s="412"/>
      <c r="J79" s="412" t="s">
        <v>25</v>
      </c>
      <c r="K79" s="412" t="s">
        <v>435</v>
      </c>
      <c r="L79" s="412" t="s">
        <v>51</v>
      </c>
      <c r="M79" s="412" t="s">
        <v>27</v>
      </c>
      <c r="N79" s="412"/>
      <c r="O79" s="410" t="s">
        <v>466</v>
      </c>
      <c r="X79" s="38"/>
      <c r="Y79" s="38"/>
    </row>
    <row r="80" spans="1:25" s="279" customFormat="1" ht="14.45" customHeight="1">
      <c r="A80" s="8"/>
      <c r="B80" s="8"/>
      <c r="C80" s="9"/>
      <c r="D80" s="9"/>
      <c r="E80" s="9"/>
      <c r="F80" s="9"/>
      <c r="G80" s="9"/>
      <c r="H80" s="9"/>
      <c r="I80" s="9"/>
      <c r="J80" s="9"/>
      <c r="K80" s="9"/>
      <c r="L80" s="9"/>
      <c r="M80" s="9"/>
      <c r="N80" s="9"/>
      <c r="O80" s="8"/>
    </row>
    <row r="81" spans="1:27" s="279" customFormat="1" ht="14.45" customHeight="1">
      <c r="A81" s="413" t="s">
        <v>527</v>
      </c>
      <c r="B81" s="395"/>
      <c r="C81" s="395"/>
      <c r="D81" s="395"/>
      <c r="E81" s="395"/>
      <c r="F81" s="395"/>
      <c r="G81" s="395"/>
      <c r="H81" s="395"/>
      <c r="I81" s="395"/>
      <c r="J81" s="395"/>
      <c r="K81" s="395"/>
      <c r="L81" s="395"/>
      <c r="M81" s="395"/>
      <c r="N81" s="395"/>
      <c r="O81" s="396"/>
      <c r="X81" s="25"/>
      <c r="Y81" s="38"/>
    </row>
    <row r="82" spans="1:27" s="279" customFormat="1" ht="14.45" customHeight="1">
      <c r="A82" s="397" t="s">
        <v>981</v>
      </c>
      <c r="B82" s="408"/>
      <c r="C82" s="389" t="s">
        <v>30</v>
      </c>
      <c r="D82" s="389" t="s">
        <v>364</v>
      </c>
      <c r="E82" s="389" t="s">
        <v>364</v>
      </c>
      <c r="F82" s="389" t="s">
        <v>50</v>
      </c>
      <c r="G82" s="389" t="s">
        <v>23</v>
      </c>
      <c r="H82" s="390" t="s">
        <v>23</v>
      </c>
      <c r="I82" s="390" t="s">
        <v>24</v>
      </c>
      <c r="J82" s="390" t="s">
        <v>25</v>
      </c>
      <c r="K82" s="399" t="s">
        <v>26</v>
      </c>
      <c r="L82" s="399" t="s">
        <v>51</v>
      </c>
      <c r="M82" s="399" t="s">
        <v>326</v>
      </c>
      <c r="N82" s="42" t="s">
        <v>465</v>
      </c>
      <c r="O82" s="409"/>
      <c r="X82" s="25"/>
      <c r="Y82" s="38"/>
    </row>
    <row r="83" spans="1:27" s="279" customFormat="1" ht="14.45" customHeight="1">
      <c r="A83" s="39" t="s">
        <v>369</v>
      </c>
      <c r="B83" s="151"/>
      <c r="C83" s="40" t="s">
        <v>268</v>
      </c>
      <c r="D83" s="40" t="s">
        <v>364</v>
      </c>
      <c r="E83" s="40" t="s">
        <v>364</v>
      </c>
      <c r="F83" s="40" t="s">
        <v>50</v>
      </c>
      <c r="G83" s="40" t="s">
        <v>23</v>
      </c>
      <c r="H83" s="41" t="s">
        <v>23</v>
      </c>
      <c r="I83" s="41" t="s">
        <v>24</v>
      </c>
      <c r="J83" s="41" t="s">
        <v>25</v>
      </c>
      <c r="K83" s="42" t="s">
        <v>26</v>
      </c>
      <c r="L83" s="42" t="s">
        <v>51</v>
      </c>
      <c r="M83" s="42" t="s">
        <v>326</v>
      </c>
      <c r="N83" s="42" t="s">
        <v>465</v>
      </c>
      <c r="O83" s="152"/>
      <c r="X83" s="38"/>
      <c r="Y83" s="38"/>
    </row>
    <row r="84" spans="1:27" s="279" customFormat="1" ht="14.45" customHeight="1">
      <c r="A84" s="410" t="s">
        <v>467</v>
      </c>
      <c r="B84" s="411"/>
      <c r="C84" s="412"/>
      <c r="D84" s="412" t="s">
        <v>364</v>
      </c>
      <c r="E84" s="412" t="s">
        <v>364</v>
      </c>
      <c r="F84" s="412"/>
      <c r="G84" s="412"/>
      <c r="H84" s="412"/>
      <c r="I84" s="412"/>
      <c r="J84" s="412" t="s">
        <v>25</v>
      </c>
      <c r="K84" s="412" t="s">
        <v>435</v>
      </c>
      <c r="L84" s="412" t="s">
        <v>51</v>
      </c>
      <c r="M84" s="412" t="s">
        <v>27</v>
      </c>
      <c r="N84" s="412"/>
      <c r="O84" s="410" t="s">
        <v>926</v>
      </c>
      <c r="X84" s="38"/>
      <c r="Y84" s="38"/>
    </row>
    <row r="85" spans="1:27" ht="15" customHeight="1">
      <c r="A85" s="279"/>
      <c r="B85" s="279"/>
      <c r="C85" s="279"/>
      <c r="D85" s="279"/>
      <c r="E85" s="279"/>
      <c r="F85" s="279"/>
      <c r="G85" s="279"/>
      <c r="H85" s="279"/>
      <c r="I85" s="279"/>
      <c r="J85" s="279"/>
      <c r="K85" s="279"/>
      <c r="L85" s="279"/>
      <c r="M85" s="279"/>
      <c r="N85" s="279"/>
      <c r="O85" s="279"/>
      <c r="P85" s="279"/>
      <c r="X85" s="38"/>
      <c r="Y85" s="38"/>
      <c r="Z85" s="25"/>
      <c r="AA85" s="38"/>
    </row>
    <row r="86" spans="1:27" ht="15.75">
      <c r="A86" s="394" t="s">
        <v>867</v>
      </c>
      <c r="B86" s="395"/>
      <c r="C86" s="395"/>
      <c r="D86" s="395"/>
      <c r="E86" s="395"/>
      <c r="F86" s="395"/>
      <c r="G86" s="395"/>
      <c r="H86" s="395"/>
      <c r="I86" s="395"/>
      <c r="J86" s="395"/>
      <c r="K86" s="395"/>
      <c r="L86" s="395"/>
      <c r="M86" s="395"/>
      <c r="N86" s="395"/>
      <c r="O86" s="396"/>
      <c r="P86" s="279" t="s">
        <v>624</v>
      </c>
    </row>
    <row r="87" spans="1:27" s="272" customFormat="1" ht="14.45" customHeight="1">
      <c r="A87" s="397" t="s">
        <v>372</v>
      </c>
      <c r="B87" s="398"/>
      <c r="C87" s="389" t="s">
        <v>30</v>
      </c>
      <c r="D87" s="389" t="s">
        <v>329</v>
      </c>
      <c r="E87" s="389" t="s">
        <v>329</v>
      </c>
      <c r="F87" s="389" t="s">
        <v>50</v>
      </c>
      <c r="G87" s="40" t="s">
        <v>24</v>
      </c>
      <c r="H87" s="390" t="s">
        <v>24</v>
      </c>
      <c r="I87" s="390" t="s">
        <v>24</v>
      </c>
      <c r="J87" s="390" t="s">
        <v>25</v>
      </c>
      <c r="K87" s="399" t="s">
        <v>330</v>
      </c>
      <c r="L87" s="399" t="s">
        <v>51</v>
      </c>
      <c r="M87" s="399" t="s">
        <v>51</v>
      </c>
      <c r="N87" s="42" t="s">
        <v>465</v>
      </c>
      <c r="O87" s="409"/>
      <c r="P87" s="279"/>
      <c r="X87" s="25"/>
      <c r="Y87" s="38"/>
    </row>
    <row r="88" spans="1:27" s="447" customFormat="1" ht="14.45" customHeight="1">
      <c r="A88" s="410" t="s">
        <v>467</v>
      </c>
      <c r="B88" s="411"/>
      <c r="C88" s="412"/>
      <c r="D88" s="412" t="s">
        <v>329</v>
      </c>
      <c r="E88" s="412" t="s">
        <v>364</v>
      </c>
      <c r="F88" s="412"/>
      <c r="G88" s="412"/>
      <c r="H88" s="412"/>
      <c r="I88" s="412"/>
      <c r="J88" s="412" t="s">
        <v>787</v>
      </c>
      <c r="K88" s="412" t="s">
        <v>435</v>
      </c>
      <c r="L88" s="412" t="s">
        <v>51</v>
      </c>
      <c r="M88" s="412" t="s">
        <v>27</v>
      </c>
      <c r="N88" s="412"/>
      <c r="O88" s="410" t="s">
        <v>466</v>
      </c>
      <c r="X88" s="38"/>
      <c r="Y88" s="38"/>
    </row>
    <row r="89" spans="1:27" s="447" customFormat="1" ht="14.45" customHeight="1">
      <c r="A89" s="397" t="s">
        <v>372</v>
      </c>
      <c r="B89" s="408"/>
      <c r="C89" s="389" t="s">
        <v>30</v>
      </c>
      <c r="D89" s="389" t="s">
        <v>329</v>
      </c>
      <c r="E89" s="389" t="s">
        <v>329</v>
      </c>
      <c r="F89" s="389" t="s">
        <v>50</v>
      </c>
      <c r="G89" s="40">
        <v>850</v>
      </c>
      <c r="H89" s="390" t="s">
        <v>24</v>
      </c>
      <c r="I89" s="390" t="s">
        <v>24</v>
      </c>
      <c r="J89" s="390" t="s">
        <v>25</v>
      </c>
      <c r="K89" s="399" t="s">
        <v>330</v>
      </c>
      <c r="L89" s="399" t="s">
        <v>51</v>
      </c>
      <c r="M89" s="399" t="s">
        <v>51</v>
      </c>
      <c r="N89" s="42" t="s">
        <v>465</v>
      </c>
      <c r="O89" s="409" t="s">
        <v>381</v>
      </c>
      <c r="X89" s="25"/>
      <c r="Y89" s="38"/>
    </row>
    <row r="90" spans="1:27" ht="15" customHeight="1">
      <c r="A90" s="39" t="s">
        <v>331</v>
      </c>
      <c r="B90" s="46"/>
      <c r="C90" s="40" t="s">
        <v>268</v>
      </c>
      <c r="D90" s="389" t="s">
        <v>329</v>
      </c>
      <c r="E90" s="40" t="s">
        <v>329</v>
      </c>
      <c r="F90" s="40" t="s">
        <v>50</v>
      </c>
      <c r="G90" s="40">
        <v>850</v>
      </c>
      <c r="H90" s="41" t="s">
        <v>24</v>
      </c>
      <c r="I90" s="41" t="s">
        <v>24</v>
      </c>
      <c r="J90" s="41" t="s">
        <v>25</v>
      </c>
      <c r="K90" s="42" t="s">
        <v>330</v>
      </c>
      <c r="L90" s="42" t="s">
        <v>51</v>
      </c>
      <c r="M90" s="42" t="s">
        <v>51</v>
      </c>
      <c r="N90" s="42" t="s">
        <v>465</v>
      </c>
      <c r="O90" s="152" t="s">
        <v>370</v>
      </c>
      <c r="P90" s="279"/>
    </row>
    <row r="91" spans="1:27">
      <c r="A91" s="39" t="s">
        <v>529</v>
      </c>
      <c r="B91" s="46"/>
      <c r="C91" s="40" t="s">
        <v>268</v>
      </c>
      <c r="D91" s="389" t="s">
        <v>329</v>
      </c>
      <c r="E91" s="40" t="s">
        <v>329</v>
      </c>
      <c r="F91" s="40" t="s">
        <v>50</v>
      </c>
      <c r="G91" s="40">
        <v>850</v>
      </c>
      <c r="H91" s="41" t="s">
        <v>24</v>
      </c>
      <c r="I91" s="41" t="s">
        <v>24</v>
      </c>
      <c r="J91" s="41" t="s">
        <v>25</v>
      </c>
      <c r="K91" s="42" t="s">
        <v>330</v>
      </c>
      <c r="L91" s="42" t="s">
        <v>51</v>
      </c>
      <c r="M91" s="42" t="s">
        <v>51</v>
      </c>
      <c r="N91" s="42" t="s">
        <v>465</v>
      </c>
      <c r="O91" s="152"/>
      <c r="P91" s="279"/>
      <c r="X91" s="25"/>
      <c r="Y91" s="38"/>
    </row>
    <row r="92" spans="1:27" s="279" customFormat="1">
      <c r="A92" s="39" t="s">
        <v>385</v>
      </c>
      <c r="B92" s="46"/>
      <c r="C92" s="40" t="s">
        <v>268</v>
      </c>
      <c r="D92" s="389" t="s">
        <v>329</v>
      </c>
      <c r="E92" s="40" t="s">
        <v>329</v>
      </c>
      <c r="F92" s="40" t="s">
        <v>50</v>
      </c>
      <c r="G92" s="40">
        <v>850</v>
      </c>
      <c r="H92" s="41" t="s">
        <v>24</v>
      </c>
      <c r="I92" s="41" t="s">
        <v>24</v>
      </c>
      <c r="J92" s="41" t="s">
        <v>25</v>
      </c>
      <c r="K92" s="42" t="s">
        <v>330</v>
      </c>
      <c r="L92" s="42" t="s">
        <v>51</v>
      </c>
      <c r="M92" s="42" t="s">
        <v>51</v>
      </c>
      <c r="N92" s="42" t="s">
        <v>465</v>
      </c>
      <c r="O92" s="152"/>
      <c r="X92" s="25"/>
      <c r="Y92" s="38"/>
    </row>
    <row r="93" spans="1:27" s="279" customFormat="1">
      <c r="A93" s="39" t="s">
        <v>286</v>
      </c>
      <c r="B93" s="46"/>
      <c r="C93" s="40" t="s">
        <v>268</v>
      </c>
      <c r="D93" s="389" t="s">
        <v>329</v>
      </c>
      <c r="E93" s="40" t="s">
        <v>329</v>
      </c>
      <c r="F93" s="40" t="s">
        <v>50</v>
      </c>
      <c r="G93" s="40">
        <v>850</v>
      </c>
      <c r="H93" s="41" t="s">
        <v>24</v>
      </c>
      <c r="I93" s="41" t="s">
        <v>24</v>
      </c>
      <c r="J93" s="41" t="s">
        <v>25</v>
      </c>
      <c r="K93" s="42" t="s">
        <v>330</v>
      </c>
      <c r="L93" s="42" t="s">
        <v>51</v>
      </c>
      <c r="M93" s="42" t="s">
        <v>51</v>
      </c>
      <c r="N93" s="42" t="s">
        <v>465</v>
      </c>
      <c r="O93" s="152"/>
      <c r="X93" s="25"/>
      <c r="Y93" s="38"/>
    </row>
    <row r="94" spans="1:27" ht="15" customHeight="1">
      <c r="A94" s="39" t="s">
        <v>369</v>
      </c>
      <c r="B94" s="46"/>
      <c r="C94" s="40" t="s">
        <v>268</v>
      </c>
      <c r="D94" s="389" t="s">
        <v>329</v>
      </c>
      <c r="E94" s="40" t="s">
        <v>329</v>
      </c>
      <c r="F94" s="40" t="s">
        <v>50</v>
      </c>
      <c r="G94" s="40">
        <v>850</v>
      </c>
      <c r="H94" s="41" t="s">
        <v>24</v>
      </c>
      <c r="I94" s="41" t="s">
        <v>24</v>
      </c>
      <c r="J94" s="41" t="s">
        <v>25</v>
      </c>
      <c r="K94" s="42" t="s">
        <v>330</v>
      </c>
      <c r="L94" s="42" t="s">
        <v>51</v>
      </c>
      <c r="M94" s="42" t="s">
        <v>51</v>
      </c>
      <c r="N94" s="42" t="s">
        <v>465</v>
      </c>
      <c r="O94" s="152"/>
      <c r="P94" s="279"/>
    </row>
    <row r="95" spans="1:27" s="279" customFormat="1" ht="14.45" customHeight="1">
      <c r="A95" s="410" t="s">
        <v>467</v>
      </c>
      <c r="B95" s="411"/>
      <c r="C95" s="412"/>
      <c r="D95" s="412" t="s">
        <v>329</v>
      </c>
      <c r="E95" s="412" t="s">
        <v>329</v>
      </c>
      <c r="F95" s="412"/>
      <c r="G95" s="412"/>
      <c r="H95" s="412"/>
      <c r="I95" s="412"/>
      <c r="J95" s="412" t="s">
        <v>25</v>
      </c>
      <c r="K95" s="412" t="s">
        <v>435</v>
      </c>
      <c r="L95" s="412" t="s">
        <v>51</v>
      </c>
      <c r="M95" s="412" t="s">
        <v>27</v>
      </c>
      <c r="N95" s="412"/>
      <c r="O95" s="410" t="s">
        <v>466</v>
      </c>
      <c r="X95" s="38"/>
      <c r="Y95" s="38"/>
    </row>
  </sheetData>
  <pageMargins left="0.7" right="0.7" top="0.75" bottom="0.75" header="0.3" footer="0.3"/>
  <pageSetup scale="53" fitToHeight="0" orientation="landscape"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B87"/>
  <sheetViews>
    <sheetView workbookViewId="0">
      <selection activeCell="G4" sqref="G4"/>
    </sheetView>
  </sheetViews>
  <sheetFormatPr defaultColWidth="9.140625" defaultRowHeight="15"/>
  <cols>
    <col min="1" max="1" width="25.85546875" style="267" customWidth="1"/>
    <col min="2" max="2" width="45.85546875" style="267" bestFit="1" customWidth="1"/>
    <col min="3" max="3" width="13.42578125" style="267" customWidth="1"/>
    <col min="4" max="4" width="24.140625" style="267" customWidth="1"/>
    <col min="5" max="5" width="28.28515625" style="267" customWidth="1"/>
    <col min="6" max="6" width="15" style="267" customWidth="1"/>
    <col min="7" max="7" width="26" style="267" customWidth="1"/>
    <col min="8" max="8" width="10.5703125" style="279" customWidth="1"/>
    <col min="9" max="10" width="12.5703125" style="267" customWidth="1"/>
    <col min="11" max="11" width="11.5703125" style="267" bestFit="1" customWidth="1"/>
    <col min="12" max="12" width="2.42578125" style="1" customWidth="1"/>
    <col min="13" max="13" width="3.42578125" style="267" customWidth="1"/>
    <col min="14" max="14" width="13.5703125" style="267" customWidth="1"/>
    <col min="15" max="15" width="23.42578125" style="267" customWidth="1"/>
    <col min="16" max="16" width="17" style="267" customWidth="1"/>
    <col min="17" max="17" width="13.85546875" style="267" customWidth="1"/>
    <col min="18" max="18" width="42" style="267" customWidth="1"/>
    <col min="19" max="19" width="15.5703125" style="267" customWidth="1"/>
    <col min="20" max="20" width="21.140625" style="267" customWidth="1"/>
    <col min="21" max="21" width="9.140625" style="267"/>
    <col min="22" max="22" width="13.85546875" style="267" customWidth="1"/>
    <col min="23" max="23" width="9.140625" style="267"/>
    <col min="24" max="24" width="13.85546875" style="267" customWidth="1"/>
    <col min="25" max="25" width="11.140625" style="267" customWidth="1"/>
    <col min="26" max="26" width="13.5703125" style="267" customWidth="1"/>
    <col min="27" max="27" width="24.42578125" style="267" bestFit="1" customWidth="1"/>
    <col min="28" max="28" width="22.5703125" style="267" bestFit="1" customWidth="1"/>
    <col min="29" max="29" width="9.140625" style="267"/>
    <col min="30" max="30" width="24.42578125" style="267" customWidth="1"/>
    <col min="31" max="31" width="9.140625" style="267"/>
    <col min="32" max="32" width="25.85546875" style="267" bestFit="1" customWidth="1"/>
    <col min="33" max="33" width="9.140625" style="267"/>
    <col min="34" max="34" width="24.140625" style="267" bestFit="1" customWidth="1"/>
    <col min="35" max="35" width="21" style="267" customWidth="1"/>
    <col min="36" max="36" width="9.140625" style="267"/>
    <col min="37" max="37" width="20.42578125" style="267" customWidth="1"/>
    <col min="38" max="38" width="9.140625" style="267"/>
    <col min="39" max="39" width="26.42578125" style="267" bestFit="1" customWidth="1"/>
    <col min="40" max="40" width="14" style="267" bestFit="1" customWidth="1"/>
    <col min="41" max="43" width="9.140625" style="267"/>
    <col min="44" max="44" width="25.5703125" style="267" customWidth="1"/>
    <col min="45" max="45" width="27" style="267" bestFit="1" customWidth="1"/>
    <col min="46" max="46" width="14.140625" style="267" bestFit="1" customWidth="1"/>
    <col min="47" max="58" width="9.140625" style="267"/>
    <col min="59" max="59" width="12" style="267" customWidth="1"/>
    <col min="60" max="60" width="9.140625" style="267"/>
    <col min="61" max="61" width="15.85546875" style="267" customWidth="1"/>
    <col min="62" max="62" width="17.5703125" style="267" customWidth="1"/>
    <col min="63" max="63" width="13.42578125" style="267" customWidth="1"/>
    <col min="64" max="64" width="13.85546875" style="267" customWidth="1"/>
    <col min="65" max="65" width="12.42578125" style="267" customWidth="1"/>
    <col min="66" max="66" width="13.5703125" style="267" customWidth="1"/>
    <col min="67" max="69" width="9.140625" style="267"/>
    <col min="70" max="70" width="17.42578125" style="267" customWidth="1"/>
    <col min="71" max="16384" width="9.140625" style="267"/>
  </cols>
  <sheetData>
    <row r="1" spans="1:80">
      <c r="A1" s="38"/>
      <c r="B1" s="38"/>
      <c r="C1" s="38"/>
      <c r="D1" s="718" t="s">
        <v>337</v>
      </c>
      <c r="E1" s="719"/>
      <c r="F1" s="38"/>
      <c r="G1" s="38" t="s">
        <v>6</v>
      </c>
      <c r="H1" s="38"/>
      <c r="I1" s="38"/>
      <c r="J1" s="38"/>
      <c r="K1" s="231"/>
      <c r="L1" s="232"/>
      <c r="N1" s="267" t="s">
        <v>338</v>
      </c>
      <c r="P1" s="407" t="s">
        <v>463</v>
      </c>
    </row>
    <row r="2" spans="1:80" ht="14.45" customHeight="1">
      <c r="A2" s="229" t="str">
        <f>TestPlan!A2</f>
        <v>Vehicle</v>
      </c>
      <c r="B2" s="229" t="str">
        <f>TestPlan!B2</f>
        <v>2020 Tesla Model 3 AWD Long Range / All Wheel Drive</v>
      </c>
      <c r="C2" s="38"/>
      <c r="D2" s="233"/>
      <c r="E2" s="234"/>
      <c r="F2" s="38"/>
      <c r="G2" s="38"/>
      <c r="H2" s="38"/>
      <c r="I2" s="38"/>
      <c r="J2" s="38"/>
      <c r="K2" s="235"/>
      <c r="L2" s="232"/>
      <c r="N2" s="267" t="s">
        <v>339</v>
      </c>
      <c r="O2" s="279" t="s">
        <v>590</v>
      </c>
    </row>
    <row r="3" spans="1:80">
      <c r="A3" s="229" t="str">
        <f>TestPlan!A3</f>
        <v>Test purpose</v>
      </c>
      <c r="B3" s="229" t="str">
        <f>TestPlan!B3</f>
        <v>NHTSA 2020 Vehicle Technology Assessment</v>
      </c>
      <c r="C3" s="4"/>
      <c r="D3" s="236"/>
      <c r="E3" s="234"/>
      <c r="F3" s="38"/>
      <c r="G3" s="38" t="s">
        <v>340</v>
      </c>
      <c r="H3" s="38"/>
      <c r="I3" s="21"/>
      <c r="J3" s="21"/>
      <c r="K3" s="235"/>
      <c r="L3" s="232"/>
      <c r="N3" s="267" t="s">
        <v>248</v>
      </c>
      <c r="O3" s="267" t="s">
        <v>121</v>
      </c>
      <c r="P3" s="267" t="s">
        <v>122</v>
      </c>
      <c r="Q3" s="267" t="s">
        <v>102</v>
      </c>
      <c r="R3" s="267" t="s">
        <v>103</v>
      </c>
      <c r="S3" s="267" t="s">
        <v>104</v>
      </c>
      <c r="T3" s="267" t="s">
        <v>123</v>
      </c>
      <c r="U3" s="267" t="s">
        <v>124</v>
      </c>
      <c r="V3" s="267" t="s">
        <v>125</v>
      </c>
      <c r="W3" s="267" t="s">
        <v>105</v>
      </c>
      <c r="X3" s="267" t="s">
        <v>126</v>
      </c>
      <c r="Y3" s="267" t="s">
        <v>127</v>
      </c>
      <c r="Z3" s="267" t="s">
        <v>128</v>
      </c>
      <c r="AA3" s="267" t="s">
        <v>129</v>
      </c>
      <c r="AB3" s="267" t="s">
        <v>130</v>
      </c>
      <c r="AC3" s="267" t="s">
        <v>106</v>
      </c>
      <c r="AD3" s="267" t="s">
        <v>131</v>
      </c>
      <c r="AE3" s="267" t="s">
        <v>132</v>
      </c>
      <c r="AF3" s="267" t="s">
        <v>133</v>
      </c>
      <c r="AG3" s="267" t="s">
        <v>134</v>
      </c>
      <c r="AH3" s="267" t="s">
        <v>135</v>
      </c>
      <c r="AI3" s="267" t="s">
        <v>136</v>
      </c>
      <c r="AJ3" s="267" t="s">
        <v>137</v>
      </c>
      <c r="AK3" s="267" t="s">
        <v>138</v>
      </c>
      <c r="AL3" s="267" t="s">
        <v>139</v>
      </c>
      <c r="AM3" s="267" t="s">
        <v>140</v>
      </c>
      <c r="AN3" s="267" t="s">
        <v>141</v>
      </c>
      <c r="AO3" s="267" t="s">
        <v>142</v>
      </c>
      <c r="AP3" s="267" t="s">
        <v>143</v>
      </c>
      <c r="AQ3" s="267" t="s">
        <v>397</v>
      </c>
      <c r="AR3" s="267" t="s">
        <v>398</v>
      </c>
      <c r="AS3" s="267" t="s">
        <v>399</v>
      </c>
      <c r="AT3" s="267" t="s">
        <v>400</v>
      </c>
      <c r="AU3" s="267" t="s">
        <v>144</v>
      </c>
      <c r="AV3" s="267" t="s">
        <v>145</v>
      </c>
      <c r="AW3" s="267" t="s">
        <v>146</v>
      </c>
      <c r="AX3" s="267" t="s">
        <v>147</v>
      </c>
      <c r="AY3" s="267" t="s">
        <v>148</v>
      </c>
      <c r="AZ3" s="267" t="s">
        <v>149</v>
      </c>
      <c r="BA3" s="267" t="s">
        <v>150</v>
      </c>
      <c r="BB3" s="267" t="s">
        <v>151</v>
      </c>
      <c r="BC3" s="267" t="s">
        <v>152</v>
      </c>
      <c r="BD3" s="267" t="s">
        <v>153</v>
      </c>
      <c r="BE3" s="267" t="s">
        <v>154</v>
      </c>
      <c r="BF3" s="267" t="s">
        <v>155</v>
      </c>
      <c r="BG3" s="267" t="s">
        <v>156</v>
      </c>
      <c r="BH3" s="267" t="s">
        <v>157</v>
      </c>
      <c r="BI3" s="267" t="s">
        <v>158</v>
      </c>
      <c r="BJ3" s="267" t="s">
        <v>159</v>
      </c>
      <c r="BK3" s="267" t="s">
        <v>160</v>
      </c>
      <c r="BL3" s="267" t="s">
        <v>161</v>
      </c>
      <c r="BM3" s="267" t="s">
        <v>460</v>
      </c>
      <c r="BN3" s="267" t="s">
        <v>461</v>
      </c>
      <c r="BO3" s="267" t="s">
        <v>462</v>
      </c>
      <c r="BP3" s="267" t="s">
        <v>162</v>
      </c>
      <c r="BQ3" s="267" t="s">
        <v>163</v>
      </c>
      <c r="BR3" s="267" t="s">
        <v>164</v>
      </c>
      <c r="BS3" s="267" t="s">
        <v>165</v>
      </c>
      <c r="BT3" s="267" t="s">
        <v>166</v>
      </c>
      <c r="BU3" s="267" t="s">
        <v>167</v>
      </c>
      <c r="BV3" s="267" t="s">
        <v>168</v>
      </c>
      <c r="BW3" s="267" t="s">
        <v>169</v>
      </c>
      <c r="BX3" s="267" t="s">
        <v>170</v>
      </c>
      <c r="BY3" s="267" t="s">
        <v>171</v>
      </c>
      <c r="BZ3" s="267" t="s">
        <v>172</v>
      </c>
      <c r="CA3" s="267" t="s">
        <v>173</v>
      </c>
      <c r="CB3" s="267" t="s">
        <v>174</v>
      </c>
    </row>
    <row r="4" spans="1:80">
      <c r="A4" s="116" t="str">
        <f>TestPlan!A4</f>
        <v>Principal Investigator</v>
      </c>
      <c r="B4" s="116" t="str">
        <f>TestPlan!B4</f>
        <v>Kevin Stutenberg</v>
      </c>
      <c r="C4" s="4"/>
      <c r="D4" s="237"/>
      <c r="E4" s="234"/>
      <c r="F4" s="38"/>
      <c r="G4" s="38"/>
      <c r="H4" s="38"/>
      <c r="I4" s="38"/>
      <c r="J4" s="38"/>
      <c r="K4" s="38"/>
      <c r="L4" s="238"/>
      <c r="N4" s="428">
        <v>2020</v>
      </c>
      <c r="O4" s="429" t="s">
        <v>436</v>
      </c>
      <c r="P4" s="429" t="s">
        <v>437</v>
      </c>
      <c r="Q4" s="429" t="s">
        <v>436</v>
      </c>
      <c r="R4" s="429" t="s">
        <v>563</v>
      </c>
      <c r="S4" s="429" t="s">
        <v>564</v>
      </c>
      <c r="T4" s="428">
        <v>0</v>
      </c>
      <c r="U4" s="430">
        <v>1E-3</v>
      </c>
      <c r="V4" s="429" t="s">
        <v>565</v>
      </c>
      <c r="W4" s="429" t="s">
        <v>100</v>
      </c>
      <c r="X4" s="428">
        <v>252</v>
      </c>
      <c r="Y4" s="428"/>
      <c r="Z4" s="429" t="s">
        <v>453</v>
      </c>
      <c r="AA4" s="429" t="s">
        <v>31</v>
      </c>
      <c r="AB4" s="429" t="s">
        <v>395</v>
      </c>
      <c r="AC4" s="428">
        <v>1</v>
      </c>
      <c r="AD4" s="429" t="s">
        <v>111</v>
      </c>
      <c r="AE4" s="429" t="s">
        <v>31</v>
      </c>
      <c r="AF4" s="429" t="s">
        <v>396</v>
      </c>
      <c r="AG4" s="429" t="s">
        <v>445</v>
      </c>
      <c r="AH4" s="429" t="s">
        <v>446</v>
      </c>
      <c r="AI4" s="428">
        <v>4250</v>
      </c>
      <c r="AJ4" s="431">
        <v>9.0399999999999991</v>
      </c>
      <c r="AK4" s="432">
        <v>116.1</v>
      </c>
      <c r="AL4" s="429" t="s">
        <v>445</v>
      </c>
      <c r="AM4" s="429" t="s">
        <v>175</v>
      </c>
      <c r="AN4" s="429" t="s">
        <v>566</v>
      </c>
      <c r="AO4" s="429" t="s">
        <v>101</v>
      </c>
      <c r="AP4" s="429" t="s">
        <v>24</v>
      </c>
      <c r="AQ4" s="429" t="s">
        <v>448</v>
      </c>
      <c r="AR4" s="432"/>
      <c r="AS4" s="428"/>
      <c r="AT4" s="432"/>
      <c r="AU4" s="429" t="s">
        <v>449</v>
      </c>
      <c r="AV4" s="429" t="s">
        <v>176</v>
      </c>
      <c r="AW4" s="429" t="s">
        <v>450</v>
      </c>
      <c r="AX4" s="429" t="s">
        <v>177</v>
      </c>
      <c r="AY4" s="429" t="s">
        <v>178</v>
      </c>
      <c r="AZ4" s="433"/>
      <c r="BA4" s="433"/>
      <c r="BB4" s="433"/>
      <c r="BC4" s="433"/>
      <c r="BD4" s="433"/>
      <c r="BE4" s="433"/>
      <c r="BF4" s="433"/>
      <c r="BG4" s="433">
        <v>176.5</v>
      </c>
      <c r="BH4" s="429" t="s">
        <v>118</v>
      </c>
      <c r="BI4" s="433"/>
      <c r="BJ4" s="433"/>
      <c r="BK4" s="433"/>
      <c r="BL4" s="433"/>
      <c r="BM4" s="433"/>
      <c r="BN4" s="433"/>
      <c r="BO4" s="433"/>
      <c r="BP4" s="430">
        <v>38.71</v>
      </c>
      <c r="BQ4" s="434">
        <v>3.0499999999999999E-2</v>
      </c>
      <c r="BR4" s="435">
        <v>1.4999999999999999E-2</v>
      </c>
      <c r="BS4" s="430">
        <v>0.53</v>
      </c>
      <c r="BT4" s="434">
        <v>-3.0300000000000001E-2</v>
      </c>
      <c r="BU4" s="435">
        <v>1.29E-2</v>
      </c>
      <c r="BV4" s="429" t="s">
        <v>448</v>
      </c>
      <c r="BW4" s="429" t="s">
        <v>448</v>
      </c>
      <c r="BX4" s="429" t="s">
        <v>111</v>
      </c>
      <c r="BY4" s="429" t="s">
        <v>448</v>
      </c>
      <c r="BZ4" s="431"/>
      <c r="CA4" s="429" t="s">
        <v>111</v>
      </c>
      <c r="CB4" s="429" t="s">
        <v>383</v>
      </c>
    </row>
    <row r="5" spans="1:80" ht="15.75" thickBot="1">
      <c r="A5" s="267" t="s">
        <v>341</v>
      </c>
      <c r="B5" s="116" t="str">
        <f>TestPlan!B5</f>
        <v>5YJ3E1EB5LF618578</v>
      </c>
      <c r="C5" s="38"/>
      <c r="D5" s="239" t="s">
        <v>342</v>
      </c>
      <c r="E5" s="240"/>
      <c r="F5" s="38"/>
      <c r="G5" s="38"/>
      <c r="H5" s="38"/>
      <c r="I5" s="38"/>
      <c r="J5" s="38"/>
      <c r="K5" s="38"/>
      <c r="L5" s="238"/>
      <c r="N5" s="428">
        <v>2020</v>
      </c>
      <c r="O5" s="429" t="s">
        <v>436</v>
      </c>
      <c r="P5" s="429" t="s">
        <v>437</v>
      </c>
      <c r="Q5" s="429" t="s">
        <v>436</v>
      </c>
      <c r="R5" s="429" t="s">
        <v>563</v>
      </c>
      <c r="S5" s="429" t="s">
        <v>564</v>
      </c>
      <c r="T5" s="428">
        <v>0</v>
      </c>
      <c r="U5" s="430">
        <v>1E-3</v>
      </c>
      <c r="V5" s="429" t="s">
        <v>565</v>
      </c>
      <c r="W5" s="429" t="s">
        <v>100</v>
      </c>
      <c r="X5" s="428">
        <v>252</v>
      </c>
      <c r="Y5" s="428"/>
      <c r="Z5" s="429" t="s">
        <v>453</v>
      </c>
      <c r="AA5" s="429" t="s">
        <v>31</v>
      </c>
      <c r="AB5" s="429" t="s">
        <v>395</v>
      </c>
      <c r="AC5" s="428">
        <v>1</v>
      </c>
      <c r="AD5" s="429" t="s">
        <v>111</v>
      </c>
      <c r="AE5" s="429" t="s">
        <v>31</v>
      </c>
      <c r="AF5" s="429" t="s">
        <v>396</v>
      </c>
      <c r="AG5" s="429" t="s">
        <v>445</v>
      </c>
      <c r="AH5" s="429" t="s">
        <v>446</v>
      </c>
      <c r="AI5" s="428">
        <v>4250</v>
      </c>
      <c r="AJ5" s="431">
        <v>9.0399999999999991</v>
      </c>
      <c r="AK5" s="432">
        <v>116.1</v>
      </c>
      <c r="AL5" s="429" t="s">
        <v>445</v>
      </c>
      <c r="AM5" s="429" t="s">
        <v>175</v>
      </c>
      <c r="AN5" s="429" t="s">
        <v>567</v>
      </c>
      <c r="AO5" s="429" t="s">
        <v>101</v>
      </c>
      <c r="AP5" s="429" t="s">
        <v>24</v>
      </c>
      <c r="AQ5" s="429" t="s">
        <v>448</v>
      </c>
      <c r="AR5" s="432"/>
      <c r="AS5" s="428"/>
      <c r="AT5" s="432"/>
      <c r="AU5" s="429" t="s">
        <v>452</v>
      </c>
      <c r="AV5" s="429" t="s">
        <v>179</v>
      </c>
      <c r="AW5" s="429" t="s">
        <v>450</v>
      </c>
      <c r="AX5" s="429" t="s">
        <v>177</v>
      </c>
      <c r="AY5" s="429" t="s">
        <v>178</v>
      </c>
      <c r="AZ5" s="433"/>
      <c r="BA5" s="433"/>
      <c r="BB5" s="433"/>
      <c r="BC5" s="433"/>
      <c r="BD5" s="433"/>
      <c r="BE5" s="433"/>
      <c r="BF5" s="433"/>
      <c r="BG5" s="433">
        <v>165.6</v>
      </c>
      <c r="BH5" s="429" t="s">
        <v>118</v>
      </c>
      <c r="BI5" s="433"/>
      <c r="BJ5" s="433"/>
      <c r="BK5" s="433"/>
      <c r="BL5" s="433"/>
      <c r="BM5" s="433"/>
      <c r="BN5" s="433"/>
      <c r="BO5" s="433"/>
      <c r="BP5" s="430">
        <v>38.71</v>
      </c>
      <c r="BQ5" s="434">
        <v>3.0499999999999999E-2</v>
      </c>
      <c r="BR5" s="435">
        <v>1.4999999999999999E-2</v>
      </c>
      <c r="BS5" s="430">
        <v>0.53</v>
      </c>
      <c r="BT5" s="434">
        <v>-3.0300000000000001E-2</v>
      </c>
      <c r="BU5" s="435">
        <v>1.29E-2</v>
      </c>
      <c r="BV5" s="429" t="s">
        <v>448</v>
      </c>
      <c r="BW5" s="429" t="s">
        <v>448</v>
      </c>
      <c r="BX5" s="429" t="s">
        <v>111</v>
      </c>
      <c r="BY5" s="429" t="s">
        <v>448</v>
      </c>
      <c r="BZ5" s="431"/>
      <c r="CA5" s="429" t="s">
        <v>111</v>
      </c>
      <c r="CB5" s="429" t="s">
        <v>383</v>
      </c>
    </row>
    <row r="6" spans="1:80">
      <c r="A6" s="10" t="s">
        <v>343</v>
      </c>
      <c r="B6" s="11"/>
      <c r="C6" s="11"/>
      <c r="D6" s="11"/>
      <c r="E6" s="11"/>
      <c r="F6" s="11"/>
      <c r="G6" s="11"/>
      <c r="H6" s="11"/>
      <c r="I6" s="11"/>
      <c r="J6" s="11"/>
      <c r="K6" s="11"/>
      <c r="L6" s="232"/>
      <c r="N6" s="143">
        <v>2020</v>
      </c>
      <c r="O6" s="400" t="s">
        <v>436</v>
      </c>
      <c r="P6" s="400" t="s">
        <v>437</v>
      </c>
      <c r="Q6" s="400" t="s">
        <v>436</v>
      </c>
      <c r="R6" s="400" t="s">
        <v>568</v>
      </c>
      <c r="S6" s="400" t="s">
        <v>569</v>
      </c>
      <c r="T6" s="143">
        <v>0</v>
      </c>
      <c r="U6" s="401">
        <v>1E-3</v>
      </c>
      <c r="V6" s="400" t="s">
        <v>565</v>
      </c>
      <c r="W6" s="400" t="s">
        <v>100</v>
      </c>
      <c r="X6" s="143">
        <v>287</v>
      </c>
      <c r="Y6" s="143"/>
      <c r="Z6" s="400" t="s">
        <v>453</v>
      </c>
      <c r="AA6" s="400" t="s">
        <v>31</v>
      </c>
      <c r="AB6" s="400" t="s">
        <v>395</v>
      </c>
      <c r="AC6" s="143">
        <v>1</v>
      </c>
      <c r="AD6" s="400" t="s">
        <v>111</v>
      </c>
      <c r="AE6" s="400" t="s">
        <v>31</v>
      </c>
      <c r="AF6" s="400" t="s">
        <v>396</v>
      </c>
      <c r="AG6" s="400" t="s">
        <v>445</v>
      </c>
      <c r="AH6" s="400" t="s">
        <v>446</v>
      </c>
      <c r="AI6" s="143">
        <v>4250</v>
      </c>
      <c r="AJ6" s="402">
        <v>9.0399999999999991</v>
      </c>
      <c r="AK6" s="403">
        <v>116.1</v>
      </c>
      <c r="AL6" s="400" t="s">
        <v>445</v>
      </c>
      <c r="AM6" s="400" t="s">
        <v>175</v>
      </c>
      <c r="AN6" s="400" t="s">
        <v>570</v>
      </c>
      <c r="AO6" s="400" t="s">
        <v>101</v>
      </c>
      <c r="AP6" s="400" t="s">
        <v>24</v>
      </c>
      <c r="AQ6" s="400" t="s">
        <v>448</v>
      </c>
      <c r="AR6" s="403"/>
      <c r="AS6" s="143"/>
      <c r="AT6" s="403"/>
      <c r="AU6" s="400" t="s">
        <v>449</v>
      </c>
      <c r="AV6" s="400" t="s">
        <v>176</v>
      </c>
      <c r="AW6" s="400" t="s">
        <v>450</v>
      </c>
      <c r="AX6" s="400" t="s">
        <v>177</v>
      </c>
      <c r="AY6" s="400" t="s">
        <v>178</v>
      </c>
      <c r="AZ6" s="404"/>
      <c r="BA6" s="404"/>
      <c r="BB6" s="404"/>
      <c r="BC6" s="404"/>
      <c r="BD6" s="404"/>
      <c r="BE6" s="404"/>
      <c r="BF6" s="404"/>
      <c r="BG6" s="404">
        <v>182.7</v>
      </c>
      <c r="BH6" s="400" t="s">
        <v>118</v>
      </c>
      <c r="BI6" s="404"/>
      <c r="BJ6" s="404"/>
      <c r="BK6" s="404"/>
      <c r="BL6" s="404"/>
      <c r="BM6" s="404"/>
      <c r="BN6" s="404"/>
      <c r="BO6" s="404"/>
      <c r="BP6" s="401">
        <v>38.72</v>
      </c>
      <c r="BQ6" s="405">
        <v>3.0499999999999999E-2</v>
      </c>
      <c r="BR6" s="406">
        <v>1.4999999999999999E-2</v>
      </c>
      <c r="BS6" s="401">
        <v>3.2</v>
      </c>
      <c r="BT6" s="405">
        <v>-0.19409999999999999</v>
      </c>
      <c r="BU6" s="406">
        <v>1.44E-2</v>
      </c>
      <c r="BV6" s="400" t="s">
        <v>448</v>
      </c>
      <c r="BW6" s="400" t="s">
        <v>448</v>
      </c>
      <c r="BX6" s="400" t="s">
        <v>111</v>
      </c>
      <c r="BY6" s="400" t="s">
        <v>448</v>
      </c>
      <c r="BZ6" s="402"/>
      <c r="CA6" s="400" t="s">
        <v>111</v>
      </c>
      <c r="CB6" s="400" t="s">
        <v>383</v>
      </c>
    </row>
    <row r="7" spans="1:80">
      <c r="B7" s="267" t="s">
        <v>344</v>
      </c>
      <c r="C7" s="267" t="s">
        <v>345</v>
      </c>
      <c r="L7" s="232"/>
      <c r="N7" s="143">
        <v>2020</v>
      </c>
      <c r="O7" s="400" t="s">
        <v>436</v>
      </c>
      <c r="P7" s="400" t="s">
        <v>437</v>
      </c>
      <c r="Q7" s="400" t="s">
        <v>436</v>
      </c>
      <c r="R7" s="400" t="s">
        <v>568</v>
      </c>
      <c r="S7" s="400" t="s">
        <v>569</v>
      </c>
      <c r="T7" s="143">
        <v>0</v>
      </c>
      <c r="U7" s="401">
        <v>1E-3</v>
      </c>
      <c r="V7" s="400" t="s">
        <v>565</v>
      </c>
      <c r="W7" s="400" t="s">
        <v>100</v>
      </c>
      <c r="X7" s="143">
        <v>287</v>
      </c>
      <c r="Y7" s="143"/>
      <c r="Z7" s="400" t="s">
        <v>453</v>
      </c>
      <c r="AA7" s="400" t="s">
        <v>31</v>
      </c>
      <c r="AB7" s="400" t="s">
        <v>395</v>
      </c>
      <c r="AC7" s="143">
        <v>1</v>
      </c>
      <c r="AD7" s="400" t="s">
        <v>111</v>
      </c>
      <c r="AE7" s="400" t="s">
        <v>31</v>
      </c>
      <c r="AF7" s="400" t="s">
        <v>396</v>
      </c>
      <c r="AG7" s="400" t="s">
        <v>445</v>
      </c>
      <c r="AH7" s="400" t="s">
        <v>446</v>
      </c>
      <c r="AI7" s="143">
        <v>4250</v>
      </c>
      <c r="AJ7" s="402">
        <v>9.0399999999999991</v>
      </c>
      <c r="AK7" s="403">
        <v>116.1</v>
      </c>
      <c r="AL7" s="400" t="s">
        <v>445</v>
      </c>
      <c r="AM7" s="400" t="s">
        <v>175</v>
      </c>
      <c r="AN7" s="400" t="s">
        <v>571</v>
      </c>
      <c r="AO7" s="400" t="s">
        <v>101</v>
      </c>
      <c r="AP7" s="400" t="s">
        <v>24</v>
      </c>
      <c r="AQ7" s="400" t="s">
        <v>448</v>
      </c>
      <c r="AR7" s="403"/>
      <c r="AS7" s="143"/>
      <c r="AT7" s="403"/>
      <c r="AU7" s="400" t="s">
        <v>452</v>
      </c>
      <c r="AV7" s="400" t="s">
        <v>179</v>
      </c>
      <c r="AW7" s="400" t="s">
        <v>450</v>
      </c>
      <c r="AX7" s="400" t="s">
        <v>177</v>
      </c>
      <c r="AY7" s="400" t="s">
        <v>178</v>
      </c>
      <c r="AZ7" s="404"/>
      <c r="BA7" s="404"/>
      <c r="BB7" s="404"/>
      <c r="BC7" s="404"/>
      <c r="BD7" s="404"/>
      <c r="BE7" s="404"/>
      <c r="BF7" s="404"/>
      <c r="BG7" s="404">
        <v>170.2</v>
      </c>
      <c r="BH7" s="400" t="s">
        <v>118</v>
      </c>
      <c r="BI7" s="404"/>
      <c r="BJ7" s="404"/>
      <c r="BK7" s="404"/>
      <c r="BL7" s="404"/>
      <c r="BM7" s="404"/>
      <c r="BN7" s="404"/>
      <c r="BO7" s="404"/>
      <c r="BP7" s="401">
        <v>38.72</v>
      </c>
      <c r="BQ7" s="405">
        <v>3.0499999999999999E-2</v>
      </c>
      <c r="BR7" s="406">
        <v>1.4999999999999999E-2</v>
      </c>
      <c r="BS7" s="401">
        <v>3.2</v>
      </c>
      <c r="BT7" s="405">
        <v>-0.19409999999999999</v>
      </c>
      <c r="BU7" s="406">
        <v>1.44E-2</v>
      </c>
      <c r="BV7" s="400" t="s">
        <v>448</v>
      </c>
      <c r="BW7" s="400" t="s">
        <v>448</v>
      </c>
      <c r="BX7" s="400" t="s">
        <v>111</v>
      </c>
      <c r="BY7" s="400" t="s">
        <v>448</v>
      </c>
      <c r="BZ7" s="402"/>
      <c r="CA7" s="400" t="s">
        <v>111</v>
      </c>
      <c r="CB7" s="400" t="s">
        <v>383</v>
      </c>
    </row>
    <row r="8" spans="1:80" ht="15.75" thickBot="1">
      <c r="L8" s="232"/>
      <c r="N8" s="143">
        <v>2020</v>
      </c>
      <c r="O8" s="400" t="s">
        <v>436</v>
      </c>
      <c r="P8" s="400" t="s">
        <v>437</v>
      </c>
      <c r="Q8" s="400" t="s">
        <v>436</v>
      </c>
      <c r="R8" s="400" t="s">
        <v>572</v>
      </c>
      <c r="S8" s="400" t="s">
        <v>573</v>
      </c>
      <c r="T8" s="143">
        <v>1</v>
      </c>
      <c r="U8" s="401">
        <v>1E-3</v>
      </c>
      <c r="V8" s="400" t="s">
        <v>565</v>
      </c>
      <c r="W8" s="400" t="s">
        <v>100</v>
      </c>
      <c r="X8" s="143">
        <v>487</v>
      </c>
      <c r="Y8" s="143"/>
      <c r="Z8" s="400" t="s">
        <v>453</v>
      </c>
      <c r="AA8" s="400" t="s">
        <v>31</v>
      </c>
      <c r="AB8" s="400" t="s">
        <v>395</v>
      </c>
      <c r="AC8" s="143">
        <v>1</v>
      </c>
      <c r="AD8" s="400" t="s">
        <v>111</v>
      </c>
      <c r="AE8" s="400" t="s">
        <v>31</v>
      </c>
      <c r="AF8" s="400" t="s">
        <v>396</v>
      </c>
      <c r="AG8" s="400" t="s">
        <v>445</v>
      </c>
      <c r="AH8" s="400" t="s">
        <v>446</v>
      </c>
      <c r="AI8" s="143">
        <v>4500</v>
      </c>
      <c r="AJ8" s="402">
        <v>9</v>
      </c>
      <c r="AK8" s="403">
        <v>116.1</v>
      </c>
      <c r="AL8" s="400" t="s">
        <v>445</v>
      </c>
      <c r="AM8" s="400" t="s">
        <v>175</v>
      </c>
      <c r="AN8" s="400" t="s">
        <v>574</v>
      </c>
      <c r="AO8" s="400" t="s">
        <v>101</v>
      </c>
      <c r="AP8" s="400" t="s">
        <v>24</v>
      </c>
      <c r="AQ8" s="400" t="s">
        <v>448</v>
      </c>
      <c r="AR8" s="403"/>
      <c r="AS8" s="143"/>
      <c r="AT8" s="403"/>
      <c r="AU8" s="400" t="s">
        <v>452</v>
      </c>
      <c r="AV8" s="400" t="s">
        <v>179</v>
      </c>
      <c r="AW8" s="400" t="s">
        <v>450</v>
      </c>
      <c r="AX8" s="400" t="s">
        <v>177</v>
      </c>
      <c r="AY8" s="400" t="s">
        <v>178</v>
      </c>
      <c r="AZ8" s="404"/>
      <c r="BA8" s="404"/>
      <c r="BB8" s="404"/>
      <c r="BC8" s="404"/>
      <c r="BD8" s="404"/>
      <c r="BE8" s="404"/>
      <c r="BF8" s="404"/>
      <c r="BG8" s="404">
        <v>153.80000000000001</v>
      </c>
      <c r="BH8" s="400" t="s">
        <v>118</v>
      </c>
      <c r="BI8" s="404"/>
      <c r="BJ8" s="404"/>
      <c r="BK8" s="404"/>
      <c r="BL8" s="404"/>
      <c r="BM8" s="404"/>
      <c r="BN8" s="404"/>
      <c r="BO8" s="404"/>
      <c r="BP8" s="401">
        <v>38.58</v>
      </c>
      <c r="BQ8" s="405">
        <v>0.32269999999999999</v>
      </c>
      <c r="BR8" s="406">
        <v>1.2409999999999999E-2</v>
      </c>
      <c r="BS8" s="401">
        <v>-7.77</v>
      </c>
      <c r="BT8" s="405">
        <v>0.29599999999999999</v>
      </c>
      <c r="BU8" s="406">
        <v>1.04E-2</v>
      </c>
      <c r="BV8" s="400" t="s">
        <v>448</v>
      </c>
      <c r="BW8" s="400" t="s">
        <v>448</v>
      </c>
      <c r="BX8" s="400" t="s">
        <v>111</v>
      </c>
      <c r="BY8" s="400" t="s">
        <v>448</v>
      </c>
      <c r="BZ8" s="402"/>
      <c r="CA8" s="400" t="s">
        <v>111</v>
      </c>
      <c r="CB8" s="400" t="s">
        <v>383</v>
      </c>
    </row>
    <row r="9" spans="1:80" ht="15.75" thickBot="1">
      <c r="A9" s="18"/>
      <c r="B9" s="310" t="s">
        <v>375</v>
      </c>
      <c r="C9" s="307"/>
      <c r="D9" s="241"/>
      <c r="E9" s="720" t="s">
        <v>346</v>
      </c>
      <c r="F9" s="721"/>
      <c r="G9" s="721"/>
      <c r="H9" s="721"/>
      <c r="I9" s="722"/>
      <c r="J9" s="279"/>
      <c r="K9" s="242"/>
      <c r="L9" s="232"/>
      <c r="N9" s="143">
        <v>2020</v>
      </c>
      <c r="O9" s="400" t="s">
        <v>436</v>
      </c>
      <c r="P9" s="400" t="s">
        <v>437</v>
      </c>
      <c r="Q9" s="400" t="s">
        <v>436</v>
      </c>
      <c r="R9" s="400" t="s">
        <v>572</v>
      </c>
      <c r="S9" s="400" t="s">
        <v>573</v>
      </c>
      <c r="T9" s="143">
        <v>1</v>
      </c>
      <c r="U9" s="401">
        <v>1E-3</v>
      </c>
      <c r="V9" s="400" t="s">
        <v>565</v>
      </c>
      <c r="W9" s="400" t="s">
        <v>100</v>
      </c>
      <c r="X9" s="143">
        <v>487</v>
      </c>
      <c r="Y9" s="143"/>
      <c r="Z9" s="400" t="s">
        <v>453</v>
      </c>
      <c r="AA9" s="400" t="s">
        <v>31</v>
      </c>
      <c r="AB9" s="400" t="s">
        <v>395</v>
      </c>
      <c r="AC9" s="143">
        <v>1</v>
      </c>
      <c r="AD9" s="400" t="s">
        <v>111</v>
      </c>
      <c r="AE9" s="400" t="s">
        <v>31</v>
      </c>
      <c r="AF9" s="400" t="s">
        <v>396</v>
      </c>
      <c r="AG9" s="400" t="s">
        <v>445</v>
      </c>
      <c r="AH9" s="400" t="s">
        <v>446</v>
      </c>
      <c r="AI9" s="143">
        <v>4500</v>
      </c>
      <c r="AJ9" s="402">
        <v>9</v>
      </c>
      <c r="AK9" s="403">
        <v>116.1</v>
      </c>
      <c r="AL9" s="400" t="s">
        <v>445</v>
      </c>
      <c r="AM9" s="400" t="s">
        <v>175</v>
      </c>
      <c r="AN9" s="400" t="s">
        <v>575</v>
      </c>
      <c r="AO9" s="400" t="s">
        <v>101</v>
      </c>
      <c r="AP9" s="400" t="s">
        <v>24</v>
      </c>
      <c r="AQ9" s="400" t="s">
        <v>448</v>
      </c>
      <c r="AR9" s="403"/>
      <c r="AS9" s="143"/>
      <c r="AT9" s="403"/>
      <c r="AU9" s="400" t="s">
        <v>449</v>
      </c>
      <c r="AV9" s="400" t="s">
        <v>176</v>
      </c>
      <c r="AW9" s="400" t="s">
        <v>450</v>
      </c>
      <c r="AX9" s="400" t="s">
        <v>177</v>
      </c>
      <c r="AY9" s="400" t="s">
        <v>178</v>
      </c>
      <c r="AZ9" s="404"/>
      <c r="BA9" s="404"/>
      <c r="BB9" s="404"/>
      <c r="BC9" s="404"/>
      <c r="BD9" s="404"/>
      <c r="BE9" s="404"/>
      <c r="BF9" s="404"/>
      <c r="BG9" s="404">
        <v>163</v>
      </c>
      <c r="BH9" s="400" t="s">
        <v>118</v>
      </c>
      <c r="BI9" s="404"/>
      <c r="BJ9" s="404"/>
      <c r="BK9" s="404"/>
      <c r="BL9" s="404"/>
      <c r="BM9" s="404"/>
      <c r="BN9" s="404"/>
      <c r="BO9" s="404"/>
      <c r="BP9" s="401">
        <v>38.58</v>
      </c>
      <c r="BQ9" s="405">
        <v>0.32269999999999999</v>
      </c>
      <c r="BR9" s="406">
        <v>1.2409999999999999E-2</v>
      </c>
      <c r="BS9" s="401">
        <v>-7.77</v>
      </c>
      <c r="BT9" s="405">
        <v>0.29599999999999999</v>
      </c>
      <c r="BU9" s="406">
        <v>1.04E-2</v>
      </c>
      <c r="BV9" s="400" t="s">
        <v>448</v>
      </c>
      <c r="BW9" s="400" t="s">
        <v>448</v>
      </c>
      <c r="BX9" s="400" t="s">
        <v>111</v>
      </c>
      <c r="BY9" s="400" t="s">
        <v>448</v>
      </c>
      <c r="BZ9" s="402"/>
      <c r="CA9" s="400" t="s">
        <v>111</v>
      </c>
      <c r="CB9" s="400" t="s">
        <v>383</v>
      </c>
    </row>
    <row r="10" spans="1:80" ht="15.6" customHeight="1" thickBot="1">
      <c r="A10" s="243" t="s">
        <v>54</v>
      </c>
      <c r="B10" s="308"/>
      <c r="C10" s="309"/>
      <c r="D10" s="241"/>
      <c r="E10" s="325"/>
      <c r="F10" s="326" t="s">
        <v>327</v>
      </c>
      <c r="G10" s="327"/>
      <c r="H10" s="327" t="s">
        <v>589</v>
      </c>
      <c r="I10" s="328"/>
      <c r="J10" s="279"/>
      <c r="K10" s="244"/>
      <c r="L10" s="232"/>
      <c r="N10" s="143">
        <v>2020</v>
      </c>
      <c r="O10" s="400" t="s">
        <v>436</v>
      </c>
      <c r="P10" s="400" t="s">
        <v>437</v>
      </c>
      <c r="Q10" s="400" t="s">
        <v>436</v>
      </c>
      <c r="R10" s="400" t="s">
        <v>576</v>
      </c>
      <c r="S10" s="400" t="s">
        <v>577</v>
      </c>
      <c r="T10" s="143">
        <v>0</v>
      </c>
      <c r="U10" s="401">
        <v>1E-3</v>
      </c>
      <c r="V10" s="400" t="s">
        <v>565</v>
      </c>
      <c r="W10" s="400" t="s">
        <v>100</v>
      </c>
      <c r="X10" s="143">
        <v>287</v>
      </c>
      <c r="Y10" s="143"/>
      <c r="Z10" s="400" t="s">
        <v>453</v>
      </c>
      <c r="AA10" s="400" t="s">
        <v>31</v>
      </c>
      <c r="AB10" s="400" t="s">
        <v>395</v>
      </c>
      <c r="AC10" s="143">
        <v>1</v>
      </c>
      <c r="AD10" s="400" t="s">
        <v>111</v>
      </c>
      <c r="AE10" s="400" t="s">
        <v>31</v>
      </c>
      <c r="AF10" s="400" t="s">
        <v>396</v>
      </c>
      <c r="AG10" s="400" t="s">
        <v>445</v>
      </c>
      <c r="AH10" s="400" t="s">
        <v>446</v>
      </c>
      <c r="AI10" s="143">
        <v>4250</v>
      </c>
      <c r="AJ10" s="402">
        <v>9.0399999999999991</v>
      </c>
      <c r="AK10" s="403">
        <v>116.1</v>
      </c>
      <c r="AL10" s="400" t="s">
        <v>445</v>
      </c>
      <c r="AM10" s="400" t="s">
        <v>175</v>
      </c>
      <c r="AN10" s="400" t="s">
        <v>578</v>
      </c>
      <c r="AO10" s="400" t="s">
        <v>101</v>
      </c>
      <c r="AP10" s="400" t="s">
        <v>24</v>
      </c>
      <c r="AQ10" s="400" t="s">
        <v>448</v>
      </c>
      <c r="AR10" s="403"/>
      <c r="AS10" s="143"/>
      <c r="AT10" s="403"/>
      <c r="AU10" s="400" t="s">
        <v>449</v>
      </c>
      <c r="AV10" s="400" t="s">
        <v>176</v>
      </c>
      <c r="AW10" s="400" t="s">
        <v>450</v>
      </c>
      <c r="AX10" s="400" t="s">
        <v>177</v>
      </c>
      <c r="AY10" s="400" t="s">
        <v>178</v>
      </c>
      <c r="AZ10" s="404"/>
      <c r="BA10" s="404"/>
      <c r="BB10" s="404"/>
      <c r="BC10" s="404"/>
      <c r="BD10" s="404"/>
      <c r="BE10" s="404"/>
      <c r="BF10" s="404"/>
      <c r="BG10" s="404">
        <v>162.69999999999999</v>
      </c>
      <c r="BH10" s="400" t="s">
        <v>118</v>
      </c>
      <c r="BI10" s="404"/>
      <c r="BJ10" s="404"/>
      <c r="BK10" s="404"/>
      <c r="BL10" s="404"/>
      <c r="BM10" s="404"/>
      <c r="BN10" s="404"/>
      <c r="BO10" s="404"/>
      <c r="BP10" s="401">
        <v>47.82</v>
      </c>
      <c r="BQ10" s="405">
        <v>4.2900000000000001E-2</v>
      </c>
      <c r="BR10" s="406">
        <v>1.6E-2</v>
      </c>
      <c r="BS10" s="401">
        <v>-0.82</v>
      </c>
      <c r="BT10" s="405">
        <v>-7.8799999999999995E-2</v>
      </c>
      <c r="BU10" s="406">
        <v>1.4800000000000001E-2</v>
      </c>
      <c r="BV10" s="400" t="s">
        <v>448</v>
      </c>
      <c r="BW10" s="400" t="s">
        <v>448</v>
      </c>
      <c r="BX10" s="400" t="s">
        <v>111</v>
      </c>
      <c r="BY10" s="400" t="s">
        <v>448</v>
      </c>
      <c r="BZ10" s="402"/>
      <c r="CA10" s="400" t="s">
        <v>111</v>
      </c>
      <c r="CB10" s="400" t="s">
        <v>383</v>
      </c>
    </row>
    <row r="11" spans="1:80" ht="15.6" customHeight="1">
      <c r="A11" s="243" t="s">
        <v>34</v>
      </c>
      <c r="B11" s="245">
        <v>4250</v>
      </c>
      <c r="C11" s="329" t="s">
        <v>35</v>
      </c>
      <c r="D11" s="241"/>
      <c r="E11" s="321" t="s">
        <v>34</v>
      </c>
      <c r="F11" s="322">
        <v>4250</v>
      </c>
      <c r="G11" s="323"/>
      <c r="H11" s="342"/>
      <c r="I11" s="324" t="s">
        <v>35</v>
      </c>
      <c r="J11" s="279"/>
      <c r="K11" s="279"/>
      <c r="L11" s="232"/>
      <c r="N11" s="143">
        <v>2020</v>
      </c>
      <c r="O11" s="400" t="s">
        <v>436</v>
      </c>
      <c r="P11" s="400" t="s">
        <v>437</v>
      </c>
      <c r="Q11" s="400" t="s">
        <v>436</v>
      </c>
      <c r="R11" s="400" t="s">
        <v>576</v>
      </c>
      <c r="S11" s="400" t="s">
        <v>577</v>
      </c>
      <c r="T11" s="143">
        <v>0</v>
      </c>
      <c r="U11" s="401">
        <v>1E-3</v>
      </c>
      <c r="V11" s="400" t="s">
        <v>565</v>
      </c>
      <c r="W11" s="400" t="s">
        <v>100</v>
      </c>
      <c r="X11" s="143">
        <v>287</v>
      </c>
      <c r="Y11" s="143"/>
      <c r="Z11" s="400" t="s">
        <v>453</v>
      </c>
      <c r="AA11" s="400" t="s">
        <v>31</v>
      </c>
      <c r="AB11" s="400" t="s">
        <v>395</v>
      </c>
      <c r="AC11" s="143">
        <v>1</v>
      </c>
      <c r="AD11" s="400" t="s">
        <v>111</v>
      </c>
      <c r="AE11" s="400" t="s">
        <v>31</v>
      </c>
      <c r="AF11" s="400" t="s">
        <v>396</v>
      </c>
      <c r="AG11" s="400" t="s">
        <v>445</v>
      </c>
      <c r="AH11" s="400" t="s">
        <v>446</v>
      </c>
      <c r="AI11" s="143">
        <v>4250</v>
      </c>
      <c r="AJ11" s="402">
        <v>9.0399999999999991</v>
      </c>
      <c r="AK11" s="403">
        <v>116.1</v>
      </c>
      <c r="AL11" s="400" t="s">
        <v>445</v>
      </c>
      <c r="AM11" s="400" t="s">
        <v>175</v>
      </c>
      <c r="AN11" s="400" t="s">
        <v>579</v>
      </c>
      <c r="AO11" s="400" t="s">
        <v>101</v>
      </c>
      <c r="AP11" s="400" t="s">
        <v>24</v>
      </c>
      <c r="AQ11" s="400" t="s">
        <v>448</v>
      </c>
      <c r="AR11" s="403"/>
      <c r="AS11" s="143"/>
      <c r="AT11" s="403"/>
      <c r="AU11" s="400" t="s">
        <v>452</v>
      </c>
      <c r="AV11" s="400" t="s">
        <v>179</v>
      </c>
      <c r="AW11" s="400" t="s">
        <v>450</v>
      </c>
      <c r="AX11" s="400" t="s">
        <v>177</v>
      </c>
      <c r="AY11" s="400" t="s">
        <v>178</v>
      </c>
      <c r="AZ11" s="404"/>
      <c r="BA11" s="404"/>
      <c r="BB11" s="404"/>
      <c r="BC11" s="404"/>
      <c r="BD11" s="404"/>
      <c r="BE11" s="404"/>
      <c r="BF11" s="404"/>
      <c r="BG11" s="404">
        <v>147.69999999999999</v>
      </c>
      <c r="BH11" s="400" t="s">
        <v>118</v>
      </c>
      <c r="BI11" s="404"/>
      <c r="BJ11" s="404"/>
      <c r="BK11" s="404"/>
      <c r="BL11" s="404"/>
      <c r="BM11" s="404"/>
      <c r="BN11" s="404"/>
      <c r="BO11" s="404"/>
      <c r="BP11" s="401">
        <v>47.82</v>
      </c>
      <c r="BQ11" s="405">
        <v>4.2900000000000001E-2</v>
      </c>
      <c r="BR11" s="406">
        <v>1.6E-2</v>
      </c>
      <c r="BS11" s="401">
        <v>-0.82</v>
      </c>
      <c r="BT11" s="405">
        <v>-7.8799999999999995E-2</v>
      </c>
      <c r="BU11" s="406">
        <v>1.4800000000000001E-2</v>
      </c>
      <c r="BV11" s="400" t="s">
        <v>448</v>
      </c>
      <c r="BW11" s="400" t="s">
        <v>448</v>
      </c>
      <c r="BX11" s="400" t="s">
        <v>111</v>
      </c>
      <c r="BY11" s="400" t="s">
        <v>448</v>
      </c>
      <c r="BZ11" s="402"/>
      <c r="CA11" s="400" t="s">
        <v>111</v>
      </c>
      <c r="CB11" s="400" t="s">
        <v>383</v>
      </c>
    </row>
    <row r="12" spans="1:80" ht="15.6" customHeight="1">
      <c r="A12" s="243" t="s">
        <v>31</v>
      </c>
      <c r="B12" s="335">
        <f>F12</f>
        <v>38.71</v>
      </c>
      <c r="C12" s="330" t="s">
        <v>4</v>
      </c>
      <c r="D12" s="241"/>
      <c r="E12" s="246" t="s">
        <v>31</v>
      </c>
      <c r="F12" s="247">
        <v>38.71</v>
      </c>
      <c r="G12" s="269"/>
      <c r="H12" s="436">
        <v>0.53</v>
      </c>
      <c r="I12" s="318" t="s">
        <v>4</v>
      </c>
      <c r="J12" s="401"/>
      <c r="K12" s="279"/>
      <c r="L12" s="232"/>
      <c r="N12" s="143">
        <v>2020</v>
      </c>
      <c r="O12" s="400" t="s">
        <v>436</v>
      </c>
      <c r="P12" s="400" t="s">
        <v>437</v>
      </c>
      <c r="Q12" s="400" t="s">
        <v>436</v>
      </c>
      <c r="R12" s="400" t="s">
        <v>580</v>
      </c>
      <c r="S12" s="400" t="s">
        <v>581</v>
      </c>
      <c r="T12" s="143">
        <v>0</v>
      </c>
      <c r="U12" s="401">
        <v>1E-3</v>
      </c>
      <c r="V12" s="400" t="s">
        <v>582</v>
      </c>
      <c r="W12" s="400" t="s">
        <v>100</v>
      </c>
      <c r="X12" s="143">
        <v>282</v>
      </c>
      <c r="Y12" s="143"/>
      <c r="Z12" s="400" t="s">
        <v>442</v>
      </c>
      <c r="AA12" s="400" t="s">
        <v>31</v>
      </c>
      <c r="AB12" s="400" t="s">
        <v>395</v>
      </c>
      <c r="AC12" s="143">
        <v>1</v>
      </c>
      <c r="AD12" s="400" t="s">
        <v>111</v>
      </c>
      <c r="AE12" s="400" t="s">
        <v>443</v>
      </c>
      <c r="AF12" s="400" t="s">
        <v>444</v>
      </c>
      <c r="AG12" s="400" t="s">
        <v>445</v>
      </c>
      <c r="AH12" s="400" t="s">
        <v>446</v>
      </c>
      <c r="AI12" s="143">
        <v>3875</v>
      </c>
      <c r="AJ12" s="402">
        <v>9.0399999999999991</v>
      </c>
      <c r="AK12" s="403">
        <v>116.1</v>
      </c>
      <c r="AL12" s="400" t="s">
        <v>445</v>
      </c>
      <c r="AM12" s="400" t="s">
        <v>175</v>
      </c>
      <c r="AN12" s="400" t="s">
        <v>583</v>
      </c>
      <c r="AO12" s="400" t="s">
        <v>101</v>
      </c>
      <c r="AP12" s="400" t="s">
        <v>24</v>
      </c>
      <c r="AQ12" s="400" t="s">
        <v>448</v>
      </c>
      <c r="AR12" s="403"/>
      <c r="AS12" s="143"/>
      <c r="AT12" s="403"/>
      <c r="AU12" s="400" t="s">
        <v>449</v>
      </c>
      <c r="AV12" s="400" t="s">
        <v>176</v>
      </c>
      <c r="AW12" s="400" t="s">
        <v>450</v>
      </c>
      <c r="AX12" s="400" t="s">
        <v>177</v>
      </c>
      <c r="AY12" s="400" t="s">
        <v>178</v>
      </c>
      <c r="AZ12" s="404"/>
      <c r="BA12" s="404"/>
      <c r="BB12" s="404"/>
      <c r="BC12" s="404"/>
      <c r="BD12" s="404"/>
      <c r="BE12" s="404"/>
      <c r="BF12" s="404"/>
      <c r="BG12" s="404">
        <v>210.4</v>
      </c>
      <c r="BH12" s="400" t="s">
        <v>118</v>
      </c>
      <c r="BI12" s="404"/>
      <c r="BJ12" s="404"/>
      <c r="BK12" s="404"/>
      <c r="BL12" s="404"/>
      <c r="BM12" s="404"/>
      <c r="BN12" s="404"/>
      <c r="BO12" s="404"/>
      <c r="BP12" s="401">
        <v>29.62</v>
      </c>
      <c r="BQ12" s="405">
        <v>0.2465</v>
      </c>
      <c r="BR12" s="406">
        <v>1.12E-2</v>
      </c>
      <c r="BS12" s="401">
        <v>-5.09</v>
      </c>
      <c r="BT12" s="405">
        <v>7.1000000000000004E-3</v>
      </c>
      <c r="BU12" s="406">
        <v>1.1599999999999999E-2</v>
      </c>
      <c r="BV12" s="400" t="s">
        <v>448</v>
      </c>
      <c r="BW12" s="400" t="s">
        <v>448</v>
      </c>
      <c r="BX12" s="400" t="s">
        <v>111</v>
      </c>
      <c r="BY12" s="400" t="s">
        <v>448</v>
      </c>
      <c r="BZ12" s="402"/>
      <c r="CA12" s="400" t="s">
        <v>111</v>
      </c>
      <c r="CB12" s="400" t="s">
        <v>383</v>
      </c>
    </row>
    <row r="13" spans="1:80" s="19" customFormat="1">
      <c r="A13" s="243" t="s">
        <v>32</v>
      </c>
      <c r="B13" s="335">
        <f>F13</f>
        <v>3.0499999999999999E-2</v>
      </c>
      <c r="C13" s="330" t="s">
        <v>36</v>
      </c>
      <c r="D13" s="241"/>
      <c r="E13" s="246" t="s">
        <v>32</v>
      </c>
      <c r="F13" s="337">
        <v>3.0499999999999999E-2</v>
      </c>
      <c r="G13" s="269"/>
      <c r="H13" s="436">
        <v>-3.0300000000000001E-2</v>
      </c>
      <c r="I13" s="319" t="s">
        <v>36</v>
      </c>
      <c r="J13" s="405"/>
      <c r="K13" s="279"/>
      <c r="L13" s="232"/>
      <c r="M13" s="267"/>
      <c r="N13" s="143">
        <v>2020</v>
      </c>
      <c r="O13" s="400" t="s">
        <v>436</v>
      </c>
      <c r="P13" s="400" t="s">
        <v>437</v>
      </c>
      <c r="Q13" s="400" t="s">
        <v>436</v>
      </c>
      <c r="R13" s="400" t="s">
        <v>580</v>
      </c>
      <c r="S13" s="400" t="s">
        <v>581</v>
      </c>
      <c r="T13" s="143">
        <v>0</v>
      </c>
      <c r="U13" s="401">
        <v>1E-3</v>
      </c>
      <c r="V13" s="400" t="s">
        <v>582</v>
      </c>
      <c r="W13" s="400" t="s">
        <v>100</v>
      </c>
      <c r="X13" s="143">
        <v>282</v>
      </c>
      <c r="Y13" s="143"/>
      <c r="Z13" s="400" t="s">
        <v>442</v>
      </c>
      <c r="AA13" s="400" t="s">
        <v>31</v>
      </c>
      <c r="AB13" s="400" t="s">
        <v>395</v>
      </c>
      <c r="AC13" s="143">
        <v>1</v>
      </c>
      <c r="AD13" s="400" t="s">
        <v>111</v>
      </c>
      <c r="AE13" s="400" t="s">
        <v>443</v>
      </c>
      <c r="AF13" s="400" t="s">
        <v>444</v>
      </c>
      <c r="AG13" s="400" t="s">
        <v>445</v>
      </c>
      <c r="AH13" s="400" t="s">
        <v>446</v>
      </c>
      <c r="AI13" s="143">
        <v>3875</v>
      </c>
      <c r="AJ13" s="402">
        <v>9.0399999999999991</v>
      </c>
      <c r="AK13" s="403">
        <v>116.1</v>
      </c>
      <c r="AL13" s="400" t="s">
        <v>445</v>
      </c>
      <c r="AM13" s="400" t="s">
        <v>175</v>
      </c>
      <c r="AN13" s="400" t="s">
        <v>584</v>
      </c>
      <c r="AO13" s="400" t="s">
        <v>101</v>
      </c>
      <c r="AP13" s="400" t="s">
        <v>24</v>
      </c>
      <c r="AQ13" s="400" t="s">
        <v>448</v>
      </c>
      <c r="AR13" s="403"/>
      <c r="AS13" s="143"/>
      <c r="AT13" s="403"/>
      <c r="AU13" s="400" t="s">
        <v>452</v>
      </c>
      <c r="AV13" s="400" t="s">
        <v>179</v>
      </c>
      <c r="AW13" s="400" t="s">
        <v>450</v>
      </c>
      <c r="AX13" s="400" t="s">
        <v>177</v>
      </c>
      <c r="AY13" s="400" t="s">
        <v>178</v>
      </c>
      <c r="AZ13" s="404"/>
      <c r="BA13" s="404"/>
      <c r="BB13" s="404"/>
      <c r="BC13" s="404"/>
      <c r="BD13" s="404"/>
      <c r="BE13" s="404"/>
      <c r="BF13" s="404"/>
      <c r="BG13" s="404">
        <v>187.2</v>
      </c>
      <c r="BH13" s="400" t="s">
        <v>118</v>
      </c>
      <c r="BI13" s="404"/>
      <c r="BJ13" s="404"/>
      <c r="BK13" s="404"/>
      <c r="BL13" s="404"/>
      <c r="BM13" s="404"/>
      <c r="BN13" s="404"/>
      <c r="BO13" s="404"/>
      <c r="BP13" s="401">
        <v>29.62</v>
      </c>
      <c r="BQ13" s="405">
        <v>0.2465</v>
      </c>
      <c r="BR13" s="406">
        <v>1.12E-2</v>
      </c>
      <c r="BS13" s="401">
        <v>-5.09</v>
      </c>
      <c r="BT13" s="405">
        <v>7.1000000000000004E-3</v>
      </c>
      <c r="BU13" s="406">
        <v>1.1599999999999999E-2</v>
      </c>
      <c r="BV13" s="400" t="s">
        <v>448</v>
      </c>
      <c r="BW13" s="400" t="s">
        <v>448</v>
      </c>
      <c r="BX13" s="400" t="s">
        <v>111</v>
      </c>
      <c r="BY13" s="400" t="s">
        <v>448</v>
      </c>
      <c r="BZ13" s="402"/>
      <c r="CA13" s="400" t="s">
        <v>111</v>
      </c>
      <c r="CB13" s="400" t="s">
        <v>383</v>
      </c>
    </row>
    <row r="14" spans="1:80" s="19" customFormat="1" ht="15.75" thickBot="1">
      <c r="A14" s="248" t="s">
        <v>33</v>
      </c>
      <c r="B14" s="331">
        <f>F14</f>
        <v>1.4999999999999999E-2</v>
      </c>
      <c r="C14" s="332" t="s">
        <v>53</v>
      </c>
      <c r="D14" s="241"/>
      <c r="E14" s="249" t="s">
        <v>33</v>
      </c>
      <c r="F14" s="336">
        <v>1.4999999999999999E-2</v>
      </c>
      <c r="G14" s="270"/>
      <c r="H14" s="437">
        <v>1.29E-2</v>
      </c>
      <c r="I14" s="320" t="s">
        <v>53</v>
      </c>
      <c r="J14" s="406"/>
      <c r="K14" s="250"/>
      <c r="L14" s="232"/>
      <c r="M14" s="267"/>
      <c r="N14" s="143">
        <v>2020</v>
      </c>
      <c r="O14" s="400" t="s">
        <v>436</v>
      </c>
      <c r="P14" s="400" t="s">
        <v>437</v>
      </c>
      <c r="Q14" s="400" t="s">
        <v>436</v>
      </c>
      <c r="R14" s="400" t="s">
        <v>585</v>
      </c>
      <c r="S14" s="400" t="s">
        <v>586</v>
      </c>
      <c r="T14" s="143">
        <v>0</v>
      </c>
      <c r="U14" s="401">
        <v>1E-3</v>
      </c>
      <c r="V14" s="400" t="s">
        <v>459</v>
      </c>
      <c r="W14" s="400" t="s">
        <v>100</v>
      </c>
      <c r="X14" s="143">
        <v>282</v>
      </c>
      <c r="Y14" s="143"/>
      <c r="Z14" s="400" t="s">
        <v>442</v>
      </c>
      <c r="AA14" s="400" t="s">
        <v>31</v>
      </c>
      <c r="AB14" s="400" t="s">
        <v>395</v>
      </c>
      <c r="AC14" s="143">
        <v>1</v>
      </c>
      <c r="AD14" s="400" t="s">
        <v>111</v>
      </c>
      <c r="AE14" s="400" t="s">
        <v>443</v>
      </c>
      <c r="AF14" s="400" t="s">
        <v>444</v>
      </c>
      <c r="AG14" s="400" t="s">
        <v>445</v>
      </c>
      <c r="AH14" s="400" t="s">
        <v>446</v>
      </c>
      <c r="AI14" s="143">
        <v>3875</v>
      </c>
      <c r="AJ14" s="402">
        <v>9.0399999999999991</v>
      </c>
      <c r="AK14" s="403">
        <v>116.1</v>
      </c>
      <c r="AL14" s="400" t="s">
        <v>445</v>
      </c>
      <c r="AM14" s="400" t="s">
        <v>175</v>
      </c>
      <c r="AN14" s="400" t="s">
        <v>587</v>
      </c>
      <c r="AO14" s="400" t="s">
        <v>101</v>
      </c>
      <c r="AP14" s="400" t="s">
        <v>24</v>
      </c>
      <c r="AQ14" s="400" t="s">
        <v>448</v>
      </c>
      <c r="AR14" s="403"/>
      <c r="AS14" s="143"/>
      <c r="AT14" s="403"/>
      <c r="AU14" s="400" t="s">
        <v>449</v>
      </c>
      <c r="AV14" s="400" t="s">
        <v>176</v>
      </c>
      <c r="AW14" s="400" t="s">
        <v>450</v>
      </c>
      <c r="AX14" s="400" t="s">
        <v>177</v>
      </c>
      <c r="AY14" s="400" t="s">
        <v>178</v>
      </c>
      <c r="AZ14" s="404"/>
      <c r="BA14" s="404"/>
      <c r="BB14" s="404"/>
      <c r="BC14" s="404"/>
      <c r="BD14" s="404"/>
      <c r="BE14" s="404"/>
      <c r="BF14" s="404"/>
      <c r="BG14" s="404">
        <v>197.3</v>
      </c>
      <c r="BH14" s="400" t="s">
        <v>118</v>
      </c>
      <c r="BI14" s="404"/>
      <c r="BJ14" s="404"/>
      <c r="BK14" s="404"/>
      <c r="BL14" s="404"/>
      <c r="BM14" s="404"/>
      <c r="BN14" s="404"/>
      <c r="BO14" s="404"/>
      <c r="BP14" s="401">
        <v>36.01</v>
      </c>
      <c r="BQ14" s="405">
        <v>-0.12889999999999999</v>
      </c>
      <c r="BR14" s="406">
        <v>1.6670000000000001E-2</v>
      </c>
      <c r="BS14" s="401">
        <v>17.399999999999999</v>
      </c>
      <c r="BT14" s="405">
        <v>-0.14929999999999999</v>
      </c>
      <c r="BU14" s="406">
        <v>1.6410000000000001E-2</v>
      </c>
      <c r="BV14" s="400" t="s">
        <v>448</v>
      </c>
      <c r="BW14" s="400" t="s">
        <v>448</v>
      </c>
      <c r="BX14" s="400" t="s">
        <v>111</v>
      </c>
      <c r="BY14" s="400" t="s">
        <v>448</v>
      </c>
      <c r="BZ14" s="402"/>
      <c r="CA14" s="400" t="s">
        <v>111</v>
      </c>
      <c r="CB14" s="400" t="s">
        <v>383</v>
      </c>
    </row>
    <row r="15" spans="1:80" s="19" customFormat="1">
      <c r="A15" s="267"/>
      <c r="B15" s="267"/>
      <c r="C15" s="267"/>
      <c r="D15" s="267"/>
      <c r="E15" s="267"/>
      <c r="F15" s="267"/>
      <c r="G15" s="267"/>
      <c r="H15" s="279"/>
      <c r="I15" s="267"/>
      <c r="J15" s="267"/>
      <c r="K15" s="109"/>
      <c r="L15" s="232"/>
      <c r="M15" s="267"/>
      <c r="N15" s="143">
        <v>2020</v>
      </c>
      <c r="O15" s="400" t="s">
        <v>436</v>
      </c>
      <c r="P15" s="400" t="s">
        <v>437</v>
      </c>
      <c r="Q15" s="400" t="s">
        <v>436</v>
      </c>
      <c r="R15" s="400" t="s">
        <v>585</v>
      </c>
      <c r="S15" s="400" t="s">
        <v>586</v>
      </c>
      <c r="T15" s="143">
        <v>0</v>
      </c>
      <c r="U15" s="401">
        <v>1E-3</v>
      </c>
      <c r="V15" s="400" t="s">
        <v>459</v>
      </c>
      <c r="W15" s="400" t="s">
        <v>100</v>
      </c>
      <c r="X15" s="143">
        <v>282</v>
      </c>
      <c r="Y15" s="143"/>
      <c r="Z15" s="400" t="s">
        <v>442</v>
      </c>
      <c r="AA15" s="400" t="s">
        <v>31</v>
      </c>
      <c r="AB15" s="400" t="s">
        <v>395</v>
      </c>
      <c r="AC15" s="143">
        <v>1</v>
      </c>
      <c r="AD15" s="400" t="s">
        <v>111</v>
      </c>
      <c r="AE15" s="400" t="s">
        <v>443</v>
      </c>
      <c r="AF15" s="400" t="s">
        <v>444</v>
      </c>
      <c r="AG15" s="400" t="s">
        <v>445</v>
      </c>
      <c r="AH15" s="400" t="s">
        <v>446</v>
      </c>
      <c r="AI15" s="143">
        <v>3875</v>
      </c>
      <c r="AJ15" s="402">
        <v>9.0399999999999991</v>
      </c>
      <c r="AK15" s="403">
        <v>116.1</v>
      </c>
      <c r="AL15" s="400" t="s">
        <v>445</v>
      </c>
      <c r="AM15" s="400" t="s">
        <v>175</v>
      </c>
      <c r="AN15" s="400" t="s">
        <v>588</v>
      </c>
      <c r="AO15" s="400" t="s">
        <v>101</v>
      </c>
      <c r="AP15" s="400" t="s">
        <v>24</v>
      </c>
      <c r="AQ15" s="400" t="s">
        <v>448</v>
      </c>
      <c r="AR15" s="403"/>
      <c r="AS15" s="143"/>
      <c r="AT15" s="403"/>
      <c r="AU15" s="400" t="s">
        <v>452</v>
      </c>
      <c r="AV15" s="400" t="s">
        <v>179</v>
      </c>
      <c r="AW15" s="400" t="s">
        <v>450</v>
      </c>
      <c r="AX15" s="400" t="s">
        <v>177</v>
      </c>
      <c r="AY15" s="400" t="s">
        <v>178</v>
      </c>
      <c r="AZ15" s="404"/>
      <c r="BA15" s="404"/>
      <c r="BB15" s="404"/>
      <c r="BC15" s="404"/>
      <c r="BD15" s="404"/>
      <c r="BE15" s="404"/>
      <c r="BF15" s="404"/>
      <c r="BG15" s="404">
        <v>176.6</v>
      </c>
      <c r="BH15" s="400" t="s">
        <v>118</v>
      </c>
      <c r="BI15" s="404"/>
      <c r="BJ15" s="404"/>
      <c r="BK15" s="404"/>
      <c r="BL15" s="404"/>
      <c r="BM15" s="404"/>
      <c r="BN15" s="404"/>
      <c r="BO15" s="404"/>
      <c r="BP15" s="401">
        <v>36.01</v>
      </c>
      <c r="BQ15" s="405">
        <v>-0.12889999999999999</v>
      </c>
      <c r="BR15" s="406">
        <v>1.6670000000000001E-2</v>
      </c>
      <c r="BS15" s="401">
        <v>17.399999999999999</v>
      </c>
      <c r="BT15" s="405">
        <v>-0.14929999999999999</v>
      </c>
      <c r="BU15" s="406">
        <v>1.6410000000000001E-2</v>
      </c>
      <c r="BV15" s="400" t="s">
        <v>448</v>
      </c>
      <c r="BW15" s="400" t="s">
        <v>448</v>
      </c>
      <c r="BX15" s="400" t="s">
        <v>111</v>
      </c>
      <c r="BY15" s="400" t="s">
        <v>448</v>
      </c>
      <c r="BZ15" s="402"/>
      <c r="CA15" s="400" t="s">
        <v>111</v>
      </c>
      <c r="CB15" s="400" t="s">
        <v>383</v>
      </c>
    </row>
    <row r="16" spans="1:80">
      <c r="L16" s="232"/>
      <c r="N16" s="143">
        <v>2020</v>
      </c>
      <c r="O16" s="400" t="s">
        <v>436</v>
      </c>
      <c r="P16" s="400" t="s">
        <v>437</v>
      </c>
      <c r="Q16" s="400" t="s">
        <v>438</v>
      </c>
      <c r="R16" s="400" t="s">
        <v>439</v>
      </c>
      <c r="S16" s="400" t="s">
        <v>440</v>
      </c>
      <c r="T16" s="143">
        <v>0</v>
      </c>
      <c r="U16" s="401">
        <v>1E-3</v>
      </c>
      <c r="V16" s="400" t="s">
        <v>441</v>
      </c>
      <c r="W16" s="400" t="s">
        <v>100</v>
      </c>
      <c r="X16" s="143">
        <v>258</v>
      </c>
      <c r="Y16" s="143"/>
      <c r="Z16" s="400" t="s">
        <v>442</v>
      </c>
      <c r="AA16" s="400" t="s">
        <v>31</v>
      </c>
      <c r="AB16" s="400" t="s">
        <v>395</v>
      </c>
      <c r="AC16" s="143">
        <v>1</v>
      </c>
      <c r="AD16" s="400" t="s">
        <v>111</v>
      </c>
      <c r="AE16" s="400" t="s">
        <v>443</v>
      </c>
      <c r="AF16" s="400" t="s">
        <v>444</v>
      </c>
      <c r="AG16" s="400" t="s">
        <v>445</v>
      </c>
      <c r="AH16" s="400" t="s">
        <v>446</v>
      </c>
      <c r="AI16" s="143">
        <v>4250</v>
      </c>
      <c r="AJ16" s="402">
        <v>9</v>
      </c>
      <c r="AK16" s="403">
        <v>116.1</v>
      </c>
      <c r="AL16" s="400" t="s">
        <v>445</v>
      </c>
      <c r="AM16" s="400" t="s">
        <v>175</v>
      </c>
      <c r="AN16" s="400" t="s">
        <v>447</v>
      </c>
      <c r="AO16" s="400" t="s">
        <v>101</v>
      </c>
      <c r="AP16" s="400" t="s">
        <v>24</v>
      </c>
      <c r="AQ16" s="400" t="s">
        <v>448</v>
      </c>
      <c r="AR16" s="403"/>
      <c r="AS16" s="143"/>
      <c r="AT16" s="403"/>
      <c r="AU16" s="400" t="s">
        <v>449</v>
      </c>
      <c r="AV16" s="400" t="s">
        <v>176</v>
      </c>
      <c r="AW16" s="400" t="s">
        <v>450</v>
      </c>
      <c r="AX16" s="400" t="s">
        <v>177</v>
      </c>
      <c r="AY16" s="400" t="s">
        <v>178</v>
      </c>
      <c r="AZ16" s="404"/>
      <c r="BA16" s="404"/>
      <c r="BB16" s="404"/>
      <c r="BC16" s="404"/>
      <c r="BD16" s="404"/>
      <c r="BE16" s="404"/>
      <c r="BF16" s="404"/>
      <c r="BG16" s="404">
        <v>186.6</v>
      </c>
      <c r="BH16" s="400" t="s">
        <v>118</v>
      </c>
      <c r="BI16" s="404"/>
      <c r="BJ16" s="404"/>
      <c r="BK16" s="404"/>
      <c r="BL16" s="404"/>
      <c r="BM16" s="404"/>
      <c r="BN16" s="404"/>
      <c r="BO16" s="404"/>
      <c r="BP16" s="401">
        <v>38.51</v>
      </c>
      <c r="BQ16" s="405">
        <v>-8.1100000000000005E-2</v>
      </c>
      <c r="BR16" s="406">
        <v>1.61E-2</v>
      </c>
      <c r="BS16" s="401">
        <v>-12.12</v>
      </c>
      <c r="BT16" s="405">
        <v>0.2046</v>
      </c>
      <c r="BU16" s="406">
        <v>1.15E-2</v>
      </c>
      <c r="BV16" s="400" t="s">
        <v>448</v>
      </c>
      <c r="BW16" s="400" t="s">
        <v>448</v>
      </c>
      <c r="BX16" s="400" t="s">
        <v>111</v>
      </c>
      <c r="BY16" s="400" t="s">
        <v>448</v>
      </c>
      <c r="BZ16" s="402"/>
      <c r="CA16" s="400" t="s">
        <v>111</v>
      </c>
      <c r="CB16" s="400" t="s">
        <v>383</v>
      </c>
    </row>
    <row r="17" spans="1:80" ht="15.75" thickBot="1">
      <c r="A17" s="10" t="s">
        <v>37</v>
      </c>
      <c r="B17" s="11"/>
      <c r="C17" s="11"/>
      <c r="D17" s="11"/>
      <c r="E17" s="11"/>
      <c r="F17" s="11"/>
      <c r="G17" s="11"/>
      <c r="H17" s="11"/>
      <c r="I17" s="11"/>
      <c r="J17" s="11"/>
      <c r="K17" s="11"/>
      <c r="L17" s="232"/>
      <c r="N17" s="143">
        <v>2020</v>
      </c>
      <c r="O17" s="400" t="s">
        <v>436</v>
      </c>
      <c r="P17" s="400" t="s">
        <v>437</v>
      </c>
      <c r="Q17" s="400" t="s">
        <v>438</v>
      </c>
      <c r="R17" s="400" t="s">
        <v>439</v>
      </c>
      <c r="S17" s="400" t="s">
        <v>440</v>
      </c>
      <c r="T17" s="143">
        <v>0</v>
      </c>
      <c r="U17" s="401">
        <v>1E-3</v>
      </c>
      <c r="V17" s="400" t="s">
        <v>441</v>
      </c>
      <c r="W17" s="400" t="s">
        <v>100</v>
      </c>
      <c r="X17" s="143">
        <v>258</v>
      </c>
      <c r="Y17" s="143"/>
      <c r="Z17" s="400" t="s">
        <v>442</v>
      </c>
      <c r="AA17" s="400" t="s">
        <v>31</v>
      </c>
      <c r="AB17" s="400" t="s">
        <v>395</v>
      </c>
      <c r="AC17" s="143">
        <v>1</v>
      </c>
      <c r="AD17" s="400" t="s">
        <v>111</v>
      </c>
      <c r="AE17" s="400" t="s">
        <v>443</v>
      </c>
      <c r="AF17" s="400" t="s">
        <v>444</v>
      </c>
      <c r="AG17" s="400" t="s">
        <v>445</v>
      </c>
      <c r="AH17" s="400" t="s">
        <v>446</v>
      </c>
      <c r="AI17" s="143">
        <v>4250</v>
      </c>
      <c r="AJ17" s="402">
        <v>9</v>
      </c>
      <c r="AK17" s="403">
        <v>116.1</v>
      </c>
      <c r="AL17" s="400" t="s">
        <v>445</v>
      </c>
      <c r="AM17" s="400" t="s">
        <v>175</v>
      </c>
      <c r="AN17" s="400" t="s">
        <v>451</v>
      </c>
      <c r="AO17" s="400" t="s">
        <v>101</v>
      </c>
      <c r="AP17" s="400" t="s">
        <v>24</v>
      </c>
      <c r="AQ17" s="400" t="s">
        <v>448</v>
      </c>
      <c r="AR17" s="403"/>
      <c r="AS17" s="143"/>
      <c r="AT17" s="403"/>
      <c r="AU17" s="400" t="s">
        <v>452</v>
      </c>
      <c r="AV17" s="400" t="s">
        <v>179</v>
      </c>
      <c r="AW17" s="400" t="s">
        <v>450</v>
      </c>
      <c r="AX17" s="400" t="s">
        <v>177</v>
      </c>
      <c r="AY17" s="400" t="s">
        <v>178</v>
      </c>
      <c r="AZ17" s="404"/>
      <c r="BA17" s="404"/>
      <c r="BB17" s="404"/>
      <c r="BC17" s="404"/>
      <c r="BD17" s="404"/>
      <c r="BE17" s="404"/>
      <c r="BF17" s="404"/>
      <c r="BG17" s="404">
        <v>171.4</v>
      </c>
      <c r="BH17" s="400" t="s">
        <v>118</v>
      </c>
      <c r="BI17" s="404"/>
      <c r="BJ17" s="404"/>
      <c r="BK17" s="404"/>
      <c r="BL17" s="404"/>
      <c r="BM17" s="404"/>
      <c r="BN17" s="404"/>
      <c r="BO17" s="404"/>
      <c r="BP17" s="401">
        <v>38.51</v>
      </c>
      <c r="BQ17" s="405">
        <v>-8.1100000000000005E-2</v>
      </c>
      <c r="BR17" s="406">
        <v>1.61E-2</v>
      </c>
      <c r="BS17" s="401">
        <v>-12.12</v>
      </c>
      <c r="BT17" s="405">
        <v>0.2046</v>
      </c>
      <c r="BU17" s="406">
        <v>1.15E-2</v>
      </c>
      <c r="BV17" s="400" t="s">
        <v>448</v>
      </c>
      <c r="BW17" s="400" t="s">
        <v>448</v>
      </c>
      <c r="BX17" s="400" t="s">
        <v>111</v>
      </c>
      <c r="BY17" s="400" t="s">
        <v>448</v>
      </c>
      <c r="BZ17" s="402"/>
      <c r="CA17" s="400" t="s">
        <v>111</v>
      </c>
      <c r="CB17" s="400" t="s">
        <v>383</v>
      </c>
    </row>
    <row r="18" spans="1:80">
      <c r="A18" s="12" t="s">
        <v>38</v>
      </c>
      <c r="B18" s="13"/>
      <c r="C18" s="13"/>
      <c r="D18" s="13"/>
      <c r="E18" s="13"/>
      <c r="F18" s="13"/>
      <c r="G18" s="13"/>
      <c r="H18" s="13"/>
      <c r="I18" s="13"/>
      <c r="J18" s="13"/>
      <c r="K18" s="13"/>
      <c r="L18" s="232"/>
      <c r="N18" s="143">
        <v>2020</v>
      </c>
      <c r="O18" s="400" t="s">
        <v>436</v>
      </c>
      <c r="P18" s="400" t="s">
        <v>437</v>
      </c>
      <c r="Q18" s="400" t="s">
        <v>438</v>
      </c>
      <c r="R18" s="400" t="s">
        <v>454</v>
      </c>
      <c r="S18" s="400" t="s">
        <v>455</v>
      </c>
      <c r="T18" s="143">
        <v>0</v>
      </c>
      <c r="U18" s="401">
        <v>1E-3</v>
      </c>
      <c r="V18" s="400" t="s">
        <v>456</v>
      </c>
      <c r="W18" s="400" t="s">
        <v>100</v>
      </c>
      <c r="X18" s="143">
        <v>270</v>
      </c>
      <c r="Y18" s="143"/>
      <c r="Z18" s="400" t="s">
        <v>442</v>
      </c>
      <c r="AA18" s="400" t="s">
        <v>31</v>
      </c>
      <c r="AB18" s="400" t="s">
        <v>395</v>
      </c>
      <c r="AC18" s="143">
        <v>1</v>
      </c>
      <c r="AD18" s="400" t="s">
        <v>111</v>
      </c>
      <c r="AE18" s="400" t="s">
        <v>443</v>
      </c>
      <c r="AF18" s="400" t="s">
        <v>444</v>
      </c>
      <c r="AG18" s="400" t="s">
        <v>445</v>
      </c>
      <c r="AH18" s="400" t="s">
        <v>446</v>
      </c>
      <c r="AI18" s="143">
        <v>4250</v>
      </c>
      <c r="AJ18" s="402">
        <v>9.0399999999999991</v>
      </c>
      <c r="AK18" s="403">
        <v>116.1</v>
      </c>
      <c r="AL18" s="400" t="s">
        <v>445</v>
      </c>
      <c r="AM18" s="400" t="s">
        <v>175</v>
      </c>
      <c r="AN18" s="400" t="s">
        <v>457</v>
      </c>
      <c r="AO18" s="400" t="s">
        <v>101</v>
      </c>
      <c r="AP18" s="400" t="s">
        <v>24</v>
      </c>
      <c r="AQ18" s="400" t="s">
        <v>448</v>
      </c>
      <c r="AR18" s="403"/>
      <c r="AS18" s="143"/>
      <c r="AT18" s="403"/>
      <c r="AU18" s="400" t="s">
        <v>449</v>
      </c>
      <c r="AV18" s="400" t="s">
        <v>176</v>
      </c>
      <c r="AW18" s="400" t="s">
        <v>450</v>
      </c>
      <c r="AX18" s="400" t="s">
        <v>177</v>
      </c>
      <c r="AY18" s="400" t="s">
        <v>178</v>
      </c>
      <c r="AZ18" s="404"/>
      <c r="BA18" s="404"/>
      <c r="BB18" s="404"/>
      <c r="BC18" s="404"/>
      <c r="BD18" s="404"/>
      <c r="BE18" s="404"/>
      <c r="BF18" s="404"/>
      <c r="BG18" s="404">
        <v>182.4</v>
      </c>
      <c r="BH18" s="400" t="s">
        <v>118</v>
      </c>
      <c r="BI18" s="404"/>
      <c r="BJ18" s="404"/>
      <c r="BK18" s="404"/>
      <c r="BL18" s="404"/>
      <c r="BM18" s="404"/>
      <c r="BN18" s="404"/>
      <c r="BO18" s="404"/>
      <c r="BP18" s="401">
        <v>36.909999999999997</v>
      </c>
      <c r="BQ18" s="405">
        <v>-0.113</v>
      </c>
      <c r="BR18" s="406">
        <v>1.6469999999999999E-2</v>
      </c>
      <c r="BS18" s="401">
        <v>-5.21</v>
      </c>
      <c r="BT18" s="405">
        <v>-5.4300000000000001E-2</v>
      </c>
      <c r="BU18" s="406">
        <v>1.46E-2</v>
      </c>
      <c r="BV18" s="400" t="s">
        <v>448</v>
      </c>
      <c r="BW18" s="400" t="s">
        <v>448</v>
      </c>
      <c r="BX18" s="400" t="s">
        <v>111</v>
      </c>
      <c r="BY18" s="400" t="s">
        <v>448</v>
      </c>
      <c r="BZ18" s="402"/>
      <c r="CA18" s="400" t="s">
        <v>111</v>
      </c>
      <c r="CB18" s="400" t="s">
        <v>383</v>
      </c>
    </row>
    <row r="19" spans="1:80">
      <c r="A19" s="14"/>
      <c r="B19" s="15" t="s">
        <v>39</v>
      </c>
      <c r="C19" s="1"/>
      <c r="D19" s="1"/>
      <c r="E19" s="1"/>
      <c r="F19" s="1"/>
      <c r="G19" s="1"/>
      <c r="H19" s="1"/>
      <c r="I19" s="1"/>
      <c r="J19" s="1"/>
      <c r="K19" s="1"/>
      <c r="L19" s="232"/>
      <c r="N19" s="143">
        <v>2020</v>
      </c>
      <c r="O19" s="400" t="s">
        <v>436</v>
      </c>
      <c r="P19" s="400" t="s">
        <v>437</v>
      </c>
      <c r="Q19" s="400" t="s">
        <v>438</v>
      </c>
      <c r="R19" s="400" t="s">
        <v>454</v>
      </c>
      <c r="S19" s="400" t="s">
        <v>455</v>
      </c>
      <c r="T19" s="143">
        <v>0</v>
      </c>
      <c r="U19" s="401">
        <v>1E-3</v>
      </c>
      <c r="V19" s="400" t="s">
        <v>456</v>
      </c>
      <c r="W19" s="400" t="s">
        <v>100</v>
      </c>
      <c r="X19" s="143">
        <v>270</v>
      </c>
      <c r="Y19" s="143"/>
      <c r="Z19" s="400" t="s">
        <v>442</v>
      </c>
      <c r="AA19" s="400" t="s">
        <v>31</v>
      </c>
      <c r="AB19" s="400" t="s">
        <v>395</v>
      </c>
      <c r="AC19" s="143">
        <v>1</v>
      </c>
      <c r="AD19" s="400" t="s">
        <v>111</v>
      </c>
      <c r="AE19" s="400" t="s">
        <v>443</v>
      </c>
      <c r="AF19" s="400" t="s">
        <v>444</v>
      </c>
      <c r="AG19" s="400" t="s">
        <v>445</v>
      </c>
      <c r="AH19" s="400" t="s">
        <v>446</v>
      </c>
      <c r="AI19" s="143">
        <v>4250</v>
      </c>
      <c r="AJ19" s="402">
        <v>9.0399999999999991</v>
      </c>
      <c r="AK19" s="403">
        <v>116.1</v>
      </c>
      <c r="AL19" s="400" t="s">
        <v>445</v>
      </c>
      <c r="AM19" s="400" t="s">
        <v>175</v>
      </c>
      <c r="AN19" s="400" t="s">
        <v>458</v>
      </c>
      <c r="AO19" s="400" t="s">
        <v>101</v>
      </c>
      <c r="AP19" s="400" t="s">
        <v>24</v>
      </c>
      <c r="AQ19" s="400" t="s">
        <v>448</v>
      </c>
      <c r="AR19" s="403"/>
      <c r="AS19" s="143"/>
      <c r="AT19" s="403"/>
      <c r="AU19" s="400" t="s">
        <v>452</v>
      </c>
      <c r="AV19" s="400" t="s">
        <v>179</v>
      </c>
      <c r="AW19" s="400" t="s">
        <v>450</v>
      </c>
      <c r="AX19" s="400" t="s">
        <v>177</v>
      </c>
      <c r="AY19" s="400" t="s">
        <v>178</v>
      </c>
      <c r="AZ19" s="404"/>
      <c r="BA19" s="404"/>
      <c r="BB19" s="404"/>
      <c r="BC19" s="404"/>
      <c r="BD19" s="404"/>
      <c r="BE19" s="404"/>
      <c r="BF19" s="404"/>
      <c r="BG19" s="404">
        <v>167.7</v>
      </c>
      <c r="BH19" s="400" t="s">
        <v>118</v>
      </c>
      <c r="BI19" s="404"/>
      <c r="BJ19" s="404"/>
      <c r="BK19" s="404"/>
      <c r="BL19" s="404"/>
      <c r="BM19" s="404"/>
      <c r="BN19" s="404"/>
      <c r="BO19" s="404"/>
      <c r="BP19" s="401">
        <v>36.909999999999997</v>
      </c>
      <c r="BQ19" s="405">
        <v>-0.113</v>
      </c>
      <c r="BR19" s="406">
        <v>1.6469999999999999E-2</v>
      </c>
      <c r="BS19" s="401">
        <v>-5.21</v>
      </c>
      <c r="BT19" s="405">
        <v>-5.4300000000000001E-2</v>
      </c>
      <c r="BU19" s="406">
        <v>1.46E-2</v>
      </c>
      <c r="BV19" s="400" t="s">
        <v>448</v>
      </c>
      <c r="BW19" s="400" t="s">
        <v>448</v>
      </c>
      <c r="BX19" s="400" t="s">
        <v>111</v>
      </c>
      <c r="BY19" s="400" t="s">
        <v>448</v>
      </c>
      <c r="BZ19" s="402"/>
      <c r="CA19" s="400" t="s">
        <v>111</v>
      </c>
      <c r="CB19" s="400" t="s">
        <v>383</v>
      </c>
    </row>
    <row r="20" spans="1:80">
      <c r="A20" s="14"/>
      <c r="B20" s="1" t="s">
        <v>347</v>
      </c>
      <c r="C20" s="1"/>
      <c r="D20" s="1"/>
      <c r="E20" s="1"/>
      <c r="F20" s="1"/>
      <c r="G20" s="1"/>
      <c r="H20" s="1"/>
      <c r="I20" s="1"/>
      <c r="J20" s="1"/>
      <c r="K20" s="1"/>
      <c r="L20" s="232"/>
      <c r="N20" s="251"/>
      <c r="O20" s="251"/>
      <c r="P20" s="251"/>
      <c r="Q20" s="251"/>
      <c r="R20" s="19"/>
      <c r="S20" s="19"/>
      <c r="T20" s="19"/>
      <c r="U20" s="19"/>
      <c r="V20" s="19"/>
      <c r="W20" s="19"/>
      <c r="X20" s="19"/>
      <c r="Y20" s="19"/>
      <c r="Z20" s="19"/>
      <c r="AA20" s="19"/>
    </row>
    <row r="21" spans="1:80" ht="15.75" thickBot="1">
      <c r="A21" s="16"/>
      <c r="B21" s="17" t="s">
        <v>347</v>
      </c>
      <c r="C21" s="17"/>
      <c r="D21" s="17"/>
      <c r="E21" s="17"/>
      <c r="F21" s="17"/>
      <c r="G21" s="17"/>
      <c r="H21" s="17"/>
      <c r="I21" s="17"/>
      <c r="J21" s="17"/>
      <c r="K21" s="17"/>
      <c r="L21" s="232"/>
      <c r="N21" s="251"/>
      <c r="P21" s="251"/>
      <c r="Q21" s="251"/>
      <c r="X21" s="19"/>
      <c r="Y21" s="19"/>
      <c r="Z21" s="19"/>
      <c r="AA21" s="19"/>
    </row>
    <row r="22" spans="1:80" ht="15.75" thickBot="1">
      <c r="L22" s="232"/>
      <c r="N22" s="251"/>
      <c r="P22" s="251"/>
      <c r="Q22" s="251"/>
      <c r="W22" s="24"/>
    </row>
    <row r="23" spans="1:80">
      <c r="A23" s="12" t="s">
        <v>16</v>
      </c>
      <c r="B23" s="422" t="s">
        <v>6</v>
      </c>
      <c r="C23" s="422" t="s">
        <v>523</v>
      </c>
      <c r="D23" s="423" t="s">
        <v>593</v>
      </c>
      <c r="E23" s="13" t="s">
        <v>531</v>
      </c>
      <c r="F23" s="13" t="s">
        <v>535</v>
      </c>
      <c r="G23" s="13"/>
      <c r="H23" s="13"/>
      <c r="I23" s="13"/>
      <c r="J23" s="13"/>
      <c r="K23" s="13"/>
      <c r="L23" s="232"/>
      <c r="N23" s="251"/>
      <c r="P23" s="251"/>
      <c r="Q23" s="251"/>
      <c r="W23" s="24"/>
      <c r="X23" s="24"/>
      <c r="Y23" s="24"/>
      <c r="Z23" s="1"/>
    </row>
    <row r="24" spans="1:80">
      <c r="A24" s="14" t="s">
        <v>40</v>
      </c>
      <c r="B24" s="44" t="s">
        <v>533</v>
      </c>
      <c r="C24" s="1">
        <v>500</v>
      </c>
      <c r="D24" s="24">
        <v>600</v>
      </c>
      <c r="E24" s="1"/>
      <c r="F24" s="1"/>
      <c r="G24" s="1"/>
      <c r="H24" s="1"/>
      <c r="I24" s="1"/>
      <c r="J24" s="1"/>
      <c r="K24" s="1"/>
      <c r="L24" s="232"/>
      <c r="N24" s="251"/>
      <c r="O24" s="251"/>
      <c r="P24" s="251"/>
      <c r="Q24" s="251"/>
      <c r="W24" s="24"/>
      <c r="X24" s="24"/>
      <c r="Y24" s="24"/>
      <c r="Z24" s="1"/>
    </row>
    <row r="25" spans="1:80">
      <c r="A25" s="14" t="s">
        <v>41</v>
      </c>
      <c r="B25" s="44" t="s">
        <v>534</v>
      </c>
      <c r="C25" s="1">
        <v>1000</v>
      </c>
      <c r="D25" s="24">
        <v>600</v>
      </c>
      <c r="E25" s="1"/>
      <c r="F25" s="1"/>
      <c r="G25" s="1"/>
      <c r="H25" s="1"/>
      <c r="I25" s="1"/>
      <c r="J25" s="1"/>
      <c r="K25" s="1"/>
      <c r="L25" s="232"/>
      <c r="N25" s="251"/>
      <c r="O25" s="251"/>
      <c r="P25" s="251"/>
      <c r="Q25" s="251"/>
      <c r="S25" s="19"/>
      <c r="T25" s="19"/>
      <c r="U25" s="19"/>
      <c r="W25" s="24"/>
      <c r="X25" s="24"/>
      <c r="Y25" s="24"/>
      <c r="Z25" s="1"/>
    </row>
    <row r="26" spans="1:80">
      <c r="A26" s="14" t="s">
        <v>42</v>
      </c>
      <c r="B26" s="44" t="s">
        <v>471</v>
      </c>
      <c r="C26" s="1">
        <v>200</v>
      </c>
      <c r="D26" s="24">
        <v>600</v>
      </c>
      <c r="E26" s="1"/>
      <c r="F26" s="1"/>
      <c r="G26" s="1"/>
      <c r="H26" s="1"/>
      <c r="I26" s="1"/>
      <c r="J26" s="1"/>
      <c r="K26" s="1"/>
      <c r="L26" s="232"/>
      <c r="P26" s="251"/>
      <c r="Q26" s="251"/>
      <c r="R26" s="19"/>
      <c r="S26" s="19"/>
      <c r="T26" s="19"/>
      <c r="U26" s="6"/>
      <c r="V26" s="1"/>
      <c r="W26" s="24"/>
      <c r="X26" s="24"/>
      <c r="Y26" s="1"/>
    </row>
    <row r="27" spans="1:80">
      <c r="A27" s="14" t="s">
        <v>43</v>
      </c>
      <c r="B27" s="44" t="s">
        <v>472</v>
      </c>
      <c r="C27" s="44">
        <v>500</v>
      </c>
      <c r="D27" s="24">
        <v>600</v>
      </c>
      <c r="E27" s="1"/>
      <c r="F27" s="1"/>
      <c r="G27" s="1"/>
      <c r="H27" s="1"/>
      <c r="I27" s="1"/>
      <c r="J27" s="1"/>
      <c r="K27" s="1"/>
      <c r="L27" s="232"/>
      <c r="M27" s="268"/>
      <c r="N27" s="252">
        <f>B1</f>
        <v>0</v>
      </c>
      <c r="O27" s="252"/>
      <c r="P27" s="251"/>
      <c r="Q27" s="251"/>
      <c r="R27" s="19"/>
      <c r="S27" s="253"/>
      <c r="T27" s="19"/>
      <c r="V27" s="1"/>
      <c r="W27" s="1"/>
      <c r="X27" s="1"/>
      <c r="Y27" s="1"/>
    </row>
    <row r="28" spans="1:80" ht="14.25" customHeight="1">
      <c r="A28" s="14" t="s">
        <v>44</v>
      </c>
      <c r="B28" s="44" t="s">
        <v>433</v>
      </c>
      <c r="C28" s="44">
        <v>200</v>
      </c>
      <c r="D28" s="24">
        <v>600</v>
      </c>
      <c r="E28" s="1" t="s">
        <v>532</v>
      </c>
      <c r="F28" s="1"/>
      <c r="G28" s="1"/>
      <c r="H28" s="1"/>
      <c r="I28" s="1"/>
      <c r="J28" s="1"/>
      <c r="K28" s="1"/>
      <c r="L28" s="232"/>
      <c r="M28" s="268"/>
      <c r="N28" s="254" t="s">
        <v>348</v>
      </c>
      <c r="O28" s="254" t="s">
        <v>349</v>
      </c>
      <c r="P28" s="251"/>
      <c r="Q28" s="251"/>
      <c r="R28" s="19"/>
      <c r="S28" s="253"/>
      <c r="T28" s="19"/>
      <c r="V28" s="1"/>
      <c r="W28" s="1"/>
      <c r="X28" s="1"/>
      <c r="Y28" s="1"/>
    </row>
    <row r="29" spans="1:80">
      <c r="A29" s="14" t="s">
        <v>45</v>
      </c>
      <c r="B29" s="44" t="s">
        <v>473</v>
      </c>
      <c r="C29" s="44">
        <v>200</v>
      </c>
      <c r="D29" s="24">
        <v>600</v>
      </c>
      <c r="E29" s="1" t="s">
        <v>532</v>
      </c>
      <c r="F29" s="1"/>
      <c r="G29" s="1"/>
      <c r="H29" s="1"/>
      <c r="I29" s="1"/>
      <c r="J29" s="1"/>
      <c r="K29" s="1"/>
      <c r="L29" s="232"/>
      <c r="N29" s="255">
        <v>0</v>
      </c>
      <c r="O29" s="47">
        <f t="shared" ref="O29:O37" si="0">N29*0.44704*($F$12+$F$13*N29+$F$14*N29*N29)*4.44822162/1000</f>
        <v>0</v>
      </c>
      <c r="P29" s="251"/>
      <c r="Q29" s="251"/>
      <c r="R29" s="19"/>
      <c r="S29" s="253"/>
      <c r="T29" s="19"/>
      <c r="W29" s="1"/>
      <c r="X29" s="1"/>
      <c r="Y29" s="1"/>
    </row>
    <row r="30" spans="1:80">
      <c r="A30" s="14" t="s">
        <v>350</v>
      </c>
      <c r="B30" s="44" t="s">
        <v>474</v>
      </c>
      <c r="C30" s="44">
        <v>200</v>
      </c>
      <c r="D30" s="24">
        <v>600</v>
      </c>
      <c r="E30" s="44" t="s">
        <v>532</v>
      </c>
      <c r="F30" s="44" t="s">
        <v>536</v>
      </c>
      <c r="G30" s="1"/>
      <c r="H30" s="1"/>
      <c r="I30" s="1"/>
      <c r="J30" s="1"/>
      <c r="K30" s="1"/>
      <c r="L30" s="232"/>
      <c r="N30" s="255">
        <v>10</v>
      </c>
      <c r="O30" s="47">
        <f t="shared" si="0"/>
        <v>0.8056541421158947</v>
      </c>
      <c r="P30" s="251"/>
      <c r="Q30" s="251"/>
      <c r="R30" s="19"/>
      <c r="S30" s="253"/>
      <c r="T30" s="19"/>
    </row>
    <row r="31" spans="1:80">
      <c r="A31" s="14" t="s">
        <v>351</v>
      </c>
      <c r="B31" s="44" t="s">
        <v>475</v>
      </c>
      <c r="C31" s="44">
        <v>200</v>
      </c>
      <c r="D31" s="24">
        <v>15</v>
      </c>
      <c r="E31" s="44"/>
      <c r="F31" s="1"/>
      <c r="G31" s="1"/>
      <c r="H31" s="1"/>
      <c r="I31" s="1"/>
      <c r="J31" s="1"/>
      <c r="K31" s="1"/>
      <c r="L31" s="232"/>
      <c r="N31" s="255">
        <v>20</v>
      </c>
      <c r="O31" s="47">
        <f t="shared" si="0"/>
        <v>1.8024063048595507</v>
      </c>
      <c r="P31" s="251"/>
      <c r="Q31" s="251"/>
      <c r="R31" s="19"/>
      <c r="S31" s="19"/>
      <c r="T31" s="19"/>
    </row>
    <row r="32" spans="1:80">
      <c r="A32" s="14" t="s">
        <v>521</v>
      </c>
      <c r="B32" s="44" t="s">
        <v>619</v>
      </c>
      <c r="C32" s="44">
        <v>200</v>
      </c>
      <c r="D32" s="24">
        <v>300</v>
      </c>
      <c r="E32" s="44" t="s">
        <v>538</v>
      </c>
      <c r="F32" s="1"/>
      <c r="G32" s="1"/>
      <c r="H32" s="1"/>
      <c r="I32" s="1"/>
      <c r="J32" s="1"/>
      <c r="K32" s="1"/>
      <c r="L32" s="232"/>
      <c r="N32" s="255">
        <v>30</v>
      </c>
      <c r="O32" s="47">
        <f t="shared" si="0"/>
        <v>3.1692244576013997</v>
      </c>
      <c r="P32" s="251"/>
      <c r="Q32" s="251"/>
      <c r="R32" s="19"/>
      <c r="S32" s="19"/>
      <c r="T32" s="19"/>
    </row>
    <row r="33" spans="1:20">
      <c r="A33" s="14" t="s">
        <v>522</v>
      </c>
      <c r="B33" s="44" t="s">
        <v>537</v>
      </c>
      <c r="C33" s="44">
        <v>200</v>
      </c>
      <c r="D33" s="134">
        <v>300</v>
      </c>
      <c r="E33" s="279" t="s">
        <v>538</v>
      </c>
      <c r="F33" s="1"/>
      <c r="G33" s="1"/>
      <c r="H33" s="1"/>
      <c r="I33" s="1"/>
      <c r="J33" s="1"/>
      <c r="K33" s="1"/>
      <c r="L33" s="232"/>
      <c r="N33" s="255">
        <v>40</v>
      </c>
      <c r="O33" s="47">
        <f t="shared" si="0"/>
        <v>5.0850765697118741</v>
      </c>
      <c r="P33" s="251"/>
      <c r="Q33" s="251"/>
      <c r="R33" s="19"/>
      <c r="S33" s="19"/>
      <c r="T33" s="19"/>
    </row>
    <row r="34" spans="1:20">
      <c r="A34" s="14" t="s">
        <v>540</v>
      </c>
      <c r="B34" s="44" t="s">
        <v>539</v>
      </c>
      <c r="C34" s="44">
        <v>200</v>
      </c>
      <c r="D34" s="134">
        <v>15</v>
      </c>
      <c r="E34" s="279"/>
      <c r="F34" s="1"/>
      <c r="G34" s="1"/>
      <c r="H34" s="1"/>
      <c r="I34" s="1"/>
      <c r="J34" s="1"/>
      <c r="K34" s="1"/>
      <c r="L34" s="232"/>
      <c r="N34" s="255">
        <v>50</v>
      </c>
      <c r="O34" s="47">
        <f t="shared" si="0"/>
        <v>7.728930610561406</v>
      </c>
      <c r="P34" s="251"/>
      <c r="Q34" s="251"/>
      <c r="R34" s="19"/>
      <c r="S34" s="19"/>
      <c r="T34" s="19"/>
    </row>
    <row r="35" spans="1:20" ht="15.75" thickBot="1">
      <c r="A35" s="16"/>
      <c r="B35" s="17"/>
      <c r="C35" s="17"/>
      <c r="D35" s="17"/>
      <c r="E35" s="17"/>
      <c r="F35" s="17"/>
      <c r="G35" s="17"/>
      <c r="H35" s="17"/>
      <c r="I35" s="17"/>
      <c r="J35" s="17"/>
      <c r="K35" s="17"/>
      <c r="L35" s="232"/>
      <c r="N35" s="255">
        <v>60</v>
      </c>
      <c r="O35" s="47">
        <f t="shared" si="0"/>
        <v>11.279754549520426</v>
      </c>
      <c r="P35" s="251"/>
      <c r="Q35" s="251"/>
      <c r="R35" s="19"/>
      <c r="S35" s="19"/>
      <c r="T35" s="19"/>
    </row>
    <row r="36" spans="1:20" ht="14.45" customHeight="1">
      <c r="A36" s="18" t="s">
        <v>524</v>
      </c>
      <c r="B36" s="13"/>
      <c r="C36" s="13"/>
      <c r="D36" s="13"/>
      <c r="E36" s="13"/>
      <c r="F36" s="13"/>
      <c r="G36" s="13"/>
      <c r="H36" s="13"/>
      <c r="I36" s="13"/>
      <c r="J36" s="13"/>
      <c r="K36" s="13"/>
      <c r="L36" s="232"/>
      <c r="N36" s="255">
        <v>70</v>
      </c>
      <c r="O36" s="47">
        <f t="shared" si="0"/>
        <v>15.916516355959372</v>
      </c>
      <c r="P36" s="251"/>
      <c r="Q36" s="251"/>
      <c r="R36" s="19"/>
      <c r="S36" s="19"/>
      <c r="T36" s="19"/>
    </row>
    <row r="37" spans="1:20" ht="18" customHeight="1">
      <c r="A37" s="256"/>
      <c r="B37" s="1"/>
      <c r="C37" s="1"/>
      <c r="D37" s="1"/>
      <c r="E37" s="1"/>
      <c r="F37" s="1"/>
      <c r="G37" s="1"/>
      <c r="H37" s="1"/>
      <c r="I37" s="1"/>
      <c r="J37" s="1"/>
      <c r="K37" s="1"/>
      <c r="L37" s="232"/>
      <c r="N37" s="255">
        <v>80</v>
      </c>
      <c r="O37" s="47">
        <f t="shared" si="0"/>
        <v>21.818183999248667</v>
      </c>
      <c r="P37" s="251"/>
      <c r="Q37" s="251"/>
    </row>
    <row r="38" spans="1:20" ht="14.45" customHeight="1" thickBot="1">
      <c r="A38" s="14"/>
      <c r="B38" s="421" t="s">
        <v>352</v>
      </c>
      <c r="C38" s="1"/>
      <c r="D38" s="421" t="s">
        <v>541</v>
      </c>
      <c r="E38" s="1" t="s">
        <v>557</v>
      </c>
      <c r="F38" s="1" t="s">
        <v>591</v>
      </c>
      <c r="G38" s="421" t="s">
        <v>356</v>
      </c>
      <c r="H38" s="44" t="s">
        <v>558</v>
      </c>
      <c r="I38" s="1"/>
      <c r="J38" s="1"/>
      <c r="K38" s="1"/>
      <c r="L38" s="232"/>
    </row>
    <row r="39" spans="1:20">
      <c r="A39" s="14"/>
      <c r="B39" s="414" t="s">
        <v>508</v>
      </c>
      <c r="C39" s="1">
        <v>1</v>
      </c>
      <c r="D39" s="425" t="s">
        <v>543</v>
      </c>
      <c r="E39" s="13" t="s">
        <v>594</v>
      </c>
      <c r="F39" s="438" t="s">
        <v>595</v>
      </c>
      <c r="G39" s="417" t="s">
        <v>484</v>
      </c>
      <c r="H39" s="1"/>
      <c r="I39" s="1"/>
      <c r="J39" s="1"/>
      <c r="K39" s="1"/>
      <c r="L39" s="232"/>
    </row>
    <row r="40" spans="1:20">
      <c r="A40" s="14"/>
      <c r="B40" s="415" t="s">
        <v>509</v>
      </c>
      <c r="C40" s="267">
        <v>2</v>
      </c>
      <c r="D40" s="426" t="s">
        <v>544</v>
      </c>
      <c r="E40" s="1" t="s">
        <v>596</v>
      </c>
      <c r="F40" s="128" t="s">
        <v>598</v>
      </c>
      <c r="G40" s="418" t="s">
        <v>485</v>
      </c>
      <c r="H40" s="1"/>
      <c r="I40" s="1"/>
      <c r="J40" s="1"/>
      <c r="K40" s="1"/>
      <c r="L40" s="232"/>
    </row>
    <row r="41" spans="1:20">
      <c r="A41" s="14"/>
      <c r="B41" s="415" t="s">
        <v>510</v>
      </c>
      <c r="C41" s="1">
        <v>3</v>
      </c>
      <c r="D41" s="426" t="s">
        <v>549</v>
      </c>
      <c r="E41" s="44" t="s">
        <v>599</v>
      </c>
      <c r="F41" s="128" t="s">
        <v>601</v>
      </c>
      <c r="G41" s="418" t="s">
        <v>486</v>
      </c>
      <c r="H41" s="1"/>
      <c r="I41" s="1"/>
      <c r="J41" s="1"/>
      <c r="K41" s="1"/>
      <c r="L41" s="232"/>
    </row>
    <row r="42" spans="1:20">
      <c r="A42" s="14"/>
      <c r="B42" s="415" t="s">
        <v>511</v>
      </c>
      <c r="C42" s="279">
        <v>4</v>
      </c>
      <c r="D42" s="426" t="s">
        <v>550</v>
      </c>
      <c r="E42" s="44" t="s">
        <v>600</v>
      </c>
      <c r="F42" s="439" t="s">
        <v>597</v>
      </c>
      <c r="G42" s="418" t="s">
        <v>487</v>
      </c>
      <c r="H42" s="1"/>
      <c r="I42" s="1"/>
      <c r="J42" s="1"/>
      <c r="K42" s="1"/>
      <c r="L42" s="232"/>
    </row>
    <row r="43" spans="1:20">
      <c r="A43" s="14"/>
      <c r="B43" s="415" t="s">
        <v>512</v>
      </c>
      <c r="C43" s="1">
        <v>5</v>
      </c>
      <c r="D43" s="426" t="s">
        <v>545</v>
      </c>
      <c r="E43" s="44" t="s">
        <v>602</v>
      </c>
      <c r="F43" s="439" t="s">
        <v>595</v>
      </c>
      <c r="G43" s="418" t="s">
        <v>488</v>
      </c>
      <c r="H43" s="1"/>
      <c r="I43" s="1"/>
      <c r="J43" s="1"/>
      <c r="K43" s="1"/>
      <c r="L43" s="232"/>
      <c r="N43" s="267" t="s">
        <v>353</v>
      </c>
      <c r="O43" s="19" t="s">
        <v>404</v>
      </c>
    </row>
    <row r="44" spans="1:20">
      <c r="A44" s="14"/>
      <c r="B44" s="415" t="s">
        <v>513</v>
      </c>
      <c r="C44" s="279">
        <v>6</v>
      </c>
      <c r="D44" s="426" t="s">
        <v>546</v>
      </c>
      <c r="E44" s="1" t="s">
        <v>603</v>
      </c>
      <c r="F44" s="439" t="s">
        <v>598</v>
      </c>
      <c r="G44" s="418" t="s">
        <v>489</v>
      </c>
      <c r="H44" s="1"/>
      <c r="I44" s="1"/>
      <c r="J44" s="1"/>
      <c r="K44" s="1"/>
      <c r="L44" s="232"/>
      <c r="N44" s="267" t="s">
        <v>405</v>
      </c>
    </row>
    <row r="45" spans="1:20" ht="30.75" customHeight="1">
      <c r="A45" s="14"/>
      <c r="B45" s="415" t="s">
        <v>514</v>
      </c>
      <c r="C45" s="1">
        <v>7</v>
      </c>
      <c r="D45" s="426" t="s">
        <v>547</v>
      </c>
      <c r="E45" s="1" t="s">
        <v>604</v>
      </c>
      <c r="F45" s="439" t="s">
        <v>601</v>
      </c>
      <c r="G45" s="418" t="s">
        <v>490</v>
      </c>
      <c r="H45" s="1"/>
      <c r="I45" s="1"/>
      <c r="J45" s="1"/>
      <c r="K45" s="1"/>
      <c r="L45" s="232"/>
      <c r="N45" s="252">
        <f>B1</f>
        <v>0</v>
      </c>
      <c r="O45" s="252"/>
    </row>
    <row r="46" spans="1:20" ht="18.600000000000001" customHeight="1" thickBot="1">
      <c r="A46" s="14"/>
      <c r="B46" s="415" t="s">
        <v>515</v>
      </c>
      <c r="C46" s="279">
        <v>8</v>
      </c>
      <c r="D46" s="440" t="s">
        <v>548</v>
      </c>
      <c r="E46" s="17" t="s">
        <v>605</v>
      </c>
      <c r="F46" s="304" t="s">
        <v>597</v>
      </c>
      <c r="G46" s="418" t="s">
        <v>491</v>
      </c>
      <c r="H46" s="1"/>
      <c r="I46" s="1"/>
      <c r="J46" s="1"/>
      <c r="K46" s="1"/>
      <c r="L46" s="232"/>
      <c r="N46" s="257" t="s">
        <v>354</v>
      </c>
      <c r="O46" s="257" t="s">
        <v>355</v>
      </c>
      <c r="P46" s="268" t="s">
        <v>410</v>
      </c>
    </row>
    <row r="47" spans="1:20">
      <c r="A47" s="14"/>
      <c r="B47" s="415" t="s">
        <v>516</v>
      </c>
      <c r="C47" s="1">
        <v>9</v>
      </c>
      <c r="D47" s="425" t="s">
        <v>551</v>
      </c>
      <c r="E47" s="13" t="s">
        <v>616</v>
      </c>
      <c r="F47" s="438" t="s">
        <v>607</v>
      </c>
      <c r="G47" s="420" t="s">
        <v>492</v>
      </c>
      <c r="H47" s="1"/>
      <c r="I47" s="1"/>
      <c r="J47" s="1"/>
      <c r="K47" s="1"/>
      <c r="L47" s="232"/>
      <c r="N47" s="255">
        <v>10</v>
      </c>
      <c r="O47" s="255">
        <v>138.9</v>
      </c>
      <c r="P47" s="24">
        <v>1360</v>
      </c>
    </row>
    <row r="48" spans="1:20">
      <c r="A48" s="14"/>
      <c r="B48" s="415" t="s">
        <v>517</v>
      </c>
      <c r="C48" s="279">
        <v>10</v>
      </c>
      <c r="D48" s="426" t="s">
        <v>554</v>
      </c>
      <c r="E48" s="1" t="s">
        <v>617</v>
      </c>
      <c r="F48" s="439" t="s">
        <v>615</v>
      </c>
      <c r="G48" s="418" t="s">
        <v>493</v>
      </c>
      <c r="H48" s="1"/>
      <c r="I48" s="1"/>
      <c r="J48" s="1"/>
      <c r="K48" s="1"/>
      <c r="L48" s="232"/>
      <c r="N48" s="255">
        <v>20</v>
      </c>
      <c r="O48" s="255">
        <v>278</v>
      </c>
      <c r="P48" s="343">
        <v>2720</v>
      </c>
      <c r="Q48" s="279"/>
    </row>
    <row r="49" spans="1:17">
      <c r="A49" s="14"/>
      <c r="B49" s="415" t="s">
        <v>518</v>
      </c>
      <c r="C49" s="1">
        <v>11</v>
      </c>
      <c r="D49" s="426" t="s">
        <v>555</v>
      </c>
      <c r="E49" s="1" t="s">
        <v>613</v>
      </c>
      <c r="F49" s="439" t="s">
        <v>614</v>
      </c>
      <c r="G49" s="418" t="s">
        <v>494</v>
      </c>
      <c r="H49" s="1"/>
      <c r="I49" s="1"/>
      <c r="J49" s="1"/>
      <c r="K49" s="1"/>
      <c r="L49" s="232"/>
      <c r="N49" s="255">
        <v>30</v>
      </c>
      <c r="O49" s="255">
        <v>416.9</v>
      </c>
      <c r="P49" s="24">
        <v>4080</v>
      </c>
      <c r="Q49" s="279"/>
    </row>
    <row r="50" spans="1:17">
      <c r="A50" s="14"/>
      <c r="B50" s="415" t="s">
        <v>519</v>
      </c>
      <c r="C50" s="279">
        <v>12</v>
      </c>
      <c r="D50" s="426" t="s">
        <v>552</v>
      </c>
      <c r="E50" s="1" t="s">
        <v>612</v>
      </c>
      <c r="F50" s="439" t="s">
        <v>608</v>
      </c>
      <c r="G50" s="418" t="s">
        <v>495</v>
      </c>
      <c r="H50" s="1"/>
      <c r="I50" s="1"/>
      <c r="J50" s="1"/>
      <c r="K50" s="1"/>
      <c r="L50" s="232"/>
      <c r="N50" s="255">
        <v>40</v>
      </c>
      <c r="O50" s="255">
        <v>555.5</v>
      </c>
      <c r="P50" s="343">
        <v>5440</v>
      </c>
      <c r="Q50" s="279"/>
    </row>
    <row r="51" spans="1:17">
      <c r="A51" s="14"/>
      <c r="B51" s="415" t="s">
        <v>520</v>
      </c>
      <c r="C51" s="1">
        <v>13</v>
      </c>
      <c r="D51" s="426" t="s">
        <v>542</v>
      </c>
      <c r="E51" s="1" t="s">
        <v>610</v>
      </c>
      <c r="F51" s="439" t="s">
        <v>618</v>
      </c>
      <c r="G51" s="418" t="s">
        <v>496</v>
      </c>
      <c r="H51" s="1"/>
      <c r="I51" s="1"/>
      <c r="J51" s="1"/>
      <c r="K51" s="1"/>
      <c r="L51" s="232"/>
      <c r="N51" s="255">
        <v>50</v>
      </c>
      <c r="O51" s="255">
        <v>697.3</v>
      </c>
      <c r="P51" s="24">
        <v>6800</v>
      </c>
      <c r="Q51" s="279"/>
    </row>
    <row r="52" spans="1:17">
      <c r="A52" s="14"/>
      <c r="B52" s="415" t="s">
        <v>560</v>
      </c>
      <c r="C52" s="279">
        <v>14</v>
      </c>
      <c r="D52" s="426" t="s">
        <v>592</v>
      </c>
      <c r="E52" s="1" t="s">
        <v>609</v>
      </c>
      <c r="F52" s="439" t="s">
        <v>608</v>
      </c>
      <c r="G52" s="418" t="s">
        <v>497</v>
      </c>
      <c r="H52" s="1"/>
      <c r="I52" s="1"/>
      <c r="J52" s="1"/>
      <c r="K52" s="1"/>
      <c r="L52" s="232"/>
      <c r="N52" s="255">
        <v>60</v>
      </c>
      <c r="O52" s="255">
        <v>832.7</v>
      </c>
      <c r="P52" s="343">
        <v>8160</v>
      </c>
      <c r="Q52" s="279"/>
    </row>
    <row r="53" spans="1:17">
      <c r="A53" s="14"/>
      <c r="B53" s="415" t="s">
        <v>561</v>
      </c>
      <c r="C53" s="1">
        <v>15</v>
      </c>
      <c r="D53" s="426" t="s">
        <v>556</v>
      </c>
      <c r="E53" s="1" t="s">
        <v>611</v>
      </c>
      <c r="F53" s="439" t="s">
        <v>607</v>
      </c>
      <c r="G53" s="418" t="s">
        <v>498</v>
      </c>
      <c r="H53" s="1"/>
      <c r="I53" s="1"/>
      <c r="J53" s="1"/>
      <c r="K53" s="1"/>
      <c r="L53" s="232"/>
      <c r="N53" s="255">
        <v>70</v>
      </c>
      <c r="O53" s="255">
        <v>970.6</v>
      </c>
      <c r="P53" s="24">
        <v>9520</v>
      </c>
      <c r="Q53" s="279"/>
    </row>
    <row r="54" spans="1:17" ht="15.75" thickBot="1">
      <c r="A54" s="14"/>
      <c r="B54" s="415" t="s">
        <v>562</v>
      </c>
      <c r="C54" s="44">
        <v>16</v>
      </c>
      <c r="D54" s="441" t="s">
        <v>553</v>
      </c>
      <c r="E54" s="17" t="s">
        <v>606</v>
      </c>
      <c r="F54" s="304" t="s">
        <v>608</v>
      </c>
      <c r="G54" s="418" t="s">
        <v>499</v>
      </c>
      <c r="H54" s="1"/>
      <c r="I54" s="1"/>
      <c r="J54" s="1"/>
      <c r="K54" s="1"/>
      <c r="L54" s="232"/>
      <c r="N54" s="255">
        <v>80</v>
      </c>
      <c r="O54" s="255">
        <v>1108</v>
      </c>
      <c r="P54" s="343">
        <v>10880</v>
      </c>
      <c r="Q54" s="279"/>
    </row>
    <row r="55" spans="1:17">
      <c r="A55" s="14"/>
      <c r="B55" s="415"/>
      <c r="C55" s="1"/>
      <c r="D55" s="424"/>
      <c r="E55" s="1"/>
      <c r="F55" s="1"/>
      <c r="G55" s="418" t="s">
        <v>500</v>
      </c>
      <c r="H55" s="1"/>
      <c r="I55" s="1"/>
      <c r="J55" s="1"/>
      <c r="K55" s="1"/>
      <c r="L55" s="232"/>
    </row>
    <row r="56" spans="1:17" ht="15.75" thickBot="1">
      <c r="A56" s="14"/>
      <c r="B56" s="416" t="s">
        <v>559</v>
      </c>
      <c r="C56" s="1"/>
      <c r="D56" s="424"/>
      <c r="E56" s="1"/>
      <c r="F56" s="1"/>
      <c r="G56" s="418" t="s">
        <v>501</v>
      </c>
      <c r="H56" s="1"/>
      <c r="I56" s="1"/>
      <c r="J56" s="1"/>
      <c r="K56" s="1"/>
      <c r="L56" s="232"/>
    </row>
    <row r="57" spans="1:17">
      <c r="A57" s="14"/>
      <c r="B57" s="140"/>
      <c r="C57" s="1"/>
      <c r="D57" s="424"/>
      <c r="E57" s="1"/>
      <c r="F57" s="1"/>
      <c r="G57" s="418" t="s">
        <v>502</v>
      </c>
      <c r="H57" s="1"/>
      <c r="I57" s="1"/>
      <c r="J57" s="1"/>
      <c r="K57" s="1"/>
      <c r="L57" s="232"/>
    </row>
    <row r="58" spans="1:17">
      <c r="A58" s="14"/>
      <c r="C58" s="1"/>
      <c r="D58" s="424"/>
      <c r="E58" s="1"/>
      <c r="F58" s="1"/>
      <c r="G58" s="418" t="s">
        <v>503</v>
      </c>
      <c r="H58" s="1"/>
      <c r="I58" s="1"/>
      <c r="J58" s="1"/>
      <c r="K58" s="1"/>
      <c r="L58" s="232"/>
    </row>
    <row r="59" spans="1:17">
      <c r="A59" s="14"/>
      <c r="C59" s="1"/>
      <c r="D59" s="424"/>
      <c r="E59" s="1"/>
      <c r="F59" s="1"/>
      <c r="G59" s="418" t="s">
        <v>504</v>
      </c>
      <c r="H59" s="1"/>
      <c r="I59" s="1"/>
      <c r="J59" s="1"/>
      <c r="K59" s="1"/>
      <c r="L59" s="232"/>
    </row>
    <row r="60" spans="1:17">
      <c r="A60" s="14"/>
      <c r="C60" s="1"/>
      <c r="D60" s="424"/>
      <c r="E60" s="1"/>
      <c r="F60" s="1"/>
      <c r="G60" s="418" t="s">
        <v>505</v>
      </c>
      <c r="H60" s="1"/>
      <c r="I60" s="1"/>
      <c r="J60" s="1"/>
      <c r="K60" s="1"/>
      <c r="L60" s="232"/>
    </row>
    <row r="61" spans="1:17">
      <c r="A61" s="14"/>
      <c r="C61" s="1"/>
      <c r="D61" s="424"/>
      <c r="E61" s="1"/>
      <c r="F61" s="1"/>
      <c r="G61" s="418" t="s">
        <v>506</v>
      </c>
      <c r="H61" s="1"/>
      <c r="I61" s="1"/>
      <c r="J61" s="1"/>
      <c r="K61" s="1"/>
      <c r="L61" s="232"/>
    </row>
    <row r="62" spans="1:17" ht="15.75" thickBot="1">
      <c r="A62" s="14"/>
      <c r="C62" s="1"/>
      <c r="D62" s="424"/>
      <c r="E62" s="1"/>
      <c r="F62" s="1"/>
      <c r="G62" s="419" t="s">
        <v>507</v>
      </c>
      <c r="H62" s="1"/>
      <c r="I62" s="1"/>
      <c r="J62" s="1"/>
      <c r="K62" s="1"/>
      <c r="L62" s="232"/>
    </row>
    <row r="63" spans="1:17">
      <c r="A63" s="14"/>
      <c r="D63" s="1"/>
      <c r="E63" s="1"/>
      <c r="F63" s="1"/>
      <c r="G63" s="1"/>
      <c r="H63" s="1"/>
      <c r="I63" s="1"/>
      <c r="J63" s="1"/>
      <c r="K63" s="1"/>
      <c r="L63" s="232"/>
    </row>
    <row r="64" spans="1:17">
      <c r="A64" s="14"/>
      <c r="D64" s="1"/>
      <c r="E64" s="1"/>
      <c r="F64" s="1"/>
      <c r="G64" s="1"/>
      <c r="H64" s="1"/>
      <c r="I64" s="1"/>
      <c r="J64" s="1"/>
      <c r="K64" s="1"/>
      <c r="L64" s="232"/>
    </row>
    <row r="65" spans="1:12" ht="15.75" customHeight="1">
      <c r="L65" s="232"/>
    </row>
    <row r="66" spans="1:12">
      <c r="A66" s="258"/>
      <c r="B66" s="258"/>
      <c r="C66" s="258"/>
      <c r="D66" s="232"/>
      <c r="E66" s="258"/>
      <c r="F66" s="258"/>
      <c r="G66" s="258"/>
      <c r="H66" s="258"/>
      <c r="I66" s="258"/>
      <c r="J66" s="258"/>
      <c r="K66" s="258"/>
      <c r="L66" s="232"/>
    </row>
    <row r="80" spans="1:12">
      <c r="A80" s="267">
        <v>1</v>
      </c>
      <c r="B80" s="426" t="s">
        <v>543</v>
      </c>
      <c r="D80" s="426" t="s">
        <v>551</v>
      </c>
    </row>
    <row r="81" spans="1:4">
      <c r="A81" s="267">
        <v>2</v>
      </c>
      <c r="B81" s="426" t="s">
        <v>544</v>
      </c>
      <c r="D81" s="426" t="s">
        <v>554</v>
      </c>
    </row>
    <row r="82" spans="1:4">
      <c r="A82" s="267">
        <v>3</v>
      </c>
      <c r="B82" s="426" t="s">
        <v>549</v>
      </c>
      <c r="D82" s="426" t="s">
        <v>555</v>
      </c>
    </row>
    <row r="83" spans="1:4" ht="15.75" thickBot="1">
      <c r="A83" s="44">
        <v>4</v>
      </c>
      <c r="B83" s="426" t="s">
        <v>550</v>
      </c>
      <c r="D83" s="426" t="s">
        <v>552</v>
      </c>
    </row>
    <row r="84" spans="1:4">
      <c r="B84" s="426" t="s">
        <v>545</v>
      </c>
      <c r="D84" s="425" t="s">
        <v>542</v>
      </c>
    </row>
    <row r="85" spans="1:4">
      <c r="B85" s="426" t="s">
        <v>546</v>
      </c>
      <c r="D85" s="426" t="s">
        <v>592</v>
      </c>
    </row>
    <row r="86" spans="1:4">
      <c r="B86" s="426" t="s">
        <v>547</v>
      </c>
      <c r="D86" s="426" t="s">
        <v>556</v>
      </c>
    </row>
    <row r="87" spans="1:4">
      <c r="B87" s="427" t="s">
        <v>548</v>
      </c>
      <c r="D87" s="426" t="s">
        <v>553</v>
      </c>
    </row>
  </sheetData>
  <mergeCells count="2">
    <mergeCell ref="D1:E1"/>
    <mergeCell ref="E9:I9"/>
  </mergeCells>
  <hyperlinks>
    <hyperlink ref="P1" r:id="rId1" xr:uid="{00000000-0004-0000-0100-000000000000}"/>
  </hyperlinks>
  <pageMargins left="0.7" right="0.7" top="0.75" bottom="0.75" header="0.3" footer="0.3"/>
  <pageSetup scale="10" fitToHeight="0" orientation="portrait"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G296"/>
  <sheetViews>
    <sheetView tabSelected="1" zoomScale="70" zoomScaleNormal="70" workbookViewId="0">
      <pane xSplit="3" ySplit="8" topLeftCell="D247" activePane="bottomRight" state="frozen"/>
      <selection pane="topRight" activeCell="G1" sqref="G1"/>
      <selection pane="bottomLeft" activeCell="A9" sqref="A9"/>
      <selection pane="bottomRight" activeCell="B70" sqref="B70"/>
    </sheetView>
  </sheetViews>
  <sheetFormatPr defaultColWidth="9.140625" defaultRowHeight="15"/>
  <cols>
    <col min="1" max="1" width="21.7109375" style="114" customWidth="1"/>
    <col min="2" max="2" width="50.140625" style="501" bestFit="1" customWidth="1"/>
    <col min="3" max="3" width="14.42578125" style="497" customWidth="1"/>
    <col min="4" max="4" width="64.5703125" style="114" customWidth="1"/>
    <col min="5" max="5" width="16.42578125" style="377" customWidth="1"/>
    <col min="6" max="6" width="8.42578125" style="8" bestFit="1" customWidth="1"/>
    <col min="7" max="7" width="43.5703125" style="230" customWidth="1"/>
    <col min="8" max="8" width="37.5703125" style="114" customWidth="1"/>
    <col min="9" max="12" width="10" style="114" customWidth="1"/>
    <col min="13" max="13" width="10.85546875" style="114" customWidth="1"/>
    <col min="14" max="14" width="5.42578125" style="114" customWidth="1"/>
    <col min="15" max="15" width="6" style="114" customWidth="1"/>
    <col min="16" max="16" width="5.5703125" style="114" customWidth="1"/>
    <col min="17" max="17" width="8.5703125" style="114" customWidth="1"/>
    <col min="18" max="18" width="9" style="114" customWidth="1"/>
    <col min="19" max="19" width="9.5703125" style="118" customWidth="1"/>
    <col min="20" max="20" width="10" style="118" customWidth="1"/>
    <col min="21" max="21" width="11.42578125" style="118" bestFit="1" customWidth="1"/>
    <col min="22" max="23" width="14.42578125" style="114" customWidth="1"/>
    <col min="24" max="24" width="9.5703125" style="118" customWidth="1"/>
    <col min="25" max="25" width="12.5703125" style="118" customWidth="1"/>
    <col min="26" max="26" width="11.42578125" style="118" bestFit="1" customWidth="1"/>
    <col min="27" max="27" width="14.42578125" style="114" customWidth="1"/>
    <col min="28" max="32" width="12.42578125" style="114" customWidth="1"/>
    <col min="33" max="38" width="9.5703125" style="114" customWidth="1"/>
    <col min="39" max="39" width="10.85546875" style="114" customWidth="1"/>
    <col min="40" max="47" width="9.5703125" style="114" customWidth="1"/>
    <col min="48" max="49" width="9.42578125" style="114" customWidth="1"/>
    <col min="50" max="50" width="12.5703125" style="114" customWidth="1"/>
    <col min="51" max="51" width="19" style="114" customWidth="1"/>
    <col min="52" max="52" width="14.28515625" style="114" customWidth="1"/>
    <col min="53" max="53" width="13" style="114" customWidth="1"/>
    <col min="54" max="54" width="9.42578125" style="114" customWidth="1"/>
    <col min="55" max="55" width="13.5703125" style="114" customWidth="1"/>
    <col min="56" max="56" width="13" style="114" customWidth="1"/>
    <col min="57" max="58" width="11" style="114" customWidth="1"/>
    <col min="61" max="61" width="9.140625" style="447"/>
    <col min="62" max="62" width="11" style="114" customWidth="1"/>
    <col min="63" max="63" width="13.140625" style="114" bestFit="1" customWidth="1"/>
    <col min="64" max="64" width="26.28515625" style="114" customWidth="1"/>
    <col min="65" max="65" width="15.5703125" style="488" customWidth="1"/>
    <col min="66" max="66" width="13.140625" style="488" bestFit="1" customWidth="1"/>
    <col min="67" max="67" width="26.28515625" style="488" customWidth="1"/>
    <col min="68" max="68" width="14.5703125" customWidth="1"/>
    <col min="69" max="69" width="12.42578125" customWidth="1"/>
  </cols>
  <sheetData>
    <row r="1" spans="1:85" s="261" customFormat="1">
      <c r="A1" s="114">
        <v>1</v>
      </c>
      <c r="B1" s="501">
        <v>2</v>
      </c>
      <c r="C1" s="497">
        <v>3</v>
      </c>
      <c r="D1" s="520">
        <v>4</v>
      </c>
      <c r="E1" s="596">
        <v>5</v>
      </c>
      <c r="F1" s="596">
        <v>6</v>
      </c>
      <c r="G1" s="520">
        <v>7</v>
      </c>
      <c r="H1" s="596">
        <v>8</v>
      </c>
      <c r="I1" s="596">
        <v>9</v>
      </c>
      <c r="J1" s="520">
        <v>10</v>
      </c>
      <c r="K1" s="596">
        <v>11</v>
      </c>
      <c r="L1" s="596">
        <v>12</v>
      </c>
      <c r="M1" s="520">
        <v>13</v>
      </c>
      <c r="N1" s="596">
        <v>14</v>
      </c>
      <c r="O1" s="596">
        <v>15</v>
      </c>
      <c r="P1" s="520">
        <v>16</v>
      </c>
      <c r="Q1" s="596">
        <v>17</v>
      </c>
      <c r="R1" s="596">
        <v>18</v>
      </c>
      <c r="S1" s="520">
        <v>19</v>
      </c>
      <c r="T1" s="596">
        <v>20</v>
      </c>
      <c r="U1" s="596">
        <v>21</v>
      </c>
      <c r="V1" s="520">
        <v>22</v>
      </c>
      <c r="W1" s="596">
        <v>23</v>
      </c>
      <c r="X1" s="596">
        <v>24</v>
      </c>
      <c r="Y1" s="520">
        <v>25</v>
      </c>
      <c r="Z1" s="596">
        <v>26</v>
      </c>
      <c r="AA1" s="596">
        <v>27</v>
      </c>
      <c r="AB1" s="520">
        <v>28</v>
      </c>
      <c r="AC1" s="596">
        <v>29</v>
      </c>
      <c r="AD1" s="596">
        <v>30</v>
      </c>
      <c r="AE1" s="520">
        <v>31</v>
      </c>
      <c r="AF1" s="596">
        <v>32</v>
      </c>
      <c r="AG1" s="596">
        <v>33</v>
      </c>
      <c r="AH1" s="520">
        <v>34</v>
      </c>
      <c r="AI1" s="596">
        <v>35</v>
      </c>
      <c r="AJ1" s="596">
        <v>36</v>
      </c>
      <c r="AK1" s="520">
        <v>37</v>
      </c>
      <c r="AL1" s="596">
        <v>38</v>
      </c>
      <c r="AM1" s="596">
        <v>39</v>
      </c>
      <c r="AN1" s="520">
        <v>40</v>
      </c>
      <c r="AO1" s="596">
        <v>41</v>
      </c>
      <c r="AP1" s="596">
        <v>42</v>
      </c>
      <c r="AQ1" s="520">
        <v>43</v>
      </c>
      <c r="AR1" s="596">
        <v>44</v>
      </c>
      <c r="AS1" s="596">
        <v>45</v>
      </c>
      <c r="AT1" s="520">
        <v>46</v>
      </c>
      <c r="AU1" s="596">
        <v>47</v>
      </c>
      <c r="AV1" s="596">
        <v>48</v>
      </c>
      <c r="AW1" s="520">
        <v>49</v>
      </c>
      <c r="AX1" s="596">
        <v>50</v>
      </c>
      <c r="AY1" s="596">
        <v>51</v>
      </c>
      <c r="AZ1" s="520">
        <v>52</v>
      </c>
      <c r="BA1" s="596">
        <v>53</v>
      </c>
      <c r="BB1" s="596">
        <v>54</v>
      </c>
      <c r="BC1" s="520">
        <v>55</v>
      </c>
      <c r="BD1" s="596">
        <v>56</v>
      </c>
      <c r="BE1" s="596">
        <v>57</v>
      </c>
      <c r="BF1" s="520">
        <v>58</v>
      </c>
      <c r="BG1" s="596">
        <v>59</v>
      </c>
      <c r="BH1" s="596">
        <v>60</v>
      </c>
      <c r="BI1" s="520">
        <v>61</v>
      </c>
      <c r="BJ1" s="596">
        <v>62</v>
      </c>
      <c r="BK1" s="596">
        <v>63</v>
      </c>
      <c r="BL1" s="520">
        <v>64</v>
      </c>
      <c r="BM1" s="596">
        <v>65</v>
      </c>
      <c r="BN1" s="596">
        <v>66</v>
      </c>
      <c r="BO1" s="520">
        <v>67</v>
      </c>
      <c r="BP1" s="596">
        <v>68</v>
      </c>
      <c r="BQ1" s="596">
        <v>69</v>
      </c>
      <c r="BR1" s="520">
        <v>70</v>
      </c>
      <c r="BS1" s="596">
        <v>71</v>
      </c>
      <c r="BT1" s="596">
        <v>72</v>
      </c>
      <c r="BU1" s="520">
        <v>73</v>
      </c>
      <c r="BV1" s="596">
        <v>74</v>
      </c>
      <c r="BW1" s="596">
        <v>75</v>
      </c>
      <c r="BX1" s="520">
        <v>76</v>
      </c>
      <c r="BY1" s="596">
        <v>77</v>
      </c>
      <c r="BZ1" s="596">
        <v>78</v>
      </c>
      <c r="CA1" s="520">
        <v>79</v>
      </c>
      <c r="CB1" s="596">
        <v>80</v>
      </c>
      <c r="CC1" s="596">
        <v>81</v>
      </c>
      <c r="CD1" s="520">
        <v>82</v>
      </c>
      <c r="CE1" s="596">
        <v>83</v>
      </c>
      <c r="CF1" s="596">
        <v>84</v>
      </c>
    </row>
    <row r="2" spans="1:85" ht="15.75" thickBot="1">
      <c r="A2" s="229" t="s">
        <v>5</v>
      </c>
      <c r="B2" s="259" t="str">
        <f>TestPlan!B2</f>
        <v>2020 Tesla Model 3 AWD Long Range / All Wheel Drive</v>
      </c>
      <c r="C2" s="259"/>
      <c r="F2" s="159" t="s">
        <v>6</v>
      </c>
      <c r="G2" s="23" t="s">
        <v>1293</v>
      </c>
      <c r="H2" s="23"/>
      <c r="I2" s="23"/>
      <c r="J2" s="23"/>
      <c r="K2" s="23"/>
      <c r="L2" s="23"/>
      <c r="N2" s="229"/>
      <c r="O2" s="229"/>
      <c r="P2" s="229"/>
      <c r="Q2" s="115"/>
      <c r="R2" s="115"/>
    </row>
    <row r="3" spans="1:85" ht="15.75" thickBot="1">
      <c r="A3" s="229" t="s">
        <v>7</v>
      </c>
      <c r="B3" s="259" t="str">
        <f>TestPlan!B3</f>
        <v>NHTSA 2020 Vehicle Technology Assessment</v>
      </c>
      <c r="C3" s="259"/>
      <c r="F3" s="104"/>
      <c r="G3" s="223"/>
      <c r="H3" s="22"/>
      <c r="I3" s="32"/>
      <c r="J3" s="32"/>
      <c r="K3" s="32"/>
      <c r="L3" s="22"/>
      <c r="N3" s="20"/>
      <c r="O3" s="20"/>
      <c r="P3" s="20"/>
      <c r="Q3" s="115"/>
      <c r="R3" s="115"/>
      <c r="S3" s="265"/>
      <c r="T3" s="723" t="s">
        <v>109</v>
      </c>
      <c r="U3" s="724"/>
      <c r="X3" s="265"/>
      <c r="Y3" s="723" t="s">
        <v>109</v>
      </c>
      <c r="Z3" s="724"/>
      <c r="AD3" s="162" t="s">
        <v>415</v>
      </c>
      <c r="AE3" s="162"/>
      <c r="AF3" s="162"/>
      <c r="AG3" s="114">
        <v>0.9</v>
      </c>
      <c r="AI3" s="48" t="s">
        <v>434</v>
      </c>
      <c r="AJ3" s="48" t="s">
        <v>432</v>
      </c>
      <c r="AK3" s="48" t="s">
        <v>433</v>
      </c>
      <c r="AL3" s="114" t="s">
        <v>431</v>
      </c>
      <c r="AM3" s="48"/>
      <c r="AN3" s="48"/>
      <c r="AO3" s="118" t="e">
        <f>#REF!-#REF!</f>
        <v>#REF!</v>
      </c>
      <c r="AP3" s="114" t="e">
        <f>#REF!/AO3</f>
        <v>#REF!</v>
      </c>
      <c r="AS3" s="48"/>
      <c r="AT3" s="48"/>
      <c r="AU3" s="48"/>
    </row>
    <row r="4" spans="1:85">
      <c r="A4" s="116" t="s">
        <v>8</v>
      </c>
      <c r="B4" s="223" t="str">
        <f>TestPlan!B4</f>
        <v>Kevin Stutenberg</v>
      </c>
      <c r="C4" s="223"/>
      <c r="D4" s="116"/>
      <c r="E4" s="223"/>
      <c r="F4" s="104"/>
      <c r="G4" s="223"/>
      <c r="H4" s="116"/>
      <c r="I4" s="116"/>
      <c r="J4" s="116"/>
      <c r="K4" s="116"/>
      <c r="L4" s="116"/>
      <c r="M4" s="116"/>
      <c r="N4" s="116"/>
      <c r="O4" s="116"/>
      <c r="P4" s="116"/>
      <c r="Q4" s="115"/>
      <c r="R4" s="115"/>
      <c r="V4" s="600">
        <f>R207+R208+R211</f>
        <v>270.82086157999998</v>
      </c>
      <c r="AL4" s="48" t="s">
        <v>434</v>
      </c>
    </row>
    <row r="5" spans="1:85" s="279" customFormat="1">
      <c r="A5" s="116" t="s">
        <v>1289</v>
      </c>
      <c r="B5" s="223" t="str">
        <f>TestPlan!B5</f>
        <v>5YJ3E1EB5LF618578</v>
      </c>
      <c r="C5" s="223"/>
      <c r="D5" s="116"/>
      <c r="E5" s="223"/>
      <c r="F5" s="104"/>
      <c r="G5" s="223"/>
      <c r="H5" s="116"/>
      <c r="I5" s="116"/>
      <c r="J5" s="116"/>
      <c r="K5" s="116"/>
      <c r="L5" s="116"/>
      <c r="M5" s="116"/>
      <c r="N5" s="116"/>
      <c r="O5" s="116"/>
      <c r="P5" s="116"/>
      <c r="Q5" s="115"/>
      <c r="R5" s="115"/>
      <c r="S5" s="118"/>
      <c r="T5" s="118"/>
      <c r="U5" s="118"/>
      <c r="V5" s="114"/>
      <c r="W5" s="114"/>
      <c r="X5" s="118"/>
      <c r="Y5" s="118"/>
      <c r="Z5" s="118"/>
      <c r="AA5" s="114"/>
      <c r="AB5" s="114"/>
      <c r="AC5" s="114"/>
      <c r="AD5" s="114"/>
      <c r="AE5" s="114"/>
      <c r="AF5" s="114"/>
      <c r="AG5" s="114"/>
      <c r="AH5" s="114"/>
      <c r="AI5" s="114"/>
      <c r="AJ5" s="114"/>
      <c r="AK5" s="114"/>
      <c r="AL5" s="114"/>
      <c r="AM5" s="114"/>
      <c r="AN5" s="114"/>
      <c r="AO5" s="114"/>
      <c r="AP5" s="114"/>
      <c r="AQ5" s="114"/>
      <c r="AR5" s="114"/>
      <c r="AS5" s="114"/>
      <c r="AT5" s="114"/>
      <c r="AU5" s="114"/>
      <c r="AV5" s="114"/>
      <c r="AW5" s="114"/>
      <c r="AX5" s="114"/>
      <c r="AY5" s="114"/>
      <c r="AZ5" s="114"/>
      <c r="BA5" s="114"/>
      <c r="BB5" s="114"/>
      <c r="BC5" s="114"/>
      <c r="BD5" s="114"/>
      <c r="BE5" s="114"/>
      <c r="BF5" s="114"/>
      <c r="BI5" s="447"/>
      <c r="BJ5" s="114"/>
      <c r="BK5" s="114"/>
      <c r="BL5" s="114"/>
      <c r="BM5" s="488"/>
      <c r="BN5" s="488"/>
      <c r="BO5" s="488"/>
    </row>
    <row r="6" spans="1:85" s="120" customFormat="1" ht="15" customHeight="1" thickBot="1">
      <c r="A6" s="120" t="s">
        <v>407</v>
      </c>
      <c r="B6" s="502"/>
      <c r="C6" s="498"/>
      <c r="E6" s="378"/>
      <c r="F6" s="160"/>
      <c r="G6" s="224"/>
      <c r="Q6" s="121"/>
      <c r="R6" s="121"/>
      <c r="S6" s="266" t="s">
        <v>107</v>
      </c>
      <c r="T6" s="266"/>
      <c r="U6" s="266"/>
      <c r="V6" s="260"/>
      <c r="W6" s="260"/>
      <c r="X6" s="266" t="s">
        <v>107</v>
      </c>
      <c r="Y6" s="266"/>
      <c r="Z6" s="266"/>
      <c r="AA6" s="260"/>
      <c r="AB6" s="260"/>
      <c r="AC6" s="260"/>
      <c r="AD6" s="260"/>
      <c r="AE6" s="260"/>
      <c r="AF6" s="260"/>
      <c r="AG6" s="260"/>
      <c r="AH6" s="260"/>
      <c r="AI6" s="260"/>
      <c r="AJ6" s="260"/>
      <c r="AK6" s="260"/>
      <c r="AL6" s="260"/>
      <c r="AM6" s="260"/>
      <c r="AN6" s="260"/>
      <c r="AO6" s="260"/>
      <c r="AP6" s="260"/>
      <c r="AQ6" s="260"/>
      <c r="AR6" s="260"/>
      <c r="AS6" s="260"/>
      <c r="AT6" s="260"/>
      <c r="AU6" s="260"/>
      <c r="AV6" s="260"/>
      <c r="AW6" s="260"/>
      <c r="AX6" s="260"/>
      <c r="AY6" s="260"/>
      <c r="AZ6" s="260"/>
      <c r="BA6" s="260"/>
      <c r="BB6" s="260"/>
      <c r="BC6" s="260"/>
      <c r="BD6" s="260"/>
      <c r="BE6" s="260"/>
      <c r="BF6" s="260"/>
      <c r="BG6" s="726" t="s">
        <v>110</v>
      </c>
      <c r="BH6" s="727"/>
      <c r="BI6" s="726"/>
      <c r="BJ6" s="499" t="s">
        <v>392</v>
      </c>
      <c r="BK6" s="499"/>
      <c r="BL6" s="499"/>
      <c r="BM6" s="499" t="s">
        <v>392</v>
      </c>
      <c r="BN6" s="499"/>
      <c r="BO6" s="499"/>
      <c r="BP6" s="725" t="s">
        <v>392</v>
      </c>
      <c r="BQ6" s="725"/>
      <c r="BR6" s="725"/>
      <c r="BS6" s="725"/>
    </row>
    <row r="7" spans="1:85" s="464" customFormat="1" ht="51.75" customHeight="1">
      <c r="A7" s="477" t="s">
        <v>391</v>
      </c>
      <c r="B7" s="457" t="s">
        <v>1</v>
      </c>
      <c r="C7" s="457" t="s">
        <v>632</v>
      </c>
      <c r="D7" s="471" t="s">
        <v>99</v>
      </c>
      <c r="E7" s="458" t="s">
        <v>633</v>
      </c>
      <c r="F7" s="458" t="s">
        <v>421</v>
      </c>
      <c r="G7" s="458" t="s">
        <v>2</v>
      </c>
      <c r="H7" s="458" t="s">
        <v>3</v>
      </c>
      <c r="I7" s="459" t="s">
        <v>91</v>
      </c>
      <c r="J7" s="460" t="s">
        <v>390</v>
      </c>
      <c r="K7" s="460" t="s">
        <v>317</v>
      </c>
      <c r="L7" s="460" t="s">
        <v>318</v>
      </c>
      <c r="M7" s="460" t="s">
        <v>634</v>
      </c>
      <c r="N7" s="461" t="s">
        <v>221</v>
      </c>
      <c r="O7" s="461" t="s">
        <v>46</v>
      </c>
      <c r="P7" s="461" t="s">
        <v>47</v>
      </c>
      <c r="Q7" s="461" t="s">
        <v>48</v>
      </c>
      <c r="R7" s="462" t="s">
        <v>319</v>
      </c>
      <c r="S7" s="462" t="s">
        <v>120</v>
      </c>
      <c r="T7" s="489" t="s">
        <v>635</v>
      </c>
      <c r="U7" s="489" t="s">
        <v>636</v>
      </c>
      <c r="V7" s="463" t="s">
        <v>637</v>
      </c>
      <c r="W7" s="463" t="s">
        <v>638</v>
      </c>
      <c r="X7" s="463" t="s">
        <v>639</v>
      </c>
      <c r="Y7" s="463" t="s">
        <v>640</v>
      </c>
      <c r="Z7" s="463" t="s">
        <v>657</v>
      </c>
      <c r="AA7" s="463" t="s">
        <v>658</v>
      </c>
      <c r="AB7" s="463" t="s">
        <v>659</v>
      </c>
      <c r="AC7" s="463" t="s">
        <v>660</v>
      </c>
      <c r="AD7" s="463" t="s">
        <v>661</v>
      </c>
      <c r="AE7" s="463" t="s">
        <v>662</v>
      </c>
      <c r="AF7" s="463" t="s">
        <v>663</v>
      </c>
      <c r="AG7" s="463" t="s">
        <v>664</v>
      </c>
      <c r="AH7" s="463" t="s">
        <v>665</v>
      </c>
      <c r="AI7" s="463" t="s">
        <v>666</v>
      </c>
      <c r="AJ7" s="463" t="s">
        <v>667</v>
      </c>
      <c r="AK7" s="463" t="s">
        <v>668</v>
      </c>
      <c r="AL7" s="463" t="s">
        <v>677</v>
      </c>
      <c r="AM7" s="463" t="s">
        <v>678</v>
      </c>
      <c r="AN7" s="463" t="s">
        <v>679</v>
      </c>
      <c r="AO7" s="463" t="s">
        <v>680</v>
      </c>
      <c r="AP7" s="463" t="s">
        <v>681</v>
      </c>
      <c r="AQ7" s="463" t="s">
        <v>682</v>
      </c>
      <c r="AR7" s="463" t="s">
        <v>683</v>
      </c>
      <c r="AS7" s="463" t="s">
        <v>684</v>
      </c>
      <c r="AT7" s="463" t="s">
        <v>669</v>
      </c>
      <c r="AU7" s="463" t="s">
        <v>670</v>
      </c>
      <c r="AV7" s="463" t="s">
        <v>671</v>
      </c>
      <c r="AW7" s="463" t="s">
        <v>672</v>
      </c>
      <c r="AX7" s="463" t="s">
        <v>673</v>
      </c>
      <c r="AY7" s="463" t="s">
        <v>674</v>
      </c>
      <c r="AZ7" s="463" t="s">
        <v>675</v>
      </c>
      <c r="BA7" s="463" t="s">
        <v>676</v>
      </c>
      <c r="BB7" s="463" t="s">
        <v>685</v>
      </c>
      <c r="BC7" s="463" t="s">
        <v>686</v>
      </c>
      <c r="BD7" s="463" t="s">
        <v>641</v>
      </c>
      <c r="BE7" s="463" t="s">
        <v>687</v>
      </c>
      <c r="BF7" s="463" t="s">
        <v>642</v>
      </c>
      <c r="BG7" s="444" t="s">
        <v>635</v>
      </c>
      <c r="BH7" s="446" t="s">
        <v>636</v>
      </c>
      <c r="BI7" s="444" t="s">
        <v>688</v>
      </c>
      <c r="BJ7" s="494" t="s">
        <v>691</v>
      </c>
      <c r="BK7" s="494" t="s">
        <v>692</v>
      </c>
      <c r="BL7" s="494" t="s">
        <v>689</v>
      </c>
      <c r="BM7" s="494" t="s">
        <v>693</v>
      </c>
      <c r="BN7" s="494" t="s">
        <v>694</v>
      </c>
      <c r="BO7" s="494" t="s">
        <v>690</v>
      </c>
      <c r="BP7" s="442" t="s">
        <v>388</v>
      </c>
      <c r="BQ7" s="442" t="s">
        <v>866</v>
      </c>
      <c r="BR7" s="442"/>
      <c r="BS7" s="442"/>
      <c r="BT7" s="478" t="s">
        <v>643</v>
      </c>
      <c r="BU7" s="478" t="s">
        <v>644</v>
      </c>
      <c r="BV7" s="478" t="s">
        <v>645</v>
      </c>
      <c r="BW7" s="478" t="s">
        <v>646</v>
      </c>
      <c r="BX7" s="478" t="s">
        <v>647</v>
      </c>
      <c r="BY7" s="478" t="s">
        <v>648</v>
      </c>
      <c r="BZ7" s="478" t="s">
        <v>649</v>
      </c>
      <c r="CA7" s="478" t="s">
        <v>650</v>
      </c>
      <c r="CB7" s="478" t="s">
        <v>651</v>
      </c>
      <c r="CC7" s="478" t="s">
        <v>652</v>
      </c>
      <c r="CD7" s="478" t="s">
        <v>653</v>
      </c>
      <c r="CE7" s="478" t="s">
        <v>654</v>
      </c>
      <c r="CF7" s="479" t="s">
        <v>655</v>
      </c>
    </row>
    <row r="8" spans="1:85" s="488" customFormat="1" ht="15.75">
      <c r="A8" s="480" t="s">
        <v>656</v>
      </c>
      <c r="B8" s="483"/>
      <c r="C8" s="483"/>
      <c r="D8" s="484"/>
      <c r="E8" s="483"/>
      <c r="F8" s="483"/>
      <c r="G8" s="484"/>
      <c r="H8" s="484"/>
      <c r="I8" s="484"/>
      <c r="J8" s="484"/>
      <c r="K8" s="484"/>
      <c r="L8" s="484"/>
      <c r="M8" s="484"/>
      <c r="N8" s="484"/>
      <c r="O8" s="484"/>
      <c r="P8" s="485"/>
      <c r="Q8" s="486"/>
      <c r="R8" s="483"/>
      <c r="S8" s="483"/>
      <c r="T8" s="483"/>
      <c r="U8" s="483"/>
      <c r="V8" s="483"/>
      <c r="W8" s="483"/>
      <c r="X8" s="483"/>
      <c r="Y8" s="483"/>
      <c r="Z8" s="483"/>
      <c r="AA8" s="483"/>
      <c r="AB8" s="483"/>
      <c r="AC8" s="483"/>
      <c r="AD8" s="483"/>
      <c r="AE8" s="483"/>
      <c r="AF8" s="483"/>
      <c r="AG8" s="483"/>
      <c r="AH8" s="483"/>
      <c r="AI8" s="483"/>
      <c r="AJ8" s="483"/>
      <c r="AK8" s="483"/>
      <c r="AL8" s="483"/>
      <c r="AM8" s="483"/>
      <c r="AN8" s="483"/>
      <c r="AO8" s="483"/>
      <c r="AP8" s="483"/>
      <c r="AQ8" s="483"/>
      <c r="AR8" s="483"/>
      <c r="AS8" s="483"/>
      <c r="AT8" s="483"/>
      <c r="AU8" s="483"/>
      <c r="AV8" s="483"/>
      <c r="AW8" s="483"/>
      <c r="AX8" s="483"/>
      <c r="AY8" s="483"/>
      <c r="AZ8" s="483"/>
      <c r="BA8" s="483"/>
      <c r="BB8" s="483"/>
      <c r="BC8" s="483"/>
      <c r="BD8" s="483"/>
      <c r="BE8" s="483"/>
      <c r="BF8" s="483"/>
      <c r="BG8" s="483"/>
      <c r="BH8" s="483"/>
      <c r="BI8" s="483"/>
      <c r="BJ8" s="483"/>
      <c r="BK8" s="483"/>
      <c r="BL8" s="483"/>
      <c r="BM8" s="483"/>
      <c r="BN8" s="483"/>
      <c r="BO8" s="483"/>
      <c r="BP8" s="483"/>
      <c r="BQ8" s="483"/>
      <c r="BR8" s="483"/>
      <c r="BS8" s="483"/>
      <c r="BT8" s="483"/>
      <c r="BU8" s="483"/>
      <c r="BV8" s="483"/>
      <c r="BW8" s="483"/>
      <c r="BX8" s="483"/>
      <c r="BY8" s="483"/>
      <c r="BZ8" s="483"/>
      <c r="CA8" s="483"/>
      <c r="CB8" s="483"/>
      <c r="CC8" s="483"/>
      <c r="CD8" s="483"/>
      <c r="CE8" s="483"/>
      <c r="CF8" s="490"/>
    </row>
    <row r="9" spans="1:85" s="449" customFormat="1">
      <c r="A9" s="491">
        <v>62005001</v>
      </c>
      <c r="B9" s="491" t="s">
        <v>820</v>
      </c>
      <c r="C9" s="491" t="s">
        <v>695</v>
      </c>
      <c r="D9" s="473" t="s">
        <v>706</v>
      </c>
      <c r="E9" s="448" t="s">
        <v>769</v>
      </c>
      <c r="F9" s="481" t="str">
        <f>LEFT(E9,8)</f>
        <v>05/22/20</v>
      </c>
      <c r="G9" s="466" t="s">
        <v>707</v>
      </c>
      <c r="H9" s="466" t="s">
        <v>708</v>
      </c>
      <c r="I9" s="474"/>
      <c r="J9" s="467">
        <v>22.394546999999999</v>
      </c>
      <c r="K9" s="467">
        <v>46.064439</v>
      </c>
      <c r="L9" s="467">
        <v>29.300208000000001</v>
      </c>
      <c r="M9" s="467">
        <v>28.409300999999999</v>
      </c>
      <c r="N9" s="450">
        <v>4250</v>
      </c>
      <c r="O9" s="450">
        <v>38.71</v>
      </c>
      <c r="P9" s="450">
        <v>3.0499999999999999E-2</v>
      </c>
      <c r="Q9" s="450">
        <v>1.4999999999999999E-2</v>
      </c>
      <c r="R9" s="451">
        <v>0.27738026999999998</v>
      </c>
      <c r="S9" s="451">
        <f>R9+R8</f>
        <v>0.27738026999999998</v>
      </c>
      <c r="T9" s="492">
        <v>57.1</v>
      </c>
      <c r="U9" s="492">
        <v>57</v>
      </c>
      <c r="V9" s="455">
        <v>4270</v>
      </c>
      <c r="W9" s="455">
        <v>4396</v>
      </c>
      <c r="X9" s="455">
        <f>W9-V9</f>
        <v>126</v>
      </c>
      <c r="Y9" s="455">
        <f>X9/$R9</f>
        <v>454.2500445327276</v>
      </c>
      <c r="Z9" s="476">
        <v>4213</v>
      </c>
      <c r="AA9" s="455">
        <v>4340</v>
      </c>
      <c r="AB9" s="455">
        <f>AA9-Z9</f>
        <v>127</v>
      </c>
      <c r="AC9" s="475">
        <f>AB9/$R9</f>
        <v>457.85520361632069</v>
      </c>
      <c r="AD9" s="476">
        <v>1261</v>
      </c>
      <c r="AE9" s="455">
        <v>1283</v>
      </c>
      <c r="AF9" s="455">
        <f>AE9-AD9</f>
        <v>22</v>
      </c>
      <c r="AG9" s="475">
        <f>AF9/$R9</f>
        <v>79.31349983904768</v>
      </c>
      <c r="AH9" s="476">
        <v>1560</v>
      </c>
      <c r="AI9" s="455">
        <v>1618</v>
      </c>
      <c r="AJ9" s="455">
        <f>AI9-AH9</f>
        <v>58</v>
      </c>
      <c r="AK9" s="475">
        <f>AJ9/$R9</f>
        <v>209.09922684839842</v>
      </c>
      <c r="AL9" s="476">
        <v>782</v>
      </c>
      <c r="AM9" s="455">
        <v>794</v>
      </c>
      <c r="AN9" s="455">
        <f>AM9-AL9</f>
        <v>12</v>
      </c>
      <c r="AO9" s="475">
        <f>AN9/$R9</f>
        <v>43.261909003116912</v>
      </c>
      <c r="AP9" s="476">
        <v>609.44000000000005</v>
      </c>
      <c r="AQ9" s="455">
        <v>619.59</v>
      </c>
      <c r="AR9" s="455">
        <f>AQ9-AP9</f>
        <v>10.149999999999977</v>
      </c>
      <c r="AS9" s="475">
        <f>AR9/$R9</f>
        <v>36.592364698469645</v>
      </c>
      <c r="AT9" s="476">
        <v>291.2</v>
      </c>
      <c r="AU9" s="455">
        <v>315.2</v>
      </c>
      <c r="AV9" s="455">
        <f>AU9-AT9</f>
        <v>24</v>
      </c>
      <c r="AW9" s="475">
        <f>AV9/$R9</f>
        <v>86.523818006233824</v>
      </c>
      <c r="AX9" s="476">
        <v>220</v>
      </c>
      <c r="AY9" s="455">
        <v>231.1</v>
      </c>
      <c r="AZ9" s="455">
        <f>AY9-AX9</f>
        <v>11.099999999999994</v>
      </c>
      <c r="BA9" s="475">
        <f>AZ9/$R9</f>
        <v>40.017265827883129</v>
      </c>
      <c r="BB9" s="476">
        <v>-18.78</v>
      </c>
      <c r="BC9" s="455">
        <v>-19.2</v>
      </c>
      <c r="BD9" s="455">
        <f>BC9-BB9</f>
        <v>-0.41999999999999815</v>
      </c>
      <c r="BE9" s="455">
        <v>-14.667624999999999</v>
      </c>
      <c r="BF9" s="475">
        <f>BD9/$R9</f>
        <v>-1.5141668151090855</v>
      </c>
      <c r="BG9" s="443">
        <v>57.1</v>
      </c>
      <c r="BH9" s="443">
        <v>57</v>
      </c>
      <c r="BI9" s="443">
        <f>BH9-BG9</f>
        <v>-0.10000000000000142</v>
      </c>
      <c r="BJ9" s="495">
        <v>81.2</v>
      </c>
      <c r="BK9" s="495">
        <v>81.3</v>
      </c>
      <c r="BL9" s="495">
        <f>BK9-BJ9</f>
        <v>9.9999999999994316E-2</v>
      </c>
      <c r="BM9" s="495">
        <v>0</v>
      </c>
      <c r="BN9" s="495">
        <v>0</v>
      </c>
      <c r="BO9" s="495">
        <f>BN9-BM9</f>
        <v>0</v>
      </c>
      <c r="BP9" s="443"/>
      <c r="BQ9" s="443"/>
      <c r="BR9" s="443"/>
      <c r="BS9" s="443"/>
      <c r="BT9" s="466" t="s">
        <v>709</v>
      </c>
      <c r="BU9" s="447">
        <v>0</v>
      </c>
      <c r="BV9" s="447" t="s">
        <v>710</v>
      </c>
      <c r="BW9" s="447">
        <v>573.06318548000002</v>
      </c>
      <c r="BX9" s="447">
        <v>0</v>
      </c>
      <c r="BY9" s="447">
        <v>0.70419310000000002</v>
      </c>
      <c r="BZ9" s="447">
        <v>0</v>
      </c>
      <c r="CA9" s="447" t="s">
        <v>710</v>
      </c>
      <c r="CB9" s="447">
        <v>0.27737425999999998</v>
      </c>
      <c r="CC9" s="447">
        <v>0</v>
      </c>
      <c r="CD9" s="447" t="s">
        <v>711</v>
      </c>
      <c r="CE9" s="447" t="s">
        <v>710</v>
      </c>
      <c r="CF9" s="447" t="s">
        <v>711</v>
      </c>
      <c r="CG9" s="447"/>
    </row>
    <row r="10" spans="1:85" s="449" customFormat="1" ht="22.5">
      <c r="A10" s="491">
        <v>62005002</v>
      </c>
      <c r="B10" s="491" t="s">
        <v>818</v>
      </c>
      <c r="C10" s="491" t="s">
        <v>695</v>
      </c>
      <c r="D10" s="473" t="s">
        <v>712</v>
      </c>
      <c r="E10" s="448" t="s">
        <v>713</v>
      </c>
      <c r="F10" s="481" t="str">
        <f>LEFT(E10,8)</f>
        <v>05/22/20</v>
      </c>
      <c r="G10" s="466" t="s">
        <v>714</v>
      </c>
      <c r="H10" s="466" t="s">
        <v>715</v>
      </c>
      <c r="I10" s="474"/>
      <c r="J10" s="467">
        <v>25.609857000000002</v>
      </c>
      <c r="K10" s="467">
        <v>36.874774000000002</v>
      </c>
      <c r="L10" s="467">
        <v>29.301105</v>
      </c>
      <c r="M10" s="467">
        <v>30.686291000000001</v>
      </c>
      <c r="N10" s="450">
        <v>4250</v>
      </c>
      <c r="O10" s="450">
        <v>38.71</v>
      </c>
      <c r="P10" s="450">
        <v>3.0499999999999999E-2</v>
      </c>
      <c r="Q10" s="450">
        <v>1.4999999999999999E-2</v>
      </c>
      <c r="R10" s="451">
        <v>10.331130549999999</v>
      </c>
      <c r="S10" s="451" t="e">
        <f>R10+#REF!</f>
        <v>#REF!</v>
      </c>
      <c r="T10" s="492">
        <v>56.9</v>
      </c>
      <c r="U10" s="492">
        <v>54.5</v>
      </c>
      <c r="V10" s="455">
        <v>4478</v>
      </c>
      <c r="W10" s="455">
        <v>6405</v>
      </c>
      <c r="X10" s="455">
        <f t="shared" ref="X10:X34" si="0">W10-V10</f>
        <v>1927</v>
      </c>
      <c r="Y10" s="455">
        <f t="shared" ref="Y10:Y55" si="1">X10/$R10</f>
        <v>186.52363269187418</v>
      </c>
      <c r="Z10" s="476">
        <v>4416</v>
      </c>
      <c r="AA10" s="455">
        <v>6338</v>
      </c>
      <c r="AB10" s="455">
        <f t="shared" ref="AB10:AB34" si="2">AA10-Z10</f>
        <v>1922</v>
      </c>
      <c r="AC10" s="475">
        <f t="shared" ref="AC10:AC55" si="3">AB10/$R10</f>
        <v>186.03965855411633</v>
      </c>
      <c r="AD10" s="476">
        <v>1285</v>
      </c>
      <c r="AE10" s="455">
        <v>1288</v>
      </c>
      <c r="AF10" s="455">
        <f t="shared" ref="AF10:AF34" si="4">AE10-AD10</f>
        <v>3</v>
      </c>
      <c r="AG10" s="475">
        <f t="shared" ref="AG10:AG55" si="5">AF10/$R10</f>
        <v>0.29038448265470812</v>
      </c>
      <c r="AH10" s="476">
        <v>1621</v>
      </c>
      <c r="AI10" s="455">
        <v>3441</v>
      </c>
      <c r="AJ10" s="455">
        <f t="shared" ref="AJ10:AJ34" si="6">AI10-AH10</f>
        <v>1820</v>
      </c>
      <c r="AK10" s="475">
        <f t="shared" ref="AK10:AK55" si="7">AJ10/$R10</f>
        <v>176.16658614385625</v>
      </c>
      <c r="AL10" s="476">
        <v>843.9</v>
      </c>
      <c r="AM10" s="455">
        <v>949.2</v>
      </c>
      <c r="AN10" s="455">
        <f t="shared" ref="AN10:AN34" si="8">AM10-AL10</f>
        <v>105.30000000000007</v>
      </c>
      <c r="AO10" s="475">
        <f t="shared" ref="AO10:AO55" si="9">AN10/$R10</f>
        <v>10.192495341180262</v>
      </c>
      <c r="AP10" s="476">
        <v>656.24</v>
      </c>
      <c r="AQ10" s="455">
        <v>745.18761800000004</v>
      </c>
      <c r="AR10" s="455">
        <f t="shared" ref="AR10:AR34" si="10">AQ10-AP10</f>
        <v>88.947618000000034</v>
      </c>
      <c r="AS10" s="475">
        <f t="shared" ref="AS10:AS55" si="11">AR10/$R10</f>
        <v>8.6096693454328719</v>
      </c>
      <c r="AT10" s="476">
        <v>335.1</v>
      </c>
      <c r="AU10" s="455">
        <v>335.1</v>
      </c>
      <c r="AV10" s="455">
        <f t="shared" ref="AV10:AV34" si="12">AU10-AT10</f>
        <v>0</v>
      </c>
      <c r="AW10" s="475">
        <f t="shared" ref="AW10:AW55" si="13">AV10/$R10</f>
        <v>0</v>
      </c>
      <c r="AX10" s="476">
        <v>241.5</v>
      </c>
      <c r="AY10" s="455">
        <v>242.1</v>
      </c>
      <c r="AZ10" s="455">
        <f t="shared" ref="AZ10:AZ34" si="14">AY10-AX10</f>
        <v>0.59999999999999432</v>
      </c>
      <c r="BA10" s="475">
        <f t="shared" ref="BA10:BA55" si="15">AZ10/$R10</f>
        <v>5.8076896530941072E-2</v>
      </c>
      <c r="BB10" s="476">
        <v>-20.18</v>
      </c>
      <c r="BC10" s="455">
        <v>-21.2</v>
      </c>
      <c r="BD10" s="455">
        <f t="shared" ref="BD10:BD34" si="16">BC10-BB10</f>
        <v>-1.0199999999999996</v>
      </c>
      <c r="BE10" s="455">
        <v>-4.8359579999999998</v>
      </c>
      <c r="BF10" s="475">
        <f t="shared" ref="BF10:BF55" si="17">BD10/$R10</f>
        <v>-9.8730724102600725E-2</v>
      </c>
      <c r="BG10" s="443">
        <v>56.9</v>
      </c>
      <c r="BH10" s="443">
        <v>54.5</v>
      </c>
      <c r="BI10" s="443">
        <f t="shared" ref="BI10:BI34" si="18">BH10-BG10</f>
        <v>-2.3999999999999986</v>
      </c>
      <c r="BJ10" s="495">
        <v>82.1</v>
      </c>
      <c r="BK10" s="495">
        <v>82.8</v>
      </c>
      <c r="BL10" s="495">
        <f t="shared" ref="BL10:BL34" si="19">BK10-BJ10</f>
        <v>0.70000000000000284</v>
      </c>
      <c r="BM10" s="495">
        <v>0</v>
      </c>
      <c r="BN10" s="495">
        <v>0</v>
      </c>
      <c r="BO10" s="495">
        <f t="shared" ref="BO10:BO34" si="20">BN10-BM10</f>
        <v>0</v>
      </c>
      <c r="BP10" s="443"/>
      <c r="BQ10" s="443"/>
      <c r="BR10" s="443"/>
      <c r="BS10" s="443"/>
      <c r="BT10" s="466" t="s">
        <v>709</v>
      </c>
      <c r="BU10" s="447">
        <v>1874.05483402</v>
      </c>
      <c r="BV10" s="447">
        <v>1.7850503</v>
      </c>
      <c r="BW10" s="447">
        <v>1330.1450700099999</v>
      </c>
      <c r="BX10" s="447">
        <v>1306.81771641</v>
      </c>
      <c r="BY10" s="447">
        <v>6.90165776</v>
      </c>
      <c r="BZ10" s="447">
        <v>6.7905459300000004</v>
      </c>
      <c r="CA10" s="447">
        <v>0.7260122</v>
      </c>
      <c r="CB10" s="447">
        <v>10.33114501</v>
      </c>
      <c r="CC10" s="447">
        <v>10.25668026</v>
      </c>
      <c r="CD10" s="447">
        <v>0.89560574999999998</v>
      </c>
      <c r="CE10" s="447">
        <v>1.6362725</v>
      </c>
      <c r="CF10" s="447">
        <v>0.33399275</v>
      </c>
      <c r="CG10" s="447"/>
    </row>
    <row r="11" spans="1:85" s="449" customFormat="1" ht="22.5">
      <c r="A11" s="491">
        <v>62005002</v>
      </c>
      <c r="B11" s="491" t="s">
        <v>818</v>
      </c>
      <c r="C11" s="491" t="s">
        <v>696</v>
      </c>
      <c r="D11" s="473" t="s">
        <v>712</v>
      </c>
      <c r="E11" s="448" t="s">
        <v>713</v>
      </c>
      <c r="F11" s="481" t="str">
        <f>LEFT(E11,8)</f>
        <v>05/22/20</v>
      </c>
      <c r="G11" s="466" t="s">
        <v>714</v>
      </c>
      <c r="H11" s="466" t="s">
        <v>715</v>
      </c>
      <c r="I11" s="474"/>
      <c r="J11" s="467">
        <v>24.725525000000001</v>
      </c>
      <c r="K11" s="467">
        <v>38.963824000000002</v>
      </c>
      <c r="L11" s="467">
        <v>29.283187999999999</v>
      </c>
      <c r="M11" s="467">
        <v>32.145550999999998</v>
      </c>
      <c r="N11" s="450">
        <v>4250</v>
      </c>
      <c r="O11" s="450">
        <v>38.71</v>
      </c>
      <c r="P11" s="450">
        <v>3.0499999999999999E-2</v>
      </c>
      <c r="Q11" s="450">
        <v>1.4999999999999999E-2</v>
      </c>
      <c r="R11" s="451">
        <v>10.2285614</v>
      </c>
      <c r="S11" s="451">
        <f t="shared" ref="S11:S34" si="21">R11+R10</f>
        <v>20.559691950000001</v>
      </c>
      <c r="T11" s="492">
        <v>54.5</v>
      </c>
      <c r="U11" s="492">
        <v>53</v>
      </c>
      <c r="V11" s="455">
        <v>6407</v>
      </c>
      <c r="W11" s="455">
        <v>8260</v>
      </c>
      <c r="X11" s="455">
        <f t="shared" si="0"/>
        <v>1853</v>
      </c>
      <c r="Y11" s="455">
        <f t="shared" si="1"/>
        <v>181.15939549426764</v>
      </c>
      <c r="Z11" s="476">
        <v>6339</v>
      </c>
      <c r="AA11" s="455">
        <v>8186</v>
      </c>
      <c r="AB11" s="455">
        <f t="shared" si="2"/>
        <v>1847</v>
      </c>
      <c r="AC11" s="475">
        <f t="shared" si="3"/>
        <v>180.57280274037365</v>
      </c>
      <c r="AD11" s="476">
        <v>1288</v>
      </c>
      <c r="AE11" s="455">
        <v>1292</v>
      </c>
      <c r="AF11" s="455">
        <f t="shared" si="4"/>
        <v>4</v>
      </c>
      <c r="AG11" s="475">
        <f t="shared" si="5"/>
        <v>0.39106183592934191</v>
      </c>
      <c r="AH11" s="476">
        <v>3441</v>
      </c>
      <c r="AI11" s="455">
        <v>5187</v>
      </c>
      <c r="AJ11" s="455">
        <f t="shared" si="6"/>
        <v>1746</v>
      </c>
      <c r="AK11" s="475">
        <f t="shared" si="7"/>
        <v>170.69849138315774</v>
      </c>
      <c r="AL11" s="476">
        <v>951.1</v>
      </c>
      <c r="AM11" s="455">
        <v>1057</v>
      </c>
      <c r="AN11" s="455">
        <f t="shared" si="8"/>
        <v>105.89999999999998</v>
      </c>
      <c r="AO11" s="475">
        <f t="shared" si="9"/>
        <v>10.353362106229325</v>
      </c>
      <c r="AP11" s="476">
        <v>746.76762499999995</v>
      </c>
      <c r="AQ11" s="455">
        <v>836.38719900000001</v>
      </c>
      <c r="AR11" s="455">
        <f t="shared" si="10"/>
        <v>89.619574000000057</v>
      </c>
      <c r="AS11" s="475">
        <f t="shared" si="11"/>
        <v>8.7616987859113848</v>
      </c>
      <c r="AT11" s="476">
        <v>335.1</v>
      </c>
      <c r="AU11" s="455">
        <v>335.2</v>
      </c>
      <c r="AV11" s="455">
        <f t="shared" si="12"/>
        <v>9.9999999999965894E-2</v>
      </c>
      <c r="AW11" s="475">
        <f t="shared" si="13"/>
        <v>9.7765458982302135E-3</v>
      </c>
      <c r="AX11" s="476">
        <v>242.1</v>
      </c>
      <c r="AY11" s="455">
        <v>242.5</v>
      </c>
      <c r="AZ11" s="455">
        <f t="shared" si="14"/>
        <v>0.40000000000000568</v>
      </c>
      <c r="BA11" s="475">
        <f t="shared" si="15"/>
        <v>3.9106183592934746E-2</v>
      </c>
      <c r="BB11" s="476">
        <v>-21.215523000000001</v>
      </c>
      <c r="BC11" s="455">
        <v>-22.17</v>
      </c>
      <c r="BD11" s="455">
        <f t="shared" si="16"/>
        <v>-0.95447700000000069</v>
      </c>
      <c r="BE11" s="455">
        <v>-4.5047689999999996</v>
      </c>
      <c r="BF11" s="475">
        <f t="shared" si="17"/>
        <v>-9.3314881993082688E-2</v>
      </c>
      <c r="BG11" s="443">
        <v>54.5</v>
      </c>
      <c r="BH11" s="443">
        <v>53</v>
      </c>
      <c r="BI11" s="443">
        <f t="shared" si="18"/>
        <v>-1.5</v>
      </c>
      <c r="BJ11" s="495">
        <v>82.8</v>
      </c>
      <c r="BK11" s="495">
        <v>83.5</v>
      </c>
      <c r="BL11" s="495">
        <f t="shared" si="19"/>
        <v>0.70000000000000284</v>
      </c>
      <c r="BM11" s="495">
        <v>0</v>
      </c>
      <c r="BN11" s="495">
        <v>0</v>
      </c>
      <c r="BO11" s="495">
        <f t="shared" si="20"/>
        <v>0</v>
      </c>
      <c r="BP11" s="443"/>
      <c r="BQ11" s="443"/>
      <c r="BR11" s="443"/>
      <c r="BS11" s="443"/>
      <c r="BT11" s="466" t="s">
        <v>709</v>
      </c>
      <c r="BU11" s="447">
        <v>1874.3675978199999</v>
      </c>
      <c r="BV11" s="447">
        <v>8.3289146600000006</v>
      </c>
      <c r="BW11" s="447">
        <v>1415.65289813</v>
      </c>
      <c r="BX11" s="447">
        <v>1306.8098232</v>
      </c>
      <c r="BY11" s="447">
        <v>6.8812308</v>
      </c>
      <c r="BZ11" s="447">
        <v>6.7905433200000003</v>
      </c>
      <c r="CA11" s="447">
        <v>-0.27405754999999998</v>
      </c>
      <c r="CB11" s="447">
        <v>10.22857131</v>
      </c>
      <c r="CC11" s="447">
        <v>10.25668052</v>
      </c>
      <c r="CD11" s="447">
        <v>1.5883420100000001</v>
      </c>
      <c r="CE11" s="447">
        <v>1.3354967200000001</v>
      </c>
      <c r="CF11" s="447">
        <v>0.33399072000000002</v>
      </c>
      <c r="CG11" s="447"/>
    </row>
    <row r="12" spans="1:85" s="519" customFormat="1" ht="22.5">
      <c r="A12" s="543">
        <v>62005002</v>
      </c>
      <c r="B12" s="543" t="s">
        <v>818</v>
      </c>
      <c r="C12" s="543" t="s">
        <v>697</v>
      </c>
      <c r="D12" s="521" t="s">
        <v>712</v>
      </c>
      <c r="E12" s="513" t="s">
        <v>713</v>
      </c>
      <c r="F12" s="536" t="s">
        <v>1057</v>
      </c>
      <c r="G12" s="524" t="s">
        <v>714</v>
      </c>
      <c r="H12" s="524" t="s">
        <v>715</v>
      </c>
      <c r="I12" s="532"/>
      <c r="J12" s="531" t="s">
        <v>711</v>
      </c>
      <c r="K12" s="531" t="s">
        <v>711</v>
      </c>
      <c r="L12" s="531" t="s">
        <v>711</v>
      </c>
      <c r="M12" s="531" t="s">
        <v>711</v>
      </c>
      <c r="N12" s="528">
        <v>4250</v>
      </c>
      <c r="O12" s="528">
        <v>38.71</v>
      </c>
      <c r="P12" s="528">
        <v>3.0499999999999999E-2</v>
      </c>
      <c r="Q12" s="528">
        <v>1.4999999999999999E-2</v>
      </c>
      <c r="R12" s="529" t="s">
        <v>1058</v>
      </c>
      <c r="S12" s="529" t="e">
        <f>R12+R11</f>
        <v>#VALUE!</v>
      </c>
      <c r="T12" s="544">
        <v>53</v>
      </c>
      <c r="U12" s="544">
        <v>0</v>
      </c>
      <c r="V12" s="530">
        <v>8353</v>
      </c>
      <c r="W12" s="530">
        <v>4472</v>
      </c>
      <c r="X12" s="530">
        <f>W12-V12</f>
        <v>-3881</v>
      </c>
      <c r="Y12" s="530" t="e">
        <f>X12/$R12</f>
        <v>#VALUE!</v>
      </c>
      <c r="Z12" s="534">
        <v>8272</v>
      </c>
      <c r="AA12" s="530">
        <v>4410</v>
      </c>
      <c r="AB12" s="530">
        <f>AA12-Z12</f>
        <v>-3862</v>
      </c>
      <c r="AC12" s="533" t="e">
        <f>AB12/$R12</f>
        <v>#VALUE!</v>
      </c>
      <c r="AD12" s="534">
        <v>1293</v>
      </c>
      <c r="AE12" s="530">
        <v>1285</v>
      </c>
      <c r="AF12" s="530">
        <f>AE12-AD12</f>
        <v>-8</v>
      </c>
      <c r="AG12" s="533" t="e">
        <f>AF12/$R12</f>
        <v>#VALUE!</v>
      </c>
      <c r="AH12" s="534">
        <v>5203</v>
      </c>
      <c r="AI12" s="530">
        <v>1621</v>
      </c>
      <c r="AJ12" s="530">
        <f>AI12-AH12</f>
        <v>-3582</v>
      </c>
      <c r="AK12" s="533" t="e">
        <f>AJ12/$R12</f>
        <v>#VALUE!</v>
      </c>
      <c r="AL12" s="534">
        <v>1133.0999999999999</v>
      </c>
      <c r="AM12" s="530">
        <v>841</v>
      </c>
      <c r="AN12" s="530">
        <f>AM12-AL12</f>
        <v>-292.09999999999991</v>
      </c>
      <c r="AO12" s="533" t="e">
        <f>AN12/$R12</f>
        <v>#VALUE!</v>
      </c>
      <c r="AP12" s="534">
        <v>899.88</v>
      </c>
      <c r="AQ12" s="530">
        <v>653.79810999999995</v>
      </c>
      <c r="AR12" s="530">
        <f>AQ12-AP12</f>
        <v>-246.08189000000004</v>
      </c>
      <c r="AS12" s="533" t="e">
        <f>AR12/$R12</f>
        <v>#VALUE!</v>
      </c>
      <c r="AT12" s="534">
        <v>335.3</v>
      </c>
      <c r="AU12" s="530">
        <v>333.68110300000001</v>
      </c>
      <c r="AV12" s="530">
        <f>AU12-AT12</f>
        <v>-1.618897000000004</v>
      </c>
      <c r="AW12" s="533" t="e">
        <f>AV12/$R12</f>
        <v>#VALUE!</v>
      </c>
      <c r="AX12" s="534">
        <v>242.9</v>
      </c>
      <c r="AY12" s="530">
        <v>240.4</v>
      </c>
      <c r="AZ12" s="530">
        <f>AY12-AX12</f>
        <v>-2.5</v>
      </c>
      <c r="BA12" s="533" t="e">
        <f>AZ12/$R12</f>
        <v>#VALUE!</v>
      </c>
      <c r="BB12" s="534">
        <v>-22.87</v>
      </c>
      <c r="BC12" s="530">
        <v>-20.14</v>
      </c>
      <c r="BD12" s="530">
        <f>BC12-BB12</f>
        <v>2.7300000000000004</v>
      </c>
      <c r="BE12" s="530" t="s">
        <v>711</v>
      </c>
      <c r="BF12" s="533"/>
      <c r="BG12" s="527">
        <v>53</v>
      </c>
      <c r="BH12" s="527">
        <v>0</v>
      </c>
      <c r="BI12" s="527"/>
      <c r="BJ12" s="545">
        <v>84.1</v>
      </c>
      <c r="BK12" s="545">
        <v>82.1</v>
      </c>
      <c r="BL12" s="545"/>
      <c r="BM12" s="545">
        <v>0</v>
      </c>
      <c r="BN12" s="545">
        <v>0</v>
      </c>
      <c r="BO12" s="545"/>
      <c r="BP12" s="527"/>
      <c r="BQ12" s="527"/>
      <c r="BR12" s="527"/>
      <c r="BS12" s="527"/>
      <c r="BT12" s="524" t="s">
        <v>709</v>
      </c>
      <c r="BU12" s="512"/>
      <c r="BV12" s="512"/>
      <c r="BW12" s="512"/>
      <c r="BX12" s="512"/>
      <c r="BY12" s="512"/>
      <c r="BZ12" s="512"/>
      <c r="CA12" s="512"/>
      <c r="CB12" s="512"/>
      <c r="CC12" s="512"/>
      <c r="CD12" s="512"/>
      <c r="CE12" s="512"/>
      <c r="CF12" s="512"/>
      <c r="CG12" s="512"/>
    </row>
    <row r="13" spans="1:85" s="449" customFormat="1">
      <c r="A13" s="491">
        <v>62005003</v>
      </c>
      <c r="B13" s="491" t="s">
        <v>821</v>
      </c>
      <c r="C13" s="491" t="s">
        <v>695</v>
      </c>
      <c r="D13" s="473" t="s">
        <v>716</v>
      </c>
      <c r="E13" s="448" t="s">
        <v>717</v>
      </c>
      <c r="F13" s="481" t="str">
        <f>LEFT(E13,8)</f>
        <v>05/22/20</v>
      </c>
      <c r="G13" s="466" t="s">
        <v>718</v>
      </c>
      <c r="H13" s="466" t="s">
        <v>708</v>
      </c>
      <c r="I13" s="474"/>
      <c r="J13" s="467">
        <v>20.595238999999999</v>
      </c>
      <c r="K13" s="467">
        <v>52.936563</v>
      </c>
      <c r="L13" s="467">
        <v>29.275129</v>
      </c>
      <c r="M13" s="467">
        <v>25.077770000000001</v>
      </c>
      <c r="N13" s="450">
        <v>4250</v>
      </c>
      <c r="O13" s="450">
        <v>38.71</v>
      </c>
      <c r="P13" s="450">
        <v>3.0499999999999999E-2</v>
      </c>
      <c r="Q13" s="450">
        <v>1.4999999999999999E-2</v>
      </c>
      <c r="R13" s="451">
        <v>1.3200000000000001E-5</v>
      </c>
      <c r="S13" s="451">
        <f>R13+R11</f>
        <v>10.2285746</v>
      </c>
      <c r="T13" s="492">
        <v>52.4</v>
      </c>
      <c r="U13" s="492">
        <v>53.7</v>
      </c>
      <c r="V13" s="455">
        <v>8395</v>
      </c>
      <c r="W13" s="455">
        <v>7232</v>
      </c>
      <c r="X13" s="455">
        <f t="shared" si="0"/>
        <v>-1163</v>
      </c>
      <c r="Y13" s="455">
        <f t="shared" si="1"/>
        <v>-88106060.606060594</v>
      </c>
      <c r="Z13" s="476">
        <v>8307</v>
      </c>
      <c r="AA13" s="455">
        <v>7140</v>
      </c>
      <c r="AB13" s="455">
        <f t="shared" si="2"/>
        <v>-1167</v>
      </c>
      <c r="AC13" s="475">
        <f t="shared" si="3"/>
        <v>-88409090.909090906</v>
      </c>
      <c r="AD13" s="476">
        <v>1295</v>
      </c>
      <c r="AE13" s="455">
        <v>1297</v>
      </c>
      <c r="AF13" s="455">
        <f t="shared" si="4"/>
        <v>2</v>
      </c>
      <c r="AG13" s="475">
        <f t="shared" si="5"/>
        <v>151515.15151515152</v>
      </c>
      <c r="AH13" s="476">
        <v>5206</v>
      </c>
      <c r="AI13" s="455">
        <v>5207</v>
      </c>
      <c r="AJ13" s="455">
        <f t="shared" si="6"/>
        <v>1</v>
      </c>
      <c r="AK13" s="475">
        <f t="shared" si="7"/>
        <v>75757.57575757576</v>
      </c>
      <c r="AL13" s="476">
        <v>1173</v>
      </c>
      <c r="AM13" s="455">
        <v>8.5</v>
      </c>
      <c r="AN13" s="455">
        <f t="shared" si="8"/>
        <v>-1164.5</v>
      </c>
      <c r="AO13" s="475">
        <f t="shared" si="9"/>
        <v>-88219696.969696969</v>
      </c>
      <c r="AP13" s="476">
        <v>927.32642999999996</v>
      </c>
      <c r="AQ13" s="455">
        <v>943.72</v>
      </c>
      <c r="AR13" s="455">
        <f t="shared" si="10"/>
        <v>16.393570000000068</v>
      </c>
      <c r="AS13" s="475">
        <f t="shared" si="11"/>
        <v>1241937.1212121262</v>
      </c>
      <c r="AT13" s="476">
        <v>335.3</v>
      </c>
      <c r="AU13" s="455">
        <v>335.4</v>
      </c>
      <c r="AV13" s="455">
        <f t="shared" si="12"/>
        <v>9.9999999999965894E-2</v>
      </c>
      <c r="AW13" s="475">
        <f t="shared" si="13"/>
        <v>7575.7575757549912</v>
      </c>
      <c r="AX13" s="476">
        <v>243.2</v>
      </c>
      <c r="AY13" s="455">
        <v>243.5</v>
      </c>
      <c r="AZ13" s="455">
        <f t="shared" si="14"/>
        <v>0.30000000000001137</v>
      </c>
      <c r="BA13" s="475">
        <f t="shared" si="15"/>
        <v>22727.272727273586</v>
      </c>
      <c r="BB13" s="476">
        <v>-23.51</v>
      </c>
      <c r="BC13" s="455">
        <v>-24.18</v>
      </c>
      <c r="BD13" s="455">
        <f t="shared" si="16"/>
        <v>-0.66999999999999815</v>
      </c>
      <c r="BE13" s="455">
        <v>-4.9554359999999997</v>
      </c>
      <c r="BF13" s="475">
        <f t="shared" si="17"/>
        <v>-50757.575757575614</v>
      </c>
      <c r="BG13" s="443">
        <v>52.4</v>
      </c>
      <c r="BH13" s="443">
        <v>53.7</v>
      </c>
      <c r="BI13" s="443">
        <f t="shared" si="18"/>
        <v>1.3000000000000043</v>
      </c>
      <c r="BJ13" s="495">
        <v>85.2</v>
      </c>
      <c r="BK13" s="495">
        <v>1340.2</v>
      </c>
      <c r="BL13" s="495">
        <f t="shared" si="19"/>
        <v>1255</v>
      </c>
      <c r="BM13" s="495">
        <v>0</v>
      </c>
      <c r="BN13" s="495">
        <v>-1261.9000000000001</v>
      </c>
      <c r="BO13" s="495">
        <f t="shared" si="20"/>
        <v>-1261.9000000000001</v>
      </c>
      <c r="BP13" s="443"/>
      <c r="BQ13" s="443">
        <f>X13/BO13</f>
        <v>0.92162611934384653</v>
      </c>
      <c r="BR13" s="443"/>
      <c r="BS13" s="443"/>
      <c r="BT13" s="466" t="s">
        <v>719</v>
      </c>
      <c r="BU13" s="447"/>
      <c r="BV13" s="447"/>
      <c r="BW13" s="447"/>
      <c r="BX13" s="447"/>
      <c r="BY13" s="447"/>
      <c r="BZ13" s="447"/>
      <c r="CA13" s="447"/>
      <c r="CB13" s="447"/>
      <c r="CC13" s="447"/>
      <c r="CD13" s="447"/>
      <c r="CE13" s="447"/>
      <c r="CF13" s="447"/>
      <c r="CG13" s="447"/>
    </row>
    <row r="14" spans="1:85" s="449" customFormat="1">
      <c r="A14" s="491">
        <v>62005004</v>
      </c>
      <c r="B14" s="491" t="s">
        <v>822</v>
      </c>
      <c r="C14" s="491" t="s">
        <v>695</v>
      </c>
      <c r="D14" s="473" t="s">
        <v>720</v>
      </c>
      <c r="E14" s="448" t="s">
        <v>721</v>
      </c>
      <c r="F14" s="481" t="str">
        <f t="shared" ref="F14:F31" si="22">LEFT(E14,8)</f>
        <v>05/26/20</v>
      </c>
      <c r="G14" s="466" t="s">
        <v>722</v>
      </c>
      <c r="H14" s="466" t="s">
        <v>708</v>
      </c>
      <c r="I14" s="474"/>
      <c r="J14" s="467">
        <v>22.351032</v>
      </c>
      <c r="K14" s="467">
        <v>45.761014000000003</v>
      </c>
      <c r="L14" s="467">
        <v>29.294218000000001</v>
      </c>
      <c r="M14" s="467">
        <v>24.844283999999998</v>
      </c>
      <c r="N14" s="450">
        <v>4250</v>
      </c>
      <c r="O14" s="450">
        <v>38.71</v>
      </c>
      <c r="P14" s="450">
        <v>3.0499999999999999E-2</v>
      </c>
      <c r="Q14" s="450">
        <v>1.4999999999999999E-2</v>
      </c>
      <c r="R14" s="451">
        <v>3.1542646099999998</v>
      </c>
      <c r="S14" s="451">
        <f>R14+R13</f>
        <v>3.15427781</v>
      </c>
      <c r="T14" s="492">
        <v>53.3</v>
      </c>
      <c r="U14" s="492">
        <v>52.5</v>
      </c>
      <c r="V14" s="455">
        <v>8367</v>
      </c>
      <c r="W14" s="455">
        <v>8971</v>
      </c>
      <c r="X14" s="455">
        <f t="shared" si="0"/>
        <v>604</v>
      </c>
      <c r="Y14" s="455">
        <f t="shared" si="1"/>
        <v>191.48678842134302</v>
      </c>
      <c r="Z14" s="476">
        <v>8127</v>
      </c>
      <c r="AA14" s="455">
        <v>8729</v>
      </c>
      <c r="AB14" s="455">
        <f t="shared" si="2"/>
        <v>602</v>
      </c>
      <c r="AC14" s="475">
        <f t="shared" si="3"/>
        <v>190.85272620802732</v>
      </c>
      <c r="AD14" s="476">
        <v>1348</v>
      </c>
      <c r="AE14" s="455">
        <v>1359</v>
      </c>
      <c r="AF14" s="455">
        <f t="shared" si="4"/>
        <v>11</v>
      </c>
      <c r="AG14" s="475">
        <f t="shared" si="5"/>
        <v>3.4873421732363794</v>
      </c>
      <c r="AH14" s="476">
        <v>5278</v>
      </c>
      <c r="AI14" s="455">
        <v>5813</v>
      </c>
      <c r="AJ14" s="455">
        <f t="shared" si="6"/>
        <v>535</v>
      </c>
      <c r="AK14" s="475">
        <f t="shared" si="7"/>
        <v>169.61164206195119</v>
      </c>
      <c r="AL14" s="476">
        <v>1105.8</v>
      </c>
      <c r="AM14" s="455">
        <v>1165.2</v>
      </c>
      <c r="AN14" s="455">
        <f t="shared" si="8"/>
        <v>59.400000000000091</v>
      </c>
      <c r="AO14" s="475">
        <f t="shared" si="9"/>
        <v>18.831647735476476</v>
      </c>
      <c r="AP14" s="476">
        <v>1693.4603709999999</v>
      </c>
      <c r="AQ14" s="455">
        <v>1742.9256849999999</v>
      </c>
      <c r="AR14" s="455">
        <f t="shared" si="10"/>
        <v>49.465314000000035</v>
      </c>
      <c r="AS14" s="475">
        <f t="shared" si="11"/>
        <v>15.682043238598183</v>
      </c>
      <c r="AT14" s="476">
        <v>338.8</v>
      </c>
      <c r="AU14" s="455">
        <v>338.9</v>
      </c>
      <c r="AV14" s="455">
        <f t="shared" si="12"/>
        <v>9.9999999999965894E-2</v>
      </c>
      <c r="AW14" s="475">
        <f t="shared" si="13"/>
        <v>3.1703110665774456E-2</v>
      </c>
      <c r="AX14" s="476">
        <v>258.5</v>
      </c>
      <c r="AY14" s="455">
        <v>258.8</v>
      </c>
      <c r="AZ14" s="455">
        <f t="shared" si="14"/>
        <v>0.30000000000001137</v>
      </c>
      <c r="BA14" s="475">
        <f t="shared" si="15"/>
        <v>9.5109331997359409E-2</v>
      </c>
      <c r="BB14" s="476">
        <v>-70.92</v>
      </c>
      <c r="BC14" s="455">
        <v>-71.739999999999995</v>
      </c>
      <c r="BD14" s="455">
        <f t="shared" si="16"/>
        <v>-0.81999999999999318</v>
      </c>
      <c r="BE14" s="455">
        <v>-6.3977240000000002</v>
      </c>
      <c r="BF14" s="475">
        <f t="shared" si="17"/>
        <v>-0.25996550745943703</v>
      </c>
      <c r="BG14" s="443">
        <v>53.3</v>
      </c>
      <c r="BH14" s="443">
        <v>52.5</v>
      </c>
      <c r="BI14" s="443">
        <f t="shared" si="18"/>
        <v>-0.79999999999999716</v>
      </c>
      <c r="BJ14" s="495">
        <v>1648.3</v>
      </c>
      <c r="BK14" s="495">
        <v>1648.7</v>
      </c>
      <c r="BL14" s="495">
        <f t="shared" si="19"/>
        <v>0.40000000000009095</v>
      </c>
      <c r="BM14" s="495">
        <v>-1261.9000000000001</v>
      </c>
      <c r="BN14" s="495">
        <v>-1261.9000000000001</v>
      </c>
      <c r="BO14" s="495">
        <f t="shared" si="20"/>
        <v>0</v>
      </c>
      <c r="BP14" s="443"/>
      <c r="BQ14" s="443"/>
      <c r="BR14" s="443"/>
      <c r="BS14" s="443"/>
      <c r="BT14" s="466" t="s">
        <v>723</v>
      </c>
      <c r="BU14" s="447">
        <v>1845.1249683799999</v>
      </c>
      <c r="BV14" s="447">
        <v>-2.0894151399999998</v>
      </c>
      <c r="BW14" s="447">
        <v>2357.3711882900002</v>
      </c>
      <c r="BX14" s="447">
        <v>2407.6775679399998</v>
      </c>
      <c r="BY14" s="447">
        <v>3.0330869300000001</v>
      </c>
      <c r="BZ14" s="447">
        <v>3.0673698699999998</v>
      </c>
      <c r="CA14" s="447">
        <v>0.53420562000000005</v>
      </c>
      <c r="CB14" s="447">
        <v>3.1542404799999999</v>
      </c>
      <c r="CC14" s="447">
        <v>3.1374798799999999</v>
      </c>
      <c r="CD14" s="447">
        <v>-1.67054239</v>
      </c>
      <c r="CE14" s="447">
        <v>-1.1176656899999999</v>
      </c>
      <c r="CF14" s="447">
        <v>0.76770596999999996</v>
      </c>
      <c r="CG14" s="447"/>
    </row>
    <row r="15" spans="1:85" s="449" customFormat="1">
      <c r="A15" s="491">
        <v>62005005</v>
      </c>
      <c r="B15" s="491" t="s">
        <v>818</v>
      </c>
      <c r="C15" s="491" t="s">
        <v>695</v>
      </c>
      <c r="D15" s="473" t="s">
        <v>724</v>
      </c>
      <c r="E15" s="448" t="s">
        <v>725</v>
      </c>
      <c r="F15" s="481" t="str">
        <f t="shared" si="22"/>
        <v>05/26/20</v>
      </c>
      <c r="G15" s="466" t="s">
        <v>726</v>
      </c>
      <c r="H15" s="466" t="s">
        <v>708</v>
      </c>
      <c r="I15" s="474"/>
      <c r="J15" s="467">
        <v>25.635573000000001</v>
      </c>
      <c r="K15" s="467">
        <v>37.686678000000001</v>
      </c>
      <c r="L15" s="467">
        <v>29.30613</v>
      </c>
      <c r="M15" s="467">
        <v>29.154872000000001</v>
      </c>
      <c r="N15" s="450">
        <v>4250</v>
      </c>
      <c r="O15" s="450">
        <v>38.71</v>
      </c>
      <c r="P15" s="450">
        <v>3.0499999999999999E-2</v>
      </c>
      <c r="Q15" s="450">
        <v>1.4999999999999999E-2</v>
      </c>
      <c r="R15" s="451">
        <v>10.29349865</v>
      </c>
      <c r="S15" s="451">
        <f t="shared" si="21"/>
        <v>13.44776326</v>
      </c>
      <c r="T15" s="492">
        <v>52.4</v>
      </c>
      <c r="U15" s="492">
        <v>49.9</v>
      </c>
      <c r="V15" s="455">
        <v>9028</v>
      </c>
      <c r="W15" s="455">
        <v>10987</v>
      </c>
      <c r="X15" s="455">
        <f t="shared" si="0"/>
        <v>1959</v>
      </c>
      <c r="Y15" s="455">
        <f t="shared" si="1"/>
        <v>190.31430095927587</v>
      </c>
      <c r="Z15" s="476">
        <v>8779</v>
      </c>
      <c r="AA15" s="455">
        <v>10733</v>
      </c>
      <c r="AB15" s="455">
        <f t="shared" si="2"/>
        <v>1954</v>
      </c>
      <c r="AC15" s="475">
        <f t="shared" si="3"/>
        <v>189.82855746525016</v>
      </c>
      <c r="AD15" s="476">
        <v>1361</v>
      </c>
      <c r="AE15" s="455">
        <v>1365</v>
      </c>
      <c r="AF15" s="455">
        <f t="shared" si="4"/>
        <v>4</v>
      </c>
      <c r="AG15" s="475">
        <f t="shared" si="5"/>
        <v>0.3885947952205735</v>
      </c>
      <c r="AH15" s="476">
        <v>5816</v>
      </c>
      <c r="AI15" s="455">
        <v>7673</v>
      </c>
      <c r="AJ15" s="455">
        <f t="shared" si="6"/>
        <v>1857</v>
      </c>
      <c r="AK15" s="475">
        <f t="shared" si="7"/>
        <v>180.40513368115126</v>
      </c>
      <c r="AL15" s="476">
        <v>1219.5</v>
      </c>
      <c r="AM15" s="455">
        <v>1320.8</v>
      </c>
      <c r="AN15" s="455">
        <f t="shared" si="8"/>
        <v>101.29999999999995</v>
      </c>
      <c r="AO15" s="475">
        <f t="shared" si="9"/>
        <v>9.8411631889610192</v>
      </c>
      <c r="AP15" s="476">
        <v>1784.06513</v>
      </c>
      <c r="AQ15" s="455">
        <v>1868.934835</v>
      </c>
      <c r="AR15" s="455">
        <f t="shared" si="10"/>
        <v>84.869705000000067</v>
      </c>
      <c r="AS15" s="475">
        <f t="shared" si="11"/>
        <v>8.2449814087263782</v>
      </c>
      <c r="AT15" s="476">
        <v>339</v>
      </c>
      <c r="AU15" s="455">
        <v>339.1</v>
      </c>
      <c r="AV15" s="455">
        <f t="shared" si="12"/>
        <v>0.10000000000002274</v>
      </c>
      <c r="AW15" s="475">
        <f t="shared" si="13"/>
        <v>9.7148698805165461E-3</v>
      </c>
      <c r="AX15" s="476">
        <v>259.2</v>
      </c>
      <c r="AY15" s="455">
        <v>259.7</v>
      </c>
      <c r="AZ15" s="455">
        <f t="shared" si="14"/>
        <v>0.5</v>
      </c>
      <c r="BA15" s="475">
        <f t="shared" si="15"/>
        <v>4.8574349402571687E-2</v>
      </c>
      <c r="BB15" s="476">
        <v>-72.25</v>
      </c>
      <c r="BC15" s="455">
        <v>-73.66</v>
      </c>
      <c r="BD15" s="455">
        <f t="shared" si="16"/>
        <v>-1.4099999999999966</v>
      </c>
      <c r="BE15" s="455">
        <v>-6.6987459999999999</v>
      </c>
      <c r="BF15" s="475">
        <f t="shared" si="17"/>
        <v>-0.13697966531525183</v>
      </c>
      <c r="BG15" s="443">
        <v>52.4</v>
      </c>
      <c r="BH15" s="443">
        <v>49.9</v>
      </c>
      <c r="BI15" s="443">
        <f t="shared" si="18"/>
        <v>-2.5</v>
      </c>
      <c r="BJ15" s="495">
        <v>1650.2</v>
      </c>
      <c r="BK15" s="495">
        <v>1650.9</v>
      </c>
      <c r="BL15" s="495">
        <f t="shared" si="19"/>
        <v>0.70000000000004547</v>
      </c>
      <c r="BM15" s="495">
        <v>-1261.9000000000001</v>
      </c>
      <c r="BN15" s="495">
        <v>-1261.9000000000001</v>
      </c>
      <c r="BO15" s="495">
        <f t="shared" si="20"/>
        <v>0</v>
      </c>
      <c r="BP15" s="443"/>
      <c r="BQ15" s="443"/>
      <c r="BR15" s="443"/>
      <c r="BS15" s="443"/>
      <c r="BT15" s="466" t="s">
        <v>723</v>
      </c>
      <c r="BU15" s="447">
        <v>1865.68720695</v>
      </c>
      <c r="BV15" s="447">
        <v>-0.65690289999999996</v>
      </c>
      <c r="BW15" s="447">
        <v>1298.18952769</v>
      </c>
      <c r="BX15" s="447">
        <v>1306.77376239</v>
      </c>
      <c r="BY15" s="447">
        <v>6.8074094599999997</v>
      </c>
      <c r="BZ15" s="447">
        <v>6.7904396900000004</v>
      </c>
      <c r="CA15" s="447">
        <v>0.35901311000000002</v>
      </c>
      <c r="CB15" s="447">
        <v>10.29352285</v>
      </c>
      <c r="CC15" s="447">
        <v>10.256699960000001</v>
      </c>
      <c r="CD15" s="447">
        <v>-0.10883431</v>
      </c>
      <c r="CE15" s="447">
        <v>0.24990681000000001</v>
      </c>
      <c r="CF15" s="447">
        <v>0.33398489999999997</v>
      </c>
      <c r="CG15" s="447"/>
    </row>
    <row r="16" spans="1:85" s="449" customFormat="1">
      <c r="A16" s="491">
        <v>62005005</v>
      </c>
      <c r="B16" s="491" t="s">
        <v>818</v>
      </c>
      <c r="C16" s="491" t="s">
        <v>696</v>
      </c>
      <c r="D16" s="473" t="s">
        <v>724</v>
      </c>
      <c r="E16" s="448" t="s">
        <v>725</v>
      </c>
      <c r="F16" s="481" t="str">
        <f t="shared" si="22"/>
        <v>05/26/20</v>
      </c>
      <c r="G16" s="466" t="s">
        <v>726</v>
      </c>
      <c r="H16" s="466" t="s">
        <v>708</v>
      </c>
      <c r="I16" s="474"/>
      <c r="J16" s="467">
        <v>24.647652000000001</v>
      </c>
      <c r="K16" s="467">
        <v>39.432262000000001</v>
      </c>
      <c r="L16" s="467">
        <v>29.294592000000002</v>
      </c>
      <c r="M16" s="467">
        <v>31.595939999999999</v>
      </c>
      <c r="N16" s="450">
        <v>4250</v>
      </c>
      <c r="O16" s="450">
        <v>38.71</v>
      </c>
      <c r="P16" s="450">
        <v>3.0499999999999999E-2</v>
      </c>
      <c r="Q16" s="450">
        <v>1.4999999999999999E-2</v>
      </c>
      <c r="R16" s="451">
        <v>10.292716009999999</v>
      </c>
      <c r="S16" s="451">
        <f t="shared" si="21"/>
        <v>20.58621466</v>
      </c>
      <c r="T16" s="492">
        <v>49.9</v>
      </c>
      <c r="U16" s="492">
        <v>47.5</v>
      </c>
      <c r="V16" s="455">
        <v>10989</v>
      </c>
      <c r="W16" s="455">
        <v>12889</v>
      </c>
      <c r="X16" s="455">
        <f t="shared" si="0"/>
        <v>1900</v>
      </c>
      <c r="Y16" s="455">
        <f t="shared" si="1"/>
        <v>184.59656306013247</v>
      </c>
      <c r="Z16" s="476">
        <v>10735</v>
      </c>
      <c r="AA16" s="455">
        <v>12628</v>
      </c>
      <c r="AB16" s="455">
        <f t="shared" si="2"/>
        <v>1893</v>
      </c>
      <c r="AC16" s="475">
        <f t="shared" si="3"/>
        <v>183.91647045938461</v>
      </c>
      <c r="AD16" s="476">
        <v>1365</v>
      </c>
      <c r="AE16" s="455">
        <v>1369</v>
      </c>
      <c r="AF16" s="455">
        <f t="shared" si="4"/>
        <v>4</v>
      </c>
      <c r="AG16" s="475">
        <f t="shared" si="5"/>
        <v>0.38862434328448942</v>
      </c>
      <c r="AH16" s="476">
        <v>7673</v>
      </c>
      <c r="AI16" s="455">
        <v>9470</v>
      </c>
      <c r="AJ16" s="455">
        <f t="shared" si="6"/>
        <v>1797</v>
      </c>
      <c r="AK16" s="475">
        <f t="shared" si="7"/>
        <v>174.58948622055686</v>
      </c>
      <c r="AL16" s="476">
        <v>1322.9</v>
      </c>
      <c r="AM16" s="455">
        <v>1424.7</v>
      </c>
      <c r="AN16" s="455">
        <f t="shared" si="8"/>
        <v>101.79999999999995</v>
      </c>
      <c r="AO16" s="475">
        <f t="shared" si="9"/>
        <v>9.8904895365902519</v>
      </c>
      <c r="AP16" s="476">
        <v>1870.694888</v>
      </c>
      <c r="AQ16" s="455">
        <v>1956.0088699999999</v>
      </c>
      <c r="AR16" s="455">
        <f t="shared" si="10"/>
        <v>85.313981999999896</v>
      </c>
      <c r="AS16" s="475">
        <f t="shared" si="11"/>
        <v>8.2887725569336776</v>
      </c>
      <c r="AT16" s="476">
        <v>339.2</v>
      </c>
      <c r="AU16" s="455">
        <v>339.3</v>
      </c>
      <c r="AV16" s="455">
        <f t="shared" si="12"/>
        <v>0.10000000000002274</v>
      </c>
      <c r="AW16" s="475">
        <f t="shared" si="13"/>
        <v>9.715608582114444E-3</v>
      </c>
      <c r="AX16" s="476">
        <v>259.7</v>
      </c>
      <c r="AY16" s="455">
        <v>260.2</v>
      </c>
      <c r="AZ16" s="455">
        <f t="shared" si="14"/>
        <v>0.5</v>
      </c>
      <c r="BA16" s="475">
        <f t="shared" si="15"/>
        <v>4.8578042910561177E-2</v>
      </c>
      <c r="BB16" s="476">
        <v>-73.680000000000007</v>
      </c>
      <c r="BC16" s="455">
        <v>-74.739999999999995</v>
      </c>
      <c r="BD16" s="455">
        <f t="shared" si="16"/>
        <v>-1.0599999999999881</v>
      </c>
      <c r="BE16" s="455">
        <v>-4.9841150000000001</v>
      </c>
      <c r="BF16" s="475">
        <f t="shared" si="17"/>
        <v>-0.10298545097038854</v>
      </c>
      <c r="BG16" s="443">
        <v>49.9</v>
      </c>
      <c r="BH16" s="443">
        <v>47.5</v>
      </c>
      <c r="BI16" s="443">
        <f t="shared" si="18"/>
        <v>-2.3999999999999986</v>
      </c>
      <c r="BJ16" s="495">
        <v>1651</v>
      </c>
      <c r="BK16" s="495">
        <v>1651.7</v>
      </c>
      <c r="BL16" s="495">
        <f t="shared" si="19"/>
        <v>0.70000000000004547</v>
      </c>
      <c r="BM16" s="495">
        <v>-1261.9000000000001</v>
      </c>
      <c r="BN16" s="495">
        <v>-1261.9000000000001</v>
      </c>
      <c r="BO16" s="495">
        <f t="shared" si="20"/>
        <v>0</v>
      </c>
      <c r="BP16" s="443"/>
      <c r="BQ16" s="443"/>
      <c r="BR16" s="443"/>
      <c r="BS16" s="443"/>
      <c r="BT16" s="466" t="s">
        <v>723</v>
      </c>
      <c r="BU16" s="447">
        <v>1865.5795744</v>
      </c>
      <c r="BV16" s="447">
        <v>-0.36702633000000001</v>
      </c>
      <c r="BW16" s="447">
        <v>1301.9781995400001</v>
      </c>
      <c r="BX16" s="447">
        <v>1306.7744056500001</v>
      </c>
      <c r="BY16" s="447">
        <v>6.8088342400000004</v>
      </c>
      <c r="BZ16" s="447">
        <v>6.7904306800000001</v>
      </c>
      <c r="CA16" s="447">
        <v>0.35109728000000001</v>
      </c>
      <c r="CB16" s="447">
        <v>10.292710939999999</v>
      </c>
      <c r="CC16" s="447">
        <v>10.25669995</v>
      </c>
      <c r="CD16" s="447">
        <v>-7.9858810000000002E-2</v>
      </c>
      <c r="CE16" s="447">
        <v>0.27102203000000002</v>
      </c>
      <c r="CF16" s="447">
        <v>0.33398591</v>
      </c>
      <c r="CG16" s="447"/>
    </row>
    <row r="17" spans="1:85" s="449" customFormat="1">
      <c r="A17" s="491">
        <v>62005005</v>
      </c>
      <c r="B17" s="491" t="s">
        <v>818</v>
      </c>
      <c r="C17" s="491" t="s">
        <v>697</v>
      </c>
      <c r="D17" s="473" t="s">
        <v>724</v>
      </c>
      <c r="E17" s="448" t="s">
        <v>725</v>
      </c>
      <c r="F17" s="481" t="str">
        <f t="shared" si="22"/>
        <v>05/26/20</v>
      </c>
      <c r="G17" s="466" t="s">
        <v>726</v>
      </c>
      <c r="H17" s="466" t="s">
        <v>708</v>
      </c>
      <c r="I17" s="474"/>
      <c r="J17" s="467">
        <v>24.328399999999998</v>
      </c>
      <c r="K17" s="467">
        <v>40.357691000000003</v>
      </c>
      <c r="L17" s="467">
        <v>29.293666999999999</v>
      </c>
      <c r="M17" s="467">
        <v>31.876930000000002</v>
      </c>
      <c r="N17" s="450">
        <v>4250</v>
      </c>
      <c r="O17" s="450">
        <v>38.71</v>
      </c>
      <c r="P17" s="450">
        <v>3.0499999999999999E-2</v>
      </c>
      <c r="Q17" s="450">
        <v>1.4999999999999999E-2</v>
      </c>
      <c r="R17" s="451">
        <v>10.29337078</v>
      </c>
      <c r="S17" s="451">
        <f t="shared" si="21"/>
        <v>20.58608679</v>
      </c>
      <c r="T17" s="492">
        <v>47.5</v>
      </c>
      <c r="U17" s="492">
        <v>45.1</v>
      </c>
      <c r="V17" s="455">
        <v>12891</v>
      </c>
      <c r="W17" s="455">
        <v>14778</v>
      </c>
      <c r="X17" s="455">
        <f t="shared" si="0"/>
        <v>1887</v>
      </c>
      <c r="Y17" s="455">
        <f t="shared" si="1"/>
        <v>183.3218719436822</v>
      </c>
      <c r="Z17" s="476">
        <v>12630</v>
      </c>
      <c r="AA17" s="455">
        <v>14511</v>
      </c>
      <c r="AB17" s="455">
        <f t="shared" si="2"/>
        <v>1881</v>
      </c>
      <c r="AC17" s="475">
        <f t="shared" si="3"/>
        <v>182.73897250983899</v>
      </c>
      <c r="AD17" s="476">
        <v>1369</v>
      </c>
      <c r="AE17" s="455">
        <v>1372</v>
      </c>
      <c r="AF17" s="455">
        <f t="shared" si="4"/>
        <v>3</v>
      </c>
      <c r="AG17" s="475">
        <f t="shared" si="5"/>
        <v>0.29144971692159327</v>
      </c>
      <c r="AH17" s="476">
        <v>9470</v>
      </c>
      <c r="AI17" s="455">
        <v>11256</v>
      </c>
      <c r="AJ17" s="455">
        <f t="shared" si="6"/>
        <v>1786</v>
      </c>
      <c r="AK17" s="475">
        <f t="shared" si="7"/>
        <v>173.50973147398855</v>
      </c>
      <c r="AL17" s="476">
        <v>1426.8</v>
      </c>
      <c r="AM17" s="455">
        <v>1525.2</v>
      </c>
      <c r="AN17" s="455">
        <f t="shared" si="8"/>
        <v>98.400000000000091</v>
      </c>
      <c r="AO17" s="475">
        <f t="shared" si="9"/>
        <v>9.5595507150282693</v>
      </c>
      <c r="AP17" s="476">
        <v>1957.8345440000001</v>
      </c>
      <c r="AQ17" s="455">
        <v>2039.91392</v>
      </c>
      <c r="AR17" s="455">
        <f t="shared" si="10"/>
        <v>82.079375999999911</v>
      </c>
      <c r="AS17" s="475">
        <f t="shared" si="11"/>
        <v>7.9740036334336644</v>
      </c>
      <c r="AT17" s="476">
        <v>339.3</v>
      </c>
      <c r="AU17" s="455">
        <v>339.5</v>
      </c>
      <c r="AV17" s="455">
        <f t="shared" si="12"/>
        <v>0.19999999999998863</v>
      </c>
      <c r="AW17" s="475">
        <f t="shared" si="13"/>
        <v>1.9429981128105116E-2</v>
      </c>
      <c r="AX17" s="476">
        <v>260.2</v>
      </c>
      <c r="AY17" s="455">
        <v>260.60000000000002</v>
      </c>
      <c r="AZ17" s="455">
        <f t="shared" si="14"/>
        <v>0.40000000000003411</v>
      </c>
      <c r="BA17" s="475">
        <f t="shared" si="15"/>
        <v>3.8859962256215755E-2</v>
      </c>
      <c r="BB17" s="476">
        <v>-74.77</v>
      </c>
      <c r="BC17" s="455">
        <v>-75.77</v>
      </c>
      <c r="BD17" s="455">
        <f t="shared" si="16"/>
        <v>-1</v>
      </c>
      <c r="BE17" s="455">
        <v>-4.7143540000000002</v>
      </c>
      <c r="BF17" s="475">
        <f t="shared" si="17"/>
        <v>-9.7149905640531095E-2</v>
      </c>
      <c r="BG17" s="443">
        <v>47.5</v>
      </c>
      <c r="BH17" s="443">
        <v>45.1</v>
      </c>
      <c r="BI17" s="443">
        <f t="shared" si="18"/>
        <v>-2.3999999999999986</v>
      </c>
      <c r="BJ17" s="495">
        <v>1651.7</v>
      </c>
      <c r="BK17" s="495">
        <v>1652.4</v>
      </c>
      <c r="BL17" s="495">
        <f t="shared" si="19"/>
        <v>0.70000000000004547</v>
      </c>
      <c r="BM17" s="495">
        <v>-1261.9000000000001</v>
      </c>
      <c r="BN17" s="495">
        <v>-1261.9000000000001</v>
      </c>
      <c r="BO17" s="495">
        <f t="shared" si="20"/>
        <v>0</v>
      </c>
      <c r="BP17" s="443"/>
      <c r="BQ17" s="443"/>
      <c r="BR17" s="443"/>
      <c r="BS17" s="443"/>
      <c r="BT17" s="466" t="s">
        <v>723</v>
      </c>
      <c r="BU17" s="447">
        <v>1865.8973701</v>
      </c>
      <c r="BV17" s="447">
        <v>-0.45506867000000001</v>
      </c>
      <c r="BW17" s="447">
        <v>1300.81838066</v>
      </c>
      <c r="BX17" s="447">
        <v>1306.7650589899999</v>
      </c>
      <c r="BY17" s="447">
        <v>6.8105344600000004</v>
      </c>
      <c r="BZ17" s="447">
        <v>6.7904241699999996</v>
      </c>
      <c r="CA17" s="447">
        <v>0.35750559999999998</v>
      </c>
      <c r="CB17" s="447">
        <v>10.293368149999999</v>
      </c>
      <c r="CC17" s="447">
        <v>10.25669987</v>
      </c>
      <c r="CD17" s="447">
        <v>-6.116775E-2</v>
      </c>
      <c r="CE17" s="447">
        <v>0.29615669999999999</v>
      </c>
      <c r="CF17" s="447">
        <v>0.33398327999999999</v>
      </c>
      <c r="CG17" s="447"/>
    </row>
    <row r="18" spans="1:85" s="449" customFormat="1">
      <c r="A18" s="491"/>
      <c r="B18" s="491" t="s">
        <v>819</v>
      </c>
      <c r="C18" s="491" t="s">
        <v>695</v>
      </c>
      <c r="D18" s="473" t="s">
        <v>727</v>
      </c>
      <c r="E18" s="448" t="s">
        <v>728</v>
      </c>
      <c r="F18" s="481" t="str">
        <f t="shared" si="22"/>
        <v>05/26/20</v>
      </c>
      <c r="G18" s="466" t="s">
        <v>729</v>
      </c>
      <c r="H18" s="466" t="s">
        <v>708</v>
      </c>
      <c r="I18" s="474"/>
      <c r="J18" s="467">
        <v>21.948732</v>
      </c>
      <c r="K18" s="467">
        <v>47.252243</v>
      </c>
      <c r="L18" s="467">
        <v>29.28539</v>
      </c>
      <c r="M18" s="467">
        <v>29.510006000000001</v>
      </c>
      <c r="N18" s="450">
        <v>4250</v>
      </c>
      <c r="O18" s="450">
        <v>38.71</v>
      </c>
      <c r="P18" s="450">
        <v>3.0499999999999999E-2</v>
      </c>
      <c r="Q18" s="450">
        <v>1.4999999999999999E-2</v>
      </c>
      <c r="R18" s="451">
        <v>7.4739589500000001</v>
      </c>
      <c r="S18" s="451">
        <f t="shared" si="21"/>
        <v>17.76732973</v>
      </c>
      <c r="T18" s="492">
        <v>44.9</v>
      </c>
      <c r="U18" s="492">
        <v>43.1</v>
      </c>
      <c r="V18" s="455">
        <v>14957</v>
      </c>
      <c r="W18" s="455">
        <v>16295</v>
      </c>
      <c r="X18" s="455">
        <f t="shared" si="0"/>
        <v>1338</v>
      </c>
      <c r="Y18" s="455">
        <f t="shared" si="1"/>
        <v>179.02158801661602</v>
      </c>
      <c r="Z18" s="476">
        <v>14674</v>
      </c>
      <c r="AA18" s="455">
        <v>15999</v>
      </c>
      <c r="AB18" s="455">
        <f t="shared" si="2"/>
        <v>1325</v>
      </c>
      <c r="AC18" s="475">
        <f t="shared" si="3"/>
        <v>177.28221533782977</v>
      </c>
      <c r="AD18" s="476">
        <v>1377</v>
      </c>
      <c r="AE18" s="455">
        <v>1405</v>
      </c>
      <c r="AF18" s="455">
        <f t="shared" si="4"/>
        <v>28</v>
      </c>
      <c r="AG18" s="475">
        <f t="shared" si="5"/>
        <v>3.7463411543088552</v>
      </c>
      <c r="AH18" s="476">
        <v>11284</v>
      </c>
      <c r="AI18" s="455">
        <v>12426</v>
      </c>
      <c r="AJ18" s="455">
        <f t="shared" si="6"/>
        <v>1142</v>
      </c>
      <c r="AK18" s="475">
        <f t="shared" si="7"/>
        <v>152.79719993645404</v>
      </c>
      <c r="AL18" s="476">
        <v>1677.7</v>
      </c>
      <c r="AM18" s="455">
        <v>1849.1</v>
      </c>
      <c r="AN18" s="455">
        <f t="shared" si="8"/>
        <v>171.39999999999986</v>
      </c>
      <c r="AO18" s="475">
        <f t="shared" si="9"/>
        <v>22.932959780304902</v>
      </c>
      <c r="AP18" s="476">
        <v>2163.2738770000001</v>
      </c>
      <c r="AQ18" s="455">
        <v>2307.8262920000002</v>
      </c>
      <c r="AR18" s="455">
        <f t="shared" si="10"/>
        <v>144.55241500000011</v>
      </c>
      <c r="AS18" s="475">
        <f t="shared" si="11"/>
        <v>19.340809331044039</v>
      </c>
      <c r="AT18" s="476">
        <v>339.8</v>
      </c>
      <c r="AU18" s="455">
        <v>340</v>
      </c>
      <c r="AV18" s="455">
        <f t="shared" si="12"/>
        <v>0.19999999999998863</v>
      </c>
      <c r="AW18" s="475">
        <f t="shared" si="13"/>
        <v>2.6759579673633158E-2</v>
      </c>
      <c r="AX18" s="476">
        <v>261.5</v>
      </c>
      <c r="AY18" s="455">
        <v>262.2</v>
      </c>
      <c r="AZ18" s="455">
        <f t="shared" si="14"/>
        <v>0.69999999999998863</v>
      </c>
      <c r="BA18" s="475">
        <f t="shared" si="15"/>
        <v>9.3658528857719858E-2</v>
      </c>
      <c r="BB18" s="476">
        <v>-77.19</v>
      </c>
      <c r="BC18" s="455">
        <v>-78.62</v>
      </c>
      <c r="BD18" s="455">
        <f t="shared" si="16"/>
        <v>-1.4300000000000068</v>
      </c>
      <c r="BE18" s="455">
        <v>-3.7290649999999999</v>
      </c>
      <c r="BF18" s="475">
        <f t="shared" si="17"/>
        <v>-0.19133099466648887</v>
      </c>
      <c r="BG18" s="443">
        <v>44.9</v>
      </c>
      <c r="BH18" s="443">
        <v>43.1</v>
      </c>
      <c r="BI18" s="443">
        <f t="shared" si="18"/>
        <v>-1.7999999999999972</v>
      </c>
      <c r="BJ18" s="495">
        <v>1654.1</v>
      </c>
      <c r="BK18" s="495">
        <v>1655.4</v>
      </c>
      <c r="BL18" s="495">
        <f t="shared" si="19"/>
        <v>1.3000000000001819</v>
      </c>
      <c r="BM18" s="495">
        <v>-1261.9000000000001</v>
      </c>
      <c r="BN18" s="495">
        <v>-1261.9000000000001</v>
      </c>
      <c r="BO18" s="495">
        <f t="shared" si="20"/>
        <v>0</v>
      </c>
      <c r="BP18" s="443"/>
      <c r="BQ18" s="443"/>
      <c r="BR18" s="443"/>
      <c r="BS18" s="443"/>
      <c r="BT18" s="466" t="s">
        <v>723</v>
      </c>
      <c r="BU18" s="447">
        <v>1798.43540306</v>
      </c>
      <c r="BV18" s="447">
        <v>-1.251946</v>
      </c>
      <c r="BW18" s="447">
        <v>5396.8034801900003</v>
      </c>
      <c r="BX18" s="447">
        <v>5465.22514778</v>
      </c>
      <c r="BY18" s="447">
        <v>6.0173389899999998</v>
      </c>
      <c r="BZ18" s="447">
        <v>6.0276849099999996</v>
      </c>
      <c r="CA18" s="447">
        <v>0.30918018000000003</v>
      </c>
      <c r="CB18" s="447">
        <v>7.4738587299999999</v>
      </c>
      <c r="CC18" s="447">
        <v>7.4508222699999997</v>
      </c>
      <c r="CD18" s="447">
        <v>-0.48164699</v>
      </c>
      <c r="CE18" s="447">
        <v>-0.17164011000000001</v>
      </c>
      <c r="CF18" s="447">
        <v>0.67702724999999997</v>
      </c>
      <c r="CG18" s="447"/>
    </row>
    <row r="19" spans="1:85" s="449" customFormat="1">
      <c r="A19" s="491">
        <v>62005006</v>
      </c>
      <c r="B19" s="491" t="s">
        <v>819</v>
      </c>
      <c r="C19" s="491" t="s">
        <v>696</v>
      </c>
      <c r="D19" s="473" t="s">
        <v>727</v>
      </c>
      <c r="E19" s="448" t="s">
        <v>728</v>
      </c>
      <c r="F19" s="481" t="str">
        <f t="shared" si="22"/>
        <v>05/26/20</v>
      </c>
      <c r="G19" s="466" t="s">
        <v>729</v>
      </c>
      <c r="H19" s="466" t="s">
        <v>708</v>
      </c>
      <c r="I19" s="474"/>
      <c r="J19" s="467">
        <v>22.046491</v>
      </c>
      <c r="K19" s="467">
        <v>46.205176000000002</v>
      </c>
      <c r="L19" s="467">
        <v>29.279517999999999</v>
      </c>
      <c r="M19" s="467">
        <v>29.964860999999999</v>
      </c>
      <c r="N19" s="450">
        <v>4250</v>
      </c>
      <c r="O19" s="450">
        <v>38.71</v>
      </c>
      <c r="P19" s="450">
        <v>3.0499999999999999E-2</v>
      </c>
      <c r="Q19" s="450">
        <v>1.4999999999999999E-2</v>
      </c>
      <c r="R19" s="451">
        <v>7.47409575</v>
      </c>
      <c r="S19" s="451">
        <f t="shared" si="21"/>
        <v>14.9480547</v>
      </c>
      <c r="T19" s="492">
        <v>43.1</v>
      </c>
      <c r="U19" s="492">
        <v>41.4</v>
      </c>
      <c r="V19" s="455">
        <v>16295</v>
      </c>
      <c r="W19" s="455">
        <v>17620</v>
      </c>
      <c r="X19" s="455">
        <f t="shared" si="0"/>
        <v>1325</v>
      </c>
      <c r="Y19" s="455">
        <f t="shared" si="1"/>
        <v>177.27897050288658</v>
      </c>
      <c r="Z19" s="476">
        <v>15999</v>
      </c>
      <c r="AA19" s="455">
        <v>17312</v>
      </c>
      <c r="AB19" s="455">
        <f t="shared" si="2"/>
        <v>1313</v>
      </c>
      <c r="AC19" s="475">
        <f t="shared" si="3"/>
        <v>175.6734251096529</v>
      </c>
      <c r="AD19" s="476">
        <v>1405</v>
      </c>
      <c r="AE19" s="455">
        <v>1434</v>
      </c>
      <c r="AF19" s="455">
        <f t="shared" si="4"/>
        <v>29</v>
      </c>
      <c r="AG19" s="475">
        <f t="shared" si="5"/>
        <v>3.8800680336480839</v>
      </c>
      <c r="AH19" s="476">
        <v>12426</v>
      </c>
      <c r="AI19" s="455">
        <v>13559</v>
      </c>
      <c r="AJ19" s="455">
        <f t="shared" si="6"/>
        <v>1133</v>
      </c>
      <c r="AK19" s="475">
        <f t="shared" si="7"/>
        <v>151.59024421114754</v>
      </c>
      <c r="AL19" s="476">
        <v>1849.1</v>
      </c>
      <c r="AM19" s="455">
        <v>2017.2</v>
      </c>
      <c r="AN19" s="455">
        <f t="shared" si="8"/>
        <v>168.10000000000014</v>
      </c>
      <c r="AO19" s="475">
        <f t="shared" si="9"/>
        <v>22.491015050215289</v>
      </c>
      <c r="AP19" s="476">
        <v>2307.853114</v>
      </c>
      <c r="AQ19" s="455">
        <v>2449.7824609999998</v>
      </c>
      <c r="AR19" s="455">
        <f t="shared" si="10"/>
        <v>141.92934699999978</v>
      </c>
      <c r="AS19" s="475">
        <f t="shared" si="11"/>
        <v>18.989500770042955</v>
      </c>
      <c r="AT19" s="476">
        <v>340</v>
      </c>
      <c r="AU19" s="455">
        <v>340.3</v>
      </c>
      <c r="AV19" s="455">
        <f t="shared" si="12"/>
        <v>0.30000000000001137</v>
      </c>
      <c r="AW19" s="475">
        <f t="shared" si="13"/>
        <v>4.0138634830843768E-2</v>
      </c>
      <c r="AX19" s="476">
        <v>262.2</v>
      </c>
      <c r="AY19" s="455">
        <v>262.89999999999998</v>
      </c>
      <c r="AZ19" s="455">
        <f t="shared" si="14"/>
        <v>0.69999999999998863</v>
      </c>
      <c r="BA19" s="475">
        <f t="shared" si="15"/>
        <v>9.3656814605297053E-2</v>
      </c>
      <c r="BB19" s="476">
        <v>-78.62</v>
      </c>
      <c r="BC19" s="455">
        <v>-79.77</v>
      </c>
      <c r="BD19" s="455">
        <f t="shared" si="16"/>
        <v>-1.1499999999999915</v>
      </c>
      <c r="BE19" s="455">
        <v>-3.0425409999999999</v>
      </c>
      <c r="BF19" s="475">
        <f t="shared" si="17"/>
        <v>-0.15386476685156081</v>
      </c>
      <c r="BG19" s="443">
        <v>43.1</v>
      </c>
      <c r="BH19" s="443">
        <v>41.4</v>
      </c>
      <c r="BI19" s="443">
        <f t="shared" si="18"/>
        <v>-1.7000000000000028</v>
      </c>
      <c r="BJ19" s="495">
        <v>1655.4</v>
      </c>
      <c r="BK19" s="495">
        <v>1656.7</v>
      </c>
      <c r="BL19" s="495">
        <f t="shared" si="19"/>
        <v>1.2999999999999545</v>
      </c>
      <c r="BM19" s="495">
        <v>-1261.9000000000001</v>
      </c>
      <c r="BN19" s="495">
        <v>-1261.9000000000001</v>
      </c>
      <c r="BO19" s="495">
        <f t="shared" si="20"/>
        <v>0</v>
      </c>
      <c r="BP19" s="443"/>
      <c r="BQ19" s="443"/>
      <c r="BR19" s="443"/>
      <c r="BS19" s="443"/>
      <c r="BT19" s="466" t="s">
        <v>723</v>
      </c>
      <c r="BU19" s="447">
        <v>1797.6564968099999</v>
      </c>
      <c r="BV19" s="447">
        <v>-1.2045727100000001</v>
      </c>
      <c r="BW19" s="447">
        <v>5399.3218351599999</v>
      </c>
      <c r="BX19" s="447">
        <v>5465.1535836599996</v>
      </c>
      <c r="BY19" s="447">
        <v>6.0214499799999999</v>
      </c>
      <c r="BZ19" s="447">
        <v>6.02754397</v>
      </c>
      <c r="CA19" s="447">
        <v>0.31033789000000001</v>
      </c>
      <c r="CB19" s="447">
        <v>7.4739453899999999</v>
      </c>
      <c r="CC19" s="447">
        <v>7.45082267</v>
      </c>
      <c r="CD19" s="447">
        <v>-0.41185675999999999</v>
      </c>
      <c r="CE19" s="447">
        <v>-0.10110247</v>
      </c>
      <c r="CF19" s="447">
        <v>0.67703031999999996</v>
      </c>
      <c r="CG19" s="447"/>
    </row>
    <row r="20" spans="1:85" s="449" customFormat="1">
      <c r="A20" s="491">
        <v>62005006</v>
      </c>
      <c r="B20" s="491" t="s">
        <v>819</v>
      </c>
      <c r="C20" s="491" t="s">
        <v>697</v>
      </c>
      <c r="D20" s="473" t="s">
        <v>727</v>
      </c>
      <c r="E20" s="448" t="s">
        <v>728</v>
      </c>
      <c r="F20" s="481" t="str">
        <f t="shared" si="22"/>
        <v>05/26/20</v>
      </c>
      <c r="G20" s="466" t="s">
        <v>729</v>
      </c>
      <c r="H20" s="466" t="s">
        <v>708</v>
      </c>
      <c r="I20" s="474"/>
      <c r="J20" s="467">
        <v>22.208670999999999</v>
      </c>
      <c r="K20" s="467">
        <v>45.347571000000002</v>
      </c>
      <c r="L20" s="467">
        <v>29.27251</v>
      </c>
      <c r="M20" s="467">
        <v>30.10472</v>
      </c>
      <c r="N20" s="450">
        <v>4250</v>
      </c>
      <c r="O20" s="450">
        <v>38.71</v>
      </c>
      <c r="P20" s="450">
        <v>3.0499999999999999E-2</v>
      </c>
      <c r="Q20" s="450">
        <v>1.4999999999999999E-2</v>
      </c>
      <c r="R20" s="451">
        <v>7.4731584599999996</v>
      </c>
      <c r="S20" s="451">
        <f t="shared" si="21"/>
        <v>14.947254210000001</v>
      </c>
      <c r="T20" s="492">
        <v>41.4</v>
      </c>
      <c r="U20" s="492">
        <v>39.700000000000003</v>
      </c>
      <c r="V20" s="455">
        <v>17620</v>
      </c>
      <c r="W20" s="455">
        <v>18934</v>
      </c>
      <c r="X20" s="455">
        <f t="shared" si="0"/>
        <v>1314</v>
      </c>
      <c r="Y20" s="455">
        <f t="shared" si="1"/>
        <v>175.82927045280397</v>
      </c>
      <c r="Z20" s="476">
        <v>17312</v>
      </c>
      <c r="AA20" s="455">
        <v>18613</v>
      </c>
      <c r="AB20" s="455">
        <f t="shared" si="2"/>
        <v>1301</v>
      </c>
      <c r="AC20" s="475">
        <f t="shared" si="3"/>
        <v>174.08971146050075</v>
      </c>
      <c r="AD20" s="476">
        <v>1434</v>
      </c>
      <c r="AE20" s="455">
        <v>1462</v>
      </c>
      <c r="AF20" s="455">
        <f t="shared" si="4"/>
        <v>28</v>
      </c>
      <c r="AG20" s="475">
        <f t="shared" si="5"/>
        <v>3.7467424449608155</v>
      </c>
      <c r="AH20" s="476">
        <v>13559</v>
      </c>
      <c r="AI20" s="455">
        <v>14685</v>
      </c>
      <c r="AJ20" s="455">
        <f t="shared" si="6"/>
        <v>1126</v>
      </c>
      <c r="AK20" s="475">
        <f t="shared" si="7"/>
        <v>150.67257117949563</v>
      </c>
      <c r="AL20" s="476">
        <v>2017.2</v>
      </c>
      <c r="AM20" s="455">
        <v>2180.6181150000002</v>
      </c>
      <c r="AN20" s="455">
        <f t="shared" si="8"/>
        <v>163.41811500000017</v>
      </c>
      <c r="AO20" s="475">
        <f t="shared" si="9"/>
        <v>21.867342419499582</v>
      </c>
      <c r="AP20" s="476">
        <v>2449.802385</v>
      </c>
      <c r="AQ20" s="455">
        <v>2587.481812</v>
      </c>
      <c r="AR20" s="455">
        <f t="shared" si="10"/>
        <v>137.67942700000003</v>
      </c>
      <c r="AS20" s="475">
        <f t="shared" si="11"/>
        <v>18.423191176385149</v>
      </c>
      <c r="AT20" s="476">
        <v>340.3</v>
      </c>
      <c r="AU20" s="455">
        <v>340.5</v>
      </c>
      <c r="AV20" s="455">
        <f t="shared" si="12"/>
        <v>0.19999999999998863</v>
      </c>
      <c r="AW20" s="475">
        <f t="shared" si="13"/>
        <v>2.6762446035432874E-2</v>
      </c>
      <c r="AX20" s="476">
        <v>262.89999999999998</v>
      </c>
      <c r="AY20" s="455">
        <v>263.5</v>
      </c>
      <c r="AZ20" s="455">
        <f t="shared" si="14"/>
        <v>0.60000000000002274</v>
      </c>
      <c r="BA20" s="475">
        <f t="shared" si="15"/>
        <v>8.0287338106306227E-2</v>
      </c>
      <c r="BB20" s="476">
        <v>-79.77</v>
      </c>
      <c r="BC20" s="455">
        <v>-80.86</v>
      </c>
      <c r="BD20" s="455">
        <f t="shared" si="16"/>
        <v>-1.0900000000000034</v>
      </c>
      <c r="BE20" s="455">
        <v>-2.8727559999999999</v>
      </c>
      <c r="BF20" s="475">
        <f t="shared" si="17"/>
        <v>-0.14585533089311792</v>
      </c>
      <c r="BG20" s="443">
        <v>41.4</v>
      </c>
      <c r="BH20" s="443">
        <v>39.700000000000003</v>
      </c>
      <c r="BI20" s="443">
        <f t="shared" si="18"/>
        <v>-1.6999999999999957</v>
      </c>
      <c r="BJ20" s="495">
        <v>1656.7</v>
      </c>
      <c r="BK20" s="495">
        <v>1658</v>
      </c>
      <c r="BL20" s="495">
        <f t="shared" si="19"/>
        <v>1.2999999999999545</v>
      </c>
      <c r="BM20" s="495">
        <v>-1261.9000000000001</v>
      </c>
      <c r="BN20" s="495">
        <v>-1261.9000000000001</v>
      </c>
      <c r="BO20" s="495">
        <f t="shared" si="20"/>
        <v>0</v>
      </c>
      <c r="BP20" s="443"/>
      <c r="BQ20" s="443"/>
      <c r="BR20" s="443"/>
      <c r="BS20" s="443"/>
      <c r="BT20" s="466" t="s">
        <v>723</v>
      </c>
      <c r="BU20" s="447">
        <v>1797.4239228900001</v>
      </c>
      <c r="BV20" s="447">
        <v>-1.39114955</v>
      </c>
      <c r="BW20" s="447">
        <v>5389.1178404499997</v>
      </c>
      <c r="BX20" s="447">
        <v>5465.1461970600003</v>
      </c>
      <c r="BY20" s="447">
        <v>6.0119063600000002</v>
      </c>
      <c r="BZ20" s="447">
        <v>6.02756296</v>
      </c>
      <c r="CA20" s="447">
        <v>0.29738989999999998</v>
      </c>
      <c r="CB20" s="447">
        <v>7.4729821899999997</v>
      </c>
      <c r="CC20" s="447">
        <v>7.4508241899999996</v>
      </c>
      <c r="CD20" s="447">
        <v>-0.55859084999999997</v>
      </c>
      <c r="CE20" s="447">
        <v>-0.25974999999999998</v>
      </c>
      <c r="CF20" s="447">
        <v>0.67702602999999995</v>
      </c>
      <c r="CG20" s="447"/>
    </row>
    <row r="21" spans="1:85" s="449" customFormat="1">
      <c r="A21" s="491">
        <v>62005007</v>
      </c>
      <c r="B21" s="491" t="s">
        <v>825</v>
      </c>
      <c r="C21" s="491" t="s">
        <v>695</v>
      </c>
      <c r="D21" s="473" t="s">
        <v>730</v>
      </c>
      <c r="E21" s="448" t="s">
        <v>731</v>
      </c>
      <c r="F21" s="481" t="str">
        <f t="shared" si="22"/>
        <v>05/26/20</v>
      </c>
      <c r="G21" s="466" t="s">
        <v>729</v>
      </c>
      <c r="H21" s="466" t="s">
        <v>708</v>
      </c>
      <c r="I21" s="474"/>
      <c r="J21" s="467" t="s">
        <v>711</v>
      </c>
      <c r="K21" s="467" t="s">
        <v>711</v>
      </c>
      <c r="L21" s="467" t="s">
        <v>711</v>
      </c>
      <c r="M21" s="467" t="s">
        <v>711</v>
      </c>
      <c r="N21" s="450">
        <v>4250</v>
      </c>
      <c r="O21" s="450">
        <v>38.71</v>
      </c>
      <c r="P21" s="450">
        <v>3.0499999999999999E-2</v>
      </c>
      <c r="Q21" s="450">
        <v>1.4999999999999999E-2</v>
      </c>
      <c r="R21" s="451"/>
      <c r="S21" s="451">
        <f t="shared" si="21"/>
        <v>7.4731584599999996</v>
      </c>
      <c r="T21" s="492">
        <v>38.9</v>
      </c>
      <c r="U21" s="492">
        <v>0</v>
      </c>
      <c r="V21" s="455">
        <v>19528</v>
      </c>
      <c r="W21" s="455">
        <v>19141</v>
      </c>
      <c r="X21" s="455">
        <f t="shared" si="0"/>
        <v>-387</v>
      </c>
      <c r="Y21" s="455" t="e">
        <f t="shared" si="1"/>
        <v>#DIV/0!</v>
      </c>
      <c r="Z21" s="476">
        <v>19184</v>
      </c>
      <c r="AA21" s="455">
        <v>18803</v>
      </c>
      <c r="AB21" s="455">
        <f t="shared" si="2"/>
        <v>-381</v>
      </c>
      <c r="AC21" s="475" t="e">
        <f t="shared" si="3"/>
        <v>#DIV/0!</v>
      </c>
      <c r="AD21" s="476">
        <v>1438</v>
      </c>
      <c r="AE21" s="455">
        <v>1470</v>
      </c>
      <c r="AF21" s="455">
        <f t="shared" si="4"/>
        <v>32</v>
      </c>
      <c r="AG21" s="475" t="e">
        <f t="shared" si="5"/>
        <v>#DIV/0!</v>
      </c>
      <c r="AH21" s="476">
        <v>15087</v>
      </c>
      <c r="AI21" s="455">
        <v>14730</v>
      </c>
      <c r="AJ21" s="455">
        <f t="shared" si="6"/>
        <v>-357</v>
      </c>
      <c r="AK21" s="475" t="e">
        <f t="shared" si="7"/>
        <v>#DIV/0!</v>
      </c>
      <c r="AL21" s="476">
        <v>2403.5</v>
      </c>
      <c r="AM21" s="455">
        <v>2339.6999999999998</v>
      </c>
      <c r="AN21" s="455">
        <f t="shared" si="8"/>
        <v>-63.800000000000182</v>
      </c>
      <c r="AO21" s="475" t="e">
        <f t="shared" si="9"/>
        <v>#DIV/0!</v>
      </c>
      <c r="AP21" s="476">
        <v>2771.6612570000002</v>
      </c>
      <c r="AQ21" s="455">
        <v>2717.9615469999999</v>
      </c>
      <c r="AR21" s="455">
        <f t="shared" si="10"/>
        <v>-53.699710000000323</v>
      </c>
      <c r="AS21" s="475" t="e">
        <f t="shared" si="11"/>
        <v>#DIV/0!</v>
      </c>
      <c r="AT21" s="476">
        <v>340.8</v>
      </c>
      <c r="AU21" s="455">
        <v>340.8</v>
      </c>
      <c r="AV21" s="455">
        <f t="shared" si="12"/>
        <v>0</v>
      </c>
      <c r="AW21" s="475" t="e">
        <f t="shared" si="13"/>
        <v>#DIV/0!</v>
      </c>
      <c r="AX21" s="476">
        <v>264.5</v>
      </c>
      <c r="AY21" s="455">
        <v>264.2</v>
      </c>
      <c r="AZ21" s="455">
        <f t="shared" si="14"/>
        <v>-0.30000000000001137</v>
      </c>
      <c r="BA21" s="475" t="e">
        <f t="shared" si="15"/>
        <v>#DIV/0!</v>
      </c>
      <c r="BB21" s="476">
        <v>-82.49</v>
      </c>
      <c r="BC21" s="455">
        <v>-82.08</v>
      </c>
      <c r="BD21" s="455">
        <f t="shared" si="16"/>
        <v>0.40999999999999659</v>
      </c>
      <c r="BE21" s="455" t="s">
        <v>711</v>
      </c>
      <c r="BF21" s="475" t="e">
        <f t="shared" si="17"/>
        <v>#DIV/0!</v>
      </c>
      <c r="BG21" s="443">
        <v>38.9</v>
      </c>
      <c r="BH21" s="443">
        <v>0</v>
      </c>
      <c r="BI21" s="443">
        <f t="shared" si="18"/>
        <v>-38.9</v>
      </c>
      <c r="BJ21" s="495">
        <v>1660</v>
      </c>
      <c r="BK21" s="495">
        <v>1659.5</v>
      </c>
      <c r="BL21" s="495">
        <f t="shared" si="19"/>
        <v>-0.5</v>
      </c>
      <c r="BM21" s="495">
        <v>-1261.9000000000001</v>
      </c>
      <c r="BN21" s="495">
        <v>-1261.9000000000001</v>
      </c>
      <c r="BO21" s="495">
        <f t="shared" si="20"/>
        <v>0</v>
      </c>
      <c r="BP21" s="443"/>
      <c r="BQ21" s="443"/>
      <c r="BR21" s="443"/>
      <c r="BS21" s="443"/>
      <c r="BT21" s="466" t="s">
        <v>723</v>
      </c>
      <c r="BU21" s="447"/>
      <c r="BV21" s="447"/>
      <c r="BW21" s="447"/>
      <c r="BX21" s="447"/>
      <c r="BY21" s="447"/>
      <c r="BZ21" s="447"/>
      <c r="CA21" s="447"/>
      <c r="CB21" s="447"/>
      <c r="CC21" s="447"/>
      <c r="CD21" s="447"/>
      <c r="CE21" s="447"/>
      <c r="CF21" s="447"/>
      <c r="CG21" s="447"/>
    </row>
    <row r="22" spans="1:85" s="449" customFormat="1">
      <c r="A22" s="491">
        <v>62005008</v>
      </c>
      <c r="B22" s="491" t="s">
        <v>825</v>
      </c>
      <c r="C22" s="491" t="s">
        <v>695</v>
      </c>
      <c r="D22" s="473" t="s">
        <v>730</v>
      </c>
      <c r="E22" s="448" t="s">
        <v>732</v>
      </c>
      <c r="F22" s="481" t="str">
        <f t="shared" si="22"/>
        <v>05/26/20</v>
      </c>
      <c r="G22" s="466" t="s">
        <v>729</v>
      </c>
      <c r="H22" s="466" t="s">
        <v>733</v>
      </c>
      <c r="I22" s="474"/>
      <c r="J22" s="467" t="s">
        <v>711</v>
      </c>
      <c r="K22" s="467" t="s">
        <v>711</v>
      </c>
      <c r="L22" s="467" t="s">
        <v>711</v>
      </c>
      <c r="M22" s="467" t="s">
        <v>711</v>
      </c>
      <c r="N22" s="450">
        <v>4250</v>
      </c>
      <c r="O22" s="450">
        <v>38.71</v>
      </c>
      <c r="P22" s="450">
        <v>3.0499999999999999E-2</v>
      </c>
      <c r="Q22" s="450">
        <v>1.4999999999999999E-2</v>
      </c>
      <c r="R22" s="451"/>
      <c r="S22" s="451">
        <f t="shared" si="21"/>
        <v>0</v>
      </c>
      <c r="T22" s="492">
        <v>38.6</v>
      </c>
      <c r="U22" s="492">
        <v>0</v>
      </c>
      <c r="V22" s="455">
        <v>19772</v>
      </c>
      <c r="W22" s="455">
        <v>19545</v>
      </c>
      <c r="X22" s="455">
        <f t="shared" si="0"/>
        <v>-227</v>
      </c>
      <c r="Y22" s="455" t="e">
        <f t="shared" si="1"/>
        <v>#DIV/0!</v>
      </c>
      <c r="Z22" s="476">
        <v>19423</v>
      </c>
      <c r="AA22" s="455">
        <v>19199</v>
      </c>
      <c r="AB22" s="455">
        <f t="shared" si="2"/>
        <v>-224</v>
      </c>
      <c r="AC22" s="475" t="e">
        <f t="shared" si="3"/>
        <v>#DIV/0!</v>
      </c>
      <c r="AD22" s="476">
        <v>1425</v>
      </c>
      <c r="AE22" s="455">
        <v>1438</v>
      </c>
      <c r="AF22" s="455">
        <f t="shared" si="4"/>
        <v>13</v>
      </c>
      <c r="AG22" s="475" t="e">
        <f t="shared" si="5"/>
        <v>#DIV/0!</v>
      </c>
      <c r="AH22" s="476">
        <v>15293</v>
      </c>
      <c r="AI22" s="455">
        <v>15087</v>
      </c>
      <c r="AJ22" s="455">
        <f t="shared" si="6"/>
        <v>-206</v>
      </c>
      <c r="AK22" s="475" t="e">
        <f t="shared" si="7"/>
        <v>#DIV/0!</v>
      </c>
      <c r="AL22" s="476">
        <v>2454.6999999999998</v>
      </c>
      <c r="AM22" s="455">
        <v>2419.3000000000002</v>
      </c>
      <c r="AN22" s="455">
        <f t="shared" si="8"/>
        <v>-35.399999999999636</v>
      </c>
      <c r="AO22" s="475" t="e">
        <f t="shared" si="9"/>
        <v>#DIV/0!</v>
      </c>
      <c r="AP22" s="476">
        <v>2814.69</v>
      </c>
      <c r="AQ22" s="455">
        <v>2784.8813709999999</v>
      </c>
      <c r="AR22" s="455">
        <f t="shared" si="10"/>
        <v>-29.80862900000011</v>
      </c>
      <c r="AS22" s="475" t="e">
        <f t="shared" si="11"/>
        <v>#DIV/0!</v>
      </c>
      <c r="AT22" s="476">
        <v>340.9</v>
      </c>
      <c r="AU22" s="455">
        <v>340.9</v>
      </c>
      <c r="AV22" s="455">
        <f t="shared" si="12"/>
        <v>0</v>
      </c>
      <c r="AW22" s="475" t="e">
        <f t="shared" si="13"/>
        <v>#DIV/0!</v>
      </c>
      <c r="AX22" s="476">
        <v>264.7</v>
      </c>
      <c r="AY22" s="455">
        <v>264.5</v>
      </c>
      <c r="AZ22" s="455">
        <f t="shared" si="14"/>
        <v>-0.19999999999998863</v>
      </c>
      <c r="BA22" s="475" t="e">
        <f t="shared" si="15"/>
        <v>#DIV/0!</v>
      </c>
      <c r="BB22" s="476">
        <v>-82.83</v>
      </c>
      <c r="BC22" s="455">
        <v>-82.6</v>
      </c>
      <c r="BD22" s="455">
        <f t="shared" si="16"/>
        <v>0.23000000000000398</v>
      </c>
      <c r="BE22" s="455" t="s">
        <v>711</v>
      </c>
      <c r="BF22" s="475" t="e">
        <f t="shared" si="17"/>
        <v>#DIV/0!</v>
      </c>
      <c r="BG22" s="443">
        <v>38.6</v>
      </c>
      <c r="BH22" s="443">
        <v>0</v>
      </c>
      <c r="BI22" s="443">
        <f t="shared" si="18"/>
        <v>-38.6</v>
      </c>
      <c r="BJ22" s="495">
        <v>1660.4</v>
      </c>
      <c r="BK22" s="495">
        <v>1660.1</v>
      </c>
      <c r="BL22" s="495">
        <f t="shared" si="19"/>
        <v>-0.3000000000001819</v>
      </c>
      <c r="BM22" s="495">
        <v>-1261.9000000000001</v>
      </c>
      <c r="BN22" s="495">
        <v>-1261.9000000000001</v>
      </c>
      <c r="BO22" s="495">
        <f t="shared" si="20"/>
        <v>0</v>
      </c>
      <c r="BP22" s="443"/>
      <c r="BQ22" s="443"/>
      <c r="BR22" s="443"/>
      <c r="BS22" s="443"/>
      <c r="BT22" s="466" t="s">
        <v>723</v>
      </c>
      <c r="BU22" s="447"/>
      <c r="BV22" s="447"/>
      <c r="BW22" s="447"/>
      <c r="BX22" s="447"/>
      <c r="BY22" s="447"/>
      <c r="BZ22" s="447"/>
      <c r="CA22" s="447"/>
      <c r="CB22" s="447"/>
      <c r="CC22" s="447"/>
      <c r="CD22" s="447"/>
      <c r="CE22" s="447"/>
      <c r="CF22" s="447"/>
      <c r="CG22" s="447"/>
    </row>
    <row r="23" spans="1:85" s="449" customFormat="1">
      <c r="A23" s="491">
        <v>62005009</v>
      </c>
      <c r="B23" s="491" t="s">
        <v>825</v>
      </c>
      <c r="C23" s="491" t="s">
        <v>695</v>
      </c>
      <c r="D23" s="473" t="s">
        <v>730</v>
      </c>
      <c r="E23" s="448" t="s">
        <v>734</v>
      </c>
      <c r="F23" s="481" t="str">
        <f t="shared" si="22"/>
        <v>05/26/20</v>
      </c>
      <c r="G23" s="466" t="s">
        <v>735</v>
      </c>
      <c r="H23" s="466" t="s">
        <v>708</v>
      </c>
      <c r="I23" s="474"/>
      <c r="J23" s="467" t="s">
        <v>711</v>
      </c>
      <c r="K23" s="467" t="s">
        <v>711</v>
      </c>
      <c r="L23" s="467" t="s">
        <v>711</v>
      </c>
      <c r="M23" s="467" t="s">
        <v>711</v>
      </c>
      <c r="N23" s="450">
        <v>4250</v>
      </c>
      <c r="O23" s="450">
        <v>38.71</v>
      </c>
      <c r="P23" s="450">
        <v>3.0499999999999999E-2</v>
      </c>
      <c r="Q23" s="450">
        <v>1.4999999999999999E-2</v>
      </c>
      <c r="R23" s="451"/>
      <c r="S23" s="451">
        <f t="shared" si="21"/>
        <v>0</v>
      </c>
      <c r="T23" s="492">
        <v>38.1</v>
      </c>
      <c r="U23" s="492">
        <v>38.6</v>
      </c>
      <c r="V23" s="455">
        <v>20188</v>
      </c>
      <c r="W23" s="455">
        <v>19799</v>
      </c>
      <c r="X23" s="455">
        <f t="shared" si="0"/>
        <v>-389</v>
      </c>
      <c r="Y23" s="455" t="e">
        <f t="shared" si="1"/>
        <v>#DIV/0!</v>
      </c>
      <c r="Z23" s="476">
        <v>19829</v>
      </c>
      <c r="AA23" s="455">
        <v>19446</v>
      </c>
      <c r="AB23" s="455">
        <f t="shared" si="2"/>
        <v>-383</v>
      </c>
      <c r="AC23" s="475" t="e">
        <f t="shared" si="3"/>
        <v>#DIV/0!</v>
      </c>
      <c r="AD23" s="476">
        <v>1387</v>
      </c>
      <c r="AE23" s="455">
        <v>1426</v>
      </c>
      <c r="AF23" s="455">
        <f t="shared" si="4"/>
        <v>39</v>
      </c>
      <c r="AG23" s="475" t="e">
        <f t="shared" si="5"/>
        <v>#DIV/0!</v>
      </c>
      <c r="AH23" s="476">
        <v>15659</v>
      </c>
      <c r="AI23" s="455">
        <v>15294</v>
      </c>
      <c r="AJ23" s="455">
        <f t="shared" si="6"/>
        <v>-365</v>
      </c>
      <c r="AK23" s="475" t="e">
        <f t="shared" si="7"/>
        <v>#DIV/0!</v>
      </c>
      <c r="AL23" s="476">
        <v>2544.5</v>
      </c>
      <c r="AM23" s="455">
        <v>2480.6999999999998</v>
      </c>
      <c r="AN23" s="455">
        <f t="shared" si="8"/>
        <v>-63.800000000000182</v>
      </c>
      <c r="AO23" s="475" t="e">
        <f t="shared" si="9"/>
        <v>#DIV/0!</v>
      </c>
      <c r="AP23" s="476">
        <v>2889.1907670000001</v>
      </c>
      <c r="AQ23" s="455">
        <v>2835.5611260000001</v>
      </c>
      <c r="AR23" s="455">
        <f t="shared" si="10"/>
        <v>-53.629640999999992</v>
      </c>
      <c r="AS23" s="475" t="e">
        <f t="shared" si="11"/>
        <v>#DIV/0!</v>
      </c>
      <c r="AT23" s="476">
        <v>341</v>
      </c>
      <c r="AU23" s="455">
        <v>341</v>
      </c>
      <c r="AV23" s="455">
        <f t="shared" si="12"/>
        <v>0</v>
      </c>
      <c r="AW23" s="475" t="e">
        <f t="shared" si="13"/>
        <v>#DIV/0!</v>
      </c>
      <c r="AX23" s="476">
        <v>265</v>
      </c>
      <c r="AY23" s="455">
        <v>264.8</v>
      </c>
      <c r="AZ23" s="455">
        <f t="shared" si="14"/>
        <v>-0.19999999999998863</v>
      </c>
      <c r="BA23" s="475" t="e">
        <f t="shared" si="15"/>
        <v>#DIV/0!</v>
      </c>
      <c r="BB23" s="476">
        <v>-83.46</v>
      </c>
      <c r="BC23" s="455">
        <v>-83.05</v>
      </c>
      <c r="BD23" s="455">
        <f t="shared" si="16"/>
        <v>0.40999999999999659</v>
      </c>
      <c r="BE23" s="455" t="s">
        <v>711</v>
      </c>
      <c r="BF23" s="475" t="e">
        <f t="shared" si="17"/>
        <v>#DIV/0!</v>
      </c>
      <c r="BG23" s="443">
        <v>38.1</v>
      </c>
      <c r="BH23" s="443">
        <v>38.6</v>
      </c>
      <c r="BI23" s="443">
        <f t="shared" si="18"/>
        <v>0.5</v>
      </c>
      <c r="BJ23" s="495">
        <v>1661.2</v>
      </c>
      <c r="BK23" s="495">
        <v>1660.7</v>
      </c>
      <c r="BL23" s="495">
        <f t="shared" si="19"/>
        <v>-0.5</v>
      </c>
      <c r="BM23" s="495">
        <v>-1261.9000000000001</v>
      </c>
      <c r="BN23" s="495">
        <v>-1261.9000000000001</v>
      </c>
      <c r="BO23" s="495">
        <f t="shared" si="20"/>
        <v>0</v>
      </c>
      <c r="BP23" s="443"/>
      <c r="BQ23" s="443"/>
      <c r="BR23" s="443"/>
      <c r="BS23" s="443"/>
      <c r="BT23" s="466" t="s">
        <v>723</v>
      </c>
      <c r="BU23" s="447"/>
      <c r="BV23" s="447"/>
      <c r="BW23" s="447"/>
      <c r="BX23" s="447"/>
      <c r="BY23" s="447"/>
      <c r="BZ23" s="447"/>
      <c r="CA23" s="447"/>
      <c r="CB23" s="447"/>
      <c r="CC23" s="447"/>
      <c r="CD23" s="447"/>
      <c r="CE23" s="447"/>
      <c r="CF23" s="447"/>
      <c r="CG23" s="447"/>
    </row>
    <row r="24" spans="1:85" s="449" customFormat="1">
      <c r="A24" s="491">
        <v>62005010</v>
      </c>
      <c r="B24" s="491" t="s">
        <v>823</v>
      </c>
      <c r="C24" s="491" t="s">
        <v>695</v>
      </c>
      <c r="D24" s="473" t="s">
        <v>736</v>
      </c>
      <c r="E24" s="448" t="s">
        <v>737</v>
      </c>
      <c r="F24" s="481" t="str">
        <f t="shared" si="22"/>
        <v>05/26/20</v>
      </c>
      <c r="G24" s="466" t="s">
        <v>738</v>
      </c>
      <c r="H24" s="466" t="s">
        <v>708</v>
      </c>
      <c r="I24" s="474"/>
      <c r="J24" s="467">
        <v>25.266470999999999</v>
      </c>
      <c r="K24" s="467">
        <v>38.434441</v>
      </c>
      <c r="L24" s="467">
        <v>29.262528</v>
      </c>
      <c r="M24" s="467">
        <v>30.744482000000001</v>
      </c>
      <c r="N24" s="450">
        <v>4250</v>
      </c>
      <c r="O24" s="450">
        <v>38.71</v>
      </c>
      <c r="P24" s="450">
        <v>3.0499999999999999E-2</v>
      </c>
      <c r="Q24" s="450">
        <v>1.4999999999999999E-2</v>
      </c>
      <c r="R24" s="451">
        <v>8.0350489899999999</v>
      </c>
      <c r="S24" s="451">
        <f t="shared" si="21"/>
        <v>8.0350489899999999</v>
      </c>
      <c r="T24" s="492">
        <v>37.9</v>
      </c>
      <c r="U24" s="492">
        <v>35.299999999999997</v>
      </c>
      <c r="V24" s="455">
        <v>20218</v>
      </c>
      <c r="W24" s="455">
        <v>22219</v>
      </c>
      <c r="X24" s="455">
        <f t="shared" si="0"/>
        <v>2001</v>
      </c>
      <c r="Y24" s="455">
        <f t="shared" si="1"/>
        <v>249.03395144078644</v>
      </c>
      <c r="Z24" s="476">
        <v>19856</v>
      </c>
      <c r="AA24" s="455">
        <v>21851</v>
      </c>
      <c r="AB24" s="455">
        <f t="shared" si="2"/>
        <v>1995</v>
      </c>
      <c r="AC24" s="475">
        <f t="shared" si="3"/>
        <v>248.28722295070909</v>
      </c>
      <c r="AD24" s="476">
        <v>1388</v>
      </c>
      <c r="AE24" s="455">
        <v>1447</v>
      </c>
      <c r="AF24" s="455">
        <f t="shared" si="4"/>
        <v>59</v>
      </c>
      <c r="AG24" s="475">
        <f t="shared" si="5"/>
        <v>7.3428301524269859</v>
      </c>
      <c r="AH24" s="476">
        <v>15660</v>
      </c>
      <c r="AI24" s="455">
        <v>17532</v>
      </c>
      <c r="AJ24" s="455">
        <f t="shared" si="6"/>
        <v>1872</v>
      </c>
      <c r="AK24" s="475">
        <f t="shared" si="7"/>
        <v>232.97928890412402</v>
      </c>
      <c r="AL24" s="476">
        <v>2573</v>
      </c>
      <c r="AM24" s="455">
        <v>2644.5</v>
      </c>
      <c r="AN24" s="455">
        <f t="shared" si="8"/>
        <v>71.5</v>
      </c>
      <c r="AO24" s="475">
        <f t="shared" si="9"/>
        <v>8.8985145067547382</v>
      </c>
      <c r="AP24" s="476">
        <v>2913.1207840000002</v>
      </c>
      <c r="AQ24" s="455">
        <v>2973.4705439999998</v>
      </c>
      <c r="AR24" s="455">
        <f t="shared" si="10"/>
        <v>60.349759999999605</v>
      </c>
      <c r="AS24" s="475">
        <f t="shared" si="11"/>
        <v>7.5108141935547312</v>
      </c>
      <c r="AT24" s="476">
        <v>341</v>
      </c>
      <c r="AU24" s="455">
        <v>341</v>
      </c>
      <c r="AV24" s="455">
        <f t="shared" si="12"/>
        <v>0</v>
      </c>
      <c r="AW24" s="475">
        <f t="shared" si="13"/>
        <v>0</v>
      </c>
      <c r="AX24" s="476">
        <v>265.10000000000002</v>
      </c>
      <c r="AY24" s="455">
        <v>265.3</v>
      </c>
      <c r="AZ24" s="455">
        <f t="shared" si="14"/>
        <v>0.19999999999998863</v>
      </c>
      <c r="BA24" s="475">
        <f t="shared" si="15"/>
        <v>2.4890949669242605E-2</v>
      </c>
      <c r="BB24" s="476">
        <v>-83.65</v>
      </c>
      <c r="BC24" s="455">
        <v>-84.1</v>
      </c>
      <c r="BD24" s="455">
        <f t="shared" si="16"/>
        <v>-0.44999999999998863</v>
      </c>
      <c r="BE24" s="455">
        <v>-2.7310880000000002</v>
      </c>
      <c r="BF24" s="475">
        <f t="shared" si="17"/>
        <v>-5.6004636755797629E-2</v>
      </c>
      <c r="BG24" s="443">
        <v>37.9</v>
      </c>
      <c r="BH24" s="443">
        <v>35.299999999999997</v>
      </c>
      <c r="BI24" s="443">
        <f t="shared" si="18"/>
        <v>-2.6000000000000014</v>
      </c>
      <c r="BJ24" s="495">
        <v>1661.4</v>
      </c>
      <c r="BK24" s="495">
        <v>1662</v>
      </c>
      <c r="BL24" s="495">
        <f t="shared" si="19"/>
        <v>0.59999999999990905</v>
      </c>
      <c r="BM24" s="495">
        <v>-1261.9000000000001</v>
      </c>
      <c r="BN24" s="495">
        <v>-1261.9000000000001</v>
      </c>
      <c r="BO24" s="495">
        <f t="shared" si="20"/>
        <v>0</v>
      </c>
      <c r="BP24" s="443"/>
      <c r="BQ24" s="443"/>
      <c r="BR24" s="443"/>
      <c r="BS24" s="443"/>
      <c r="BT24" s="466" t="s">
        <v>723</v>
      </c>
      <c r="BU24" s="447">
        <v>9032.4533209099991</v>
      </c>
      <c r="BV24" s="447">
        <v>-3.04033153</v>
      </c>
      <c r="BW24" s="447">
        <v>3489.6160160600002</v>
      </c>
      <c r="BX24" s="447">
        <v>3599.0387252300002</v>
      </c>
      <c r="BY24" s="447">
        <v>8.9275569899999994</v>
      </c>
      <c r="BZ24" s="447">
        <v>8.9941937599999999</v>
      </c>
      <c r="CA24" s="447">
        <v>0.33813285999999998</v>
      </c>
      <c r="CB24" s="447">
        <v>8.03502926</v>
      </c>
      <c r="CC24" s="447">
        <v>8.0079517399999993</v>
      </c>
      <c r="CD24" s="447">
        <v>-1.0870732999999999</v>
      </c>
      <c r="CE24" s="447">
        <v>-0.74088646000000002</v>
      </c>
      <c r="CF24" s="447">
        <v>0.56584073999999995</v>
      </c>
      <c r="CG24" s="447"/>
    </row>
    <row r="25" spans="1:85" s="449" customFormat="1">
      <c r="A25" s="491">
        <v>62005010</v>
      </c>
      <c r="B25" s="491" t="s">
        <v>823</v>
      </c>
      <c r="C25" s="491" t="s">
        <v>696</v>
      </c>
      <c r="D25" s="473" t="s">
        <v>736</v>
      </c>
      <c r="E25" s="448" t="s">
        <v>737</v>
      </c>
      <c r="F25" s="481" t="str">
        <f t="shared" si="22"/>
        <v>05/26/20</v>
      </c>
      <c r="G25" s="466" t="s">
        <v>738</v>
      </c>
      <c r="H25" s="466" t="s">
        <v>708</v>
      </c>
      <c r="I25" s="474"/>
      <c r="J25" s="467">
        <v>24.857101</v>
      </c>
      <c r="K25" s="467">
        <v>38.710186</v>
      </c>
      <c r="L25" s="467">
        <v>29.238446</v>
      </c>
      <c r="M25" s="467">
        <v>33.473106999999999</v>
      </c>
      <c r="N25" s="450">
        <v>4250</v>
      </c>
      <c r="O25" s="450">
        <v>38.71</v>
      </c>
      <c r="P25" s="450">
        <v>3.0499999999999999E-2</v>
      </c>
      <c r="Q25" s="450">
        <v>1.4999999999999999E-2</v>
      </c>
      <c r="R25" s="451">
        <v>8.0337245199999998</v>
      </c>
      <c r="S25" s="451">
        <f t="shared" si="21"/>
        <v>16.06877351</v>
      </c>
      <c r="T25" s="492">
        <v>35.299999999999997</v>
      </c>
      <c r="U25" s="492">
        <v>32.700000000000003</v>
      </c>
      <c r="V25" s="455">
        <v>22219</v>
      </c>
      <c r="W25" s="455">
        <v>24172</v>
      </c>
      <c r="X25" s="455">
        <f t="shared" si="0"/>
        <v>1953</v>
      </c>
      <c r="Y25" s="455">
        <f t="shared" si="1"/>
        <v>243.10019532509438</v>
      </c>
      <c r="Z25" s="476">
        <v>21851</v>
      </c>
      <c r="AA25" s="455">
        <v>23798</v>
      </c>
      <c r="AB25" s="455">
        <f t="shared" si="2"/>
        <v>1947</v>
      </c>
      <c r="AC25" s="475">
        <f t="shared" si="3"/>
        <v>242.35334372655339</v>
      </c>
      <c r="AD25" s="476">
        <v>1447</v>
      </c>
      <c r="AE25" s="455">
        <v>1504</v>
      </c>
      <c r="AF25" s="455">
        <f t="shared" si="4"/>
        <v>57</v>
      </c>
      <c r="AG25" s="475">
        <f t="shared" si="5"/>
        <v>7.0950901861394673</v>
      </c>
      <c r="AH25" s="476">
        <v>17532</v>
      </c>
      <c r="AI25" s="455">
        <v>19355</v>
      </c>
      <c r="AJ25" s="455">
        <f t="shared" si="6"/>
        <v>1823</v>
      </c>
      <c r="AK25" s="475">
        <f t="shared" si="7"/>
        <v>226.91841069003945</v>
      </c>
      <c r="AL25" s="476">
        <v>2644.5</v>
      </c>
      <c r="AM25" s="455">
        <v>2716.4</v>
      </c>
      <c r="AN25" s="455">
        <f t="shared" si="8"/>
        <v>71.900000000000091</v>
      </c>
      <c r="AO25" s="475">
        <f t="shared" si="9"/>
        <v>8.9497716558496201</v>
      </c>
      <c r="AP25" s="476">
        <v>2973.4905520000002</v>
      </c>
      <c r="AQ25" s="455">
        <v>3034.380279</v>
      </c>
      <c r="AR25" s="455">
        <f t="shared" si="10"/>
        <v>60.889726999999766</v>
      </c>
      <c r="AS25" s="475">
        <f t="shared" si="11"/>
        <v>7.5792649907791168</v>
      </c>
      <c r="AT25" s="476">
        <v>341</v>
      </c>
      <c r="AU25" s="455">
        <v>341</v>
      </c>
      <c r="AV25" s="455">
        <f t="shared" si="12"/>
        <v>0</v>
      </c>
      <c r="AW25" s="475">
        <f t="shared" si="13"/>
        <v>0</v>
      </c>
      <c r="AX25" s="476">
        <v>265.3</v>
      </c>
      <c r="AY25" s="455">
        <v>265.5</v>
      </c>
      <c r="AZ25" s="455">
        <f t="shared" si="14"/>
        <v>0.19999999999998863</v>
      </c>
      <c r="BA25" s="475">
        <f t="shared" si="15"/>
        <v>2.489505328469847E-2</v>
      </c>
      <c r="BB25" s="476">
        <v>-84.1</v>
      </c>
      <c r="BC25" s="455">
        <v>-84.54</v>
      </c>
      <c r="BD25" s="455">
        <f t="shared" si="16"/>
        <v>-0.44000000000001194</v>
      </c>
      <c r="BE25" s="455">
        <v>-2.6583060000000001</v>
      </c>
      <c r="BF25" s="475">
        <f t="shared" si="17"/>
        <v>-5.476911722634123E-2</v>
      </c>
      <c r="BG25" s="443">
        <v>35.299999999999997</v>
      </c>
      <c r="BH25" s="443">
        <v>32.700000000000003</v>
      </c>
      <c r="BI25" s="443">
        <f t="shared" si="18"/>
        <v>-2.5999999999999943</v>
      </c>
      <c r="BJ25" s="495">
        <v>1662</v>
      </c>
      <c r="BK25" s="495">
        <v>1662.6</v>
      </c>
      <c r="BL25" s="495">
        <f t="shared" si="19"/>
        <v>0.59999999999990905</v>
      </c>
      <c r="BM25" s="495">
        <v>-1261.9000000000001</v>
      </c>
      <c r="BN25" s="495">
        <v>-1261.9000000000001</v>
      </c>
      <c r="BO25" s="495">
        <f t="shared" si="20"/>
        <v>0</v>
      </c>
      <c r="BP25" s="443"/>
      <c r="BQ25" s="443"/>
      <c r="BR25" s="443"/>
      <c r="BS25" s="443"/>
      <c r="BT25" s="466" t="s">
        <v>723</v>
      </c>
      <c r="BU25" s="447">
        <v>9046.6024534200005</v>
      </c>
      <c r="BV25" s="447">
        <v>-3.0297173599999998</v>
      </c>
      <c r="BW25" s="447">
        <v>3489.9900296199999</v>
      </c>
      <c r="BX25" s="447">
        <v>3599.0304809099998</v>
      </c>
      <c r="BY25" s="447">
        <v>8.9244149000000004</v>
      </c>
      <c r="BZ25" s="447">
        <v>8.9942580999999997</v>
      </c>
      <c r="CA25" s="447">
        <v>0.32177435999999998</v>
      </c>
      <c r="CB25" s="447">
        <v>8.0337195300000008</v>
      </c>
      <c r="CC25" s="447">
        <v>8.0079519999999995</v>
      </c>
      <c r="CD25" s="447">
        <v>-1.1069008</v>
      </c>
      <c r="CE25" s="447">
        <v>-0.77653101000000002</v>
      </c>
      <c r="CF25" s="447">
        <v>0.56583846000000004</v>
      </c>
      <c r="CG25" s="447"/>
    </row>
    <row r="26" spans="1:85" s="449" customFormat="1">
      <c r="A26" s="491">
        <v>62005010</v>
      </c>
      <c r="B26" s="491" t="s">
        <v>823</v>
      </c>
      <c r="C26" s="491" t="s">
        <v>697</v>
      </c>
      <c r="D26" s="473" t="s">
        <v>736</v>
      </c>
      <c r="E26" s="448" t="s">
        <v>737</v>
      </c>
      <c r="F26" s="481" t="str">
        <f t="shared" si="22"/>
        <v>05/26/20</v>
      </c>
      <c r="G26" s="466" t="s">
        <v>738</v>
      </c>
      <c r="H26" s="466" t="s">
        <v>708</v>
      </c>
      <c r="I26" s="474"/>
      <c r="J26" s="467">
        <v>24.407007</v>
      </c>
      <c r="K26" s="467">
        <v>39.702043000000003</v>
      </c>
      <c r="L26" s="467">
        <v>29.229095999999998</v>
      </c>
      <c r="M26" s="467">
        <v>33.987751000000003</v>
      </c>
      <c r="N26" s="450">
        <v>4250</v>
      </c>
      <c r="O26" s="450">
        <v>38.71</v>
      </c>
      <c r="P26" s="450">
        <v>3.0499999999999999E-2</v>
      </c>
      <c r="Q26" s="450">
        <v>1.4999999999999999E-2</v>
      </c>
      <c r="R26" s="451">
        <v>8.0343558999999996</v>
      </c>
      <c r="S26" s="451">
        <f t="shared" si="21"/>
        <v>16.068080420000001</v>
      </c>
      <c r="T26" s="492"/>
      <c r="U26" s="492"/>
      <c r="V26" s="455">
        <v>24172</v>
      </c>
      <c r="W26" s="455">
        <v>26115</v>
      </c>
      <c r="X26" s="455">
        <f t="shared" si="0"/>
        <v>1943</v>
      </c>
      <c r="Y26" s="455">
        <f t="shared" si="1"/>
        <v>241.83643644663539</v>
      </c>
      <c r="Z26" s="476">
        <v>23798</v>
      </c>
      <c r="AA26" s="455">
        <v>25735</v>
      </c>
      <c r="AB26" s="455">
        <f t="shared" si="2"/>
        <v>1937</v>
      </c>
      <c r="AC26" s="475">
        <f t="shared" si="3"/>
        <v>241.08964353944043</v>
      </c>
      <c r="AD26" s="476">
        <v>1504</v>
      </c>
      <c r="AE26" s="455">
        <v>1562</v>
      </c>
      <c r="AF26" s="455">
        <f t="shared" si="4"/>
        <v>58</v>
      </c>
      <c r="AG26" s="475">
        <f t="shared" si="5"/>
        <v>7.2189981028846386</v>
      </c>
      <c r="AH26" s="476">
        <v>19355</v>
      </c>
      <c r="AI26" s="455">
        <v>21170</v>
      </c>
      <c r="AJ26" s="455">
        <f t="shared" si="6"/>
        <v>1815</v>
      </c>
      <c r="AK26" s="475">
        <f t="shared" si="7"/>
        <v>225.90485442647619</v>
      </c>
      <c r="AL26" s="476">
        <v>2716.5</v>
      </c>
      <c r="AM26" s="455">
        <v>2787.9</v>
      </c>
      <c r="AN26" s="455">
        <f t="shared" si="8"/>
        <v>71.400000000000091</v>
      </c>
      <c r="AO26" s="475">
        <f t="shared" si="9"/>
        <v>8.8868355956200666</v>
      </c>
      <c r="AP26" s="476">
        <v>3034.4002780000001</v>
      </c>
      <c r="AQ26" s="455">
        <v>3094.9599760000001</v>
      </c>
      <c r="AR26" s="455">
        <f t="shared" si="10"/>
        <v>60.559698000000026</v>
      </c>
      <c r="AS26" s="475">
        <f t="shared" si="11"/>
        <v>7.537592154711497</v>
      </c>
      <c r="AT26" s="476">
        <v>341</v>
      </c>
      <c r="AU26" s="455">
        <v>341</v>
      </c>
      <c r="AV26" s="455">
        <f t="shared" si="12"/>
        <v>0</v>
      </c>
      <c r="AW26" s="475">
        <f t="shared" si="13"/>
        <v>0</v>
      </c>
      <c r="AX26" s="476">
        <v>265.5</v>
      </c>
      <c r="AY26" s="455">
        <v>265.7</v>
      </c>
      <c r="AZ26" s="455">
        <f t="shared" si="14"/>
        <v>0.19999999999998863</v>
      </c>
      <c r="BA26" s="475">
        <f t="shared" si="15"/>
        <v>2.4893096906497339E-2</v>
      </c>
      <c r="BB26" s="476">
        <v>-84.54</v>
      </c>
      <c r="BC26" s="455">
        <v>-84.98</v>
      </c>
      <c r="BD26" s="455">
        <f t="shared" si="16"/>
        <v>-0.43999999999999773</v>
      </c>
      <c r="BE26" s="455">
        <v>-2.633267</v>
      </c>
      <c r="BF26" s="475">
        <f t="shared" si="17"/>
        <v>-5.4764813194296977E-2</v>
      </c>
      <c r="BG26" s="443">
        <v>32.700000000000003</v>
      </c>
      <c r="BH26" s="443">
        <v>30</v>
      </c>
      <c r="BI26" s="443">
        <f t="shared" si="18"/>
        <v>-2.7000000000000028</v>
      </c>
      <c r="BJ26" s="495">
        <v>1662.6</v>
      </c>
      <c r="BK26" s="495">
        <v>1663.1</v>
      </c>
      <c r="BL26" s="495">
        <f t="shared" si="19"/>
        <v>0.5</v>
      </c>
      <c r="BM26" s="495">
        <v>-1261.9000000000001</v>
      </c>
      <c r="BN26" s="495">
        <v>-1261.9000000000001</v>
      </c>
      <c r="BO26" s="495">
        <f t="shared" si="20"/>
        <v>0</v>
      </c>
      <c r="BP26" s="443"/>
      <c r="BQ26" s="443"/>
      <c r="BR26" s="443"/>
      <c r="BS26" s="443"/>
      <c r="BT26" s="466" t="s">
        <v>723</v>
      </c>
      <c r="BU26" s="447">
        <v>9043.7702297699998</v>
      </c>
      <c r="BV26" s="447">
        <v>-2.9690241400000001</v>
      </c>
      <c r="BW26" s="447">
        <v>3492.03981724</v>
      </c>
      <c r="BX26" s="447">
        <v>3598.8917832000002</v>
      </c>
      <c r="BY26" s="447">
        <v>8.9239759000000003</v>
      </c>
      <c r="BZ26" s="447">
        <v>8.9940179199999992</v>
      </c>
      <c r="CA26" s="447">
        <v>0.32925314999999999</v>
      </c>
      <c r="CB26" s="447">
        <v>8.0343179500000002</v>
      </c>
      <c r="CC26" s="447">
        <v>8.0079515200000007</v>
      </c>
      <c r="CD26" s="447">
        <v>-1.1167119700000001</v>
      </c>
      <c r="CE26" s="447">
        <v>-0.77876228999999997</v>
      </c>
      <c r="CF26" s="447">
        <v>0.56581411999999998</v>
      </c>
      <c r="CG26" s="447"/>
    </row>
    <row r="27" spans="1:85" s="449" customFormat="1">
      <c r="A27" s="491">
        <v>62005011</v>
      </c>
      <c r="B27" s="491" t="s">
        <v>824</v>
      </c>
      <c r="C27" s="491" t="s">
        <v>695</v>
      </c>
      <c r="D27" s="473" t="s">
        <v>739</v>
      </c>
      <c r="E27" s="448" t="s">
        <v>740</v>
      </c>
      <c r="F27" s="481" t="str">
        <f t="shared" si="22"/>
        <v>05/26/20</v>
      </c>
      <c r="G27" s="466" t="s">
        <v>741</v>
      </c>
      <c r="H27" s="466" t="s">
        <v>708</v>
      </c>
      <c r="I27" s="474"/>
      <c r="J27" s="467">
        <v>22.009419000000001</v>
      </c>
      <c r="K27" s="467">
        <v>47.085937999999999</v>
      </c>
      <c r="L27" s="467">
        <v>29.220305</v>
      </c>
      <c r="M27" s="467">
        <v>31.848037000000001</v>
      </c>
      <c r="N27" s="450">
        <v>4250</v>
      </c>
      <c r="O27" s="450">
        <v>38.71</v>
      </c>
      <c r="P27" s="450">
        <v>3.0499999999999999E-2</v>
      </c>
      <c r="Q27" s="450">
        <v>1.4999999999999999E-2</v>
      </c>
      <c r="R27" s="451">
        <v>7.7596448799999997</v>
      </c>
      <c r="S27" s="451">
        <f t="shared" si="21"/>
        <v>15.794000779999999</v>
      </c>
      <c r="T27" s="492">
        <v>29.9</v>
      </c>
      <c r="U27" s="492">
        <v>27.6</v>
      </c>
      <c r="V27" s="455">
        <v>26211</v>
      </c>
      <c r="W27" s="455">
        <v>27913</v>
      </c>
      <c r="X27" s="455">
        <f t="shared" si="0"/>
        <v>1702</v>
      </c>
      <c r="Y27" s="455">
        <f t="shared" si="1"/>
        <v>219.33993453576707</v>
      </c>
      <c r="Z27" s="476">
        <v>25825</v>
      </c>
      <c r="AA27" s="455">
        <v>27518</v>
      </c>
      <c r="AB27" s="455">
        <f t="shared" si="2"/>
        <v>1693</v>
      </c>
      <c r="AC27" s="475">
        <f t="shared" si="3"/>
        <v>218.18008764339226</v>
      </c>
      <c r="AD27" s="476">
        <v>1571</v>
      </c>
      <c r="AE27" s="455">
        <v>1642</v>
      </c>
      <c r="AF27" s="455">
        <f t="shared" si="4"/>
        <v>71</v>
      </c>
      <c r="AG27" s="475">
        <f t="shared" si="5"/>
        <v>9.1499032620678378</v>
      </c>
      <c r="AH27" s="476">
        <v>21222</v>
      </c>
      <c r="AI27" s="455">
        <v>22757</v>
      </c>
      <c r="AJ27" s="455">
        <f t="shared" si="6"/>
        <v>1535</v>
      </c>
      <c r="AK27" s="475">
        <f t="shared" si="7"/>
        <v>197.81833108836807</v>
      </c>
      <c r="AL27" s="476">
        <v>2823.6</v>
      </c>
      <c r="AM27" s="455">
        <v>2921.7</v>
      </c>
      <c r="AN27" s="455">
        <f t="shared" si="8"/>
        <v>98.099999999999909</v>
      </c>
      <c r="AO27" s="475">
        <f t="shared" si="9"/>
        <v>12.642331126885269</v>
      </c>
      <c r="AP27" s="476">
        <v>3122.0598519999999</v>
      </c>
      <c r="AQ27" s="455">
        <v>3204.8295480000002</v>
      </c>
      <c r="AR27" s="455">
        <f t="shared" si="10"/>
        <v>82.769696000000295</v>
      </c>
      <c r="AS27" s="475">
        <f t="shared" si="11"/>
        <v>10.666686076489663</v>
      </c>
      <c r="AT27" s="476">
        <v>341.1</v>
      </c>
      <c r="AU27" s="455">
        <v>341.1</v>
      </c>
      <c r="AV27" s="455">
        <f t="shared" si="12"/>
        <v>0</v>
      </c>
      <c r="AW27" s="475">
        <f t="shared" si="13"/>
        <v>0</v>
      </c>
      <c r="AX27" s="476">
        <v>265.89999999999998</v>
      </c>
      <c r="AY27" s="455">
        <v>266.2</v>
      </c>
      <c r="AZ27" s="455">
        <f t="shared" si="14"/>
        <v>0.30000000000001137</v>
      </c>
      <c r="BA27" s="475">
        <f t="shared" si="15"/>
        <v>3.8661563079161347E-2</v>
      </c>
      <c r="BB27" s="476">
        <v>-85.35</v>
      </c>
      <c r="BC27" s="455">
        <v>-85.95</v>
      </c>
      <c r="BD27" s="455">
        <f t="shared" si="16"/>
        <v>-0.60000000000000853</v>
      </c>
      <c r="BE27" s="455">
        <v>-2.5451079999999999</v>
      </c>
      <c r="BF27" s="475">
        <f t="shared" si="17"/>
        <v>-7.7323126158320862E-2</v>
      </c>
      <c r="BG27" s="443">
        <v>29.9</v>
      </c>
      <c r="BH27" s="443">
        <v>27.6</v>
      </c>
      <c r="BI27" s="443">
        <f t="shared" si="18"/>
        <v>-2.2999999999999972</v>
      </c>
      <c r="BJ27" s="495">
        <v>1663.6</v>
      </c>
      <c r="BK27" s="495">
        <v>1664.4</v>
      </c>
      <c r="BL27" s="495">
        <f t="shared" si="19"/>
        <v>0.8000000000001819</v>
      </c>
      <c r="BM27" s="495">
        <v>-1261.9000000000001</v>
      </c>
      <c r="BN27" s="495">
        <v>-1261.9000000000001</v>
      </c>
      <c r="BO27" s="495">
        <f t="shared" si="20"/>
        <v>0</v>
      </c>
      <c r="BP27" s="443"/>
      <c r="BQ27" s="443"/>
      <c r="BR27" s="443"/>
      <c r="BS27" s="443"/>
      <c r="BT27" s="466" t="s">
        <v>723</v>
      </c>
      <c r="BU27" s="447">
        <v>1658.90970255</v>
      </c>
      <c r="BV27" s="447">
        <v>-2.1939682999999999</v>
      </c>
      <c r="BW27" s="447">
        <v>5105.2182983700004</v>
      </c>
      <c r="BX27" s="447">
        <v>5219.73768836</v>
      </c>
      <c r="BY27" s="447">
        <v>8.8504133199999995</v>
      </c>
      <c r="BZ27" s="447">
        <v>9.0321147199999992</v>
      </c>
      <c r="CA27" s="447">
        <v>0.35232437</v>
      </c>
      <c r="CB27" s="447">
        <v>7.7595809899999999</v>
      </c>
      <c r="CC27" s="447">
        <v>7.7323380799999999</v>
      </c>
      <c r="CD27" s="447">
        <v>-2.4125849800000001</v>
      </c>
      <c r="CE27" s="447">
        <v>-2.0117260099999998</v>
      </c>
      <c r="CF27" s="447">
        <v>0.73999466999999997</v>
      </c>
      <c r="CG27" s="447"/>
    </row>
    <row r="28" spans="1:85" s="449" customFormat="1">
      <c r="A28" s="491">
        <v>62005012</v>
      </c>
      <c r="B28" s="491" t="s">
        <v>826</v>
      </c>
      <c r="C28" s="491" t="s">
        <v>695</v>
      </c>
      <c r="D28" s="473" t="s">
        <v>706</v>
      </c>
      <c r="E28" s="448" t="s">
        <v>742</v>
      </c>
      <c r="F28" s="481" t="str">
        <f t="shared" si="22"/>
        <v>05/26/20</v>
      </c>
      <c r="G28" s="466" t="s">
        <v>743</v>
      </c>
      <c r="H28" s="466" t="s">
        <v>708</v>
      </c>
      <c r="I28" s="474"/>
      <c r="J28" s="467">
        <v>20.547162</v>
      </c>
      <c r="K28" s="467">
        <v>50.818989000000002</v>
      </c>
      <c r="L28" s="467">
        <v>29.213585999999999</v>
      </c>
      <c r="M28" s="467">
        <v>32.573394</v>
      </c>
      <c r="N28" s="450">
        <v>4250</v>
      </c>
      <c r="O28" s="450">
        <v>38.71</v>
      </c>
      <c r="P28" s="450">
        <v>3.0499999999999999E-2</v>
      </c>
      <c r="Q28" s="450">
        <v>1.4999999999999999E-2</v>
      </c>
      <c r="R28" s="451">
        <v>2.6985839199999999</v>
      </c>
      <c r="S28" s="451">
        <f t="shared" si="21"/>
        <v>10.458228800000001</v>
      </c>
      <c r="T28" s="492">
        <v>27.5</v>
      </c>
      <c r="U28" s="492">
        <v>24.9</v>
      </c>
      <c r="V28" s="455">
        <v>17</v>
      </c>
      <c r="W28" s="455">
        <v>1519</v>
      </c>
      <c r="X28" s="455">
        <f t="shared" si="0"/>
        <v>1502</v>
      </c>
      <c r="Y28" s="455">
        <f t="shared" si="1"/>
        <v>556.5882123836268</v>
      </c>
      <c r="Z28" s="476">
        <v>15</v>
      </c>
      <c r="AA28" s="455">
        <v>1512</v>
      </c>
      <c r="AB28" s="455">
        <f t="shared" si="2"/>
        <v>1497</v>
      </c>
      <c r="AC28" s="475">
        <f t="shared" si="3"/>
        <v>554.73538877382771</v>
      </c>
      <c r="AD28" s="476">
        <v>1</v>
      </c>
      <c r="AE28" s="455">
        <v>1360</v>
      </c>
      <c r="AF28" s="455">
        <f t="shared" si="4"/>
        <v>1359</v>
      </c>
      <c r="AG28" s="475">
        <f t="shared" si="5"/>
        <v>503.5974571433747</v>
      </c>
      <c r="AH28" s="476">
        <v>1</v>
      </c>
      <c r="AI28" s="455">
        <v>-241</v>
      </c>
      <c r="AJ28" s="455">
        <f t="shared" si="6"/>
        <v>-242</v>
      </c>
      <c r="AK28" s="475">
        <f t="shared" si="7"/>
        <v>-89.676662714272751</v>
      </c>
      <c r="AL28" s="476">
        <v>16.3</v>
      </c>
      <c r="AM28" s="455">
        <v>97.1</v>
      </c>
      <c r="AN28" s="455">
        <f t="shared" si="8"/>
        <v>80.8</v>
      </c>
      <c r="AO28" s="475">
        <f t="shared" si="9"/>
        <v>29.941629534352224</v>
      </c>
      <c r="AP28" s="476">
        <v>12.289486999999999</v>
      </c>
      <c r="AQ28" s="455">
        <v>80.87</v>
      </c>
      <c r="AR28" s="455">
        <f t="shared" si="10"/>
        <v>68.58051300000001</v>
      </c>
      <c r="AS28" s="475">
        <f t="shared" si="11"/>
        <v>25.413518731705778</v>
      </c>
      <c r="AT28" s="476">
        <v>0</v>
      </c>
      <c r="AU28" s="455">
        <v>0</v>
      </c>
      <c r="AV28" s="455">
        <f t="shared" si="12"/>
        <v>0</v>
      </c>
      <c r="AW28" s="475">
        <f t="shared" si="13"/>
        <v>0</v>
      </c>
      <c r="AX28" s="476">
        <v>0.1</v>
      </c>
      <c r="AY28" s="455">
        <v>0.3</v>
      </c>
      <c r="AZ28" s="455">
        <f t="shared" si="14"/>
        <v>0.19999999999999998</v>
      </c>
      <c r="BA28" s="475">
        <f t="shared" si="15"/>
        <v>7.411294439196095E-2</v>
      </c>
      <c r="BB28" s="476">
        <v>-0.17</v>
      </c>
      <c r="BC28" s="455">
        <v>-0.64</v>
      </c>
      <c r="BD28" s="455">
        <f t="shared" si="16"/>
        <v>-0.47</v>
      </c>
      <c r="BE28" s="455">
        <v>-2.5353189999999999</v>
      </c>
      <c r="BF28" s="475">
        <f t="shared" si="17"/>
        <v>-0.17416541932110824</v>
      </c>
      <c r="BG28" s="443">
        <v>27.5</v>
      </c>
      <c r="BH28" s="443">
        <v>24.9</v>
      </c>
      <c r="BI28" s="443">
        <f t="shared" si="18"/>
        <v>-2.6000000000000014</v>
      </c>
      <c r="BJ28" s="495">
        <v>0.2</v>
      </c>
      <c r="BK28" s="495">
        <v>0.9</v>
      </c>
      <c r="BL28" s="495">
        <f t="shared" si="19"/>
        <v>0.7</v>
      </c>
      <c r="BM28" s="495">
        <v>0</v>
      </c>
      <c r="BN28" s="495">
        <v>0</v>
      </c>
      <c r="BO28" s="495">
        <f t="shared" si="20"/>
        <v>0</v>
      </c>
      <c r="BP28" s="443"/>
      <c r="BQ28" s="443"/>
      <c r="BR28" s="443"/>
      <c r="BS28" s="443"/>
      <c r="BT28" s="466" t="s">
        <v>723</v>
      </c>
      <c r="BU28" s="447"/>
      <c r="BV28" s="447"/>
      <c r="BW28" s="447"/>
      <c r="BX28" s="447"/>
      <c r="BY28" s="447"/>
      <c r="BZ28" s="447"/>
      <c r="CA28" s="447"/>
      <c r="CB28" s="447"/>
      <c r="CC28" s="447"/>
      <c r="CD28" s="447"/>
      <c r="CE28" s="447"/>
      <c r="CF28" s="447"/>
      <c r="CG28" s="447"/>
    </row>
    <row r="29" spans="1:85" s="449" customFormat="1">
      <c r="A29" s="491">
        <v>62005013</v>
      </c>
      <c r="B29" s="491" t="s">
        <v>827</v>
      </c>
      <c r="C29" s="491" t="s">
        <v>695</v>
      </c>
      <c r="D29" s="473" t="s">
        <v>716</v>
      </c>
      <c r="E29" s="448" t="s">
        <v>744</v>
      </c>
      <c r="F29" s="481" t="str">
        <f t="shared" si="22"/>
        <v>05/26/20</v>
      </c>
      <c r="G29" s="466" t="s">
        <v>745</v>
      </c>
      <c r="H29" s="466" t="s">
        <v>708</v>
      </c>
      <c r="I29" s="474"/>
      <c r="J29" s="467">
        <v>22.202006000000001</v>
      </c>
      <c r="K29" s="467">
        <v>45.964297000000002</v>
      </c>
      <c r="L29" s="467">
        <v>29.212178999999999</v>
      </c>
      <c r="M29" s="467">
        <v>27.378520000000002</v>
      </c>
      <c r="N29" s="450">
        <v>4250</v>
      </c>
      <c r="O29" s="450">
        <v>38.71</v>
      </c>
      <c r="P29" s="450">
        <v>3.0499999999999999E-2</v>
      </c>
      <c r="Q29" s="450">
        <v>1.4999999999999999E-2</v>
      </c>
      <c r="R29" s="451">
        <v>8.2350999999999995E-4</v>
      </c>
      <c r="S29" s="451">
        <f t="shared" si="21"/>
        <v>2.6994074299999999</v>
      </c>
      <c r="T29" s="492">
        <v>25.3</v>
      </c>
      <c r="U29" s="492">
        <v>25.7</v>
      </c>
      <c r="V29" s="455">
        <v>1532</v>
      </c>
      <c r="W29" s="455">
        <v>962</v>
      </c>
      <c r="X29" s="455">
        <f t="shared" si="0"/>
        <v>-570</v>
      </c>
      <c r="Y29" s="455">
        <f t="shared" si="1"/>
        <v>-692159.17232334765</v>
      </c>
      <c r="Z29" s="476">
        <v>1522</v>
      </c>
      <c r="AA29" s="455">
        <v>943</v>
      </c>
      <c r="AB29" s="455">
        <f t="shared" si="2"/>
        <v>-579</v>
      </c>
      <c r="AC29" s="475">
        <f t="shared" si="3"/>
        <v>-703088.00136003213</v>
      </c>
      <c r="AD29" s="476">
        <v>1360</v>
      </c>
      <c r="AE29" s="455">
        <v>1363</v>
      </c>
      <c r="AF29" s="455">
        <f t="shared" si="4"/>
        <v>3</v>
      </c>
      <c r="AG29" s="475">
        <f t="shared" si="5"/>
        <v>3642.9430122281456</v>
      </c>
      <c r="AH29" s="476">
        <v>-240</v>
      </c>
      <c r="AI29" s="455">
        <v>-238</v>
      </c>
      <c r="AJ29" s="455">
        <f t="shared" si="6"/>
        <v>2</v>
      </c>
      <c r="AK29" s="475">
        <f t="shared" si="7"/>
        <v>2428.6286748187636</v>
      </c>
      <c r="AL29" s="476">
        <v>109.6</v>
      </c>
      <c r="AM29" s="455">
        <v>-462.7</v>
      </c>
      <c r="AN29" s="455">
        <f t="shared" si="8"/>
        <v>-572.29999999999995</v>
      </c>
      <c r="AO29" s="475">
        <f t="shared" si="9"/>
        <v>-694952.09529938921</v>
      </c>
      <c r="AP29" s="476">
        <v>90.12</v>
      </c>
      <c r="AQ29" s="455">
        <v>117.79</v>
      </c>
      <c r="AR29" s="455">
        <f t="shared" si="10"/>
        <v>27.67</v>
      </c>
      <c r="AS29" s="475">
        <f t="shared" si="11"/>
        <v>33600.077716117601</v>
      </c>
      <c r="AT29" s="476">
        <v>0</v>
      </c>
      <c r="AU29" s="455">
        <v>-0.1</v>
      </c>
      <c r="AV29" s="455">
        <f t="shared" si="12"/>
        <v>-0.1</v>
      </c>
      <c r="AW29" s="475">
        <f t="shared" si="13"/>
        <v>-121.43143374093819</v>
      </c>
      <c r="AX29" s="476">
        <v>0.4</v>
      </c>
      <c r="AY29" s="455">
        <v>0.7</v>
      </c>
      <c r="AZ29" s="455">
        <f t="shared" si="14"/>
        <v>0.29999999999999993</v>
      </c>
      <c r="BA29" s="475">
        <f t="shared" si="15"/>
        <v>364.29430122281445</v>
      </c>
      <c r="BB29" s="476">
        <v>-0.78</v>
      </c>
      <c r="BC29" s="455">
        <v>-0.77</v>
      </c>
      <c r="BD29" s="455">
        <f t="shared" si="16"/>
        <v>1.0000000000000009E-2</v>
      </c>
      <c r="BE29" s="455">
        <v>3.2615999999999999E-2</v>
      </c>
      <c r="BF29" s="475">
        <f t="shared" si="17"/>
        <v>12.14314337409383</v>
      </c>
      <c r="BG29" s="443">
        <v>25.3</v>
      </c>
      <c r="BH29" s="443">
        <v>25.7</v>
      </c>
      <c r="BI29" s="443">
        <f t="shared" si="18"/>
        <v>0.39999999999999858</v>
      </c>
      <c r="BJ29" s="495">
        <v>1.1000000000000001</v>
      </c>
      <c r="BK29" s="495">
        <v>650.29999999999995</v>
      </c>
      <c r="BL29" s="495">
        <f t="shared" si="19"/>
        <v>649.19999999999993</v>
      </c>
      <c r="BM29" s="495">
        <v>0</v>
      </c>
      <c r="BN29" s="495">
        <v>-651.70000000000005</v>
      </c>
      <c r="BO29" s="495">
        <f t="shared" si="20"/>
        <v>-651.70000000000005</v>
      </c>
      <c r="BP29" s="443"/>
      <c r="BQ29" s="443"/>
      <c r="BR29" s="443"/>
      <c r="BS29" s="443"/>
      <c r="BT29" s="466" t="s">
        <v>723</v>
      </c>
      <c r="BU29" s="447"/>
      <c r="BV29" s="447"/>
      <c r="BW29" s="447"/>
      <c r="BX29" s="447"/>
      <c r="BY29" s="447"/>
      <c r="BZ29" s="447"/>
      <c r="CA29" s="447"/>
      <c r="CB29" s="447"/>
      <c r="CC29" s="447"/>
      <c r="CD29" s="447"/>
      <c r="CE29" s="447"/>
      <c r="CF29" s="447"/>
      <c r="CG29" s="447"/>
    </row>
    <row r="30" spans="1:85" s="449" customFormat="1">
      <c r="A30" s="491">
        <v>62005014</v>
      </c>
      <c r="B30" s="491" t="s">
        <v>827</v>
      </c>
      <c r="C30" s="491" t="s">
        <v>695</v>
      </c>
      <c r="D30" s="473" t="s">
        <v>746</v>
      </c>
      <c r="E30" s="448" t="s">
        <v>747</v>
      </c>
      <c r="F30" s="481" t="str">
        <f t="shared" si="22"/>
        <v>05/26/20</v>
      </c>
      <c r="G30" s="466" t="s">
        <v>748</v>
      </c>
      <c r="H30" s="466" t="s">
        <v>749</v>
      </c>
      <c r="I30" s="474"/>
      <c r="J30" s="467">
        <v>22.002320000000001</v>
      </c>
      <c r="K30" s="467">
        <v>46.074233999999997</v>
      </c>
      <c r="L30" s="467">
        <v>29.207657999999999</v>
      </c>
      <c r="M30" s="467">
        <v>24.063137999999999</v>
      </c>
      <c r="N30" s="450">
        <v>4250</v>
      </c>
      <c r="O30" s="450">
        <v>38.71</v>
      </c>
      <c r="P30" s="450">
        <v>3.0499999999999999E-2</v>
      </c>
      <c r="Q30" s="450">
        <v>1.4999999999999999E-2</v>
      </c>
      <c r="R30" s="451">
        <v>1.3373000000000001E-4</v>
      </c>
      <c r="S30" s="451">
        <f t="shared" si="21"/>
        <v>9.5723999999999994E-4</v>
      </c>
      <c r="T30" s="492">
        <v>25.6</v>
      </c>
      <c r="U30" s="492">
        <v>26.2</v>
      </c>
      <c r="V30" s="455">
        <v>962</v>
      </c>
      <c r="W30" s="455">
        <v>541</v>
      </c>
      <c r="X30" s="455">
        <f t="shared" si="0"/>
        <v>-421</v>
      </c>
      <c r="Y30" s="455">
        <f t="shared" si="1"/>
        <v>-3148134.300456143</v>
      </c>
      <c r="Z30" s="476">
        <v>943</v>
      </c>
      <c r="AA30" s="455">
        <v>521</v>
      </c>
      <c r="AB30" s="455">
        <f t="shared" si="2"/>
        <v>-422</v>
      </c>
      <c r="AC30" s="475">
        <f t="shared" si="3"/>
        <v>-3155612.0541389366</v>
      </c>
      <c r="AD30" s="476">
        <v>1363</v>
      </c>
      <c r="AE30" s="455">
        <v>1364</v>
      </c>
      <c r="AF30" s="455">
        <f t="shared" si="4"/>
        <v>1</v>
      </c>
      <c r="AG30" s="475">
        <f t="shared" si="5"/>
        <v>7477.7536827936883</v>
      </c>
      <c r="AH30" s="476">
        <v>-238</v>
      </c>
      <c r="AI30" s="455">
        <v>-237</v>
      </c>
      <c r="AJ30" s="455">
        <f t="shared" si="6"/>
        <v>1</v>
      </c>
      <c r="AK30" s="475">
        <f t="shared" si="7"/>
        <v>7477.7536827936883</v>
      </c>
      <c r="AL30" s="476">
        <v>-462.7</v>
      </c>
      <c r="AM30" s="455">
        <v>-883.6</v>
      </c>
      <c r="AN30" s="455">
        <f t="shared" si="8"/>
        <v>-420.90000000000003</v>
      </c>
      <c r="AO30" s="475">
        <f t="shared" si="9"/>
        <v>-3147386.5250878637</v>
      </c>
      <c r="AP30" s="476">
        <v>117.79</v>
      </c>
      <c r="AQ30" s="455">
        <v>126.05</v>
      </c>
      <c r="AR30" s="455">
        <f t="shared" si="10"/>
        <v>8.2599999999999909</v>
      </c>
      <c r="AS30" s="475">
        <f t="shared" si="11"/>
        <v>61766.245419875799</v>
      </c>
      <c r="AT30" s="476">
        <v>-0.1</v>
      </c>
      <c r="AU30" s="455">
        <v>-0.2</v>
      </c>
      <c r="AV30" s="455">
        <f t="shared" si="12"/>
        <v>-0.1</v>
      </c>
      <c r="AW30" s="475">
        <f t="shared" si="13"/>
        <v>-747.77536827936888</v>
      </c>
      <c r="AX30" s="476">
        <v>0.7</v>
      </c>
      <c r="AY30" s="455">
        <v>0.7</v>
      </c>
      <c r="AZ30" s="455">
        <f t="shared" si="14"/>
        <v>0</v>
      </c>
      <c r="BA30" s="475">
        <f t="shared" si="15"/>
        <v>0</v>
      </c>
      <c r="BB30" s="476">
        <v>-0.64</v>
      </c>
      <c r="BC30" s="455">
        <v>-1.45</v>
      </c>
      <c r="BD30" s="455">
        <f t="shared" si="16"/>
        <v>-0.80999999999999994</v>
      </c>
      <c r="BE30" s="455">
        <v>-10.213124000000001</v>
      </c>
      <c r="BF30" s="475">
        <f t="shared" si="17"/>
        <v>-6056.9804830628873</v>
      </c>
      <c r="BG30" s="443">
        <v>25.6</v>
      </c>
      <c r="BH30" s="443">
        <v>26.2</v>
      </c>
      <c r="BI30" s="443">
        <f t="shared" si="18"/>
        <v>0.59999999999999787</v>
      </c>
      <c r="BJ30" s="495">
        <v>650.9</v>
      </c>
      <c r="BK30" s="495">
        <v>1108.5</v>
      </c>
      <c r="BL30" s="495">
        <f t="shared" si="19"/>
        <v>457.6</v>
      </c>
      <c r="BM30" s="495">
        <v>-651.70000000000005</v>
      </c>
      <c r="BN30" s="495">
        <v>-1112</v>
      </c>
      <c r="BO30" s="495">
        <f t="shared" si="20"/>
        <v>-460.29999999999995</v>
      </c>
      <c r="BP30" s="443"/>
      <c r="BQ30" s="443"/>
      <c r="BR30" s="443"/>
      <c r="BS30" s="443"/>
      <c r="BT30" s="466" t="s">
        <v>719</v>
      </c>
      <c r="BU30" s="447"/>
      <c r="BV30" s="447"/>
      <c r="BW30" s="447"/>
      <c r="BX30" s="447"/>
      <c r="BY30" s="447"/>
      <c r="BZ30" s="447"/>
      <c r="CA30" s="447"/>
      <c r="CB30" s="447"/>
      <c r="CC30" s="447"/>
      <c r="CD30" s="447"/>
      <c r="CE30" s="447"/>
      <c r="CF30" s="447"/>
      <c r="CG30" s="447"/>
    </row>
    <row r="31" spans="1:85" s="449" customFormat="1">
      <c r="A31" s="491">
        <v>62005015</v>
      </c>
      <c r="B31" s="491" t="s">
        <v>907</v>
      </c>
      <c r="C31" s="491" t="s">
        <v>695</v>
      </c>
      <c r="D31" s="473" t="s">
        <v>746</v>
      </c>
      <c r="E31" s="448" t="s">
        <v>750</v>
      </c>
      <c r="F31" s="481" t="str">
        <f t="shared" si="22"/>
        <v>05/26/20</v>
      </c>
      <c r="G31" s="466" t="s">
        <v>748</v>
      </c>
      <c r="H31" s="466" t="s">
        <v>751</v>
      </c>
      <c r="I31" s="474"/>
      <c r="J31" s="467">
        <v>244.26084399999999</v>
      </c>
      <c r="K31" s="467">
        <v>519.94933800000001</v>
      </c>
      <c r="L31" s="467">
        <v>325.63890700000002</v>
      </c>
      <c r="M31" s="467">
        <v>245.16564</v>
      </c>
      <c r="N31" s="450">
        <v>4250</v>
      </c>
      <c r="O31" s="450">
        <v>38.71</v>
      </c>
      <c r="P31" s="450">
        <v>3.0499999999999999E-2</v>
      </c>
      <c r="Q31" s="450">
        <v>1.4999999999999999E-2</v>
      </c>
      <c r="R31" s="451">
        <v>4.47585E-3</v>
      </c>
      <c r="S31" s="451">
        <f t="shared" si="21"/>
        <v>4.6095800000000003E-3</v>
      </c>
      <c r="T31" s="492">
        <v>26.1</v>
      </c>
      <c r="U31" s="492">
        <v>99.7</v>
      </c>
      <c r="V31" s="455">
        <v>561</v>
      </c>
      <c r="W31" s="455">
        <v>-60759</v>
      </c>
      <c r="X31" s="455">
        <f t="shared" si="0"/>
        <v>-61320</v>
      </c>
      <c r="Y31" s="455">
        <f t="shared" si="1"/>
        <v>-13700191.025168404</v>
      </c>
      <c r="Z31" s="476">
        <v>536</v>
      </c>
      <c r="AA31" s="455">
        <v>-61077</v>
      </c>
      <c r="AB31" s="455">
        <f t="shared" si="2"/>
        <v>-61613</v>
      </c>
      <c r="AC31" s="475">
        <f t="shared" si="3"/>
        <v>-13765653.451299753</v>
      </c>
      <c r="AD31" s="476">
        <v>1366</v>
      </c>
      <c r="AE31" s="455">
        <v>1452</v>
      </c>
      <c r="AF31" s="455">
        <f t="shared" si="4"/>
        <v>86</v>
      </c>
      <c r="AG31" s="475">
        <f t="shared" si="5"/>
        <v>19214.227465174212</v>
      </c>
      <c r="AH31" s="476">
        <v>-235</v>
      </c>
      <c r="AI31" s="455">
        <v>-163</v>
      </c>
      <c r="AJ31" s="455">
        <f t="shared" si="6"/>
        <v>72</v>
      </c>
      <c r="AK31" s="475">
        <f t="shared" si="7"/>
        <v>16086.329970843528</v>
      </c>
      <c r="AL31" s="476">
        <v>-864.6</v>
      </c>
      <c r="AM31" s="455">
        <v>-62271.7</v>
      </c>
      <c r="AN31" s="455">
        <f t="shared" si="8"/>
        <v>-61407.1</v>
      </c>
      <c r="AO31" s="475">
        <f t="shared" si="9"/>
        <v>-13719651.016008133</v>
      </c>
      <c r="AP31" s="476">
        <v>137.19999999999999</v>
      </c>
      <c r="AQ31" s="455">
        <v>600.84</v>
      </c>
      <c r="AR31" s="455">
        <f t="shared" si="10"/>
        <v>463.64000000000004</v>
      </c>
      <c r="AS31" s="475">
        <f t="shared" si="11"/>
        <v>103587.02816224852</v>
      </c>
      <c r="AT31" s="476">
        <v>-0.3</v>
      </c>
      <c r="AU31" s="455">
        <v>-5.7</v>
      </c>
      <c r="AV31" s="455">
        <f t="shared" si="12"/>
        <v>-5.4</v>
      </c>
      <c r="AW31" s="475">
        <f t="shared" si="13"/>
        <v>-1206.4747478132647</v>
      </c>
      <c r="AX31" s="476">
        <v>1</v>
      </c>
      <c r="AY31" s="455">
        <v>3.9</v>
      </c>
      <c r="AZ31" s="455">
        <f t="shared" si="14"/>
        <v>2.9</v>
      </c>
      <c r="BA31" s="475">
        <f t="shared" si="15"/>
        <v>647.92162382564209</v>
      </c>
      <c r="BB31" s="476">
        <v>-1.62</v>
      </c>
      <c r="BC31" s="455">
        <v>-17.8</v>
      </c>
      <c r="BD31" s="455">
        <f t="shared" si="16"/>
        <v>-16.18</v>
      </c>
      <c r="BE31" s="455">
        <v>-22.512236000000001</v>
      </c>
      <c r="BF31" s="475">
        <f t="shared" si="17"/>
        <v>-3614.9558184478924</v>
      </c>
      <c r="BG31" s="443">
        <v>26.1</v>
      </c>
      <c r="BH31" s="443">
        <v>99.7</v>
      </c>
      <c r="BI31" s="443">
        <f t="shared" si="18"/>
        <v>73.599999999999994</v>
      </c>
      <c r="BJ31" s="495">
        <v>1109.4000000000001</v>
      </c>
      <c r="BK31" s="495">
        <v>66872.600000000006</v>
      </c>
      <c r="BL31" s="495">
        <f t="shared" si="19"/>
        <v>65763.200000000012</v>
      </c>
      <c r="BM31" s="495">
        <v>-1112</v>
      </c>
      <c r="BN31" s="495">
        <v>-67272.800000000003</v>
      </c>
      <c r="BO31" s="495">
        <f t="shared" si="20"/>
        <v>-66160.800000000003</v>
      </c>
      <c r="BP31" s="443"/>
      <c r="BQ31" s="443">
        <f>X31/BO31</f>
        <v>0.92683280734211193</v>
      </c>
      <c r="BR31" s="443"/>
      <c r="BS31" s="443"/>
      <c r="BT31" s="466" t="s">
        <v>723</v>
      </c>
      <c r="BU31" s="447"/>
      <c r="BV31" s="447"/>
      <c r="BW31" s="447"/>
      <c r="BX31" s="447"/>
      <c r="BY31" s="447"/>
      <c r="BZ31" s="447"/>
      <c r="CA31" s="447"/>
      <c r="CB31" s="447"/>
      <c r="CC31" s="447"/>
      <c r="CD31" s="447"/>
      <c r="CE31" s="447"/>
      <c r="CF31" s="447"/>
      <c r="CG31" s="447"/>
    </row>
    <row r="32" spans="1:85" s="488" customFormat="1" ht="15.75">
      <c r="A32" s="480" t="s">
        <v>1238</v>
      </c>
      <c r="B32" s="483"/>
      <c r="C32" s="483"/>
      <c r="D32" s="484"/>
      <c r="E32" s="483"/>
      <c r="F32" s="483"/>
      <c r="G32" s="484"/>
      <c r="H32" s="484"/>
      <c r="I32" s="484"/>
      <c r="J32" s="484"/>
      <c r="K32" s="484"/>
      <c r="L32" s="484"/>
      <c r="M32" s="484"/>
      <c r="N32" s="484"/>
      <c r="O32" s="484"/>
      <c r="P32" s="485"/>
      <c r="Q32" s="486"/>
      <c r="R32" s="483"/>
      <c r="S32" s="483"/>
      <c r="T32" s="483"/>
      <c r="U32" s="483"/>
      <c r="V32" s="483"/>
      <c r="W32" s="483"/>
      <c r="X32" s="483"/>
      <c r="Y32" s="483"/>
      <c r="Z32" s="483"/>
      <c r="AA32" s="483"/>
      <c r="AB32" s="483"/>
      <c r="AC32" s="483"/>
      <c r="AD32" s="483"/>
      <c r="AE32" s="483"/>
      <c r="AF32" s="483"/>
      <c r="AG32" s="483"/>
      <c r="AH32" s="483"/>
      <c r="AI32" s="483"/>
      <c r="AJ32" s="483"/>
      <c r="AK32" s="483"/>
      <c r="AL32" s="483"/>
      <c r="AM32" s="483"/>
      <c r="AN32" s="483"/>
      <c r="AO32" s="483"/>
      <c r="AP32" s="483"/>
      <c r="AQ32" s="483"/>
      <c r="AR32" s="483"/>
      <c r="AS32" s="483"/>
      <c r="AT32" s="483"/>
      <c r="AU32" s="483"/>
      <c r="AV32" s="483"/>
      <c r="AW32" s="483"/>
      <c r="AX32" s="483"/>
      <c r="AY32" s="483"/>
      <c r="AZ32" s="483"/>
      <c r="BA32" s="483"/>
      <c r="BB32" s="483"/>
      <c r="BC32" s="483"/>
      <c r="BD32" s="483"/>
      <c r="BE32" s="483"/>
      <c r="BF32" s="483"/>
      <c r="BG32" s="483"/>
      <c r="BH32" s="483"/>
      <c r="BI32" s="483"/>
      <c r="BJ32" s="483"/>
      <c r="BK32" s="483"/>
      <c r="BL32" s="483"/>
      <c r="BM32" s="483"/>
      <c r="BN32" s="483"/>
      <c r="BO32" s="483"/>
      <c r="BP32" s="483"/>
      <c r="BQ32" s="483"/>
      <c r="BR32" s="483"/>
      <c r="BS32" s="483"/>
      <c r="BT32" s="483"/>
      <c r="BU32" s="483"/>
      <c r="BV32" s="483"/>
      <c r="BW32" s="483"/>
      <c r="BX32" s="483"/>
      <c r="BY32" s="483"/>
      <c r="BZ32" s="483"/>
      <c r="CA32" s="483"/>
      <c r="CB32" s="483"/>
      <c r="CC32" s="483"/>
      <c r="CD32" s="483"/>
      <c r="CE32" s="483"/>
      <c r="CF32" s="490"/>
      <c r="CG32" s="487"/>
    </row>
    <row r="33" spans="1:85" s="449" customFormat="1" ht="22.5">
      <c r="A33" s="491">
        <v>62005016</v>
      </c>
      <c r="B33" s="491" t="s">
        <v>832</v>
      </c>
      <c r="C33" s="491" t="s">
        <v>695</v>
      </c>
      <c r="D33" s="473" t="s">
        <v>752</v>
      </c>
      <c r="E33" s="448" t="s">
        <v>753</v>
      </c>
      <c r="F33" s="481" t="str">
        <f t="shared" ref="F33:F98" si="23">LEFT(E33,8)</f>
        <v>05/27/20</v>
      </c>
      <c r="G33" s="466" t="s">
        <v>754</v>
      </c>
      <c r="H33" s="466" t="s">
        <v>755</v>
      </c>
      <c r="I33" s="474"/>
      <c r="J33" s="467">
        <v>22.485567</v>
      </c>
      <c r="K33" s="467">
        <v>45.706609</v>
      </c>
      <c r="L33" s="467">
        <v>29.257919999999999</v>
      </c>
      <c r="M33" s="467">
        <v>25.407831999999999</v>
      </c>
      <c r="N33" s="450">
        <v>4250</v>
      </c>
      <c r="O33" s="450">
        <v>38.71</v>
      </c>
      <c r="P33" s="450">
        <v>3.0499999999999999E-2</v>
      </c>
      <c r="Q33" s="450">
        <v>1.4999999999999999E-2</v>
      </c>
      <c r="R33" s="451">
        <v>3.5986426699999998</v>
      </c>
      <c r="S33" s="451">
        <f>R33+R31</f>
        <v>3.6031185199999998</v>
      </c>
      <c r="T33" s="492">
        <v>99.6</v>
      </c>
      <c r="U33" s="492">
        <v>98.7</v>
      </c>
      <c r="V33" s="455">
        <v>21</v>
      </c>
      <c r="W33" s="455">
        <v>824</v>
      </c>
      <c r="X33" s="455">
        <f t="shared" si="0"/>
        <v>803</v>
      </c>
      <c r="Y33" s="455">
        <f t="shared" si="1"/>
        <v>223.13968727548047</v>
      </c>
      <c r="Z33" s="476">
        <v>21</v>
      </c>
      <c r="AA33" s="455">
        <v>821</v>
      </c>
      <c r="AB33" s="455">
        <f t="shared" si="2"/>
        <v>800</v>
      </c>
      <c r="AC33" s="475">
        <f t="shared" si="3"/>
        <v>222.30603962687965</v>
      </c>
      <c r="AD33" s="476">
        <v>0</v>
      </c>
      <c r="AE33" s="455">
        <v>34</v>
      </c>
      <c r="AF33" s="455">
        <f t="shared" si="4"/>
        <v>34</v>
      </c>
      <c r="AG33" s="475">
        <f t="shared" si="5"/>
        <v>9.4480066841423849</v>
      </c>
      <c r="AH33" s="476">
        <v>0</v>
      </c>
      <c r="AI33" s="455">
        <v>709</v>
      </c>
      <c r="AJ33" s="455">
        <f t="shared" si="6"/>
        <v>709</v>
      </c>
      <c r="AK33" s="475">
        <f t="shared" si="7"/>
        <v>197.01872761932211</v>
      </c>
      <c r="AL33" s="476">
        <v>20.6</v>
      </c>
      <c r="AM33" s="455">
        <v>78.599999999999994</v>
      </c>
      <c r="AN33" s="455">
        <f t="shared" si="8"/>
        <v>57.999999999999993</v>
      </c>
      <c r="AO33" s="475">
        <f t="shared" si="9"/>
        <v>16.117187872948772</v>
      </c>
      <c r="AP33" s="476">
        <v>16.736767</v>
      </c>
      <c r="AQ33" s="455">
        <v>63.706598</v>
      </c>
      <c r="AR33" s="455">
        <f t="shared" si="10"/>
        <v>46.969830999999999</v>
      </c>
      <c r="AS33" s="475">
        <f t="shared" si="11"/>
        <v>13.052096389442301</v>
      </c>
      <c r="AT33" s="476">
        <v>0.1</v>
      </c>
      <c r="AU33" s="455">
        <v>0.2</v>
      </c>
      <c r="AV33" s="455">
        <f t="shared" si="12"/>
        <v>0.1</v>
      </c>
      <c r="AW33" s="475">
        <f t="shared" si="13"/>
        <v>2.7788254953359959E-2</v>
      </c>
      <c r="AX33" s="476">
        <v>0.1</v>
      </c>
      <c r="AY33" s="455">
        <v>0.4</v>
      </c>
      <c r="AZ33" s="455">
        <f t="shared" si="14"/>
        <v>0.30000000000000004</v>
      </c>
      <c r="BA33" s="475">
        <f t="shared" si="15"/>
        <v>8.336476486007989E-2</v>
      </c>
      <c r="BB33" s="476">
        <v>-0.88</v>
      </c>
      <c r="BC33" s="455">
        <v>-2.0499999999999998</v>
      </c>
      <c r="BD33" s="455">
        <f t="shared" si="16"/>
        <v>-1.17</v>
      </c>
      <c r="BE33" s="455">
        <v>-8.3814910000000005</v>
      </c>
      <c r="BF33" s="475">
        <f t="shared" si="17"/>
        <v>-0.32512258295431151</v>
      </c>
      <c r="BG33" s="443">
        <v>99.6</v>
      </c>
      <c r="BH33" s="443">
        <v>98.7</v>
      </c>
      <c r="BI33" s="443">
        <f t="shared" si="18"/>
        <v>-0.89999999999999147</v>
      </c>
      <c r="BJ33" s="495">
        <v>0.5</v>
      </c>
      <c r="BK33" s="495">
        <v>1</v>
      </c>
      <c r="BL33" s="495">
        <f t="shared" si="19"/>
        <v>0.5</v>
      </c>
      <c r="BM33" s="495">
        <v>0</v>
      </c>
      <c r="BN33" s="495">
        <v>0</v>
      </c>
      <c r="BO33" s="495">
        <f t="shared" si="20"/>
        <v>0</v>
      </c>
      <c r="BP33" s="443"/>
      <c r="BQ33" s="443"/>
      <c r="BR33" s="443"/>
      <c r="BS33" s="443"/>
      <c r="BT33" s="466" t="s">
        <v>723</v>
      </c>
      <c r="BU33" s="447">
        <v>2372.8138598099999</v>
      </c>
      <c r="BV33" s="447">
        <v>-0.65211501000000005</v>
      </c>
      <c r="BW33" s="447">
        <v>2035.5091644199999</v>
      </c>
      <c r="BX33" s="447">
        <v>2048.8701541599999</v>
      </c>
      <c r="BY33" s="447">
        <v>3.0256276999999998</v>
      </c>
      <c r="BZ33" s="447">
        <v>3.0320580100000001</v>
      </c>
      <c r="CA33" s="447">
        <v>0.21172957000000001</v>
      </c>
      <c r="CB33" s="447">
        <v>3.5985833600000001</v>
      </c>
      <c r="CC33" s="447">
        <v>3.5909801899999998</v>
      </c>
      <c r="CD33" s="447">
        <v>-0.42470785999999999</v>
      </c>
      <c r="CE33" s="447">
        <v>-0.21207757999999999</v>
      </c>
      <c r="CF33" s="447">
        <v>0.63450921999999998</v>
      </c>
      <c r="CG33" s="447"/>
    </row>
    <row r="34" spans="1:85" s="449" customFormat="1" ht="22.5">
      <c r="A34" s="491">
        <v>62005016</v>
      </c>
      <c r="B34" s="491" t="s">
        <v>831</v>
      </c>
      <c r="C34" s="491" t="s">
        <v>696</v>
      </c>
      <c r="D34" s="473" t="s">
        <v>752</v>
      </c>
      <c r="E34" s="448" t="s">
        <v>753</v>
      </c>
      <c r="F34" s="481" t="str">
        <f t="shared" si="23"/>
        <v>05/27/20</v>
      </c>
      <c r="G34" s="466" t="s">
        <v>754</v>
      </c>
      <c r="H34" s="466" t="s">
        <v>755</v>
      </c>
      <c r="I34" s="474"/>
      <c r="J34" s="467">
        <v>21.29439</v>
      </c>
      <c r="K34" s="467">
        <v>48.773290000000003</v>
      </c>
      <c r="L34" s="467">
        <v>29.257853999999998</v>
      </c>
      <c r="M34" s="467">
        <v>27.792269999999998</v>
      </c>
      <c r="N34" s="450">
        <v>4250</v>
      </c>
      <c r="O34" s="450">
        <v>38.71</v>
      </c>
      <c r="P34" s="450">
        <v>3.0499999999999999E-2</v>
      </c>
      <c r="Q34" s="450">
        <v>1.4999999999999999E-2</v>
      </c>
      <c r="R34" s="451">
        <v>3.8662682799999999</v>
      </c>
      <c r="S34" s="451">
        <f t="shared" si="21"/>
        <v>7.4649109500000002</v>
      </c>
      <c r="T34" s="492">
        <v>98.7</v>
      </c>
      <c r="U34" s="492">
        <v>97.9</v>
      </c>
      <c r="V34" s="455">
        <v>824</v>
      </c>
      <c r="W34" s="455">
        <v>1512</v>
      </c>
      <c r="X34" s="455">
        <f t="shared" si="0"/>
        <v>688</v>
      </c>
      <c r="Y34" s="455">
        <f t="shared" si="1"/>
        <v>177.94936879031064</v>
      </c>
      <c r="Z34" s="476">
        <v>822</v>
      </c>
      <c r="AA34" s="455">
        <v>1507</v>
      </c>
      <c r="AB34" s="455">
        <f t="shared" si="2"/>
        <v>685</v>
      </c>
      <c r="AC34" s="475">
        <f t="shared" si="3"/>
        <v>177.17342677523661</v>
      </c>
      <c r="AD34" s="476">
        <v>34</v>
      </c>
      <c r="AE34" s="455">
        <v>59</v>
      </c>
      <c r="AF34" s="455">
        <f t="shared" si="4"/>
        <v>25</v>
      </c>
      <c r="AG34" s="475">
        <f t="shared" si="5"/>
        <v>6.4661834589502414</v>
      </c>
      <c r="AH34" s="476">
        <v>709</v>
      </c>
      <c r="AI34" s="455">
        <v>1274</v>
      </c>
      <c r="AJ34" s="455">
        <f t="shared" si="6"/>
        <v>565</v>
      </c>
      <c r="AK34" s="475">
        <f t="shared" si="7"/>
        <v>146.13574617227545</v>
      </c>
      <c r="AL34" s="476">
        <v>78.599999999999994</v>
      </c>
      <c r="AM34" s="455">
        <v>174.9</v>
      </c>
      <c r="AN34" s="455">
        <f t="shared" si="8"/>
        <v>96.300000000000011</v>
      </c>
      <c r="AO34" s="475">
        <f t="shared" si="9"/>
        <v>24.907738683876332</v>
      </c>
      <c r="AP34" s="476">
        <v>63.726565999999998</v>
      </c>
      <c r="AQ34" s="455">
        <v>141.125867</v>
      </c>
      <c r="AR34" s="455">
        <f t="shared" si="10"/>
        <v>77.399301000000008</v>
      </c>
      <c r="AS34" s="475">
        <f t="shared" si="11"/>
        <v>20.019123194420438</v>
      </c>
      <c r="AT34" s="476">
        <v>0.2</v>
      </c>
      <c r="AU34" s="455">
        <v>0.5</v>
      </c>
      <c r="AV34" s="455">
        <f t="shared" si="12"/>
        <v>0.3</v>
      </c>
      <c r="AW34" s="475">
        <f t="shared" si="13"/>
        <v>7.7594201507402899E-2</v>
      </c>
      <c r="AX34" s="476">
        <v>0.4</v>
      </c>
      <c r="AY34" s="455">
        <v>0.9</v>
      </c>
      <c r="AZ34" s="455">
        <f t="shared" si="14"/>
        <v>0.5</v>
      </c>
      <c r="BA34" s="475">
        <f t="shared" si="15"/>
        <v>0.12932366917900484</v>
      </c>
      <c r="BB34" s="476">
        <v>-2.0499999999999998</v>
      </c>
      <c r="BC34" s="455">
        <v>-3.4</v>
      </c>
      <c r="BD34" s="455">
        <f t="shared" si="16"/>
        <v>-1.35</v>
      </c>
      <c r="BE34" s="455">
        <v>-5.5818380000000003</v>
      </c>
      <c r="BF34" s="475">
        <f t="shared" si="17"/>
        <v>-0.34917390678331306</v>
      </c>
      <c r="BG34" s="443">
        <v>98.7</v>
      </c>
      <c r="BH34" s="443">
        <v>97.9</v>
      </c>
      <c r="BI34" s="443">
        <f t="shared" si="18"/>
        <v>-0.79999999999999716</v>
      </c>
      <c r="BJ34" s="495">
        <v>1</v>
      </c>
      <c r="BK34" s="495">
        <v>1.8</v>
      </c>
      <c r="BL34" s="495">
        <f t="shared" si="19"/>
        <v>0.8</v>
      </c>
      <c r="BM34" s="495">
        <v>0</v>
      </c>
      <c r="BN34" s="495">
        <v>0</v>
      </c>
      <c r="BO34" s="495">
        <f t="shared" si="20"/>
        <v>0</v>
      </c>
      <c r="BP34" s="443"/>
      <c r="BQ34" s="443"/>
      <c r="BR34" s="443"/>
      <c r="BS34" s="443"/>
      <c r="BT34" s="466" t="s">
        <v>723</v>
      </c>
      <c r="BU34" s="447">
        <v>1476.5272395899999</v>
      </c>
      <c r="BV34" s="447">
        <v>-0.87317464</v>
      </c>
      <c r="BW34" s="447">
        <v>3386.47350194</v>
      </c>
      <c r="BX34" s="447">
        <v>3416.3038005100002</v>
      </c>
      <c r="BY34" s="447">
        <v>3.0066013900000002</v>
      </c>
      <c r="BZ34" s="447">
        <v>2.9954536900000002</v>
      </c>
      <c r="CA34" s="447">
        <v>0.14835259000000001</v>
      </c>
      <c r="CB34" s="447">
        <v>3.86555728</v>
      </c>
      <c r="CC34" s="447">
        <v>3.8598311199999999</v>
      </c>
      <c r="CD34" s="447">
        <v>0.22297157000000001</v>
      </c>
      <c r="CE34" s="447">
        <v>0.37215396000000001</v>
      </c>
      <c r="CF34" s="447">
        <v>0.72008276999999998</v>
      </c>
      <c r="CG34" s="447"/>
    </row>
    <row r="35" spans="1:85" s="449" customFormat="1" ht="22.5">
      <c r="A35" s="491">
        <v>62005016</v>
      </c>
      <c r="B35" s="491" t="s">
        <v>830</v>
      </c>
      <c r="C35" s="491" t="s">
        <v>698</v>
      </c>
      <c r="D35" s="473" t="s">
        <v>752</v>
      </c>
      <c r="E35" s="448" t="s">
        <v>753</v>
      </c>
      <c r="F35" s="481" t="str">
        <f t="shared" si="23"/>
        <v>05/27/20</v>
      </c>
      <c r="G35" s="466" t="s">
        <v>754</v>
      </c>
      <c r="H35" s="466" t="s">
        <v>755</v>
      </c>
      <c r="I35" s="474"/>
      <c r="J35" s="468">
        <f>AVERAGE(J33:J34)</f>
        <v>21.889978499999998</v>
      </c>
      <c r="K35" s="468">
        <f>AVERAGE(K33:K34)</f>
        <v>47.239949500000002</v>
      </c>
      <c r="L35" s="468">
        <f>AVERAGE(L33:L34)</f>
        <v>29.257886999999997</v>
      </c>
      <c r="M35" s="468">
        <f>AVERAGE(M33:M34)</f>
        <v>26.600051000000001</v>
      </c>
      <c r="N35" s="452"/>
      <c r="O35" s="450"/>
      <c r="P35" s="470"/>
      <c r="Q35" s="469"/>
      <c r="R35" s="453">
        <f>R34+R33</f>
        <v>7.4649109500000002</v>
      </c>
      <c r="S35" s="453">
        <f>S34</f>
        <v>7.4649109500000002</v>
      </c>
      <c r="T35" s="493">
        <f>T33</f>
        <v>99.6</v>
      </c>
      <c r="U35" s="493">
        <f>U34</f>
        <v>97.9</v>
      </c>
      <c r="V35" s="456">
        <f>V33</f>
        <v>21</v>
      </c>
      <c r="W35" s="456">
        <f>W34</f>
        <v>1512</v>
      </c>
      <c r="X35" s="456">
        <f>SUM(X33:X34)</f>
        <v>1491</v>
      </c>
      <c r="Y35" s="456">
        <f t="shared" si="1"/>
        <v>199.73446568709571</v>
      </c>
      <c r="Z35" s="456">
        <f>Z33</f>
        <v>21</v>
      </c>
      <c r="AA35" s="456">
        <f>AA34</f>
        <v>1507</v>
      </c>
      <c r="AB35" s="456">
        <f>SUM(AB33:AB34)</f>
        <v>1485</v>
      </c>
      <c r="AC35" s="454">
        <f t="shared" si="3"/>
        <v>198.93070526179551</v>
      </c>
      <c r="AD35" s="456">
        <f>AD33</f>
        <v>0</v>
      </c>
      <c r="AE35" s="456">
        <f>AE34</f>
        <v>59</v>
      </c>
      <c r="AF35" s="456">
        <f>SUM(AF33:AF34)</f>
        <v>59</v>
      </c>
      <c r="AG35" s="454">
        <f t="shared" si="5"/>
        <v>7.9036441821184749</v>
      </c>
      <c r="AH35" s="456">
        <f>AH33</f>
        <v>0</v>
      </c>
      <c r="AI35" s="456">
        <f>AI34</f>
        <v>1274</v>
      </c>
      <c r="AJ35" s="456">
        <f>SUM(AJ33:AJ34)</f>
        <v>1274</v>
      </c>
      <c r="AK35" s="454">
        <f t="shared" si="7"/>
        <v>170.66513030540571</v>
      </c>
      <c r="AL35" s="456">
        <f>AL33</f>
        <v>20.6</v>
      </c>
      <c r="AM35" s="456">
        <f>AM34</f>
        <v>174.9</v>
      </c>
      <c r="AN35" s="456">
        <f>SUM(AN33:AN34)</f>
        <v>154.30000000000001</v>
      </c>
      <c r="AO35" s="454">
        <f t="shared" si="9"/>
        <v>20.670038937303065</v>
      </c>
      <c r="AP35" s="456">
        <f>AP33</f>
        <v>16.736767</v>
      </c>
      <c r="AQ35" s="456">
        <f>AQ34</f>
        <v>141.125867</v>
      </c>
      <c r="AR35" s="456">
        <f>SUM(AR33:AR34)</f>
        <v>124.36913200000001</v>
      </c>
      <c r="AS35" s="454">
        <f t="shared" si="11"/>
        <v>16.660497738422453</v>
      </c>
      <c r="AT35" s="456">
        <f>AT33</f>
        <v>0.1</v>
      </c>
      <c r="AU35" s="456">
        <f>AU34</f>
        <v>0.5</v>
      </c>
      <c r="AV35" s="456">
        <f>SUM(AV33:AV34)</f>
        <v>0.4</v>
      </c>
      <c r="AW35" s="454">
        <f t="shared" si="13"/>
        <v>5.3584028353345595E-2</v>
      </c>
      <c r="AX35" s="456">
        <f>AX33</f>
        <v>0.1</v>
      </c>
      <c r="AY35" s="456">
        <f>AY34</f>
        <v>0.9</v>
      </c>
      <c r="AZ35" s="456">
        <f>SUM(AZ33:AZ34)</f>
        <v>0.8</v>
      </c>
      <c r="BA35" s="454">
        <f t="shared" si="15"/>
        <v>0.10716805670669119</v>
      </c>
      <c r="BB35" s="456">
        <f>BB33</f>
        <v>-0.88</v>
      </c>
      <c r="BC35" s="456">
        <f>BC34</f>
        <v>-3.4</v>
      </c>
      <c r="BD35" s="456">
        <f>SUM(BD33:BD34)</f>
        <v>-2.52</v>
      </c>
      <c r="BE35" s="455">
        <f>AVERAGE(BE33:BE34)</f>
        <v>-6.9816645000000008</v>
      </c>
      <c r="BF35" s="454">
        <f t="shared" si="17"/>
        <v>-0.33757937862607723</v>
      </c>
      <c r="BG35" s="445"/>
      <c r="BH35" s="445"/>
      <c r="BI35" s="445">
        <f>SUM(BI33:BI34)</f>
        <v>-1.6999999999999886</v>
      </c>
      <c r="BJ35" s="496" t="s">
        <v>1059</v>
      </c>
      <c r="BK35" s="496" t="s">
        <v>1060</v>
      </c>
      <c r="BL35" s="496">
        <f>SUM(BL33:BL34)</f>
        <v>1.3</v>
      </c>
      <c r="BM35" s="496" t="s">
        <v>1061</v>
      </c>
      <c r="BN35" s="496" t="s">
        <v>1062</v>
      </c>
      <c r="BO35" s="496">
        <f>SUM(BO33:BO34)</f>
        <v>0</v>
      </c>
      <c r="BP35" s="445"/>
      <c r="BQ35" s="445"/>
      <c r="BR35" s="445"/>
      <c r="BS35" s="445"/>
      <c r="BT35" s="466" t="s">
        <v>723</v>
      </c>
      <c r="BU35" s="447"/>
      <c r="BV35" s="447"/>
      <c r="BW35" s="447"/>
      <c r="BX35" s="447"/>
      <c r="BY35" s="447"/>
      <c r="BZ35" s="447"/>
      <c r="CA35" s="447"/>
      <c r="CB35" s="447"/>
      <c r="CC35" s="447"/>
      <c r="CD35" s="447"/>
      <c r="CE35" s="447"/>
      <c r="CF35" s="447"/>
      <c r="CG35" s="447"/>
    </row>
    <row r="36" spans="1:85" s="449" customFormat="1" ht="22.5">
      <c r="A36" s="491">
        <v>62005016</v>
      </c>
      <c r="B36" s="491" t="s">
        <v>829</v>
      </c>
      <c r="C36" s="491" t="s">
        <v>697</v>
      </c>
      <c r="D36" s="473" t="s">
        <v>752</v>
      </c>
      <c r="E36" s="448" t="s">
        <v>753</v>
      </c>
      <c r="F36" s="481" t="str">
        <f t="shared" si="23"/>
        <v>05/27/20</v>
      </c>
      <c r="G36" s="466" t="s">
        <v>754</v>
      </c>
      <c r="H36" s="466" t="s">
        <v>755</v>
      </c>
      <c r="I36" s="474"/>
      <c r="J36" s="467">
        <v>25.225954000000002</v>
      </c>
      <c r="K36" s="467">
        <v>38.770197000000003</v>
      </c>
      <c r="L36" s="467">
        <v>29.262578000000001</v>
      </c>
      <c r="M36" s="467">
        <v>30.278462999999999</v>
      </c>
      <c r="N36" s="450">
        <v>4250</v>
      </c>
      <c r="O36" s="450">
        <v>38.71</v>
      </c>
      <c r="P36" s="450">
        <v>3.0499999999999999E-2</v>
      </c>
      <c r="Q36" s="450">
        <v>1.4999999999999999E-2</v>
      </c>
      <c r="R36" s="451">
        <v>10.293208849999999</v>
      </c>
      <c r="S36" s="451">
        <f>R36+R35</f>
        <v>17.758119799999999</v>
      </c>
      <c r="T36" s="492">
        <v>97.9</v>
      </c>
      <c r="U36" s="492">
        <v>95.6</v>
      </c>
      <c r="V36" s="455">
        <v>1514</v>
      </c>
      <c r="W36" s="455">
        <v>3470</v>
      </c>
      <c r="X36" s="455">
        <f>W36-V36</f>
        <v>1956</v>
      </c>
      <c r="Y36" s="455">
        <f t="shared" si="1"/>
        <v>190.02820485858501</v>
      </c>
      <c r="Z36" s="476">
        <v>1509</v>
      </c>
      <c r="AA36" s="455">
        <v>3464</v>
      </c>
      <c r="AB36" s="455">
        <f>AA36-Z36</f>
        <v>1955</v>
      </c>
      <c r="AC36" s="475">
        <f t="shared" si="3"/>
        <v>189.93105342460822</v>
      </c>
      <c r="AD36" s="476">
        <v>59</v>
      </c>
      <c r="AE36" s="455">
        <v>63</v>
      </c>
      <c r="AF36" s="455">
        <f>AE36-AD36</f>
        <v>4</v>
      </c>
      <c r="AG36" s="475">
        <f t="shared" si="5"/>
        <v>0.38860573590712677</v>
      </c>
      <c r="AH36" s="476">
        <v>1274</v>
      </c>
      <c r="AI36" s="455">
        <v>3140</v>
      </c>
      <c r="AJ36" s="455">
        <f>AI36-AH36</f>
        <v>1866</v>
      </c>
      <c r="AK36" s="475">
        <f t="shared" si="7"/>
        <v>181.28457580067465</v>
      </c>
      <c r="AL36" s="476">
        <v>176.7</v>
      </c>
      <c r="AM36" s="455">
        <v>260.60000000000002</v>
      </c>
      <c r="AN36" s="455">
        <f>AM36-AL36</f>
        <v>83.900000000000034</v>
      </c>
      <c r="AO36" s="475">
        <f t="shared" si="9"/>
        <v>8.1510053106519873</v>
      </c>
      <c r="AP36" s="476">
        <v>142.62</v>
      </c>
      <c r="AQ36" s="455">
        <v>210.01586499999999</v>
      </c>
      <c r="AR36" s="455">
        <f>AQ36-AP36</f>
        <v>67.395864999999986</v>
      </c>
      <c r="AS36" s="475">
        <f t="shared" si="11"/>
        <v>6.5476049288555913</v>
      </c>
      <c r="AT36" s="476">
        <v>0.5</v>
      </c>
      <c r="AU36" s="455">
        <v>0.8</v>
      </c>
      <c r="AV36" s="455">
        <f>AU36-AT36</f>
        <v>0.30000000000000004</v>
      </c>
      <c r="AW36" s="475">
        <f t="shared" si="13"/>
        <v>2.9145430193034515E-2</v>
      </c>
      <c r="AX36" s="476">
        <v>0.9</v>
      </c>
      <c r="AY36" s="455">
        <v>1.4</v>
      </c>
      <c r="AZ36" s="455">
        <f>AY36-AX36</f>
        <v>0.49999999999999989</v>
      </c>
      <c r="BA36" s="475">
        <f t="shared" si="15"/>
        <v>4.8575716988390839E-2</v>
      </c>
      <c r="BB36" s="476">
        <v>-3.42</v>
      </c>
      <c r="BC36" s="455">
        <v>-4.3499999999999996</v>
      </c>
      <c r="BD36" s="455">
        <f>BC36-BB36</f>
        <v>-0.92999999999999972</v>
      </c>
      <c r="BE36" s="455">
        <v>-4.3660909999999999</v>
      </c>
      <c r="BF36" s="475">
        <f t="shared" si="17"/>
        <v>-9.0350833598406954E-2</v>
      </c>
      <c r="BG36" s="443">
        <v>97.9</v>
      </c>
      <c r="BH36" s="443">
        <v>95.6</v>
      </c>
      <c r="BI36" s="443">
        <f>BH36-BG36</f>
        <v>-2.3000000000000114</v>
      </c>
      <c r="BJ36" s="495">
        <v>1.8</v>
      </c>
      <c r="BK36" s="495">
        <v>2.5</v>
      </c>
      <c r="BL36" s="495">
        <f>BK36-BJ36</f>
        <v>0.7</v>
      </c>
      <c r="BM36" s="495">
        <v>0</v>
      </c>
      <c r="BN36" s="495">
        <v>0</v>
      </c>
      <c r="BO36" s="495">
        <f>BN36-BM36</f>
        <v>0</v>
      </c>
      <c r="BP36" s="443"/>
      <c r="BQ36" s="443"/>
      <c r="BR36" s="443"/>
      <c r="BS36" s="443"/>
      <c r="BT36" s="466" t="s">
        <v>723</v>
      </c>
      <c r="BU36" s="447">
        <v>1876.0350796600001</v>
      </c>
      <c r="BV36" s="447">
        <v>-0.45221851000000002</v>
      </c>
      <c r="BW36" s="447">
        <v>1300.8768129499999</v>
      </c>
      <c r="BX36" s="447">
        <v>1306.7863426399999</v>
      </c>
      <c r="BY36" s="447">
        <v>6.81402281</v>
      </c>
      <c r="BZ36" s="447">
        <v>6.7904697599999997</v>
      </c>
      <c r="CA36" s="447">
        <v>0.35626727000000002</v>
      </c>
      <c r="CB36" s="447">
        <v>10.293221559999999</v>
      </c>
      <c r="CC36" s="447">
        <v>10.25668037</v>
      </c>
      <c r="CD36" s="447">
        <v>-9.3803399999999992E-3</v>
      </c>
      <c r="CE36" s="447">
        <v>0.34685439000000001</v>
      </c>
      <c r="CF36" s="447">
        <v>0.33398765000000002</v>
      </c>
      <c r="CG36" s="447"/>
    </row>
    <row r="37" spans="1:85" s="449" customFormat="1" ht="22.5">
      <c r="A37" s="491">
        <v>62005016</v>
      </c>
      <c r="B37" s="491" t="s">
        <v>828</v>
      </c>
      <c r="C37" s="491" t="s">
        <v>699</v>
      </c>
      <c r="D37" s="473" t="s">
        <v>752</v>
      </c>
      <c r="E37" s="448" t="s">
        <v>753</v>
      </c>
      <c r="F37" s="481" t="str">
        <f t="shared" si="23"/>
        <v>05/27/20</v>
      </c>
      <c r="G37" s="466" t="s">
        <v>754</v>
      </c>
      <c r="H37" s="466" t="s">
        <v>755</v>
      </c>
      <c r="I37" s="474"/>
      <c r="J37" s="467">
        <v>20.472801</v>
      </c>
      <c r="K37" s="467">
        <v>50.735106999999999</v>
      </c>
      <c r="L37" s="467">
        <v>29.249531000000001</v>
      </c>
      <c r="M37" s="467">
        <v>30.318152999999999</v>
      </c>
      <c r="N37" s="450">
        <v>4250</v>
      </c>
      <c r="O37" s="450">
        <v>38.71</v>
      </c>
      <c r="P37" s="450">
        <v>3.0499999999999999E-2</v>
      </c>
      <c r="Q37" s="450">
        <v>1.4999999999999999E-2</v>
      </c>
      <c r="R37" s="451">
        <v>3.59853501</v>
      </c>
      <c r="S37" s="451">
        <f>R37+R36</f>
        <v>13.891743859999998</v>
      </c>
      <c r="T37" s="492">
        <v>95.6</v>
      </c>
      <c r="U37" s="492">
        <v>94.8</v>
      </c>
      <c r="V37" s="455">
        <v>3515</v>
      </c>
      <c r="W37" s="455">
        <v>4193</v>
      </c>
      <c r="X37" s="455">
        <f>W37-V37</f>
        <v>678</v>
      </c>
      <c r="Y37" s="455">
        <f t="shared" si="1"/>
        <v>188.41000521487214</v>
      </c>
      <c r="Z37" s="476">
        <v>3507</v>
      </c>
      <c r="AA37" s="455">
        <v>4184</v>
      </c>
      <c r="AB37" s="455">
        <f>AA37-Z37</f>
        <v>677</v>
      </c>
      <c r="AC37" s="475">
        <f t="shared" si="3"/>
        <v>188.13211435172337</v>
      </c>
      <c r="AD37" s="476">
        <v>63</v>
      </c>
      <c r="AE37" s="455">
        <v>69.529663999999997</v>
      </c>
      <c r="AF37" s="455">
        <f>AE37-AD37</f>
        <v>6.5296639999999968</v>
      </c>
      <c r="AG37" s="475">
        <f t="shared" si="5"/>
        <v>1.8145339650315078</v>
      </c>
      <c r="AH37" s="476">
        <v>3142</v>
      </c>
      <c r="AI37" s="455">
        <v>3751</v>
      </c>
      <c r="AJ37" s="455">
        <f>AI37-AH37</f>
        <v>609</v>
      </c>
      <c r="AK37" s="475">
        <f t="shared" si="7"/>
        <v>169.23553565760639</v>
      </c>
      <c r="AL37" s="476">
        <v>303</v>
      </c>
      <c r="AM37" s="455">
        <v>364.95293099999998</v>
      </c>
      <c r="AN37" s="455">
        <f>AM37-AL37</f>
        <v>61.952930999999978</v>
      </c>
      <c r="AO37" s="475">
        <f t="shared" si="9"/>
        <v>17.21615347018674</v>
      </c>
      <c r="AP37" s="476">
        <v>241.55991599999999</v>
      </c>
      <c r="AQ37" s="455">
        <v>292.89529299999998</v>
      </c>
      <c r="AR37" s="455">
        <f>AQ37-AP37</f>
        <v>51.335376999999994</v>
      </c>
      <c r="AS37" s="475">
        <f t="shared" si="11"/>
        <v>14.265632224597974</v>
      </c>
      <c r="AT37" s="476">
        <v>1</v>
      </c>
      <c r="AU37" s="455">
        <v>1.2</v>
      </c>
      <c r="AV37" s="455">
        <f>AU37-AT37</f>
        <v>0.19999999999999996</v>
      </c>
      <c r="AW37" s="475">
        <f t="shared" si="13"/>
        <v>5.5578172629755784E-2</v>
      </c>
      <c r="AX37" s="476">
        <v>1.8</v>
      </c>
      <c r="AY37" s="455">
        <v>2.1</v>
      </c>
      <c r="AZ37" s="455">
        <f>AY37-AX37</f>
        <v>0.30000000000000004</v>
      </c>
      <c r="BA37" s="475">
        <f t="shared" si="15"/>
        <v>8.3367258944633704E-2</v>
      </c>
      <c r="BB37" s="476">
        <v>-4.87</v>
      </c>
      <c r="BC37" s="455">
        <v>-5.28</v>
      </c>
      <c r="BD37" s="455">
        <f>BC37-BB37</f>
        <v>-0.41000000000000014</v>
      </c>
      <c r="BE37" s="455">
        <v>-2.898517</v>
      </c>
      <c r="BF37" s="475">
        <f t="shared" si="17"/>
        <v>-0.11393525389099943</v>
      </c>
      <c r="BG37" s="443">
        <v>95.6</v>
      </c>
      <c r="BH37" s="443">
        <v>94.8</v>
      </c>
      <c r="BI37" s="443">
        <f>BH37-BG37</f>
        <v>-0.79999999999999716</v>
      </c>
      <c r="BJ37" s="495">
        <v>3.1</v>
      </c>
      <c r="BK37" s="495">
        <v>3.6</v>
      </c>
      <c r="BL37" s="495">
        <f>BK37-BJ37</f>
        <v>0.5</v>
      </c>
      <c r="BM37" s="495">
        <v>0</v>
      </c>
      <c r="BN37" s="495">
        <v>0</v>
      </c>
      <c r="BO37" s="495">
        <f>BN37-BM37</f>
        <v>0</v>
      </c>
      <c r="BP37" s="443"/>
      <c r="BQ37" s="443"/>
      <c r="BR37" s="443"/>
      <c r="BS37" s="443"/>
      <c r="BT37" s="466" t="s">
        <v>723</v>
      </c>
      <c r="BU37" s="447">
        <v>2368.1532292400002</v>
      </c>
      <c r="BV37" s="447">
        <v>-1.09751435</v>
      </c>
      <c r="BW37" s="447">
        <v>2026.34586752</v>
      </c>
      <c r="BX37" s="447">
        <v>2048.8320937499998</v>
      </c>
      <c r="BY37" s="447">
        <v>3.0229995500000002</v>
      </c>
      <c r="BZ37" s="447">
        <v>3.03199818</v>
      </c>
      <c r="CA37" s="447">
        <v>0.20940249</v>
      </c>
      <c r="CB37" s="447">
        <v>3.5984997600000002</v>
      </c>
      <c r="CC37" s="447">
        <v>3.59098016</v>
      </c>
      <c r="CD37" s="447">
        <v>-0.50769797000000005</v>
      </c>
      <c r="CE37" s="447">
        <v>-0.29678869000000002</v>
      </c>
      <c r="CF37" s="447">
        <v>0.63450430000000002</v>
      </c>
      <c r="CG37" s="447"/>
    </row>
    <row r="38" spans="1:85" s="449" customFormat="1" ht="22.5">
      <c r="A38" s="491">
        <v>62005016</v>
      </c>
      <c r="B38" s="491" t="s">
        <v>239</v>
      </c>
      <c r="C38" s="491" t="s">
        <v>700</v>
      </c>
      <c r="D38" s="473" t="s">
        <v>752</v>
      </c>
      <c r="E38" s="448" t="s">
        <v>753</v>
      </c>
      <c r="F38" s="481" t="str">
        <f t="shared" si="23"/>
        <v>05/27/20</v>
      </c>
      <c r="G38" s="466" t="s">
        <v>754</v>
      </c>
      <c r="H38" s="466" t="s">
        <v>755</v>
      </c>
      <c r="I38" s="474"/>
      <c r="J38" s="467">
        <v>19.521735</v>
      </c>
      <c r="K38" s="467">
        <v>54.267294</v>
      </c>
      <c r="L38" s="467">
        <v>29.249921000000001</v>
      </c>
      <c r="M38" s="467">
        <v>29.402463000000001</v>
      </c>
      <c r="N38" s="450">
        <v>4250</v>
      </c>
      <c r="O38" s="450">
        <v>38.71</v>
      </c>
      <c r="P38" s="450">
        <v>3.0499999999999999E-2</v>
      </c>
      <c r="Q38" s="450">
        <v>1.4999999999999999E-2</v>
      </c>
      <c r="R38" s="451">
        <v>3.8700821699999999</v>
      </c>
      <c r="S38" s="451">
        <f>R38+R37</f>
        <v>7.4686171799999999</v>
      </c>
      <c r="T38" s="492">
        <v>94.8</v>
      </c>
      <c r="U38" s="492">
        <v>94</v>
      </c>
      <c r="V38" s="455">
        <v>4193</v>
      </c>
      <c r="W38" s="455">
        <v>4867</v>
      </c>
      <c r="X38" s="455">
        <f>W38-V38</f>
        <v>674</v>
      </c>
      <c r="Y38" s="455">
        <f t="shared" si="1"/>
        <v>174.15650893014501</v>
      </c>
      <c r="Z38" s="476">
        <v>4184</v>
      </c>
      <c r="AA38" s="455">
        <v>4857</v>
      </c>
      <c r="AB38" s="455">
        <f>AA38-Z38</f>
        <v>673</v>
      </c>
      <c r="AC38" s="475">
        <f t="shared" si="3"/>
        <v>173.89811648366111</v>
      </c>
      <c r="AD38" s="476">
        <v>70</v>
      </c>
      <c r="AE38" s="455">
        <v>87</v>
      </c>
      <c r="AF38" s="455">
        <f>AE38-AD38</f>
        <v>17</v>
      </c>
      <c r="AG38" s="475">
        <f t="shared" si="5"/>
        <v>4.3926715902262101</v>
      </c>
      <c r="AH38" s="476">
        <v>3751</v>
      </c>
      <c r="AI38" s="455">
        <v>4298</v>
      </c>
      <c r="AJ38" s="455">
        <f>AI38-AH38</f>
        <v>547</v>
      </c>
      <c r="AK38" s="475">
        <f t="shared" si="7"/>
        <v>141.34066822669038</v>
      </c>
      <c r="AL38" s="476">
        <v>365</v>
      </c>
      <c r="AM38" s="455">
        <v>472.2</v>
      </c>
      <c r="AN38" s="455">
        <f>AM38-AL38</f>
        <v>107.19999999999999</v>
      </c>
      <c r="AO38" s="475">
        <f t="shared" si="9"/>
        <v>27.699670263073507</v>
      </c>
      <c r="AP38" s="476">
        <v>292.91524600000002</v>
      </c>
      <c r="AQ38" s="455">
        <v>381.914873</v>
      </c>
      <c r="AR38" s="455">
        <f>AQ38-AP38</f>
        <v>88.999626999999975</v>
      </c>
      <c r="AS38" s="475">
        <f t="shared" si="11"/>
        <v>22.996831356684083</v>
      </c>
      <c r="AT38" s="476">
        <v>1.2</v>
      </c>
      <c r="AU38" s="455">
        <v>1.4</v>
      </c>
      <c r="AV38" s="455">
        <f>AU38-AT38</f>
        <v>0.19999999999999996</v>
      </c>
      <c r="AW38" s="475">
        <f t="shared" si="13"/>
        <v>5.1678489296778929E-2</v>
      </c>
      <c r="AX38" s="476">
        <v>2.1</v>
      </c>
      <c r="AY38" s="455">
        <v>2.6</v>
      </c>
      <c r="AZ38" s="455">
        <f>AY38-AX38</f>
        <v>0.5</v>
      </c>
      <c r="BA38" s="475">
        <f t="shared" si="15"/>
        <v>0.12919622324194735</v>
      </c>
      <c r="BB38" s="476">
        <v>-5.28</v>
      </c>
      <c r="BC38" s="455">
        <v>-5.94</v>
      </c>
      <c r="BD38" s="455">
        <f>BC38-BB38</f>
        <v>-0.66000000000000014</v>
      </c>
      <c r="BE38" s="455">
        <v>-2.7248899999999998</v>
      </c>
      <c r="BF38" s="475">
        <f t="shared" si="17"/>
        <v>-0.17053901467937052</v>
      </c>
      <c r="BG38" s="443">
        <v>94.8</v>
      </c>
      <c r="BH38" s="443">
        <v>94</v>
      </c>
      <c r="BI38" s="443">
        <f>BH38-BG38</f>
        <v>-0.79999999999999716</v>
      </c>
      <c r="BJ38" s="495">
        <v>3.6</v>
      </c>
      <c r="BK38" s="495">
        <v>4.4000000000000004</v>
      </c>
      <c r="BL38" s="495">
        <f>BK38-BJ38</f>
        <v>0.80000000000000027</v>
      </c>
      <c r="BM38" s="495">
        <v>0</v>
      </c>
      <c r="BN38" s="495">
        <v>0</v>
      </c>
      <c r="BO38" s="495">
        <f>BN38-BM38</f>
        <v>0</v>
      </c>
      <c r="BP38" s="443"/>
      <c r="BQ38" s="443"/>
      <c r="BR38" s="443"/>
      <c r="BS38" s="443"/>
      <c r="BT38" s="466" t="s">
        <v>723</v>
      </c>
      <c r="BU38" s="447">
        <v>1476.36668962</v>
      </c>
      <c r="BV38" s="447">
        <v>-1.30534935</v>
      </c>
      <c r="BW38" s="447">
        <v>3371.6532563000001</v>
      </c>
      <c r="BX38" s="447">
        <v>3416.24721731</v>
      </c>
      <c r="BY38" s="447">
        <v>2.9865086299999999</v>
      </c>
      <c r="BZ38" s="447">
        <v>2.9953616799999998</v>
      </c>
      <c r="CA38" s="447">
        <v>0.26068671999999998</v>
      </c>
      <c r="CB38" s="447">
        <v>3.8698926600000001</v>
      </c>
      <c r="CC38" s="447">
        <v>3.8598305900000001</v>
      </c>
      <c r="CD38" s="447">
        <v>-0.55789407000000002</v>
      </c>
      <c r="CE38" s="447">
        <v>-0.29555844999999997</v>
      </c>
      <c r="CF38" s="447">
        <v>0.72008974000000003</v>
      </c>
      <c r="CG38" s="447"/>
    </row>
    <row r="39" spans="1:85" s="449" customFormat="1" ht="22.5">
      <c r="A39" s="491">
        <v>62005016</v>
      </c>
      <c r="B39" s="491" t="s">
        <v>833</v>
      </c>
      <c r="C39" s="491" t="s">
        <v>701</v>
      </c>
      <c r="D39" s="473" t="s">
        <v>752</v>
      </c>
      <c r="E39" s="448" t="s">
        <v>753</v>
      </c>
      <c r="F39" s="481" t="str">
        <f t="shared" si="23"/>
        <v>05/27/20</v>
      </c>
      <c r="G39" s="466" t="s">
        <v>754</v>
      </c>
      <c r="H39" s="466" t="s">
        <v>755</v>
      </c>
      <c r="I39" s="474"/>
      <c r="J39" s="468">
        <f>AVERAGE(J37:J38)</f>
        <v>19.997267999999998</v>
      </c>
      <c r="K39" s="468">
        <f>AVERAGE(K37:K38)</f>
        <v>52.501200499999996</v>
      </c>
      <c r="L39" s="468">
        <f>AVERAGE(L37:L38)</f>
        <v>29.249726000000003</v>
      </c>
      <c r="M39" s="468">
        <f>AVERAGE(M37:M38)</f>
        <v>29.860308</v>
      </c>
      <c r="N39" s="452"/>
      <c r="O39" s="450"/>
      <c r="P39" s="470"/>
      <c r="Q39" s="469"/>
      <c r="R39" s="453">
        <f>R38+R37</f>
        <v>7.4686171799999999</v>
      </c>
      <c r="S39" s="453">
        <f>S38</f>
        <v>7.4686171799999999</v>
      </c>
      <c r="T39" s="493">
        <f>T37</f>
        <v>95.6</v>
      </c>
      <c r="U39" s="493">
        <f>U38</f>
        <v>94</v>
      </c>
      <c r="V39" s="456">
        <f>V37</f>
        <v>3515</v>
      </c>
      <c r="W39" s="456">
        <f>W38</f>
        <v>4867</v>
      </c>
      <c r="X39" s="456">
        <f>SUM(X37:X38)</f>
        <v>1352</v>
      </c>
      <c r="Y39" s="456">
        <f t="shared" si="1"/>
        <v>181.0241397323835</v>
      </c>
      <c r="Z39" s="456">
        <f>Z37</f>
        <v>3507</v>
      </c>
      <c r="AA39" s="456">
        <f>AA38</f>
        <v>4857</v>
      </c>
      <c r="AB39" s="456">
        <f>SUM(AB37:AB38)</f>
        <v>1350</v>
      </c>
      <c r="AC39" s="454">
        <f t="shared" si="3"/>
        <v>180.75635254343027</v>
      </c>
      <c r="AD39" s="456">
        <f>AD37</f>
        <v>63</v>
      </c>
      <c r="AE39" s="456">
        <f>AE38</f>
        <v>87</v>
      </c>
      <c r="AF39" s="456">
        <f>SUM(AF37:AF38)</f>
        <v>23.529663999999997</v>
      </c>
      <c r="AG39" s="454">
        <f t="shared" si="5"/>
        <v>3.1504712897870069</v>
      </c>
      <c r="AH39" s="456">
        <f>AH37</f>
        <v>3142</v>
      </c>
      <c r="AI39" s="456">
        <f>AI38</f>
        <v>4298</v>
      </c>
      <c r="AJ39" s="456">
        <f>SUM(AJ37:AJ38)</f>
        <v>1156</v>
      </c>
      <c r="AK39" s="454">
        <f t="shared" si="7"/>
        <v>154.78099521496696</v>
      </c>
      <c r="AL39" s="456">
        <f>AL37</f>
        <v>303</v>
      </c>
      <c r="AM39" s="456">
        <f>AM38</f>
        <v>472.2</v>
      </c>
      <c r="AN39" s="456">
        <f>SUM(AN37:AN38)</f>
        <v>169.15293099999997</v>
      </c>
      <c r="AO39" s="454">
        <f t="shared" si="9"/>
        <v>22.648493947844837</v>
      </c>
      <c r="AP39" s="456">
        <f>AP37</f>
        <v>241.55991599999999</v>
      </c>
      <c r="AQ39" s="456">
        <f>AQ38</f>
        <v>381.914873</v>
      </c>
      <c r="AR39" s="456">
        <f>SUM(AR37:AR38)</f>
        <v>140.33500399999997</v>
      </c>
      <c r="AS39" s="454">
        <f t="shared" si="11"/>
        <v>18.789958116450141</v>
      </c>
      <c r="AT39" s="456">
        <f>AT37</f>
        <v>1</v>
      </c>
      <c r="AU39" s="456">
        <f>AU38</f>
        <v>1.4</v>
      </c>
      <c r="AV39" s="456">
        <f>SUM(AV37:AV38)</f>
        <v>0.39999999999999991</v>
      </c>
      <c r="AW39" s="454">
        <f t="shared" si="13"/>
        <v>5.3557437790645993E-2</v>
      </c>
      <c r="AX39" s="456">
        <f>AX37</f>
        <v>1.8</v>
      </c>
      <c r="AY39" s="456">
        <f>AY38</f>
        <v>2.6</v>
      </c>
      <c r="AZ39" s="456">
        <f>SUM(AZ37:AZ38)</f>
        <v>0.8</v>
      </c>
      <c r="BA39" s="454">
        <f t="shared" si="15"/>
        <v>0.10711487558129201</v>
      </c>
      <c r="BB39" s="456">
        <f>BB37</f>
        <v>-4.87</v>
      </c>
      <c r="BC39" s="456">
        <f>BC38</f>
        <v>-5.94</v>
      </c>
      <c r="BD39" s="456">
        <f>SUM(BD37:BD38)</f>
        <v>-1.0700000000000003</v>
      </c>
      <c r="BE39" s="455">
        <f>AVERAGE(BE37:BE38)</f>
        <v>-2.8117035000000001</v>
      </c>
      <c r="BF39" s="454">
        <f t="shared" si="17"/>
        <v>-0.14326614608997812</v>
      </c>
      <c r="BG39" s="445"/>
      <c r="BH39" s="445"/>
      <c r="BI39" s="445">
        <f>SUM(BI37:BI38)</f>
        <v>-1.5999999999999943</v>
      </c>
      <c r="BJ39" s="496" t="s">
        <v>1063</v>
      </c>
      <c r="BK39" s="496" t="s">
        <v>1064</v>
      </c>
      <c r="BL39" s="496">
        <f>SUM(BL37:BL38)</f>
        <v>1.3000000000000003</v>
      </c>
      <c r="BM39" s="496" t="s">
        <v>1065</v>
      </c>
      <c r="BN39" s="496" t="s">
        <v>1066</v>
      </c>
      <c r="BO39" s="496">
        <f>SUM(BO37:BO38)</f>
        <v>0</v>
      </c>
      <c r="BP39" s="445"/>
      <c r="BQ39" s="445"/>
      <c r="BR39" s="445"/>
      <c r="BS39" s="445"/>
      <c r="BT39" s="466" t="s">
        <v>723</v>
      </c>
      <c r="BU39" s="447"/>
      <c r="BV39" s="447"/>
      <c r="BW39" s="447"/>
      <c r="BX39" s="447"/>
      <c r="BY39" s="447"/>
      <c r="BZ39" s="447"/>
      <c r="CA39" s="447"/>
      <c r="CB39" s="447"/>
      <c r="CC39" s="447"/>
      <c r="CD39" s="447"/>
      <c r="CE39" s="447"/>
      <c r="CF39" s="447"/>
      <c r="CG39" s="447"/>
    </row>
    <row r="40" spans="1:85" s="449" customFormat="1" ht="22.5">
      <c r="A40" s="491">
        <v>62005016</v>
      </c>
      <c r="B40" s="491" t="s">
        <v>836</v>
      </c>
      <c r="C40" s="491" t="s">
        <v>770</v>
      </c>
      <c r="D40" s="473" t="s">
        <v>752</v>
      </c>
      <c r="E40" s="448" t="s">
        <v>753</v>
      </c>
      <c r="F40" s="481" t="str">
        <f t="shared" si="23"/>
        <v>05/27/20</v>
      </c>
      <c r="G40" s="466" t="s">
        <v>754</v>
      </c>
      <c r="H40" s="466" t="s">
        <v>755</v>
      </c>
      <c r="I40" s="474"/>
      <c r="J40" s="467">
        <v>23.040631000000001</v>
      </c>
      <c r="K40" s="467">
        <v>43.727305000000001</v>
      </c>
      <c r="L40" s="467">
        <v>29.248778000000001</v>
      </c>
      <c r="M40" s="467">
        <v>31.142779000000001</v>
      </c>
      <c r="N40" s="450">
        <v>4250</v>
      </c>
      <c r="O40" s="450">
        <v>38.71</v>
      </c>
      <c r="P40" s="450">
        <v>3.0499999999999999E-2</v>
      </c>
      <c r="Q40" s="450">
        <v>1.4999999999999999E-2</v>
      </c>
      <c r="R40" s="451">
        <v>1.7745031099999999</v>
      </c>
      <c r="S40" s="451"/>
      <c r="T40" s="492">
        <v>94</v>
      </c>
      <c r="U40" s="492">
        <v>91.6</v>
      </c>
      <c r="V40" s="455">
        <v>4879</v>
      </c>
      <c r="W40" s="455">
        <v>6910</v>
      </c>
      <c r="X40" s="455">
        <f>W40-V40-X41</f>
        <v>482</v>
      </c>
      <c r="Y40" s="455">
        <f>X40/$R40</f>
        <v>271.62533403505842</v>
      </c>
      <c r="Z40" s="476">
        <v>4868</v>
      </c>
      <c r="AA40" s="455">
        <v>6899</v>
      </c>
      <c r="AB40" s="455">
        <f>AA40-Z40-AB41</f>
        <v>482</v>
      </c>
      <c r="AC40" s="475">
        <f>AB40/$R40</f>
        <v>271.62533403505842</v>
      </c>
      <c r="AD40" s="476">
        <v>87</v>
      </c>
      <c r="AE40" s="455">
        <v>144</v>
      </c>
      <c r="AF40" s="455">
        <f>AE40-AD40-AF41</f>
        <v>39</v>
      </c>
      <c r="AG40" s="475">
        <f>AF40/$R40</f>
        <v>21.977983459268213</v>
      </c>
      <c r="AH40" s="476">
        <v>4298</v>
      </c>
      <c r="AI40" s="455">
        <v>6195</v>
      </c>
      <c r="AJ40" s="455">
        <f>AI40-AH40-AJ41</f>
        <v>412</v>
      </c>
      <c r="AK40" s="475">
        <f>AJ40/$R40</f>
        <v>232.17767141585907</v>
      </c>
      <c r="AL40" s="476">
        <v>483.3</v>
      </c>
      <c r="AM40" s="455">
        <v>557.9</v>
      </c>
      <c r="AN40" s="455">
        <f>AM40-AL40-AN41</f>
        <v>29.469988999999941</v>
      </c>
      <c r="AO40" s="475">
        <f>AN40/$R40</f>
        <v>16.607459763764485</v>
      </c>
      <c r="AP40" s="476">
        <v>391.09377999999998</v>
      </c>
      <c r="AQ40" s="455">
        <v>453.11457999999999</v>
      </c>
      <c r="AR40" s="455">
        <f>AQ40-AP40-AR41</f>
        <v>24.569325000000049</v>
      </c>
      <c r="AS40" s="475">
        <f>AR40/$R40</f>
        <v>13.845749191163744</v>
      </c>
      <c r="AT40" s="476">
        <v>1.5</v>
      </c>
      <c r="AU40" s="455">
        <v>1.6</v>
      </c>
      <c r="AV40" s="455">
        <f>AU40-AT40-AV41</f>
        <v>0</v>
      </c>
      <c r="AW40" s="475">
        <f>AV40/$R40</f>
        <v>0</v>
      </c>
      <c r="AX40" s="476">
        <v>2.7</v>
      </c>
      <c r="AY40" s="455">
        <v>3.1</v>
      </c>
      <c r="AZ40" s="455">
        <f>AY40-AX40-AZ41</f>
        <v>0.19999999999999973</v>
      </c>
      <c r="BA40" s="475">
        <f>AZ40/$R40</f>
        <v>0.11270760748342658</v>
      </c>
      <c r="BB40" s="476">
        <v>-6.01</v>
      </c>
      <c r="BC40" s="455">
        <v>-6.45</v>
      </c>
      <c r="BD40" s="455">
        <f>BC40-BB40-BD41</f>
        <v>-0.1800000000000006</v>
      </c>
      <c r="BE40" s="455">
        <v>-2.5938819999999998</v>
      </c>
      <c r="BF40" s="475">
        <f>BD40/$R40</f>
        <v>-0.10143684673508439</v>
      </c>
      <c r="BG40" s="443">
        <v>94</v>
      </c>
      <c r="BH40" s="443">
        <v>91.6</v>
      </c>
      <c r="BI40" s="443">
        <f>BH40-BG40-BI41</f>
        <v>-0.60000000000000853</v>
      </c>
      <c r="BJ40" s="495">
        <v>4.5</v>
      </c>
      <c r="BK40" s="495">
        <v>5</v>
      </c>
      <c r="BL40" s="495">
        <f>BK40-BJ40-BL41</f>
        <v>0.19999999999999929</v>
      </c>
      <c r="BM40" s="495">
        <v>0</v>
      </c>
      <c r="BN40" s="495">
        <v>0</v>
      </c>
      <c r="BO40" s="495">
        <f>BN40-BM40-BO41</f>
        <v>0</v>
      </c>
      <c r="BP40" s="443"/>
      <c r="BQ40" s="443"/>
      <c r="BR40" s="443"/>
      <c r="BS40" s="443"/>
      <c r="BT40" s="466" t="s">
        <v>723</v>
      </c>
      <c r="BU40" s="447">
        <v>5478.2786310000001</v>
      </c>
      <c r="BV40" s="447">
        <v>-4.3948000900000004</v>
      </c>
      <c r="BW40" s="447">
        <v>2351.3761221599998</v>
      </c>
      <c r="BX40" s="447">
        <v>2459.46467807</v>
      </c>
      <c r="BY40" s="447">
        <v>3.0077957899999999</v>
      </c>
      <c r="BZ40" s="447">
        <v>3.09838602</v>
      </c>
      <c r="CA40" s="447">
        <v>0.13453082999999999</v>
      </c>
      <c r="CB40" s="447">
        <v>1.77448874</v>
      </c>
      <c r="CC40" s="447">
        <v>1.77210471</v>
      </c>
      <c r="CD40" s="447">
        <v>-3.1504302599999998</v>
      </c>
      <c r="CE40" s="447">
        <v>-2.9237875400000002</v>
      </c>
      <c r="CF40" s="447">
        <v>0.84360427999999998</v>
      </c>
      <c r="CG40" s="447"/>
    </row>
    <row r="41" spans="1:85" s="449" customFormat="1" ht="22.5">
      <c r="A41" s="491">
        <v>62005016</v>
      </c>
      <c r="B41" s="491" t="s">
        <v>837</v>
      </c>
      <c r="C41" s="491" t="s">
        <v>705</v>
      </c>
      <c r="D41" s="473" t="s">
        <v>752</v>
      </c>
      <c r="E41" s="448" t="s">
        <v>753</v>
      </c>
      <c r="F41" s="481" t="str">
        <f t="shared" si="23"/>
        <v>05/27/20</v>
      </c>
      <c r="G41" s="466" t="s">
        <v>754</v>
      </c>
      <c r="H41" s="466" t="s">
        <v>755</v>
      </c>
      <c r="I41" s="474"/>
      <c r="J41" s="467">
        <v>26.863195999999999</v>
      </c>
      <c r="K41" s="467">
        <v>35.634459999999997</v>
      </c>
      <c r="L41" s="467">
        <v>29.283846</v>
      </c>
      <c r="M41" s="467">
        <v>31.36694</v>
      </c>
      <c r="N41" s="450">
        <v>4250</v>
      </c>
      <c r="O41" s="450">
        <v>38.71</v>
      </c>
      <c r="P41" s="450">
        <v>3.0499999999999999E-2</v>
      </c>
      <c r="Q41" s="450">
        <v>1.4999999999999999E-2</v>
      </c>
      <c r="R41" s="451">
        <v>6.2546746899999999</v>
      </c>
      <c r="S41" s="451">
        <f>R41+R40</f>
        <v>8.0291777999999994</v>
      </c>
      <c r="T41" s="492">
        <v>93.6</v>
      </c>
      <c r="U41" s="492">
        <v>91.8</v>
      </c>
      <c r="V41" s="455">
        <v>5202</v>
      </c>
      <c r="W41" s="455">
        <v>6751</v>
      </c>
      <c r="X41" s="455">
        <f>W41-V41</f>
        <v>1549</v>
      </c>
      <c r="Y41" s="455">
        <f>X41/$R41</f>
        <v>247.65476651832071</v>
      </c>
      <c r="Z41" s="476">
        <v>5191</v>
      </c>
      <c r="AA41" s="455">
        <v>6740</v>
      </c>
      <c r="AB41" s="455">
        <f>AA41-Z41</f>
        <v>1549</v>
      </c>
      <c r="AC41" s="475">
        <f>AB41/$R41</f>
        <v>247.65476651832071</v>
      </c>
      <c r="AD41" s="476">
        <v>101</v>
      </c>
      <c r="AE41" s="455">
        <v>119</v>
      </c>
      <c r="AF41" s="455">
        <f>AE41-AD41</f>
        <v>18</v>
      </c>
      <c r="AG41" s="475">
        <f>AF41/$R41</f>
        <v>2.8778475128016612</v>
      </c>
      <c r="AH41" s="476">
        <v>4591</v>
      </c>
      <c r="AI41" s="455">
        <v>6076</v>
      </c>
      <c r="AJ41" s="455">
        <f>AI41-AH41</f>
        <v>1485</v>
      </c>
      <c r="AK41" s="475">
        <f>AJ41/$R41</f>
        <v>237.42241980613704</v>
      </c>
      <c r="AL41" s="476">
        <v>499.61525999999998</v>
      </c>
      <c r="AM41" s="455">
        <v>544.745271</v>
      </c>
      <c r="AN41" s="455">
        <f>AM41-AL41</f>
        <v>45.130011000000025</v>
      </c>
      <c r="AO41" s="475">
        <f>AN41/$R41</f>
        <v>7.2154049949478711</v>
      </c>
      <c r="AP41" s="476">
        <v>404.69305200000002</v>
      </c>
      <c r="AQ41" s="455">
        <v>442.14452699999998</v>
      </c>
      <c r="AR41" s="455">
        <f>AQ41-AP41</f>
        <v>37.451474999999959</v>
      </c>
      <c r="AS41" s="475">
        <f>AR41/$R41</f>
        <v>5.9877574544168599</v>
      </c>
      <c r="AT41" s="476">
        <v>1.5</v>
      </c>
      <c r="AU41" s="455">
        <v>1.6</v>
      </c>
      <c r="AV41" s="455">
        <f>AU41-AT41</f>
        <v>0.10000000000000009</v>
      </c>
      <c r="AW41" s="475">
        <f>AV41/$R41</f>
        <v>1.598804173778702E-2</v>
      </c>
      <c r="AX41" s="476">
        <v>2.8</v>
      </c>
      <c r="AY41" s="455">
        <v>3</v>
      </c>
      <c r="AZ41" s="455">
        <f>AY41-AX41</f>
        <v>0.20000000000000018</v>
      </c>
      <c r="BA41" s="475">
        <f>AZ41/$R41</f>
        <v>3.1976083475574041E-2</v>
      </c>
      <c r="BB41" s="476">
        <v>-6.11</v>
      </c>
      <c r="BC41" s="455">
        <v>-6.37</v>
      </c>
      <c r="BD41" s="455">
        <f>BC41-BB41</f>
        <v>-0.25999999999999979</v>
      </c>
      <c r="BE41" s="455">
        <v>-2.5739420000000002</v>
      </c>
      <c r="BF41" s="475">
        <f>BD41/$R41</f>
        <v>-4.1568908518246184E-2</v>
      </c>
      <c r="BG41" s="443">
        <v>93.6</v>
      </c>
      <c r="BH41" s="443">
        <v>91.8</v>
      </c>
      <c r="BI41" s="443">
        <f>BH41-BG41</f>
        <v>-1.7999999999999972</v>
      </c>
      <c r="BJ41" s="495">
        <v>4.5999999999999996</v>
      </c>
      <c r="BK41" s="495">
        <v>4.9000000000000004</v>
      </c>
      <c r="BL41" s="495">
        <f>BK41-BJ41</f>
        <v>0.30000000000000071</v>
      </c>
      <c r="BM41" s="495">
        <v>0</v>
      </c>
      <c r="BN41" s="495">
        <v>0</v>
      </c>
      <c r="BO41" s="495">
        <f>BN41-BM41</f>
        <v>0</v>
      </c>
      <c r="BP41" s="443"/>
      <c r="BQ41" s="443"/>
      <c r="BR41" s="443"/>
      <c r="BS41" s="443"/>
      <c r="BT41" s="466" t="s">
        <v>723</v>
      </c>
      <c r="BU41" s="447">
        <v>11297.01850835</v>
      </c>
      <c r="BV41" s="447">
        <v>0.13722248000000001</v>
      </c>
      <c r="BW41" s="447">
        <v>1140.5304155399999</v>
      </c>
      <c r="BX41" s="447">
        <v>1138.9674960899999</v>
      </c>
      <c r="BY41" s="447">
        <v>5.9015723199999996</v>
      </c>
      <c r="BZ41" s="447">
        <v>5.8930404899999997</v>
      </c>
      <c r="CA41" s="447">
        <v>0.31749767000000001</v>
      </c>
      <c r="CB41" s="447">
        <v>6.2546536899999996</v>
      </c>
      <c r="CC41" s="447">
        <v>6.2348581599999999</v>
      </c>
      <c r="CD41" s="447">
        <v>-0.17247000000000001</v>
      </c>
      <c r="CE41" s="447">
        <v>0.14477796000000001</v>
      </c>
      <c r="CF41" s="447">
        <v>0.419769</v>
      </c>
      <c r="CG41" s="447"/>
    </row>
    <row r="42" spans="1:85" s="449" customFormat="1" ht="22.5">
      <c r="A42" s="491">
        <v>62005016</v>
      </c>
      <c r="B42" s="491" t="s">
        <v>835</v>
      </c>
      <c r="C42" s="491" t="s">
        <v>703</v>
      </c>
      <c r="D42" s="473" t="s">
        <v>752</v>
      </c>
      <c r="E42" s="448" t="s">
        <v>753</v>
      </c>
      <c r="F42" s="481" t="str">
        <f t="shared" si="23"/>
        <v>05/27/20</v>
      </c>
      <c r="G42" s="466" t="s">
        <v>754</v>
      </c>
      <c r="H42" s="466" t="s">
        <v>755</v>
      </c>
      <c r="I42" s="474"/>
      <c r="J42" s="468">
        <f>AVERAGE(J40:J41)</f>
        <v>24.9519135</v>
      </c>
      <c r="K42" s="468">
        <f>AVERAGE(K40:K41)</f>
        <v>39.680882499999996</v>
      </c>
      <c r="L42" s="468">
        <f>AVERAGE(L40:L41)</f>
        <v>29.266311999999999</v>
      </c>
      <c r="M42" s="468">
        <f>AVERAGE(M40:M41)</f>
        <v>31.254859500000002</v>
      </c>
      <c r="N42" s="452"/>
      <c r="O42" s="450"/>
      <c r="P42" s="470"/>
      <c r="Q42" s="469"/>
      <c r="R42" s="453">
        <f>R41+R40</f>
        <v>8.0291777999999994</v>
      </c>
      <c r="S42" s="453">
        <f>S41</f>
        <v>8.0291777999999994</v>
      </c>
      <c r="T42" s="493">
        <f>T40</f>
        <v>94</v>
      </c>
      <c r="U42" s="493">
        <f>U41</f>
        <v>91.8</v>
      </c>
      <c r="V42" s="456">
        <f>V40</f>
        <v>4879</v>
      </c>
      <c r="W42" s="456">
        <f>W41</f>
        <v>6751</v>
      </c>
      <c r="X42" s="456">
        <f>SUM(X40:X41)</f>
        <v>2031</v>
      </c>
      <c r="Y42" s="456">
        <f t="shared" si="1"/>
        <v>252.95242558957906</v>
      </c>
      <c r="Z42" s="456">
        <f>Z40</f>
        <v>4868</v>
      </c>
      <c r="AA42" s="456">
        <f>AA41</f>
        <v>6740</v>
      </c>
      <c r="AB42" s="456">
        <f>SUM(AB40:AB41)</f>
        <v>2031</v>
      </c>
      <c r="AC42" s="454">
        <f t="shared" si="3"/>
        <v>252.95242558957906</v>
      </c>
      <c r="AD42" s="456">
        <f>AD40</f>
        <v>87</v>
      </c>
      <c r="AE42" s="456">
        <f>AE41</f>
        <v>119</v>
      </c>
      <c r="AF42" s="456">
        <f>SUM(AF40:AF41)</f>
        <v>57</v>
      </c>
      <c r="AG42" s="454">
        <f t="shared" si="5"/>
        <v>7.0991079559852324</v>
      </c>
      <c r="AH42" s="456">
        <f>AH40</f>
        <v>4298</v>
      </c>
      <c r="AI42" s="456">
        <f>AI41</f>
        <v>6076</v>
      </c>
      <c r="AJ42" s="456">
        <f>SUM(AJ40:AJ41)</f>
        <v>1897</v>
      </c>
      <c r="AK42" s="454">
        <f t="shared" si="7"/>
        <v>236.26329460533307</v>
      </c>
      <c r="AL42" s="456">
        <f>AL40</f>
        <v>483.3</v>
      </c>
      <c r="AM42" s="456">
        <f>AM41</f>
        <v>544.745271</v>
      </c>
      <c r="AN42" s="456">
        <f>SUM(AN40:AN41)</f>
        <v>74.599999999999966</v>
      </c>
      <c r="AO42" s="454">
        <f t="shared" si="9"/>
        <v>9.291113219587686</v>
      </c>
      <c r="AP42" s="456">
        <f>AP40</f>
        <v>391.09377999999998</v>
      </c>
      <c r="AQ42" s="456">
        <f>AQ41</f>
        <v>442.14452699999998</v>
      </c>
      <c r="AR42" s="456">
        <f>SUM(AR40:AR41)</f>
        <v>62.020800000000008</v>
      </c>
      <c r="AS42" s="454">
        <f t="shared" si="11"/>
        <v>7.7244272757292798</v>
      </c>
      <c r="AT42" s="456">
        <f>AT40</f>
        <v>1.5</v>
      </c>
      <c r="AU42" s="456">
        <f>AU41</f>
        <v>1.6</v>
      </c>
      <c r="AV42" s="456">
        <f>SUM(AV40:AV41)</f>
        <v>0.10000000000000009</v>
      </c>
      <c r="AW42" s="454">
        <f t="shared" si="13"/>
        <v>1.2454575361377611E-2</v>
      </c>
      <c r="AX42" s="456">
        <f>AX40</f>
        <v>2.7</v>
      </c>
      <c r="AY42" s="456">
        <f>AY41</f>
        <v>3</v>
      </c>
      <c r="AZ42" s="456">
        <f>SUM(AZ40:AZ41)</f>
        <v>0.39999999999999991</v>
      </c>
      <c r="BA42" s="454">
        <f t="shared" si="15"/>
        <v>4.9818301445510388E-2</v>
      </c>
      <c r="BB42" s="456">
        <f>BB40</f>
        <v>-6.01</v>
      </c>
      <c r="BC42" s="456">
        <f>BC41</f>
        <v>-6.37</v>
      </c>
      <c r="BD42" s="456">
        <f>SUM(BD40:BD41)</f>
        <v>-0.44000000000000039</v>
      </c>
      <c r="BE42" s="455">
        <f>AVERAGE(BE40:BE41)</f>
        <v>-2.5839119999999998</v>
      </c>
      <c r="BF42" s="454">
        <f t="shared" si="17"/>
        <v>-5.4800131590061488E-2</v>
      </c>
      <c r="BG42" s="445"/>
      <c r="BH42" s="445"/>
      <c r="BI42" s="445">
        <f>SUM(BI40:BI41)</f>
        <v>-2.4000000000000057</v>
      </c>
      <c r="BJ42" s="496" t="s">
        <v>1067</v>
      </c>
      <c r="BK42" s="496" t="s">
        <v>1068</v>
      </c>
      <c r="BL42" s="496">
        <f>SUM(BL40:BL41)</f>
        <v>0.5</v>
      </c>
      <c r="BM42" s="496" t="s">
        <v>1069</v>
      </c>
      <c r="BN42" s="496" t="s">
        <v>1070</v>
      </c>
      <c r="BO42" s="496">
        <f>SUM(BO40:BO41)</f>
        <v>0</v>
      </c>
      <c r="BP42" s="445"/>
      <c r="BQ42" s="445"/>
      <c r="BR42" s="445"/>
      <c r="BS42" s="445"/>
      <c r="BT42" s="466" t="s">
        <v>723</v>
      </c>
      <c r="BU42" s="447"/>
      <c r="BV42" s="447"/>
      <c r="BW42" s="447"/>
      <c r="BX42" s="447"/>
      <c r="BY42" s="447"/>
      <c r="BZ42" s="447"/>
      <c r="CA42" s="447"/>
      <c r="CB42" s="447"/>
      <c r="CC42" s="447"/>
      <c r="CD42" s="447"/>
      <c r="CE42" s="447"/>
      <c r="CF42" s="447"/>
      <c r="CG42" s="447"/>
    </row>
    <row r="43" spans="1:85" s="449" customFormat="1" ht="22.5">
      <c r="A43" s="491">
        <v>62005017</v>
      </c>
      <c r="B43" s="491" t="s">
        <v>838</v>
      </c>
      <c r="C43" s="491" t="s">
        <v>695</v>
      </c>
      <c r="D43" s="473" t="s">
        <v>756</v>
      </c>
      <c r="E43" s="448" t="s">
        <v>757</v>
      </c>
      <c r="F43" s="481" t="str">
        <f t="shared" si="23"/>
        <v>05/27/20</v>
      </c>
      <c r="G43" s="466" t="s">
        <v>758</v>
      </c>
      <c r="H43" s="466" t="s">
        <v>759</v>
      </c>
      <c r="I43" s="474"/>
      <c r="J43" s="467">
        <v>321.85344099999998</v>
      </c>
      <c r="K43" s="467">
        <v>425.19550199999998</v>
      </c>
      <c r="L43" s="467">
        <v>356.601133</v>
      </c>
      <c r="M43" s="467">
        <v>422.42125199999998</v>
      </c>
      <c r="N43" s="450">
        <v>4250</v>
      </c>
      <c r="O43" s="450">
        <v>38.71</v>
      </c>
      <c r="P43" s="450">
        <v>3.0499999999999999E-2</v>
      </c>
      <c r="Q43" s="450">
        <v>1.4999999999999999E-2</v>
      </c>
      <c r="R43" s="451">
        <v>257.30084962000001</v>
      </c>
      <c r="S43" s="451">
        <f>R43+R42</f>
        <v>265.33002742000002</v>
      </c>
      <c r="T43" s="492">
        <v>91.5</v>
      </c>
      <c r="U43" s="492">
        <v>18.899999999999999</v>
      </c>
      <c r="V43" s="455">
        <v>7020</v>
      </c>
      <c r="W43" s="455">
        <v>64989</v>
      </c>
      <c r="X43" s="455">
        <f>W43-V43</f>
        <v>57969</v>
      </c>
      <c r="Y43" s="455">
        <f t="shared" si="1"/>
        <v>225.29657436270691</v>
      </c>
      <c r="Z43" s="476">
        <v>7005</v>
      </c>
      <c r="AA43" s="455">
        <v>64987</v>
      </c>
      <c r="AB43" s="455">
        <f>AA43-Z43</f>
        <v>57982</v>
      </c>
      <c r="AC43" s="475">
        <f t="shared" si="3"/>
        <v>225.34709887523456</v>
      </c>
      <c r="AD43" s="476">
        <v>144</v>
      </c>
      <c r="AE43" s="455">
        <v>145</v>
      </c>
      <c r="AF43" s="455">
        <f>AE43-AD43</f>
        <v>1</v>
      </c>
      <c r="AG43" s="475">
        <f t="shared" si="5"/>
        <v>3.8865009636651817E-3</v>
      </c>
      <c r="AH43" s="476">
        <v>6198</v>
      </c>
      <c r="AI43" s="455">
        <v>62548</v>
      </c>
      <c r="AJ43" s="455">
        <f>AI43-AH43</f>
        <v>56350</v>
      </c>
      <c r="AK43" s="475">
        <f t="shared" si="7"/>
        <v>219.00432930253299</v>
      </c>
      <c r="AL43" s="476">
        <v>662.347082</v>
      </c>
      <c r="AM43" s="455">
        <v>2220.3000000000002</v>
      </c>
      <c r="AN43" s="455">
        <f>AM43-AL43</f>
        <v>1557.9529180000002</v>
      </c>
      <c r="AO43" s="475">
        <f t="shared" si="9"/>
        <v>6.054985517151982</v>
      </c>
      <c r="AP43" s="476">
        <v>533.57412499999998</v>
      </c>
      <c r="AQ43" s="455">
        <v>1820.69</v>
      </c>
      <c r="AR43" s="455">
        <f>AQ43-AP43</f>
        <v>1287.115875</v>
      </c>
      <c r="AS43" s="475">
        <f t="shared" si="11"/>
        <v>5.0023770885362531</v>
      </c>
      <c r="AT43" s="476">
        <v>2</v>
      </c>
      <c r="AU43" s="455">
        <v>5.2</v>
      </c>
      <c r="AV43" s="455">
        <f>AU43-AT43</f>
        <v>3.2</v>
      </c>
      <c r="AW43" s="475">
        <f t="shared" si="13"/>
        <v>1.2436803083728581E-2</v>
      </c>
      <c r="AX43" s="476">
        <v>3.9</v>
      </c>
      <c r="AY43" s="455">
        <v>11.1</v>
      </c>
      <c r="AZ43" s="455">
        <f>AY43-AX43</f>
        <v>7.1999999999999993</v>
      </c>
      <c r="BA43" s="475">
        <f t="shared" si="15"/>
        <v>2.7982806938389306E-2</v>
      </c>
      <c r="BB43" s="476">
        <v>-7.43</v>
      </c>
      <c r="BC43" s="455">
        <v>-15.86</v>
      </c>
      <c r="BD43" s="455">
        <f>BC43-BB43</f>
        <v>-8.43</v>
      </c>
      <c r="BE43" s="455">
        <v>-26.006053000000001</v>
      </c>
      <c r="BF43" s="475">
        <f t="shared" si="17"/>
        <v>-3.2763203123697481E-2</v>
      </c>
      <c r="BG43" s="443">
        <v>91.5</v>
      </c>
      <c r="BH43" s="443">
        <v>18.899999999999999</v>
      </c>
      <c r="BI43" s="443">
        <f>BH43-BG43</f>
        <v>-72.599999999999994</v>
      </c>
      <c r="BJ43" s="495">
        <v>6.3</v>
      </c>
      <c r="BK43" s="495">
        <v>19.8</v>
      </c>
      <c r="BL43" s="495">
        <f>BK43-BJ43</f>
        <v>13.5</v>
      </c>
      <c r="BM43" s="495">
        <v>0</v>
      </c>
      <c r="BN43" s="495">
        <v>0</v>
      </c>
      <c r="BO43" s="495">
        <f>BN43-BM43</f>
        <v>0</v>
      </c>
      <c r="BP43" s="443"/>
      <c r="BQ43" s="443"/>
      <c r="BR43" s="443"/>
      <c r="BS43" s="443"/>
      <c r="BT43" s="466" t="s">
        <v>723</v>
      </c>
      <c r="BU43" s="447">
        <v>8.9098933599999999</v>
      </c>
      <c r="BV43" s="447">
        <v>123.93749763</v>
      </c>
      <c r="BW43" s="447">
        <v>1301.41724621</v>
      </c>
      <c r="BX43" s="447">
        <v>581.15200000000004</v>
      </c>
      <c r="BY43" s="447">
        <v>193.12529481000001</v>
      </c>
      <c r="BZ43" s="447">
        <v>192.55546766000001</v>
      </c>
      <c r="CA43" s="447">
        <v>-4.5715930000000002E-2</v>
      </c>
      <c r="CB43" s="447">
        <v>257.30127479999999</v>
      </c>
      <c r="CC43" s="447">
        <v>257.41895626000002</v>
      </c>
      <c r="CD43" s="447">
        <v>0.34063672</v>
      </c>
      <c r="CE43" s="447">
        <v>0.29592884000000003</v>
      </c>
      <c r="CF43" s="447">
        <v>4.2900400000000002E-3</v>
      </c>
      <c r="CG43" s="447"/>
    </row>
    <row r="44" spans="1:85" s="449" customFormat="1">
      <c r="A44" s="491">
        <v>62005018</v>
      </c>
      <c r="B44" s="491" t="s">
        <v>839</v>
      </c>
      <c r="C44" s="491" t="s">
        <v>771</v>
      </c>
      <c r="D44" s="473" t="s">
        <v>760</v>
      </c>
      <c r="E44" s="448" t="s">
        <v>761</v>
      </c>
      <c r="F44" s="481" t="str">
        <f t="shared" si="23"/>
        <v>05/27/20</v>
      </c>
      <c r="G44" s="466" t="s">
        <v>762</v>
      </c>
      <c r="H44" s="466" t="s">
        <v>708</v>
      </c>
      <c r="I44" s="474"/>
      <c r="J44" s="467">
        <v>21.746403999999998</v>
      </c>
      <c r="K44" s="467">
        <v>44.001969000000003</v>
      </c>
      <c r="L44" s="467">
        <v>29.165486999999999</v>
      </c>
      <c r="M44" s="467">
        <v>34.011958</v>
      </c>
      <c r="N44" s="450">
        <v>4250</v>
      </c>
      <c r="O44" s="450">
        <v>38.71</v>
      </c>
      <c r="P44" s="450">
        <v>3.0499999999999999E-2</v>
      </c>
      <c r="Q44" s="450">
        <v>1.4999999999999999E-2</v>
      </c>
      <c r="R44" s="451">
        <v>1.7759390900000001</v>
      </c>
      <c r="S44" s="451"/>
      <c r="T44" s="492"/>
      <c r="U44" s="492"/>
      <c r="V44" s="455">
        <v>65043</v>
      </c>
      <c r="W44" s="455">
        <v>66992</v>
      </c>
      <c r="X44" s="455">
        <f>W44-V44-X45</f>
        <v>453</v>
      </c>
      <c r="Y44" s="455">
        <f>X44/$R44</f>
        <v>255.07631570855281</v>
      </c>
      <c r="Z44" s="476">
        <v>65039</v>
      </c>
      <c r="AA44" s="455">
        <v>66988</v>
      </c>
      <c r="AB44" s="455">
        <f>AA44-Z44-AB45</f>
        <v>453</v>
      </c>
      <c r="AC44" s="475">
        <f>AB44/$R44</f>
        <v>255.07631570855281</v>
      </c>
      <c r="AD44" s="476">
        <v>145</v>
      </c>
      <c r="AE44" s="455">
        <v>195</v>
      </c>
      <c r="AF44" s="455">
        <f>AE44-AD44-AF45</f>
        <v>36</v>
      </c>
      <c r="AG44" s="475">
        <f>AF44/$R44</f>
        <v>20.270965486772408</v>
      </c>
      <c r="AH44" s="476">
        <v>62549</v>
      </c>
      <c r="AI44" s="455">
        <v>64385</v>
      </c>
      <c r="AJ44" s="455">
        <f>AI44-AH44-AJ45</f>
        <v>391</v>
      </c>
      <c r="AK44" s="475">
        <f>AJ44/$R44</f>
        <v>220.16520848133365</v>
      </c>
      <c r="AL44" s="476">
        <v>2271.4</v>
      </c>
      <c r="AM44" s="455">
        <v>2332.7855290000002</v>
      </c>
      <c r="AN44" s="455">
        <f>AM44-AL44-AN45</f>
        <v>24.885529000000133</v>
      </c>
      <c r="AO44" s="475">
        <f>AN44/$R44</f>
        <v>14.012602763307683</v>
      </c>
      <c r="AP44" s="476">
        <v>1858.4089260000001</v>
      </c>
      <c r="AQ44" s="455">
        <v>1909.2285529999999</v>
      </c>
      <c r="AR44" s="455">
        <f>AQ44-AP44-AR45</f>
        <v>20.668387999999823</v>
      </c>
      <c r="AS44" s="475">
        <f>AR44/$R44</f>
        <v>11.638004994867151</v>
      </c>
      <c r="AT44" s="476">
        <v>5.4</v>
      </c>
      <c r="AU44" s="455">
        <v>5.5</v>
      </c>
      <c r="AV44" s="455">
        <f>AU44-AT44-AV45</f>
        <v>0</v>
      </c>
      <c r="AW44" s="475">
        <f>AV44/$R44</f>
        <v>0</v>
      </c>
      <c r="AX44" s="476">
        <v>11.5</v>
      </c>
      <c r="AY44" s="455">
        <v>11.7</v>
      </c>
      <c r="AZ44" s="455">
        <f>AY44-AX44-AZ45</f>
        <v>0</v>
      </c>
      <c r="BA44" s="475">
        <f>AZ44/$R44</f>
        <v>0</v>
      </c>
      <c r="BB44" s="476">
        <v>-16.34</v>
      </c>
      <c r="BC44" s="455">
        <v>-16.68</v>
      </c>
      <c r="BD44" s="455">
        <f>BC44-BB44-BD45</f>
        <v>-0.12999999999999901</v>
      </c>
      <c r="BE44" s="455">
        <v>-1.97458</v>
      </c>
      <c r="BF44" s="475">
        <f>BD44/$R44</f>
        <v>-7.3200708702233136E-2</v>
      </c>
      <c r="BG44" s="443">
        <v>18.899999999999999</v>
      </c>
      <c r="BH44" s="443">
        <v>16</v>
      </c>
      <c r="BI44" s="443">
        <f>BH44-BG44-BI45</f>
        <v>-0.69999999999999929</v>
      </c>
      <c r="BJ44" s="495">
        <v>20.6</v>
      </c>
      <c r="BK44" s="495">
        <v>21.2</v>
      </c>
      <c r="BL44" s="495">
        <f>BK44-BJ44-BL45</f>
        <v>0.19999999999999574</v>
      </c>
      <c r="BM44" s="495">
        <v>0</v>
      </c>
      <c r="BN44" s="495">
        <v>0</v>
      </c>
      <c r="BO44" s="495">
        <f>BN44-BM44-BO45</f>
        <v>0</v>
      </c>
      <c r="BP44" s="443"/>
      <c r="BQ44" s="443"/>
      <c r="BR44" s="443"/>
      <c r="BS44" s="443"/>
      <c r="BT44" s="466" t="s">
        <v>723</v>
      </c>
      <c r="BU44" s="447">
        <v>5451.5393356900004</v>
      </c>
      <c r="BV44" s="447">
        <v>-4.2624649200000002</v>
      </c>
      <c r="BW44" s="447">
        <v>2354.8705188700001</v>
      </c>
      <c r="BX44" s="447">
        <v>2459.7150082500002</v>
      </c>
      <c r="BY44" s="447">
        <v>3.02312322</v>
      </c>
      <c r="BZ44" s="447">
        <v>3.0990129799999999</v>
      </c>
      <c r="CA44" s="447">
        <v>0.21089746000000001</v>
      </c>
      <c r="CB44" s="447">
        <v>1.7759369</v>
      </c>
      <c r="CC44" s="447">
        <v>1.77219938</v>
      </c>
      <c r="CD44" s="447">
        <v>-2.7265012899999999</v>
      </c>
      <c r="CE44" s="447">
        <v>-2.4488362800000001</v>
      </c>
      <c r="CF44" s="447">
        <v>0.84361602999999996</v>
      </c>
      <c r="CG44" s="447"/>
    </row>
    <row r="45" spans="1:85" s="449" customFormat="1">
      <c r="A45" s="491">
        <v>62005018</v>
      </c>
      <c r="B45" s="491" t="s">
        <v>840</v>
      </c>
      <c r="C45" s="491" t="s">
        <v>696</v>
      </c>
      <c r="D45" s="473" t="s">
        <v>760</v>
      </c>
      <c r="E45" s="448" t="s">
        <v>761</v>
      </c>
      <c r="F45" s="481" t="str">
        <f t="shared" si="23"/>
        <v>05/27/20</v>
      </c>
      <c r="G45" s="466" t="s">
        <v>762</v>
      </c>
      <c r="H45" s="466" t="s">
        <v>708</v>
      </c>
      <c r="I45" s="474"/>
      <c r="J45" s="467">
        <v>25.540348999999999</v>
      </c>
      <c r="K45" s="467">
        <v>36.371763000000001</v>
      </c>
      <c r="L45" s="467">
        <v>29.175671000000001</v>
      </c>
      <c r="M45" s="467">
        <v>32.787962999999998</v>
      </c>
      <c r="N45" s="450">
        <v>4250</v>
      </c>
      <c r="O45" s="450">
        <v>38.71</v>
      </c>
      <c r="P45" s="450">
        <v>3.0499999999999999E-2</v>
      </c>
      <c r="Q45" s="450">
        <v>1.4999999999999999E-2</v>
      </c>
      <c r="R45" s="451">
        <v>6.2513118600000004</v>
      </c>
      <c r="S45" s="451">
        <f>R45+R44</f>
        <v>8.0272509500000009</v>
      </c>
      <c r="T45" s="492">
        <v>18.399999999999999</v>
      </c>
      <c r="U45" s="492">
        <v>16.2</v>
      </c>
      <c r="V45" s="455">
        <v>65345</v>
      </c>
      <c r="W45" s="455">
        <v>66841</v>
      </c>
      <c r="X45" s="455">
        <f>W45-V45</f>
        <v>1496</v>
      </c>
      <c r="Y45" s="455">
        <f>X45/$R45</f>
        <v>239.3097694537351</v>
      </c>
      <c r="Z45" s="476">
        <v>65341</v>
      </c>
      <c r="AA45" s="455">
        <v>66837</v>
      </c>
      <c r="AB45" s="455">
        <f>AA45-Z45</f>
        <v>1496</v>
      </c>
      <c r="AC45" s="475">
        <f>AB45/$R45</f>
        <v>239.3097694537351</v>
      </c>
      <c r="AD45" s="476">
        <v>158</v>
      </c>
      <c r="AE45" s="455">
        <v>172</v>
      </c>
      <c r="AF45" s="455">
        <f>AE45-AD45</f>
        <v>14</v>
      </c>
      <c r="AG45" s="475">
        <f>AF45/$R45</f>
        <v>2.2395299280429755</v>
      </c>
      <c r="AH45" s="476">
        <v>62824</v>
      </c>
      <c r="AI45" s="455">
        <v>64269</v>
      </c>
      <c r="AJ45" s="455">
        <f>AI45-AH45</f>
        <v>1445</v>
      </c>
      <c r="AK45" s="475">
        <f>AJ45/$R45</f>
        <v>231.15148185872138</v>
      </c>
      <c r="AL45" s="476">
        <v>2284.8000000000002</v>
      </c>
      <c r="AM45" s="455">
        <v>2321.3000000000002</v>
      </c>
      <c r="AN45" s="455">
        <f>AM45-AL45</f>
        <v>36.5</v>
      </c>
      <c r="AO45" s="475">
        <f>AN45/$R45</f>
        <v>5.8387744552549004</v>
      </c>
      <c r="AP45" s="476">
        <v>1869.4987610000001</v>
      </c>
      <c r="AQ45" s="455">
        <v>1899.65</v>
      </c>
      <c r="AR45" s="455">
        <f>AQ45-AP45</f>
        <v>30.151239000000032</v>
      </c>
      <c r="AS45" s="475">
        <f>AR45/$R45</f>
        <v>4.8231858648626167</v>
      </c>
      <c r="AT45" s="476">
        <v>5.4</v>
      </c>
      <c r="AU45" s="455">
        <v>5.5</v>
      </c>
      <c r="AV45" s="455">
        <f>AU45-AT45</f>
        <v>9.9999999999999645E-2</v>
      </c>
      <c r="AW45" s="475">
        <f>AV45/$R45</f>
        <v>1.5996642343164055E-2</v>
      </c>
      <c r="AX45" s="476">
        <v>11.5</v>
      </c>
      <c r="AY45" s="455">
        <v>11.7</v>
      </c>
      <c r="AZ45" s="455">
        <f>AY45-AX45</f>
        <v>0.19999999999999929</v>
      </c>
      <c r="BA45" s="475">
        <f>AZ45/$R45</f>
        <v>3.1993284686328109E-2</v>
      </c>
      <c r="BB45" s="476">
        <v>-16.41</v>
      </c>
      <c r="BC45" s="455">
        <v>-16.62</v>
      </c>
      <c r="BD45" s="455">
        <f>BC45-BB45</f>
        <v>-0.21000000000000085</v>
      </c>
      <c r="BE45" s="455">
        <v>-1.9551449999999999</v>
      </c>
      <c r="BF45" s="475">
        <f>BD45/$R45</f>
        <v>-3.3592948920644766E-2</v>
      </c>
      <c r="BG45" s="443">
        <v>18.399999999999999</v>
      </c>
      <c r="BH45" s="443">
        <v>16.2</v>
      </c>
      <c r="BI45" s="443">
        <f>BH45-BG45</f>
        <v>-2.1999999999999993</v>
      </c>
      <c r="BJ45" s="495">
        <v>20.7</v>
      </c>
      <c r="BK45" s="495">
        <v>21.1</v>
      </c>
      <c r="BL45" s="495">
        <f>BK45-BJ45</f>
        <v>0.40000000000000213</v>
      </c>
      <c r="BM45" s="495">
        <v>0</v>
      </c>
      <c r="BN45" s="495">
        <v>0</v>
      </c>
      <c r="BO45" s="495">
        <f>BN45-BM45</f>
        <v>0</v>
      </c>
      <c r="BP45" s="443"/>
      <c r="BQ45" s="443"/>
      <c r="BR45" s="443"/>
      <c r="BS45" s="443"/>
      <c r="BT45" s="466" t="s">
        <v>723</v>
      </c>
      <c r="BU45" s="447">
        <v>11296.255486509999</v>
      </c>
      <c r="BV45" s="447">
        <v>-5.4972999099999997</v>
      </c>
      <c r="BW45" s="447">
        <v>1076.70275636</v>
      </c>
      <c r="BX45" s="447">
        <v>1139.3354426200001</v>
      </c>
      <c r="BY45" s="447">
        <v>5.8248879899999997</v>
      </c>
      <c r="BZ45" s="447">
        <v>5.89529528</v>
      </c>
      <c r="CA45" s="447">
        <v>0.24939075999999999</v>
      </c>
      <c r="CB45" s="447">
        <v>6.2513038400000003</v>
      </c>
      <c r="CC45" s="447">
        <v>6.2357524499999997</v>
      </c>
      <c r="CD45" s="447">
        <v>-1.46113732</v>
      </c>
      <c r="CE45" s="447">
        <v>-1.1942962500000001</v>
      </c>
      <c r="CF45" s="447">
        <v>0.41982085000000002</v>
      </c>
      <c r="CG45" s="447"/>
    </row>
    <row r="46" spans="1:85" s="449" customFormat="1">
      <c r="A46" s="491">
        <v>62005018</v>
      </c>
      <c r="B46" s="491" t="s">
        <v>834</v>
      </c>
      <c r="C46" s="491" t="s">
        <v>698</v>
      </c>
      <c r="D46" s="473" t="s">
        <v>760</v>
      </c>
      <c r="E46" s="448" t="s">
        <v>761</v>
      </c>
      <c r="F46" s="481" t="str">
        <f t="shared" si="23"/>
        <v>05/27/20</v>
      </c>
      <c r="G46" s="466" t="s">
        <v>762</v>
      </c>
      <c r="H46" s="466" t="s">
        <v>708</v>
      </c>
      <c r="I46" s="474"/>
      <c r="J46" s="468">
        <f>AVERAGE(J44:J45)</f>
        <v>23.643376499999999</v>
      </c>
      <c r="K46" s="468">
        <f>AVERAGE(K44:K45)</f>
        <v>40.186866000000002</v>
      </c>
      <c r="L46" s="468">
        <f>AVERAGE(L44:L45)</f>
        <v>29.170579</v>
      </c>
      <c r="M46" s="468">
        <f>AVERAGE(M44:M45)</f>
        <v>33.399960499999999</v>
      </c>
      <c r="N46" s="452"/>
      <c r="O46" s="450"/>
      <c r="P46" s="470"/>
      <c r="Q46" s="469"/>
      <c r="R46" s="453">
        <f>R45+R44</f>
        <v>8.0272509500000009</v>
      </c>
      <c r="S46" s="453">
        <f>S45</f>
        <v>8.0272509500000009</v>
      </c>
      <c r="T46" s="493">
        <f>T44</f>
        <v>0</v>
      </c>
      <c r="U46" s="493">
        <f>U45</f>
        <v>16.2</v>
      </c>
      <c r="V46" s="456">
        <f>V44</f>
        <v>65043</v>
      </c>
      <c r="W46" s="456">
        <f>W45</f>
        <v>66841</v>
      </c>
      <c r="X46" s="456">
        <f>SUM(X44:X45)</f>
        <v>1949</v>
      </c>
      <c r="Y46" s="456">
        <f t="shared" si="1"/>
        <v>242.79794068229546</v>
      </c>
      <c r="Z46" s="456">
        <f>Z44</f>
        <v>65039</v>
      </c>
      <c r="AA46" s="456">
        <f>AA45</f>
        <v>66837</v>
      </c>
      <c r="AB46" s="456">
        <f>SUM(AB44:AB45)</f>
        <v>1949</v>
      </c>
      <c r="AC46" s="454">
        <f t="shared" si="3"/>
        <v>242.79794068229546</v>
      </c>
      <c r="AD46" s="456">
        <f>AD44</f>
        <v>145</v>
      </c>
      <c r="AE46" s="456">
        <f>AE45</f>
        <v>172</v>
      </c>
      <c r="AF46" s="456">
        <f>SUM(AF44:AF45)</f>
        <v>50</v>
      </c>
      <c r="AG46" s="454">
        <f t="shared" si="5"/>
        <v>6.2287824700434955</v>
      </c>
      <c r="AH46" s="456">
        <f>AH44</f>
        <v>62549</v>
      </c>
      <c r="AI46" s="456">
        <f>AI45</f>
        <v>64269</v>
      </c>
      <c r="AJ46" s="456">
        <f>SUM(AJ44:AJ45)</f>
        <v>1836</v>
      </c>
      <c r="AK46" s="454">
        <f t="shared" si="7"/>
        <v>228.72089229999716</v>
      </c>
      <c r="AL46" s="456">
        <f>AL44</f>
        <v>2271.4</v>
      </c>
      <c r="AM46" s="456">
        <f>AM45</f>
        <v>2321.3000000000002</v>
      </c>
      <c r="AN46" s="456">
        <f>SUM(AN44:AN45)</f>
        <v>61.385529000000133</v>
      </c>
      <c r="AO46" s="454">
        <f t="shared" si="9"/>
        <v>7.6471421389909491</v>
      </c>
      <c r="AP46" s="456">
        <f>AP44</f>
        <v>1858.4089260000001</v>
      </c>
      <c r="AQ46" s="456">
        <f>AQ45</f>
        <v>1899.65</v>
      </c>
      <c r="AR46" s="456">
        <f>SUM(AR44:AR45)</f>
        <v>50.819626999999855</v>
      </c>
      <c r="AS46" s="454">
        <f t="shared" si="11"/>
        <v>6.3308880358349642</v>
      </c>
      <c r="AT46" s="456">
        <f>AT44</f>
        <v>5.4</v>
      </c>
      <c r="AU46" s="456">
        <f>AU45</f>
        <v>5.5</v>
      </c>
      <c r="AV46" s="456">
        <f>SUM(AV44:AV45)</f>
        <v>9.9999999999999645E-2</v>
      </c>
      <c r="AW46" s="454">
        <f t="shared" si="13"/>
        <v>1.2457564940086947E-2</v>
      </c>
      <c r="AX46" s="456">
        <f>AX44</f>
        <v>11.5</v>
      </c>
      <c r="AY46" s="456">
        <f>AY45</f>
        <v>11.7</v>
      </c>
      <c r="AZ46" s="456">
        <f>SUM(AZ44:AZ45)</f>
        <v>0.19999999999999929</v>
      </c>
      <c r="BA46" s="454">
        <f t="shared" si="15"/>
        <v>2.4915129880173893E-2</v>
      </c>
      <c r="BB46" s="456">
        <f>BB44</f>
        <v>-16.34</v>
      </c>
      <c r="BC46" s="456">
        <f>BC45</f>
        <v>-16.62</v>
      </c>
      <c r="BD46" s="456">
        <f>SUM(BD44:BD45)</f>
        <v>-0.33999999999999986</v>
      </c>
      <c r="BE46" s="455">
        <f>AVERAGE(BE44:BE45)</f>
        <v>-1.9648625</v>
      </c>
      <c r="BF46" s="454">
        <f t="shared" si="17"/>
        <v>-4.2355720796295751E-2</v>
      </c>
      <c r="BG46" s="445"/>
      <c r="BH46" s="445"/>
      <c r="BI46" s="445">
        <f>SUM(BI44:BI45)</f>
        <v>-2.8999999999999986</v>
      </c>
      <c r="BJ46" s="496" t="s">
        <v>1018</v>
      </c>
      <c r="BK46" s="496" t="s">
        <v>1071</v>
      </c>
      <c r="BL46" s="496">
        <f>SUM(BL44:BL45)</f>
        <v>0.59999999999999787</v>
      </c>
      <c r="BM46" s="496" t="s">
        <v>1019</v>
      </c>
      <c r="BN46" s="496" t="s">
        <v>1072</v>
      </c>
      <c r="BO46" s="496">
        <f>SUM(BO44:BO45)</f>
        <v>0</v>
      </c>
      <c r="BP46" s="445"/>
      <c r="BQ46" s="445"/>
      <c r="BR46" s="445"/>
      <c r="BS46" s="445"/>
      <c r="BT46" s="466" t="s">
        <v>723</v>
      </c>
      <c r="BU46" s="447"/>
      <c r="BV46" s="447"/>
      <c r="BW46" s="447"/>
      <c r="BX46" s="447"/>
      <c r="BY46" s="447"/>
      <c r="BZ46" s="447"/>
      <c r="CA46" s="447"/>
      <c r="CB46" s="447"/>
      <c r="CC46" s="447"/>
      <c r="CD46" s="447"/>
      <c r="CE46" s="447"/>
      <c r="CF46" s="447"/>
      <c r="CG46" s="447"/>
    </row>
    <row r="47" spans="1:85" s="449" customFormat="1">
      <c r="A47" s="491">
        <v>62005018</v>
      </c>
      <c r="B47" s="491" t="s">
        <v>841</v>
      </c>
      <c r="C47" s="491" t="s">
        <v>697</v>
      </c>
      <c r="D47" s="473" t="s">
        <v>760</v>
      </c>
      <c r="E47" s="448" t="s">
        <v>761</v>
      </c>
      <c r="F47" s="481" t="str">
        <f t="shared" si="23"/>
        <v>05/27/20</v>
      </c>
      <c r="G47" s="466" t="s">
        <v>762</v>
      </c>
      <c r="H47" s="466" t="s">
        <v>708</v>
      </c>
      <c r="I47" s="474"/>
      <c r="J47" s="467">
        <v>20.787917</v>
      </c>
      <c r="K47" s="467">
        <v>47.199452999999998</v>
      </c>
      <c r="L47" s="467">
        <v>29.176124000000002</v>
      </c>
      <c r="M47" s="467">
        <v>31.704716000000001</v>
      </c>
      <c r="N47" s="450">
        <v>4250</v>
      </c>
      <c r="O47" s="450">
        <v>38.71</v>
      </c>
      <c r="P47" s="450">
        <v>3.0499999999999999E-2</v>
      </c>
      <c r="Q47" s="450">
        <v>1.4999999999999999E-2</v>
      </c>
      <c r="R47" s="451">
        <v>3.5968798199999998</v>
      </c>
      <c r="S47" s="451">
        <f>R47+R46</f>
        <v>11.624130770000001</v>
      </c>
      <c r="T47" s="492">
        <v>15.9</v>
      </c>
      <c r="U47" s="492">
        <v>15</v>
      </c>
      <c r="V47" s="455">
        <v>67034</v>
      </c>
      <c r="W47" s="455">
        <v>67682</v>
      </c>
      <c r="X47" s="455">
        <f>W47-V47</f>
        <v>648</v>
      </c>
      <c r="Y47" s="455">
        <f t="shared" si="1"/>
        <v>180.15614433289574</v>
      </c>
      <c r="Z47" s="476">
        <v>67029</v>
      </c>
      <c r="AA47" s="455">
        <v>67676</v>
      </c>
      <c r="AB47" s="455">
        <f>AA47-Z47</f>
        <v>647</v>
      </c>
      <c r="AC47" s="475">
        <f t="shared" si="3"/>
        <v>179.87812559164126</v>
      </c>
      <c r="AD47" s="476">
        <v>195</v>
      </c>
      <c r="AE47" s="455">
        <v>201</v>
      </c>
      <c r="AF47" s="455">
        <f>AE47-AD47</f>
        <v>6</v>
      </c>
      <c r="AG47" s="475">
        <f t="shared" si="5"/>
        <v>1.6681124475268123</v>
      </c>
      <c r="AH47" s="476">
        <v>64386</v>
      </c>
      <c r="AI47" s="455">
        <v>64975</v>
      </c>
      <c r="AJ47" s="455">
        <f>AI47-AH47</f>
        <v>589</v>
      </c>
      <c r="AK47" s="475">
        <f t="shared" si="7"/>
        <v>163.75303859888209</v>
      </c>
      <c r="AL47" s="476">
        <v>2373.6</v>
      </c>
      <c r="AM47" s="455">
        <v>2424.5</v>
      </c>
      <c r="AN47" s="455">
        <f>AM47-AL47</f>
        <v>50.900000000000091</v>
      </c>
      <c r="AO47" s="475">
        <f t="shared" si="9"/>
        <v>14.151153929852484</v>
      </c>
      <c r="AP47" s="476">
        <v>1940.618281</v>
      </c>
      <c r="AQ47" s="455">
        <v>1982.658169</v>
      </c>
      <c r="AR47" s="455">
        <f>AQ47-AP47</f>
        <v>42.039888000000019</v>
      </c>
      <c r="AS47" s="475">
        <f t="shared" si="11"/>
        <v>11.687876744238849</v>
      </c>
      <c r="AT47" s="476">
        <v>5.6</v>
      </c>
      <c r="AU47" s="455">
        <v>5.7</v>
      </c>
      <c r="AV47" s="455">
        <f>AU47-AT47</f>
        <v>0.10000000000000053</v>
      </c>
      <c r="AW47" s="475">
        <f t="shared" si="13"/>
        <v>2.7801874125447022E-2</v>
      </c>
      <c r="AX47" s="476">
        <v>12</v>
      </c>
      <c r="AY47" s="455">
        <v>12.2</v>
      </c>
      <c r="AZ47" s="455">
        <f>AY47-AX47</f>
        <v>0.19999999999999929</v>
      </c>
      <c r="BA47" s="475">
        <f t="shared" si="15"/>
        <v>5.560374825089355E-2</v>
      </c>
      <c r="BB47" s="476">
        <v>-17.010000000000002</v>
      </c>
      <c r="BC47" s="455">
        <v>-17.29</v>
      </c>
      <c r="BD47" s="455">
        <f>BC47-BB47</f>
        <v>-0.27999999999999758</v>
      </c>
      <c r="BE47" s="455">
        <v>-2.0161359999999999</v>
      </c>
      <c r="BF47" s="475">
        <f t="shared" si="17"/>
        <v>-7.7845247551250565E-2</v>
      </c>
      <c r="BG47" s="443">
        <v>15.9</v>
      </c>
      <c r="BH47" s="443">
        <v>15</v>
      </c>
      <c r="BI47" s="443">
        <f>BH47-BG47</f>
        <v>-0.90000000000000036</v>
      </c>
      <c r="BJ47" s="495">
        <v>21.7</v>
      </c>
      <c r="BK47" s="495">
        <v>22.2</v>
      </c>
      <c r="BL47" s="495">
        <f>BK47-BJ47</f>
        <v>0.5</v>
      </c>
      <c r="BM47" s="495">
        <v>0</v>
      </c>
      <c r="BN47" s="495">
        <v>0</v>
      </c>
      <c r="BO47" s="495">
        <f>BN47-BM47</f>
        <v>0</v>
      </c>
      <c r="BP47" s="443"/>
      <c r="BQ47" s="443"/>
      <c r="BR47" s="443"/>
      <c r="BS47" s="443"/>
      <c r="BT47" s="466" t="s">
        <v>723</v>
      </c>
      <c r="BU47" s="447">
        <v>2368.9175235900002</v>
      </c>
      <c r="BV47" s="447">
        <v>-1.21134184</v>
      </c>
      <c r="BW47" s="447">
        <v>2024.0009098200001</v>
      </c>
      <c r="BX47" s="447">
        <v>2048.8191130300002</v>
      </c>
      <c r="BY47" s="447">
        <v>3.02315684</v>
      </c>
      <c r="BZ47" s="447">
        <v>3.03200593</v>
      </c>
      <c r="CA47" s="447">
        <v>0.16263602999999999</v>
      </c>
      <c r="CB47" s="447">
        <v>3.5968208700000002</v>
      </c>
      <c r="CC47" s="447">
        <v>3.5909806400000002</v>
      </c>
      <c r="CD47" s="447">
        <v>-0.45582241000000001</v>
      </c>
      <c r="CE47" s="447">
        <v>-0.29185603999999998</v>
      </c>
      <c r="CF47" s="447">
        <v>0.63449948</v>
      </c>
      <c r="CG47" s="447"/>
    </row>
    <row r="48" spans="1:85" s="449" customFormat="1">
      <c r="A48" s="491">
        <v>62005018</v>
      </c>
      <c r="B48" s="491" t="s">
        <v>234</v>
      </c>
      <c r="C48" s="491" t="s">
        <v>699</v>
      </c>
      <c r="D48" s="473" t="s">
        <v>760</v>
      </c>
      <c r="E48" s="448" t="s">
        <v>761</v>
      </c>
      <c r="F48" s="481" t="str">
        <f t="shared" si="23"/>
        <v>05/27/20</v>
      </c>
      <c r="G48" s="466" t="s">
        <v>762</v>
      </c>
      <c r="H48" s="466" t="s">
        <v>708</v>
      </c>
      <c r="I48" s="474"/>
      <c r="J48" s="467">
        <v>20.788806999999998</v>
      </c>
      <c r="K48" s="467">
        <v>47.432864000000002</v>
      </c>
      <c r="L48" s="467">
        <v>29.178602000000001</v>
      </c>
      <c r="M48" s="467">
        <v>30.978672</v>
      </c>
      <c r="N48" s="450">
        <v>4250</v>
      </c>
      <c r="O48" s="450">
        <v>38.71</v>
      </c>
      <c r="P48" s="450">
        <v>3.0499999999999999E-2</v>
      </c>
      <c r="Q48" s="450">
        <v>1.4999999999999999E-2</v>
      </c>
      <c r="R48" s="451">
        <v>3.8647289499999999</v>
      </c>
      <c r="S48" s="451">
        <f>R48+R47</f>
        <v>7.4616087699999998</v>
      </c>
      <c r="T48" s="492">
        <v>15</v>
      </c>
      <c r="U48" s="492">
        <v>14.1</v>
      </c>
      <c r="V48" s="455">
        <v>67682</v>
      </c>
      <c r="W48" s="455">
        <v>68307</v>
      </c>
      <c r="X48" s="455">
        <f>W48-V48</f>
        <v>625</v>
      </c>
      <c r="Y48" s="455">
        <f t="shared" si="1"/>
        <v>161.71897384938211</v>
      </c>
      <c r="Z48" s="476">
        <v>67676</v>
      </c>
      <c r="AA48" s="455">
        <v>68302</v>
      </c>
      <c r="AB48" s="455">
        <f>AA48-Z48</f>
        <v>626</v>
      </c>
      <c r="AC48" s="475">
        <f t="shared" si="3"/>
        <v>161.97772420754112</v>
      </c>
      <c r="AD48" s="476">
        <v>201</v>
      </c>
      <c r="AE48" s="455">
        <v>217</v>
      </c>
      <c r="AF48" s="455">
        <f>AE48-AD48</f>
        <v>16</v>
      </c>
      <c r="AG48" s="475">
        <f t="shared" si="5"/>
        <v>4.140005730544182</v>
      </c>
      <c r="AH48" s="476">
        <v>64975</v>
      </c>
      <c r="AI48" s="455">
        <v>65500</v>
      </c>
      <c r="AJ48" s="455">
        <f>AI48-AH48</f>
        <v>525</v>
      </c>
      <c r="AK48" s="475">
        <f t="shared" si="7"/>
        <v>135.84393803348098</v>
      </c>
      <c r="AL48" s="476">
        <v>2424.5</v>
      </c>
      <c r="AM48" s="455">
        <v>2508.6</v>
      </c>
      <c r="AN48" s="455">
        <f>AM48-AL48</f>
        <v>84.099999999999909</v>
      </c>
      <c r="AO48" s="475">
        <f t="shared" si="9"/>
        <v>21.760905121172833</v>
      </c>
      <c r="AP48" s="476">
        <v>1982.6781329999999</v>
      </c>
      <c r="AQ48" s="455">
        <v>2052.037742</v>
      </c>
      <c r="AR48" s="455">
        <f>AQ48-AP48</f>
        <v>69.359609000000091</v>
      </c>
      <c r="AS48" s="475">
        <f t="shared" si="11"/>
        <v>17.946823670519013</v>
      </c>
      <c r="AT48" s="476">
        <v>5.7</v>
      </c>
      <c r="AU48" s="455">
        <v>5.8</v>
      </c>
      <c r="AV48" s="455">
        <f>AU48-AT48</f>
        <v>9.9999999999999645E-2</v>
      </c>
      <c r="AW48" s="475">
        <f t="shared" si="13"/>
        <v>2.5875035815901046E-2</v>
      </c>
      <c r="AX48" s="476">
        <v>12.2</v>
      </c>
      <c r="AY48" s="455">
        <v>12.5</v>
      </c>
      <c r="AZ48" s="455">
        <f>AY48-AX48</f>
        <v>0.30000000000000071</v>
      </c>
      <c r="BA48" s="475">
        <f t="shared" si="15"/>
        <v>7.7625107447703595E-2</v>
      </c>
      <c r="BB48" s="476">
        <v>-17.29</v>
      </c>
      <c r="BC48" s="455">
        <v>-17.78</v>
      </c>
      <c r="BD48" s="455">
        <f>BC48-BB48</f>
        <v>-0.49000000000000199</v>
      </c>
      <c r="BE48" s="455">
        <v>-2.0093329999999998</v>
      </c>
      <c r="BF48" s="475">
        <f t="shared" si="17"/>
        <v>-0.12678767549791609</v>
      </c>
      <c r="BG48" s="443">
        <v>15</v>
      </c>
      <c r="BH48" s="443">
        <v>14.1</v>
      </c>
      <c r="BI48" s="443">
        <f>BH48-BG48</f>
        <v>-0.90000000000000036</v>
      </c>
      <c r="BJ48" s="495">
        <v>22.2</v>
      </c>
      <c r="BK48" s="495">
        <v>23</v>
      </c>
      <c r="BL48" s="495">
        <f>BK48-BJ48</f>
        <v>0.80000000000000071</v>
      </c>
      <c r="BM48" s="495">
        <v>0</v>
      </c>
      <c r="BN48" s="495">
        <v>0</v>
      </c>
      <c r="BO48" s="495">
        <f>BN48-BM48</f>
        <v>0</v>
      </c>
      <c r="BP48" s="443"/>
      <c r="BQ48" s="443"/>
      <c r="BR48" s="443"/>
      <c r="BS48" s="443"/>
      <c r="BT48" s="466" t="s">
        <v>723</v>
      </c>
      <c r="BU48" s="447">
        <v>1476.4696037399999</v>
      </c>
      <c r="BV48" s="447">
        <v>-1.4184444599999999</v>
      </c>
      <c r="BW48" s="447">
        <v>3367.7537650700001</v>
      </c>
      <c r="BX48" s="447">
        <v>3416.21081826</v>
      </c>
      <c r="BY48" s="447">
        <v>2.97960979</v>
      </c>
      <c r="BZ48" s="447">
        <v>2.9953240299999999</v>
      </c>
      <c r="CA48" s="447">
        <v>0.1240362</v>
      </c>
      <c r="CB48" s="447">
        <v>3.86461728</v>
      </c>
      <c r="CC48" s="447">
        <v>3.8598296900000002</v>
      </c>
      <c r="CD48" s="447">
        <v>-0.65208290999999996</v>
      </c>
      <c r="CE48" s="447">
        <v>-0.52462571999999996</v>
      </c>
      <c r="CF48" s="447">
        <v>0.72008406000000003</v>
      </c>
      <c r="CG48" s="447"/>
    </row>
    <row r="49" spans="1:85" s="449" customFormat="1">
      <c r="A49" s="491">
        <v>62005018</v>
      </c>
      <c r="B49" s="491" t="s">
        <v>842</v>
      </c>
      <c r="C49" s="491" t="s">
        <v>704</v>
      </c>
      <c r="D49" s="473" t="s">
        <v>760</v>
      </c>
      <c r="E49" s="448" t="s">
        <v>761</v>
      </c>
      <c r="F49" s="481" t="str">
        <f t="shared" si="23"/>
        <v>05/27/20</v>
      </c>
      <c r="G49" s="466" t="s">
        <v>762</v>
      </c>
      <c r="H49" s="466" t="s">
        <v>708</v>
      </c>
      <c r="I49" s="474"/>
      <c r="J49" s="468">
        <f>AVERAGE(J47:J48)</f>
        <v>20.788361999999999</v>
      </c>
      <c r="K49" s="468">
        <f>AVERAGE(K47:K48)</f>
        <v>47.3161585</v>
      </c>
      <c r="L49" s="468">
        <f>AVERAGE(L47:L48)</f>
        <v>29.177363</v>
      </c>
      <c r="M49" s="468">
        <f>AVERAGE(M47:M48)</f>
        <v>31.341694</v>
      </c>
      <c r="N49" s="452"/>
      <c r="O49" s="450"/>
      <c r="P49" s="470"/>
      <c r="Q49" s="469"/>
      <c r="R49" s="453">
        <f>R48+R47</f>
        <v>7.4616087699999998</v>
      </c>
      <c r="S49" s="453">
        <f>S48</f>
        <v>7.4616087699999998</v>
      </c>
      <c r="T49" s="493">
        <f>T47</f>
        <v>15.9</v>
      </c>
      <c r="U49" s="493">
        <f>U48</f>
        <v>14.1</v>
      </c>
      <c r="V49" s="456">
        <f>V47</f>
        <v>67034</v>
      </c>
      <c r="W49" s="456">
        <f>W48</f>
        <v>68307</v>
      </c>
      <c r="X49" s="456">
        <f>SUM(X47:X48)</f>
        <v>1273</v>
      </c>
      <c r="Y49" s="456">
        <f t="shared" si="1"/>
        <v>170.60663983324872</v>
      </c>
      <c r="Z49" s="456">
        <f>Z47</f>
        <v>67029</v>
      </c>
      <c r="AA49" s="456">
        <f>AA48</f>
        <v>68302</v>
      </c>
      <c r="AB49" s="456">
        <f>SUM(AB47:AB48)</f>
        <v>1273</v>
      </c>
      <c r="AC49" s="454">
        <f t="shared" si="3"/>
        <v>170.60663983324872</v>
      </c>
      <c r="AD49" s="456">
        <f>AD47</f>
        <v>195</v>
      </c>
      <c r="AE49" s="456">
        <f>AE48</f>
        <v>217</v>
      </c>
      <c r="AF49" s="456">
        <f>SUM(AF47:AF48)</f>
        <v>22</v>
      </c>
      <c r="AG49" s="454">
        <f t="shared" si="5"/>
        <v>2.9484258258691844</v>
      </c>
      <c r="AH49" s="456">
        <f>AH47</f>
        <v>64386</v>
      </c>
      <c r="AI49" s="456">
        <f>AI48</f>
        <v>65500</v>
      </c>
      <c r="AJ49" s="456">
        <f>SUM(AJ47:AJ48)</f>
        <v>1114</v>
      </c>
      <c r="AK49" s="454">
        <f t="shared" si="7"/>
        <v>149.29756227355782</v>
      </c>
      <c r="AL49" s="456">
        <f>AL47</f>
        <v>2373.6</v>
      </c>
      <c r="AM49" s="456">
        <f>AM48</f>
        <v>2508.6</v>
      </c>
      <c r="AN49" s="456">
        <f>SUM(AN47:AN48)</f>
        <v>135</v>
      </c>
      <c r="AO49" s="454">
        <f t="shared" si="9"/>
        <v>18.092613022379087</v>
      </c>
      <c r="AP49" s="456">
        <f>AP47</f>
        <v>1940.618281</v>
      </c>
      <c r="AQ49" s="456">
        <f>AQ48</f>
        <v>2052.037742</v>
      </c>
      <c r="AR49" s="456">
        <f>SUM(AR47:AR48)</f>
        <v>111.39949700000011</v>
      </c>
      <c r="AS49" s="454">
        <f t="shared" si="11"/>
        <v>14.929688815619867</v>
      </c>
      <c r="AT49" s="456">
        <f>AT47</f>
        <v>5.6</v>
      </c>
      <c r="AU49" s="456">
        <f>AU48</f>
        <v>5.8</v>
      </c>
      <c r="AV49" s="456">
        <f>SUM(AV47:AV48)</f>
        <v>0.20000000000000018</v>
      </c>
      <c r="AW49" s="454">
        <f t="shared" si="13"/>
        <v>2.6803871144265339E-2</v>
      </c>
      <c r="AX49" s="456">
        <f>AX47</f>
        <v>12</v>
      </c>
      <c r="AY49" s="456">
        <f>AY48</f>
        <v>12.5</v>
      </c>
      <c r="AZ49" s="456">
        <f>SUM(AZ47:AZ48)</f>
        <v>0.5</v>
      </c>
      <c r="BA49" s="454">
        <f t="shared" si="15"/>
        <v>6.700967786066328E-2</v>
      </c>
      <c r="BB49" s="456">
        <f>BB47</f>
        <v>-17.010000000000002</v>
      </c>
      <c r="BC49" s="456">
        <f>BC48</f>
        <v>-17.78</v>
      </c>
      <c r="BD49" s="456">
        <f>SUM(BD47:BD48)</f>
        <v>-0.76999999999999957</v>
      </c>
      <c r="BE49" s="455">
        <f>AVERAGE(BE47:BE48)</f>
        <v>-2.0127344999999996</v>
      </c>
      <c r="BF49" s="454">
        <f t="shared" si="17"/>
        <v>-0.10319490390542141</v>
      </c>
      <c r="BG49" s="445"/>
      <c r="BH49" s="445"/>
      <c r="BI49" s="445">
        <f>SUM(BI47:BI48)</f>
        <v>-1.8000000000000007</v>
      </c>
      <c r="BJ49" s="496" t="s">
        <v>1073</v>
      </c>
      <c r="BK49" s="496" t="s">
        <v>1074</v>
      </c>
      <c r="BL49" s="496">
        <f>SUM(BL47:BL48)</f>
        <v>1.3000000000000007</v>
      </c>
      <c r="BM49" s="496" t="s">
        <v>1075</v>
      </c>
      <c r="BN49" s="496" t="s">
        <v>1076</v>
      </c>
      <c r="BO49" s="496">
        <f>SUM(BO47:BO48)</f>
        <v>0</v>
      </c>
      <c r="BP49" s="445"/>
      <c r="BQ49" s="445"/>
      <c r="BR49" s="445"/>
      <c r="BS49" s="445"/>
      <c r="BT49" s="466" t="s">
        <v>723</v>
      </c>
      <c r="BU49" s="447"/>
      <c r="BV49" s="447"/>
      <c r="BW49" s="447"/>
      <c r="BX49" s="447"/>
      <c r="BY49" s="447"/>
      <c r="BZ49" s="447"/>
      <c r="CA49" s="447"/>
      <c r="CB49" s="447"/>
      <c r="CC49" s="447"/>
      <c r="CD49" s="447"/>
      <c r="CE49" s="447"/>
      <c r="CF49" s="447"/>
      <c r="CG49" s="447"/>
    </row>
    <row r="50" spans="1:85" s="449" customFormat="1">
      <c r="A50" s="491">
        <v>62005018</v>
      </c>
      <c r="B50" s="491" t="s">
        <v>56</v>
      </c>
      <c r="C50" s="491" t="s">
        <v>700</v>
      </c>
      <c r="D50" s="473" t="s">
        <v>760</v>
      </c>
      <c r="E50" s="448" t="s">
        <v>761</v>
      </c>
      <c r="F50" s="481" t="str">
        <f t="shared" si="23"/>
        <v>05/27/20</v>
      </c>
      <c r="G50" s="466" t="s">
        <v>762</v>
      </c>
      <c r="H50" s="466" t="s">
        <v>708</v>
      </c>
      <c r="I50" s="474"/>
      <c r="J50" s="467">
        <v>25.581983000000001</v>
      </c>
      <c r="K50" s="467">
        <v>37.181249999999999</v>
      </c>
      <c r="L50" s="467">
        <v>29.195854000000001</v>
      </c>
      <c r="M50" s="467">
        <v>32.164800999999997</v>
      </c>
      <c r="N50" s="450">
        <v>4250</v>
      </c>
      <c r="O50" s="450">
        <v>38.71</v>
      </c>
      <c r="P50" s="450">
        <v>3.0499999999999999E-2</v>
      </c>
      <c r="Q50" s="450">
        <v>1.4999999999999999E-2</v>
      </c>
      <c r="R50" s="451">
        <v>10.28383032</v>
      </c>
      <c r="S50" s="451">
        <f>R50+R49</f>
        <v>17.745439089999998</v>
      </c>
      <c r="T50" s="492">
        <v>14.1</v>
      </c>
      <c r="U50" s="492">
        <v>11.3</v>
      </c>
      <c r="V50" s="455">
        <v>68309</v>
      </c>
      <c r="W50" s="455">
        <v>70174</v>
      </c>
      <c r="X50" s="455">
        <f>W50-V50</f>
        <v>1865</v>
      </c>
      <c r="Y50" s="455">
        <f t="shared" si="1"/>
        <v>181.35266160245243</v>
      </c>
      <c r="Z50" s="476">
        <v>68304</v>
      </c>
      <c r="AA50" s="455">
        <v>70169</v>
      </c>
      <c r="AB50" s="455">
        <f>AA50-Z50</f>
        <v>1865</v>
      </c>
      <c r="AC50" s="475">
        <f t="shared" si="3"/>
        <v>181.35266160245243</v>
      </c>
      <c r="AD50" s="476">
        <v>217</v>
      </c>
      <c r="AE50" s="455">
        <v>219</v>
      </c>
      <c r="AF50" s="455">
        <f>AE50-AD50</f>
        <v>2</v>
      </c>
      <c r="AG50" s="475">
        <f t="shared" si="5"/>
        <v>0.19448006606161117</v>
      </c>
      <c r="AH50" s="476">
        <v>65500</v>
      </c>
      <c r="AI50" s="455">
        <v>67288</v>
      </c>
      <c r="AJ50" s="455">
        <f>AI50-AH50</f>
        <v>1788</v>
      </c>
      <c r="AK50" s="475">
        <f t="shared" si="7"/>
        <v>173.86517905908039</v>
      </c>
      <c r="AL50" s="476">
        <v>2510.1</v>
      </c>
      <c r="AM50" s="455">
        <v>2583.3742189999998</v>
      </c>
      <c r="AN50" s="455">
        <f>AM50-AL50</f>
        <v>73.274218999999903</v>
      </c>
      <c r="AO50" s="475">
        <f t="shared" si="9"/>
        <v>7.1251874758664728</v>
      </c>
      <c r="AP50" s="476">
        <v>2053.337677</v>
      </c>
      <c r="AQ50" s="455">
        <v>2113.75</v>
      </c>
      <c r="AR50" s="455">
        <f>AQ50-AP50</f>
        <v>60.412323000000015</v>
      </c>
      <c r="AS50" s="475">
        <f t="shared" si="11"/>
        <v>5.874496283987698</v>
      </c>
      <c r="AT50" s="476">
        <v>5.8</v>
      </c>
      <c r="AU50" s="455">
        <v>5.9</v>
      </c>
      <c r="AV50" s="455">
        <f>AU50-AT50</f>
        <v>0.10000000000000053</v>
      </c>
      <c r="AW50" s="475">
        <f t="shared" si="13"/>
        <v>9.7240033030806111E-3</v>
      </c>
      <c r="AX50" s="476">
        <v>12.5</v>
      </c>
      <c r="AY50" s="455">
        <v>12.8</v>
      </c>
      <c r="AZ50" s="455">
        <f>AY50-AX50</f>
        <v>0.30000000000000071</v>
      </c>
      <c r="BA50" s="475">
        <f t="shared" si="15"/>
        <v>2.9172009909241747E-2</v>
      </c>
      <c r="BB50" s="476">
        <v>-17.79</v>
      </c>
      <c r="BC50" s="455">
        <v>-18.21</v>
      </c>
      <c r="BD50" s="455">
        <f>BC50-BB50</f>
        <v>-0.42000000000000171</v>
      </c>
      <c r="BE50" s="455">
        <v>-1.980189</v>
      </c>
      <c r="BF50" s="475">
        <f t="shared" si="17"/>
        <v>-4.0840813872938517E-2</v>
      </c>
      <c r="BG50" s="443">
        <v>14.1</v>
      </c>
      <c r="BH50" s="443">
        <v>11.3</v>
      </c>
      <c r="BI50" s="443">
        <f>BH50-BG50</f>
        <v>-2.7999999999999989</v>
      </c>
      <c r="BJ50" s="495">
        <v>23.1</v>
      </c>
      <c r="BK50" s="495">
        <v>23.8</v>
      </c>
      <c r="BL50" s="495">
        <f>BK50-BJ50</f>
        <v>0.69999999999999929</v>
      </c>
      <c r="BM50" s="495">
        <v>0</v>
      </c>
      <c r="BN50" s="495">
        <v>0</v>
      </c>
      <c r="BO50" s="495">
        <f>BN50-BM50</f>
        <v>0</v>
      </c>
      <c r="BP50" s="443"/>
      <c r="BQ50" s="443"/>
      <c r="BR50" s="443"/>
      <c r="BS50" s="443"/>
      <c r="BT50" s="466" t="s">
        <v>723</v>
      </c>
      <c r="BU50" s="447">
        <v>1875.6821073599999</v>
      </c>
      <c r="BV50" s="447">
        <v>1.0214951299999999</v>
      </c>
      <c r="BW50" s="447">
        <v>1320.1279903899999</v>
      </c>
      <c r="BX50" s="447">
        <v>1306.77930339</v>
      </c>
      <c r="BY50" s="447">
        <v>6.8209455300000004</v>
      </c>
      <c r="BZ50" s="447">
        <v>6.7904460599999998</v>
      </c>
      <c r="CA50" s="447">
        <v>0.26476577000000001</v>
      </c>
      <c r="CB50" s="447">
        <v>10.28383659</v>
      </c>
      <c r="CC50" s="447">
        <v>10.25668041</v>
      </c>
      <c r="CD50" s="447">
        <v>0.18356233</v>
      </c>
      <c r="CE50" s="447">
        <v>0.44915258000000002</v>
      </c>
      <c r="CF50" s="447">
        <v>0.33398661000000002</v>
      </c>
      <c r="CG50" s="447"/>
    </row>
    <row r="51" spans="1:85" s="449" customFormat="1">
      <c r="A51" s="491">
        <v>62005018</v>
      </c>
      <c r="B51" s="491" t="s">
        <v>843</v>
      </c>
      <c r="C51" s="491" t="s">
        <v>702</v>
      </c>
      <c r="D51" s="473" t="s">
        <v>760</v>
      </c>
      <c r="E51" s="448" t="s">
        <v>761</v>
      </c>
      <c r="F51" s="481" t="str">
        <f t="shared" si="23"/>
        <v>05/27/20</v>
      </c>
      <c r="G51" s="466" t="s">
        <v>762</v>
      </c>
      <c r="H51" s="466" t="s">
        <v>708</v>
      </c>
      <c r="I51" s="474"/>
      <c r="J51" s="467">
        <v>20.978929999999998</v>
      </c>
      <c r="K51" s="467">
        <v>49.249549999999999</v>
      </c>
      <c r="L51" s="467">
        <v>29.193788999999999</v>
      </c>
      <c r="M51" s="467">
        <v>31.862355000000001</v>
      </c>
      <c r="N51" s="450">
        <v>4250</v>
      </c>
      <c r="O51" s="450">
        <v>38.71</v>
      </c>
      <c r="P51" s="450">
        <v>3.0499999999999999E-2</v>
      </c>
      <c r="Q51" s="450">
        <v>1.4999999999999999E-2</v>
      </c>
      <c r="R51" s="451">
        <v>3.59684173</v>
      </c>
      <c r="S51" s="451">
        <f>R51+R50</f>
        <v>13.880672049999999</v>
      </c>
      <c r="T51" s="492">
        <v>11.3</v>
      </c>
      <c r="U51" s="492">
        <v>10.3</v>
      </c>
      <c r="V51" s="455">
        <v>70214</v>
      </c>
      <c r="W51" s="455">
        <v>70855</v>
      </c>
      <c r="X51" s="455">
        <f>W51-V51</f>
        <v>641</v>
      </c>
      <c r="Y51" s="455">
        <f t="shared" si="1"/>
        <v>178.21190036070894</v>
      </c>
      <c r="Z51" s="476">
        <v>70209</v>
      </c>
      <c r="AA51" s="455">
        <v>70849</v>
      </c>
      <c r="AB51" s="455">
        <f>AA51-Z51</f>
        <v>640</v>
      </c>
      <c r="AC51" s="475">
        <f t="shared" si="3"/>
        <v>177.93387867527883</v>
      </c>
      <c r="AD51" s="476">
        <v>219</v>
      </c>
      <c r="AE51" s="455">
        <v>225</v>
      </c>
      <c r="AF51" s="455">
        <f>AE51-AD51</f>
        <v>6</v>
      </c>
      <c r="AG51" s="475">
        <f t="shared" si="5"/>
        <v>1.6681301125807391</v>
      </c>
      <c r="AH51" s="476">
        <v>67290</v>
      </c>
      <c r="AI51" s="455">
        <v>67875</v>
      </c>
      <c r="AJ51" s="455">
        <f>AI51-AH51</f>
        <v>585</v>
      </c>
      <c r="AK51" s="475">
        <f t="shared" si="7"/>
        <v>162.64268597662206</v>
      </c>
      <c r="AL51" s="476">
        <v>2621.9</v>
      </c>
      <c r="AM51" s="455">
        <v>2670.2</v>
      </c>
      <c r="AN51" s="455">
        <f>AM51-AL51</f>
        <v>48.299999999999727</v>
      </c>
      <c r="AO51" s="475">
        <f t="shared" si="9"/>
        <v>13.428447406274874</v>
      </c>
      <c r="AP51" s="476">
        <v>2143.1471379999998</v>
      </c>
      <c r="AQ51" s="455">
        <v>2183.0069140000001</v>
      </c>
      <c r="AR51" s="455">
        <f>AQ51-AP51</f>
        <v>39.859776000000238</v>
      </c>
      <c r="AS51" s="475">
        <f t="shared" si="11"/>
        <v>11.081882104387239</v>
      </c>
      <c r="AT51" s="476">
        <v>6</v>
      </c>
      <c r="AU51" s="455">
        <v>6</v>
      </c>
      <c r="AV51" s="455">
        <f>AU51-AT51</f>
        <v>0</v>
      </c>
      <c r="AW51" s="475">
        <f t="shared" si="13"/>
        <v>0</v>
      </c>
      <c r="AX51" s="476">
        <v>13.1</v>
      </c>
      <c r="AY51" s="455">
        <v>13.3</v>
      </c>
      <c r="AZ51" s="455">
        <f>AY51-AX51</f>
        <v>0.20000000000000107</v>
      </c>
      <c r="BA51" s="475">
        <f t="shared" si="15"/>
        <v>5.5604337086024927E-2</v>
      </c>
      <c r="BB51" s="476">
        <v>-18.55</v>
      </c>
      <c r="BC51" s="455">
        <v>-18.84</v>
      </c>
      <c r="BD51" s="455">
        <f>BC51-BB51</f>
        <v>-0.28999999999999915</v>
      </c>
      <c r="BE51" s="455">
        <v>-2.0196700000000001</v>
      </c>
      <c r="BF51" s="475">
        <f t="shared" si="17"/>
        <v>-8.0626288774735488E-2</v>
      </c>
      <c r="BG51" s="443">
        <v>11.3</v>
      </c>
      <c r="BH51" s="443">
        <v>10.3</v>
      </c>
      <c r="BI51" s="443">
        <f>BH51-BG51</f>
        <v>-1</v>
      </c>
      <c r="BJ51" s="495">
        <v>24.3</v>
      </c>
      <c r="BK51" s="495">
        <v>24.8</v>
      </c>
      <c r="BL51" s="495">
        <f>BK51-BJ51</f>
        <v>0.5</v>
      </c>
      <c r="BM51" s="495">
        <v>0</v>
      </c>
      <c r="BN51" s="495">
        <v>0</v>
      </c>
      <c r="BO51" s="495">
        <f>BN51-BM51</f>
        <v>0</v>
      </c>
      <c r="BP51" s="443"/>
      <c r="BQ51" s="443"/>
      <c r="BR51" s="443"/>
      <c r="BS51" s="443"/>
      <c r="BT51" s="466" t="s">
        <v>723</v>
      </c>
      <c r="BU51" s="447">
        <v>2368.5142655599998</v>
      </c>
      <c r="BV51" s="447">
        <v>-1.0514036200000001</v>
      </c>
      <c r="BW51" s="447">
        <v>2027.2710301100001</v>
      </c>
      <c r="BX51" s="447">
        <v>2048.8123169300002</v>
      </c>
      <c r="BY51" s="447">
        <v>3.02707696</v>
      </c>
      <c r="BZ51" s="447">
        <v>3.0319679499999999</v>
      </c>
      <c r="CA51" s="447">
        <v>0.16142474000000001</v>
      </c>
      <c r="CB51" s="447">
        <v>3.5967771800000001</v>
      </c>
      <c r="CC51" s="447">
        <v>3.59098045</v>
      </c>
      <c r="CD51" s="447">
        <v>-0.32326023999999998</v>
      </c>
      <c r="CE51" s="447">
        <v>-0.16131403999999999</v>
      </c>
      <c r="CF51" s="447">
        <v>0.63450097999999999</v>
      </c>
      <c r="CG51" s="447"/>
    </row>
    <row r="52" spans="1:85" s="449" customFormat="1">
      <c r="A52" s="491">
        <v>62005018</v>
      </c>
      <c r="B52" s="491" t="s">
        <v>844</v>
      </c>
      <c r="C52" s="491" t="s">
        <v>705</v>
      </c>
      <c r="D52" s="473" t="s">
        <v>760</v>
      </c>
      <c r="E52" s="448" t="s">
        <v>761</v>
      </c>
      <c r="F52" s="481" t="str">
        <f t="shared" si="23"/>
        <v>05/27/20</v>
      </c>
      <c r="G52" s="466" t="s">
        <v>762</v>
      </c>
      <c r="H52" s="466" t="s">
        <v>708</v>
      </c>
      <c r="I52" s="474"/>
      <c r="J52" s="467">
        <v>18.864477999999998</v>
      </c>
      <c r="K52" s="467">
        <v>56.24438</v>
      </c>
      <c r="L52" s="467">
        <v>29.192789999999999</v>
      </c>
      <c r="M52" s="467">
        <v>30.713449000000001</v>
      </c>
      <c r="N52" s="450">
        <v>4250</v>
      </c>
      <c r="O52" s="450">
        <v>38.71</v>
      </c>
      <c r="P52" s="450">
        <v>3.0499999999999999E-2</v>
      </c>
      <c r="Q52" s="450">
        <v>1.4999999999999999E-2</v>
      </c>
      <c r="R52" s="451">
        <v>3.86323712</v>
      </c>
      <c r="S52" s="451">
        <f>R52+R51</f>
        <v>7.4600788500000004</v>
      </c>
      <c r="T52" s="492">
        <v>10.3</v>
      </c>
      <c r="U52" s="492">
        <v>9.3000000000000007</v>
      </c>
      <c r="V52" s="455">
        <v>70855</v>
      </c>
      <c r="W52" s="455">
        <v>71474</v>
      </c>
      <c r="X52" s="455">
        <f>W52-V52</f>
        <v>619</v>
      </c>
      <c r="Y52" s="455">
        <f t="shared" si="1"/>
        <v>160.22832168272396</v>
      </c>
      <c r="Z52" s="476">
        <v>70849</v>
      </c>
      <c r="AA52" s="455">
        <v>71469</v>
      </c>
      <c r="AB52" s="455">
        <f>AA52-Z52</f>
        <v>620</v>
      </c>
      <c r="AC52" s="475">
        <f t="shared" si="3"/>
        <v>160.48717196007891</v>
      </c>
      <c r="AD52" s="476">
        <v>225</v>
      </c>
      <c r="AE52" s="455">
        <v>241</v>
      </c>
      <c r="AF52" s="455">
        <f>AE52-AD52</f>
        <v>16</v>
      </c>
      <c r="AG52" s="475">
        <f t="shared" si="5"/>
        <v>4.1416044376794554</v>
      </c>
      <c r="AH52" s="476">
        <v>67875</v>
      </c>
      <c r="AI52" s="455">
        <v>68394</v>
      </c>
      <c r="AJ52" s="455">
        <f>AI52-AH52</f>
        <v>519</v>
      </c>
      <c r="AK52" s="475">
        <f t="shared" si="7"/>
        <v>134.34329394722735</v>
      </c>
      <c r="AL52" s="476">
        <v>2670.2</v>
      </c>
      <c r="AM52" s="455">
        <v>2754</v>
      </c>
      <c r="AN52" s="455">
        <f>AM52-AL52</f>
        <v>83.800000000000182</v>
      </c>
      <c r="AO52" s="475">
        <f t="shared" si="9"/>
        <v>21.691653242346195</v>
      </c>
      <c r="AP52" s="476">
        <v>2183.0269090000002</v>
      </c>
      <c r="AQ52" s="455">
        <v>2252.29</v>
      </c>
      <c r="AR52" s="455">
        <f>AQ52-AP52</f>
        <v>69.263090999999804</v>
      </c>
      <c r="AS52" s="475">
        <f t="shared" si="11"/>
        <v>17.928770315812198</v>
      </c>
      <c r="AT52" s="476">
        <v>6</v>
      </c>
      <c r="AU52" s="455">
        <v>6.1</v>
      </c>
      <c r="AV52" s="455">
        <f>AU52-AT52</f>
        <v>9.9999999999999645E-2</v>
      </c>
      <c r="AW52" s="475">
        <f t="shared" si="13"/>
        <v>2.5885027735496505E-2</v>
      </c>
      <c r="AX52" s="476">
        <v>13.3</v>
      </c>
      <c r="AY52" s="455">
        <v>13.6</v>
      </c>
      <c r="AZ52" s="455">
        <f>AY52-AX52</f>
        <v>0.29999999999999893</v>
      </c>
      <c r="BA52" s="475">
        <f t="shared" si="15"/>
        <v>7.765508320648952E-2</v>
      </c>
      <c r="BB52" s="476">
        <v>-18.84</v>
      </c>
      <c r="BC52" s="455">
        <v>-19.329999999999998</v>
      </c>
      <c r="BD52" s="455">
        <f>BC52-BB52</f>
        <v>-0.48999999999999844</v>
      </c>
      <c r="BE52" s="455">
        <v>-2.0073219999999998</v>
      </c>
      <c r="BF52" s="475">
        <f t="shared" si="17"/>
        <v>-0.12683663590393293</v>
      </c>
      <c r="BG52" s="443">
        <v>10.3</v>
      </c>
      <c r="BH52" s="443">
        <v>9.3000000000000007</v>
      </c>
      <c r="BI52" s="443">
        <f>BH52-BG52</f>
        <v>-1</v>
      </c>
      <c r="BJ52" s="495">
        <v>24.8</v>
      </c>
      <c r="BK52" s="495">
        <v>25.6</v>
      </c>
      <c r="BL52" s="495">
        <f>BK52-BJ52</f>
        <v>0.80000000000000071</v>
      </c>
      <c r="BM52" s="495">
        <v>0</v>
      </c>
      <c r="BN52" s="495">
        <v>0</v>
      </c>
      <c r="BO52" s="495">
        <f>BN52-BM52</f>
        <v>0</v>
      </c>
      <c r="BP52" s="443"/>
      <c r="BQ52" s="443"/>
      <c r="BR52" s="443"/>
      <c r="BS52" s="443"/>
      <c r="BT52" s="466" t="s">
        <v>723</v>
      </c>
      <c r="BU52" s="447">
        <v>1476.0113835</v>
      </c>
      <c r="BV52" s="447">
        <v>-1.2279642200000001</v>
      </c>
      <c r="BW52" s="447">
        <v>3374.2650773800001</v>
      </c>
      <c r="BX52" s="447">
        <v>3416.2149750799999</v>
      </c>
      <c r="BY52" s="447">
        <v>2.97965693</v>
      </c>
      <c r="BZ52" s="447">
        <v>2.99531254</v>
      </c>
      <c r="CA52" s="447">
        <v>8.3697560000000004E-2</v>
      </c>
      <c r="CB52" s="447">
        <v>3.8630609800000002</v>
      </c>
      <c r="CC52" s="447">
        <v>3.8598303999999999</v>
      </c>
      <c r="CD52" s="447">
        <v>-0.60955408</v>
      </c>
      <c r="CE52" s="447">
        <v>-0.52267056000000001</v>
      </c>
      <c r="CF52" s="447">
        <v>0.72009285999999995</v>
      </c>
      <c r="CG52" s="447"/>
    </row>
    <row r="53" spans="1:85" s="449" customFormat="1">
      <c r="A53" s="491">
        <v>62005018</v>
      </c>
      <c r="B53" s="491" t="s">
        <v>845</v>
      </c>
      <c r="C53" s="491" t="s">
        <v>703</v>
      </c>
      <c r="D53" s="473" t="s">
        <v>760</v>
      </c>
      <c r="E53" s="448" t="s">
        <v>761</v>
      </c>
      <c r="F53" s="481" t="str">
        <f t="shared" si="23"/>
        <v>05/27/20</v>
      </c>
      <c r="G53" s="466" t="s">
        <v>762</v>
      </c>
      <c r="H53" s="466" t="s">
        <v>708</v>
      </c>
      <c r="I53" s="474"/>
      <c r="J53" s="468">
        <f>AVERAGE(J51:J52)</f>
        <v>19.921703999999998</v>
      </c>
      <c r="K53" s="468">
        <f>AVERAGE(K51:K52)</f>
        <v>52.746965000000003</v>
      </c>
      <c r="L53" s="468">
        <f>AVERAGE(L51:L52)</f>
        <v>29.193289499999999</v>
      </c>
      <c r="M53" s="468">
        <f>AVERAGE(M51:M52)</f>
        <v>31.287902000000003</v>
      </c>
      <c r="N53" s="452"/>
      <c r="O53" s="450"/>
      <c r="P53" s="470"/>
      <c r="Q53" s="469"/>
      <c r="R53" s="453">
        <f>R52+R51</f>
        <v>7.4600788500000004</v>
      </c>
      <c r="S53" s="453">
        <f>S52</f>
        <v>7.4600788500000004</v>
      </c>
      <c r="T53" s="493">
        <f>T51</f>
        <v>11.3</v>
      </c>
      <c r="U53" s="493">
        <f>U52</f>
        <v>9.3000000000000007</v>
      </c>
      <c r="V53" s="456">
        <f>V51</f>
        <v>70214</v>
      </c>
      <c r="W53" s="456">
        <f>W52</f>
        <v>71474</v>
      </c>
      <c r="X53" s="456">
        <f>SUM(X51:X52)</f>
        <v>1260</v>
      </c>
      <c r="Y53" s="456">
        <f t="shared" si="1"/>
        <v>168.89901907672194</v>
      </c>
      <c r="Z53" s="456">
        <f>Z51</f>
        <v>70209</v>
      </c>
      <c r="AA53" s="456">
        <f>AA52</f>
        <v>71469</v>
      </c>
      <c r="AB53" s="456">
        <f>SUM(AB51:AB52)</f>
        <v>1260</v>
      </c>
      <c r="AC53" s="454">
        <f t="shared" si="3"/>
        <v>168.89901907672194</v>
      </c>
      <c r="AD53" s="456">
        <f>AD51</f>
        <v>219</v>
      </c>
      <c r="AE53" s="456">
        <f>AE52</f>
        <v>241</v>
      </c>
      <c r="AF53" s="456">
        <f>SUM(AF51:AF52)</f>
        <v>22</v>
      </c>
      <c r="AG53" s="454">
        <f t="shared" si="5"/>
        <v>2.9490304918157801</v>
      </c>
      <c r="AH53" s="456">
        <f>AH51</f>
        <v>67290</v>
      </c>
      <c r="AI53" s="456">
        <f>AI52</f>
        <v>68394</v>
      </c>
      <c r="AJ53" s="456">
        <f>SUM(AJ51:AJ52)</f>
        <v>1104</v>
      </c>
      <c r="AK53" s="454">
        <f t="shared" si="7"/>
        <v>147.98771195293733</v>
      </c>
      <c r="AL53" s="456">
        <f>AL51</f>
        <v>2621.9</v>
      </c>
      <c r="AM53" s="456">
        <f>AM52</f>
        <v>2754</v>
      </c>
      <c r="AN53" s="456">
        <f>SUM(AN51:AN52)</f>
        <v>132.09999999999991</v>
      </c>
      <c r="AO53" s="454">
        <f t="shared" si="9"/>
        <v>17.707587634948375</v>
      </c>
      <c r="AP53" s="456">
        <f>AP51</f>
        <v>2143.1471379999998</v>
      </c>
      <c r="AQ53" s="456">
        <f>AQ52</f>
        <v>2252.29</v>
      </c>
      <c r="AR53" s="456">
        <f>SUM(AR51:AR52)</f>
        <v>109.12286700000004</v>
      </c>
      <c r="AS53" s="454">
        <f t="shared" si="11"/>
        <v>14.627575551698094</v>
      </c>
      <c r="AT53" s="456">
        <f>AT51</f>
        <v>6</v>
      </c>
      <c r="AU53" s="456">
        <f>AU52</f>
        <v>6.1</v>
      </c>
      <c r="AV53" s="456">
        <f>SUM(AV51:AV52)</f>
        <v>9.9999999999999645E-2</v>
      </c>
      <c r="AW53" s="454">
        <f t="shared" si="13"/>
        <v>1.3404684053708043E-2</v>
      </c>
      <c r="AX53" s="456">
        <f>AX51</f>
        <v>13.1</v>
      </c>
      <c r="AY53" s="456">
        <f>AY52</f>
        <v>13.6</v>
      </c>
      <c r="AZ53" s="456">
        <f>SUM(AZ51:AZ52)</f>
        <v>0.5</v>
      </c>
      <c r="BA53" s="454">
        <f t="shared" si="15"/>
        <v>6.7023420268540454E-2</v>
      </c>
      <c r="BB53" s="456">
        <f>BB51</f>
        <v>-18.55</v>
      </c>
      <c r="BC53" s="456">
        <f>BC52</f>
        <v>-19.329999999999998</v>
      </c>
      <c r="BD53" s="456">
        <f>SUM(BD51:BD52)</f>
        <v>-0.77999999999999758</v>
      </c>
      <c r="BE53" s="455">
        <f>AVERAGE(BE51:BE52)</f>
        <v>-2.013496</v>
      </c>
      <c r="BF53" s="454">
        <f t="shared" si="17"/>
        <v>-0.10455653561892279</v>
      </c>
      <c r="BG53" s="445"/>
      <c r="BH53" s="445"/>
      <c r="BI53" s="445">
        <f>SUM(BI51:BI52)</f>
        <v>-2</v>
      </c>
      <c r="BJ53" s="496" t="s">
        <v>1067</v>
      </c>
      <c r="BK53" s="496" t="s">
        <v>1068</v>
      </c>
      <c r="BL53" s="496">
        <f>SUM(BL51:BL52)</f>
        <v>1.3000000000000007</v>
      </c>
      <c r="BM53" s="496" t="s">
        <v>1069</v>
      </c>
      <c r="BN53" s="496" t="s">
        <v>1070</v>
      </c>
      <c r="BO53" s="496">
        <f>SUM(BO51:BO52)</f>
        <v>0</v>
      </c>
      <c r="BP53" s="445"/>
      <c r="BQ53" s="445"/>
      <c r="BR53" s="445"/>
      <c r="BS53" s="445"/>
      <c r="BT53" s="466" t="s">
        <v>723</v>
      </c>
      <c r="BU53" s="447"/>
      <c r="BV53" s="447"/>
      <c r="BW53" s="447"/>
      <c r="BX53" s="447"/>
      <c r="BY53" s="447"/>
      <c r="BZ53" s="447"/>
      <c r="CA53" s="447"/>
      <c r="CB53" s="447"/>
      <c r="CC53" s="447"/>
      <c r="CD53" s="447"/>
      <c r="CE53" s="447"/>
      <c r="CF53" s="447"/>
      <c r="CG53" s="447"/>
    </row>
    <row r="54" spans="1:85" s="449" customFormat="1">
      <c r="A54" s="491">
        <v>62005019</v>
      </c>
      <c r="B54" s="491" t="s">
        <v>838</v>
      </c>
      <c r="C54" s="491" t="s">
        <v>695</v>
      </c>
      <c r="D54" s="473" t="s">
        <v>763</v>
      </c>
      <c r="E54" s="448" t="s">
        <v>764</v>
      </c>
      <c r="F54" s="481" t="str">
        <f t="shared" si="23"/>
        <v>05/27/20</v>
      </c>
      <c r="G54" s="466" t="s">
        <v>765</v>
      </c>
      <c r="H54" s="466" t="s">
        <v>708</v>
      </c>
      <c r="I54" s="474"/>
      <c r="J54" s="467">
        <v>26.580352000000001</v>
      </c>
      <c r="K54" s="467">
        <v>35.759183</v>
      </c>
      <c r="L54" s="467">
        <v>29.209015000000001</v>
      </c>
      <c r="M54" s="467">
        <v>33.726239999999997</v>
      </c>
      <c r="N54" s="450">
        <v>4250</v>
      </c>
      <c r="O54" s="450">
        <v>38.71</v>
      </c>
      <c r="P54" s="450">
        <v>3.0499999999999999E-2</v>
      </c>
      <c r="Q54" s="450">
        <v>1.4999999999999999E-2</v>
      </c>
      <c r="R54" s="451">
        <v>22.00681968</v>
      </c>
      <c r="S54" s="451">
        <f>R54+R53</f>
        <v>29.466898530000002</v>
      </c>
      <c r="T54" s="492">
        <v>9.3000000000000007</v>
      </c>
      <c r="U54" s="492">
        <v>1.4</v>
      </c>
      <c r="V54" s="455">
        <v>71501</v>
      </c>
      <c r="W54" s="455">
        <v>76421</v>
      </c>
      <c r="X54" s="455">
        <f>W54-V54</f>
        <v>4920</v>
      </c>
      <c r="Y54" s="455">
        <f t="shared" si="1"/>
        <v>223.56706109930738</v>
      </c>
      <c r="Z54" s="476">
        <v>71495</v>
      </c>
      <c r="AA54" s="455">
        <v>76416</v>
      </c>
      <c r="AB54" s="455">
        <f>AA54-Z54</f>
        <v>4921</v>
      </c>
      <c r="AC54" s="475">
        <f t="shared" si="3"/>
        <v>223.61250155888041</v>
      </c>
      <c r="AD54" s="476">
        <v>241</v>
      </c>
      <c r="AE54" s="455">
        <v>242</v>
      </c>
      <c r="AF54" s="455">
        <f>AE54-AD54</f>
        <v>1</v>
      </c>
      <c r="AG54" s="475">
        <f t="shared" si="5"/>
        <v>4.5440459573029952E-2</v>
      </c>
      <c r="AH54" s="476">
        <v>68394</v>
      </c>
      <c r="AI54" s="455">
        <v>73190</v>
      </c>
      <c r="AJ54" s="455">
        <f>AI54-AH54</f>
        <v>4796</v>
      </c>
      <c r="AK54" s="475">
        <f t="shared" si="7"/>
        <v>217.93244411225166</v>
      </c>
      <c r="AL54" s="476">
        <v>2779.7</v>
      </c>
      <c r="AM54" s="455">
        <v>2898.1</v>
      </c>
      <c r="AN54" s="455">
        <f>AM54-AL54</f>
        <v>118.40000000000009</v>
      </c>
      <c r="AO54" s="475">
        <f t="shared" si="9"/>
        <v>5.380150413446751</v>
      </c>
      <c r="AP54" s="476">
        <v>2271.7167840000002</v>
      </c>
      <c r="AQ54" s="455">
        <v>2369.56</v>
      </c>
      <c r="AR54" s="455">
        <f>AQ54-AP54</f>
        <v>97.843215999999757</v>
      </c>
      <c r="AS54" s="475">
        <f t="shared" si="11"/>
        <v>4.446040701143227</v>
      </c>
      <c r="AT54" s="476">
        <v>6.2</v>
      </c>
      <c r="AU54" s="455">
        <v>6.2</v>
      </c>
      <c r="AV54" s="455">
        <f>AU54-AT54</f>
        <v>0</v>
      </c>
      <c r="AW54" s="475">
        <f t="shared" si="13"/>
        <v>0</v>
      </c>
      <c r="AX54" s="476">
        <v>13.7</v>
      </c>
      <c r="AY54" s="455">
        <v>14.1</v>
      </c>
      <c r="AZ54" s="455">
        <f>AY54-AX54</f>
        <v>0.40000000000000036</v>
      </c>
      <c r="BA54" s="475">
        <f t="shared" si="15"/>
        <v>1.8176183829212E-2</v>
      </c>
      <c r="BB54" s="476">
        <v>-19.559999999999999</v>
      </c>
      <c r="BC54" s="455">
        <v>-19.57</v>
      </c>
      <c r="BD54" s="455">
        <f>BC54-BB54</f>
        <v>-1.0000000000001563E-2</v>
      </c>
      <c r="BE54" s="455">
        <v>2.1502029999999999</v>
      </c>
      <c r="BF54" s="475">
        <f t="shared" si="17"/>
        <v>-4.5440459573037057E-4</v>
      </c>
      <c r="BG54" s="443">
        <v>9.3000000000000007</v>
      </c>
      <c r="BH54" s="443">
        <v>1.4</v>
      </c>
      <c r="BI54" s="443">
        <f>BH54-BG54</f>
        <v>-7.9</v>
      </c>
      <c r="BJ54" s="495">
        <v>26</v>
      </c>
      <c r="BK54" s="495">
        <v>27.3</v>
      </c>
      <c r="BL54" s="495">
        <f>BK54-BJ54</f>
        <v>1.3000000000000007</v>
      </c>
      <c r="BM54" s="495">
        <v>0</v>
      </c>
      <c r="BN54" s="495">
        <v>0</v>
      </c>
      <c r="BO54" s="495">
        <f>BN54-BM54</f>
        <v>0</v>
      </c>
      <c r="BP54" s="443"/>
      <c r="BQ54" s="443"/>
      <c r="BR54" s="443"/>
      <c r="BS54" s="443"/>
      <c r="BT54" s="466" t="s">
        <v>723</v>
      </c>
      <c r="BU54" s="447">
        <v>97.496457640000003</v>
      </c>
      <c r="BV54" s="447">
        <v>6.5967857900000002</v>
      </c>
      <c r="BW54" s="447">
        <v>619.48935255000004</v>
      </c>
      <c r="BX54" s="447">
        <v>581.15200000000004</v>
      </c>
      <c r="BY54" s="447">
        <v>17.012434339999999</v>
      </c>
      <c r="BZ54" s="447">
        <v>18.024327889999999</v>
      </c>
      <c r="CA54" s="447">
        <v>-5.0636677399999996</v>
      </c>
      <c r="CB54" s="447">
        <v>22.006833239999999</v>
      </c>
      <c r="CC54" s="447">
        <v>23.180622960000001</v>
      </c>
      <c r="CD54" s="447">
        <v>-0.58311157999999996</v>
      </c>
      <c r="CE54" s="447">
        <v>-5.6140431800000004</v>
      </c>
      <c r="CF54" s="447">
        <v>4.5830900000000001E-2</v>
      </c>
      <c r="CG54" s="447"/>
    </row>
    <row r="55" spans="1:85" s="449" customFormat="1">
      <c r="A55" s="550">
        <v>62005020</v>
      </c>
      <c r="B55" s="550" t="s">
        <v>907</v>
      </c>
      <c r="C55" s="550" t="s">
        <v>695</v>
      </c>
      <c r="D55" s="552" t="s">
        <v>766</v>
      </c>
      <c r="E55" s="553" t="s">
        <v>767</v>
      </c>
      <c r="F55" s="554" t="str">
        <f t="shared" si="23"/>
        <v>05/27/20</v>
      </c>
      <c r="G55" s="555" t="s">
        <v>768</v>
      </c>
      <c r="H55" s="555" t="s">
        <v>916</v>
      </c>
      <c r="I55" s="474"/>
      <c r="J55" s="467"/>
      <c r="K55" s="467"/>
      <c r="L55" s="467"/>
      <c r="M55" s="467"/>
      <c r="N55" s="450">
        <v>4250</v>
      </c>
      <c r="O55" s="450">
        <v>38.71</v>
      </c>
      <c r="P55" s="450">
        <v>3.0499999999999999E-2</v>
      </c>
      <c r="Q55" s="450">
        <v>1.4999999999999999E-2</v>
      </c>
      <c r="R55" s="451">
        <v>9.8880200000000008E-3</v>
      </c>
      <c r="S55" s="451">
        <f>R55+R54</f>
        <v>22.016707700000001</v>
      </c>
      <c r="T55" s="492">
        <v>2.5</v>
      </c>
      <c r="U55" s="492">
        <v>52.1</v>
      </c>
      <c r="V55" s="455">
        <v>76422</v>
      </c>
      <c r="W55" s="455">
        <v>-3403</v>
      </c>
      <c r="X55" s="455">
        <f>W55-V55</f>
        <v>-79825</v>
      </c>
      <c r="Y55" s="455">
        <f t="shared" si="1"/>
        <v>-8072900.3379847528</v>
      </c>
      <c r="Z55" s="476">
        <v>76417</v>
      </c>
      <c r="AA55" s="455">
        <v>-3488</v>
      </c>
      <c r="AB55" s="455">
        <f>AA55-Z55</f>
        <v>-79905</v>
      </c>
      <c r="AC55" s="475">
        <f t="shared" si="3"/>
        <v>-8080990.9365070043</v>
      </c>
      <c r="AD55" s="476">
        <v>242</v>
      </c>
      <c r="AE55" s="455">
        <v>240</v>
      </c>
      <c r="AF55" s="455">
        <f>AE55-AD55</f>
        <v>-2</v>
      </c>
      <c r="AG55" s="475">
        <f t="shared" si="5"/>
        <v>-202.26496305630448</v>
      </c>
      <c r="AH55" s="476">
        <v>73190</v>
      </c>
      <c r="AI55" s="455">
        <v>73238</v>
      </c>
      <c r="AJ55" s="455">
        <f>AI55-AH55</f>
        <v>48</v>
      </c>
      <c r="AK55" s="475">
        <f t="shared" si="7"/>
        <v>4854.3591133513073</v>
      </c>
      <c r="AL55" s="476">
        <v>2898.4</v>
      </c>
      <c r="AM55" s="455">
        <v>-77053.100000000006</v>
      </c>
      <c r="AN55" s="455">
        <f>AM55-AL55</f>
        <v>-79951.5</v>
      </c>
      <c r="AO55" s="475">
        <f t="shared" si="9"/>
        <v>-8085693.596898064</v>
      </c>
      <c r="AP55" s="476">
        <v>2369.2199999999998</v>
      </c>
      <c r="AQ55" s="455">
        <v>3002</v>
      </c>
      <c r="AR55" s="455">
        <f>AQ55-AP55</f>
        <v>632.7800000000002</v>
      </c>
      <c r="AS55" s="475">
        <f t="shared" si="11"/>
        <v>63994.611661384195</v>
      </c>
      <c r="AT55" s="476">
        <v>6.2</v>
      </c>
      <c r="AU55" s="455">
        <v>1.5</v>
      </c>
      <c r="AV55" s="455">
        <f>AU55-AT55</f>
        <v>-4.7</v>
      </c>
      <c r="AW55" s="475">
        <f t="shared" si="13"/>
        <v>-475.32266318231552</v>
      </c>
      <c r="AX55" s="476">
        <v>14.1</v>
      </c>
      <c r="AY55" s="455">
        <v>22.1</v>
      </c>
      <c r="AZ55" s="455">
        <f>AY55-AX55</f>
        <v>8.0000000000000018</v>
      </c>
      <c r="BA55" s="475">
        <f t="shared" si="15"/>
        <v>809.05985222521815</v>
      </c>
      <c r="BB55" s="476">
        <v>2.6183999999999999E-2</v>
      </c>
      <c r="BC55" s="455">
        <v>-45.74</v>
      </c>
      <c r="BD55" s="455">
        <f>BC55-BB55</f>
        <v>-45.766184000000003</v>
      </c>
      <c r="BE55" s="455">
        <v>-50.958665000000003</v>
      </c>
      <c r="BF55" s="475">
        <f t="shared" si="17"/>
        <v>-4628.4477579940167</v>
      </c>
      <c r="BG55" s="443">
        <v>2.5</v>
      </c>
      <c r="BH55" s="443">
        <v>52.1</v>
      </c>
      <c r="BI55" s="443">
        <f>BH55-BG55</f>
        <v>49.6</v>
      </c>
      <c r="BJ55" s="495">
        <v>27.8</v>
      </c>
      <c r="BK55" s="495">
        <v>85669</v>
      </c>
      <c r="BL55" s="495">
        <f>BK55-BJ55</f>
        <v>85641.2</v>
      </c>
      <c r="BM55" s="495">
        <v>0</v>
      </c>
      <c r="BN55" s="495">
        <v>-86169.7</v>
      </c>
      <c r="BO55" s="495">
        <f>BN55-BM55</f>
        <v>-86169.7</v>
      </c>
      <c r="BP55" s="443">
        <f>-W54/BN55</f>
        <v>0.88686626505604638</v>
      </c>
      <c r="BQ55" s="443">
        <f>X55/BO55</f>
        <v>0.92636971000247192</v>
      </c>
      <c r="BR55" s="443"/>
      <c r="BS55" s="443"/>
      <c r="BT55" s="466" t="s">
        <v>719</v>
      </c>
      <c r="BU55" s="447"/>
      <c r="BV55" s="447"/>
      <c r="BW55" s="447"/>
      <c r="BX55" s="447"/>
      <c r="BY55" s="447"/>
      <c r="BZ55" s="447"/>
      <c r="CA55" s="447"/>
      <c r="CB55" s="447"/>
      <c r="CC55" s="447"/>
      <c r="CD55" s="447"/>
      <c r="CE55" s="447"/>
      <c r="CF55" s="447"/>
      <c r="CG55" s="447"/>
    </row>
    <row r="56" spans="1:85" s="488" customFormat="1" ht="15.75">
      <c r="A56" s="480" t="s">
        <v>1239</v>
      </c>
      <c r="B56" s="483"/>
      <c r="C56" s="483"/>
      <c r="D56" s="484"/>
      <c r="E56" s="483"/>
      <c r="F56" s="483"/>
      <c r="G56" s="484"/>
      <c r="H56" s="484"/>
      <c r="I56" s="484"/>
      <c r="J56" s="484"/>
      <c r="K56" s="484"/>
      <c r="L56" s="484"/>
      <c r="M56" s="484"/>
      <c r="N56" s="484"/>
      <c r="O56" s="484"/>
      <c r="P56" s="485"/>
      <c r="Q56" s="486"/>
      <c r="R56" s="483"/>
      <c r="S56" s="483"/>
      <c r="T56" s="483"/>
      <c r="U56" s="483"/>
      <c r="V56" s="483"/>
      <c r="W56" s="483"/>
      <c r="X56" s="483"/>
      <c r="Y56" s="483"/>
      <c r="Z56" s="483"/>
      <c r="AA56" s="483"/>
      <c r="AB56" s="483"/>
      <c r="AC56" s="483"/>
      <c r="AD56" s="483"/>
      <c r="AE56" s="483"/>
      <c r="AF56" s="483"/>
      <c r="AG56" s="483"/>
      <c r="AH56" s="483"/>
      <c r="AI56" s="483"/>
      <c r="AJ56" s="483"/>
      <c r="AK56" s="483"/>
      <c r="AL56" s="483"/>
      <c r="AM56" s="483"/>
      <c r="AN56" s="483"/>
      <c r="AO56" s="483"/>
      <c r="AP56" s="483"/>
      <c r="AQ56" s="483"/>
      <c r="AR56" s="483"/>
      <c r="AS56" s="483"/>
      <c r="AT56" s="483"/>
      <c r="AU56" s="483"/>
      <c r="AV56" s="483"/>
      <c r="AW56" s="483"/>
      <c r="AX56" s="483"/>
      <c r="AY56" s="483"/>
      <c r="AZ56" s="483"/>
      <c r="BA56" s="483"/>
      <c r="BB56" s="483"/>
      <c r="BC56" s="483"/>
      <c r="BD56" s="483"/>
      <c r="BE56" s="483"/>
      <c r="BF56" s="483"/>
      <c r="BG56" s="483"/>
      <c r="BH56" s="483"/>
      <c r="BI56" s="483"/>
      <c r="BJ56" s="483"/>
      <c r="BK56" s="483"/>
      <c r="BL56" s="483"/>
      <c r="BM56" s="483"/>
      <c r="BN56" s="483"/>
      <c r="BO56" s="483"/>
      <c r="BP56" s="483"/>
      <c r="BQ56" s="483"/>
      <c r="BR56" s="483"/>
      <c r="BS56" s="483"/>
      <c r="BT56" s="483"/>
      <c r="BU56" s="483"/>
      <c r="BV56" s="483"/>
      <c r="BW56" s="483"/>
      <c r="BX56" s="483"/>
      <c r="BY56" s="483"/>
      <c r="BZ56" s="483"/>
      <c r="CA56" s="483"/>
      <c r="CB56" s="483"/>
      <c r="CC56" s="483"/>
      <c r="CD56" s="483"/>
      <c r="CE56" s="483"/>
      <c r="CF56" s="490"/>
      <c r="CG56" s="487"/>
    </row>
    <row r="57" spans="1:85" s="449" customFormat="1" ht="22.5">
      <c r="A57" s="491">
        <v>62005021</v>
      </c>
      <c r="B57" s="491" t="s">
        <v>846</v>
      </c>
      <c r="C57" s="491" t="s">
        <v>695</v>
      </c>
      <c r="D57" s="473" t="s">
        <v>774</v>
      </c>
      <c r="E57" s="448" t="s">
        <v>775</v>
      </c>
      <c r="F57" s="481" t="str">
        <f t="shared" si="23"/>
        <v>05/29/20</v>
      </c>
      <c r="G57" s="466" t="s">
        <v>776</v>
      </c>
      <c r="H57" s="466" t="s">
        <v>708</v>
      </c>
      <c r="I57" s="474"/>
      <c r="J57" s="467">
        <v>23.444148999999999</v>
      </c>
      <c r="K57" s="467">
        <v>41.781686000000001</v>
      </c>
      <c r="L57" s="467">
        <v>29.240282000000001</v>
      </c>
      <c r="M57" s="467">
        <v>27.969863</v>
      </c>
      <c r="N57" s="450">
        <v>4250</v>
      </c>
      <c r="O57" s="450">
        <v>38.71</v>
      </c>
      <c r="P57" s="450">
        <v>3.0499999999999999E-2</v>
      </c>
      <c r="Q57" s="450">
        <v>1.4999999999999999E-2</v>
      </c>
      <c r="R57" s="451">
        <v>17.847092239999998</v>
      </c>
      <c r="S57" s="451">
        <f t="shared" ref="S57:S66" si="24">R57+R56</f>
        <v>17.847092239999998</v>
      </c>
      <c r="T57" s="492">
        <v>99.4</v>
      </c>
      <c r="U57" s="492">
        <v>100</v>
      </c>
      <c r="V57" s="455">
        <v>81</v>
      </c>
      <c r="W57" s="455">
        <v>-654</v>
      </c>
      <c r="X57" s="455">
        <f t="shared" ref="X57:X66" si="25">W57-V57</f>
        <v>-735</v>
      </c>
      <c r="Y57" s="455">
        <f t="shared" ref="Y57:Y90" si="26">X57/$R57</f>
        <v>-41.183179316610065</v>
      </c>
      <c r="Z57" s="476">
        <v>80</v>
      </c>
      <c r="AA57" s="455">
        <v>-659</v>
      </c>
      <c r="AB57" s="455">
        <f t="shared" ref="AB57:AB66" si="27">AA57-Z57</f>
        <v>-739</v>
      </c>
      <c r="AC57" s="475">
        <f t="shared" ref="AC57:AC90" si="28">AB57/$R57</f>
        <v>-41.407305462550802</v>
      </c>
      <c r="AD57" s="476">
        <v>0</v>
      </c>
      <c r="AE57" s="455">
        <v>-41</v>
      </c>
      <c r="AF57" s="455">
        <f t="shared" ref="AF57:AF66" si="29">AE57-AD57</f>
        <v>-41</v>
      </c>
      <c r="AG57" s="475">
        <f t="shared" ref="AG57:AG90" si="30">AF57/$R57</f>
        <v>-2.2972929958925343</v>
      </c>
      <c r="AH57" s="476">
        <v>2</v>
      </c>
      <c r="AI57" s="455">
        <v>-961</v>
      </c>
      <c r="AJ57" s="455">
        <f t="shared" ref="AJ57:AJ66" si="31">AI57-AH57</f>
        <v>-963</v>
      </c>
      <c r="AK57" s="475">
        <f t="shared" ref="AK57:AK90" si="32">AJ57/$R57</f>
        <v>-53.958369635231968</v>
      </c>
      <c r="AL57" s="476">
        <v>77.2</v>
      </c>
      <c r="AM57" s="455">
        <v>344.5</v>
      </c>
      <c r="AN57" s="455">
        <f t="shared" ref="AN57:AN66" si="33">AM57-AL57</f>
        <v>267.3</v>
      </c>
      <c r="AO57" s="475">
        <f t="shared" ref="AO57:AO90" si="34">AN57/$R57</f>
        <v>14.977229702489621</v>
      </c>
      <c r="AP57" s="476">
        <v>56.729576000000002</v>
      </c>
      <c r="AQ57" s="455">
        <v>279.58</v>
      </c>
      <c r="AR57" s="455">
        <f t="shared" ref="AR57:AR66" si="35">AQ57-AP57</f>
        <v>222.85042399999998</v>
      </c>
      <c r="AS57" s="475">
        <f t="shared" ref="AS57:AS90" si="36">AR57/$R57</f>
        <v>12.486651663094671</v>
      </c>
      <c r="AT57" s="476">
        <v>0.2</v>
      </c>
      <c r="AU57" s="455">
        <v>0.6</v>
      </c>
      <c r="AV57" s="455">
        <f t="shared" ref="AV57:AV66" si="37">AU57-AT57</f>
        <v>0.39999999999999997</v>
      </c>
      <c r="AW57" s="475">
        <f t="shared" ref="AW57:AW90" si="38">AV57/$R57</f>
        <v>2.2412614594073507E-2</v>
      </c>
      <c r="AX57" s="476">
        <v>0.7</v>
      </c>
      <c r="AY57" s="455">
        <v>2.1</v>
      </c>
      <c r="AZ57" s="455">
        <f t="shared" ref="AZ57:AZ66" si="39">AY57-AX57</f>
        <v>1.4000000000000001</v>
      </c>
      <c r="BA57" s="475">
        <f t="shared" ref="BA57:BA90" si="40">AZ57/$R57</f>
        <v>7.8444151079257285E-2</v>
      </c>
      <c r="BB57" s="476">
        <v>-5.65</v>
      </c>
      <c r="BC57" s="455">
        <v>-11.13</v>
      </c>
      <c r="BD57" s="455">
        <f t="shared" ref="BD57:BD66" si="41">BC57-BB57</f>
        <v>-5.48</v>
      </c>
      <c r="BE57" s="455">
        <v>-10.119084000000001</v>
      </c>
      <c r="BF57" s="475">
        <f t="shared" ref="BF57:BF90" si="42">BD57/$R57</f>
        <v>-0.30705281993880706</v>
      </c>
      <c r="BG57" s="443">
        <v>99.4</v>
      </c>
      <c r="BH57" s="443">
        <v>100</v>
      </c>
      <c r="BI57" s="443">
        <f t="shared" ref="BI57:BI66" si="43">BH57-BG57</f>
        <v>0.59999999999999432</v>
      </c>
      <c r="BJ57" s="495">
        <v>2.4</v>
      </c>
      <c r="BK57" s="495">
        <v>4.2</v>
      </c>
      <c r="BL57" s="495">
        <f t="shared" ref="BL57:BL66" si="44">BK57-BJ57</f>
        <v>1.8000000000000003</v>
      </c>
      <c r="BM57" s="495">
        <v>0</v>
      </c>
      <c r="BN57" s="495">
        <v>0</v>
      </c>
      <c r="BO57" s="495">
        <f t="shared" ref="BO57:BO66" si="45">BN57-BM57</f>
        <v>0</v>
      </c>
      <c r="BP57" s="443"/>
      <c r="BQ57" s="443"/>
      <c r="BR57" s="443"/>
      <c r="BS57" s="443"/>
      <c r="BT57" s="466" t="s">
        <v>723</v>
      </c>
      <c r="BU57" s="447"/>
      <c r="BV57" s="447"/>
      <c r="BW57" s="447"/>
      <c r="BX57" s="447"/>
      <c r="BY57" s="447"/>
      <c r="BZ57" s="447"/>
      <c r="CA57" s="447"/>
      <c r="CB57" s="447"/>
      <c r="CC57" s="447"/>
      <c r="CD57" s="447"/>
      <c r="CE57" s="447"/>
      <c r="CF57" s="447"/>
      <c r="CG57" s="447"/>
    </row>
    <row r="58" spans="1:85" s="449" customFormat="1" ht="22.5">
      <c r="A58" s="500">
        <v>62005022</v>
      </c>
      <c r="B58" s="491" t="s">
        <v>847</v>
      </c>
      <c r="C58" s="500" t="s">
        <v>695</v>
      </c>
      <c r="D58" s="473" t="s">
        <v>777</v>
      </c>
      <c r="E58" s="448" t="s">
        <v>778</v>
      </c>
      <c r="F58" s="481" t="str">
        <f t="shared" si="23"/>
        <v>05/29/20</v>
      </c>
      <c r="G58" s="466" t="s">
        <v>779</v>
      </c>
      <c r="H58" s="466" t="s">
        <v>780</v>
      </c>
      <c r="I58" s="474"/>
      <c r="J58" s="467">
        <v>25.954089</v>
      </c>
      <c r="K58" s="467">
        <v>36.333967999999999</v>
      </c>
      <c r="L58" s="467">
        <v>29.247914999999999</v>
      </c>
      <c r="M58" s="467">
        <v>30.228698999999999</v>
      </c>
      <c r="N58" s="450">
        <v>4250</v>
      </c>
      <c r="O58" s="450">
        <v>38.71</v>
      </c>
      <c r="P58" s="450">
        <v>3.0499999999999999E-2</v>
      </c>
      <c r="Q58" s="450">
        <v>1.4999999999999999E-2</v>
      </c>
      <c r="R58" s="451">
        <v>9.5986445299999996</v>
      </c>
      <c r="S58" s="451">
        <f t="shared" si="24"/>
        <v>27.445736769999996</v>
      </c>
      <c r="T58" s="492">
        <v>99.9</v>
      </c>
      <c r="U58" s="492">
        <v>97.8</v>
      </c>
      <c r="V58" s="455">
        <v>-603</v>
      </c>
      <c r="W58" s="455">
        <v>1311</v>
      </c>
      <c r="X58" s="455">
        <f t="shared" si="25"/>
        <v>1914</v>
      </c>
      <c r="Y58" s="455">
        <f t="shared" si="26"/>
        <v>199.40315468688371</v>
      </c>
      <c r="Z58" s="476">
        <v>-609</v>
      </c>
      <c r="AA58" s="455">
        <v>1307</v>
      </c>
      <c r="AB58" s="455">
        <f t="shared" si="27"/>
        <v>1916</v>
      </c>
      <c r="AC58" s="475">
        <f t="shared" si="28"/>
        <v>199.61151743995254</v>
      </c>
      <c r="AD58" s="476">
        <v>-41</v>
      </c>
      <c r="AE58" s="455">
        <v>-33</v>
      </c>
      <c r="AF58" s="455">
        <f t="shared" si="29"/>
        <v>8</v>
      </c>
      <c r="AG58" s="475">
        <f t="shared" si="30"/>
        <v>0.83345101227537599</v>
      </c>
      <c r="AH58" s="476">
        <v>-959</v>
      </c>
      <c r="AI58" s="455">
        <v>869</v>
      </c>
      <c r="AJ58" s="455">
        <f t="shared" si="31"/>
        <v>1828</v>
      </c>
      <c r="AK58" s="475">
        <f t="shared" si="32"/>
        <v>190.44355630492342</v>
      </c>
      <c r="AL58" s="476">
        <v>393.2</v>
      </c>
      <c r="AM58" s="455">
        <v>469.4</v>
      </c>
      <c r="AN58" s="455">
        <f t="shared" si="33"/>
        <v>76.199999999999989</v>
      </c>
      <c r="AO58" s="475">
        <f t="shared" si="34"/>
        <v>7.9386208919229553</v>
      </c>
      <c r="AP58" s="476">
        <v>314.917464</v>
      </c>
      <c r="AQ58" s="455">
        <v>376.72706699999998</v>
      </c>
      <c r="AR58" s="455">
        <f t="shared" si="35"/>
        <v>61.809602999999981</v>
      </c>
      <c r="AS58" s="475">
        <f t="shared" si="36"/>
        <v>6.4394095235861375</v>
      </c>
      <c r="AT58" s="476">
        <v>0.7</v>
      </c>
      <c r="AU58" s="455">
        <v>0.7</v>
      </c>
      <c r="AV58" s="455">
        <f t="shared" si="37"/>
        <v>0</v>
      </c>
      <c r="AW58" s="475">
        <f t="shared" si="38"/>
        <v>0</v>
      </c>
      <c r="AX58" s="476">
        <v>2.5</v>
      </c>
      <c r="AY58" s="455">
        <v>3</v>
      </c>
      <c r="AZ58" s="455">
        <f t="shared" si="39"/>
        <v>0.5</v>
      </c>
      <c r="BA58" s="475">
        <f t="shared" si="40"/>
        <v>5.2090688267210999E-2</v>
      </c>
      <c r="BB58" s="476">
        <v>-12.4</v>
      </c>
      <c r="BC58" s="455">
        <v>-13.72</v>
      </c>
      <c r="BD58" s="455">
        <f t="shared" si="41"/>
        <v>-1.3200000000000003</v>
      </c>
      <c r="BE58" s="455">
        <v>-7.2461330000000004</v>
      </c>
      <c r="BF58" s="475">
        <f t="shared" si="42"/>
        <v>-0.13751941702543707</v>
      </c>
      <c r="BG58" s="443">
        <v>99.9</v>
      </c>
      <c r="BH58" s="443">
        <v>97.8</v>
      </c>
      <c r="BI58" s="443">
        <f t="shared" si="43"/>
        <v>-2.1000000000000085</v>
      </c>
      <c r="BJ58" s="495">
        <v>6.4</v>
      </c>
      <c r="BK58" s="495">
        <v>7</v>
      </c>
      <c r="BL58" s="495">
        <f t="shared" si="44"/>
        <v>0.59999999999999964</v>
      </c>
      <c r="BM58" s="495">
        <v>0</v>
      </c>
      <c r="BN58" s="495">
        <v>0</v>
      </c>
      <c r="BO58" s="495">
        <f t="shared" si="45"/>
        <v>0</v>
      </c>
      <c r="BP58" s="443"/>
      <c r="BQ58" s="443"/>
      <c r="BR58" s="443"/>
      <c r="BS58" s="443"/>
      <c r="BT58" s="466" t="s">
        <v>723</v>
      </c>
      <c r="BU58" s="447">
        <v>157.49774891000001</v>
      </c>
      <c r="BV58" s="447">
        <v>8.8028604999999995</v>
      </c>
      <c r="BW58" s="447">
        <v>535.03153830999997</v>
      </c>
      <c r="BX58" s="447">
        <v>491.74400000000003</v>
      </c>
      <c r="BY58" s="447">
        <v>6.3553100699999998</v>
      </c>
      <c r="BZ58" s="447">
        <v>6.3098098399999998</v>
      </c>
      <c r="CA58" s="447">
        <v>0.36383186000000001</v>
      </c>
      <c r="CB58" s="447">
        <v>9.5986916799999999</v>
      </c>
      <c r="CC58" s="447">
        <v>9.5638951799999994</v>
      </c>
      <c r="CD58" s="447">
        <v>0.35471332999999999</v>
      </c>
      <c r="CE58" s="447">
        <v>0.72110304999999997</v>
      </c>
      <c r="CF58" s="447">
        <v>9.3734590000000007E-2</v>
      </c>
      <c r="CG58" s="447"/>
    </row>
    <row r="59" spans="1:85" s="449" customFormat="1" ht="22.5">
      <c r="A59" s="500">
        <v>62005023</v>
      </c>
      <c r="B59" s="491" t="s">
        <v>848</v>
      </c>
      <c r="C59" s="500" t="s">
        <v>695</v>
      </c>
      <c r="D59" s="473" t="s">
        <v>781</v>
      </c>
      <c r="E59" s="448" t="s">
        <v>782</v>
      </c>
      <c r="F59" s="481" t="str">
        <f t="shared" si="23"/>
        <v>05/29/20</v>
      </c>
      <c r="G59" s="466" t="s">
        <v>783</v>
      </c>
      <c r="H59" s="466" t="s">
        <v>708</v>
      </c>
      <c r="I59" s="474"/>
      <c r="J59" s="467">
        <v>25.433150999999999</v>
      </c>
      <c r="K59" s="467">
        <v>38.145283999999997</v>
      </c>
      <c r="L59" s="467">
        <v>29.244966000000002</v>
      </c>
      <c r="M59" s="467">
        <v>28.140905</v>
      </c>
      <c r="N59" s="450">
        <v>4250</v>
      </c>
      <c r="O59" s="450">
        <v>38.71</v>
      </c>
      <c r="P59" s="450">
        <v>3.0499999999999999E-2</v>
      </c>
      <c r="Q59" s="450">
        <v>1.4999999999999999E-2</v>
      </c>
      <c r="R59" s="451">
        <v>5.0215593800000002</v>
      </c>
      <c r="S59" s="451">
        <f t="shared" si="24"/>
        <v>14.620203910000001</v>
      </c>
      <c r="T59" s="492">
        <v>79</v>
      </c>
      <c r="U59" s="492">
        <v>77.8</v>
      </c>
      <c r="V59" s="455">
        <v>17671</v>
      </c>
      <c r="W59" s="455">
        <v>18696</v>
      </c>
      <c r="X59" s="455">
        <f t="shared" si="25"/>
        <v>1025</v>
      </c>
      <c r="Y59" s="455">
        <f t="shared" si="26"/>
        <v>204.11986047250525</v>
      </c>
      <c r="Z59" s="476">
        <v>17674</v>
      </c>
      <c r="AA59" s="455">
        <v>18699</v>
      </c>
      <c r="AB59" s="455">
        <f t="shared" si="27"/>
        <v>1025</v>
      </c>
      <c r="AC59" s="475">
        <f t="shared" si="28"/>
        <v>204.11986047250525</v>
      </c>
      <c r="AD59" s="476">
        <v>-8</v>
      </c>
      <c r="AE59" s="455">
        <v>-6</v>
      </c>
      <c r="AF59" s="455">
        <f t="shared" si="29"/>
        <v>2</v>
      </c>
      <c r="AG59" s="475">
        <f t="shared" si="30"/>
        <v>0.39828265458049805</v>
      </c>
      <c r="AH59" s="476">
        <v>16813</v>
      </c>
      <c r="AI59" s="455">
        <v>17791</v>
      </c>
      <c r="AJ59" s="455">
        <f t="shared" si="31"/>
        <v>978</v>
      </c>
      <c r="AK59" s="475">
        <f t="shared" si="32"/>
        <v>194.76021808986354</v>
      </c>
      <c r="AL59" s="476">
        <v>843.94055700000001</v>
      </c>
      <c r="AM59" s="455">
        <v>887.3</v>
      </c>
      <c r="AN59" s="455">
        <f t="shared" si="33"/>
        <v>43.359442999999942</v>
      </c>
      <c r="AO59" s="475">
        <f t="shared" si="34"/>
        <v>8.6346570295858847</v>
      </c>
      <c r="AP59" s="476">
        <v>678.99216699999999</v>
      </c>
      <c r="AQ59" s="455">
        <v>714.52276700000004</v>
      </c>
      <c r="AR59" s="455">
        <f t="shared" si="35"/>
        <v>35.530600000000049</v>
      </c>
      <c r="AS59" s="475">
        <f t="shared" si="36"/>
        <v>7.0756108434189313</v>
      </c>
      <c r="AT59" s="476">
        <v>0.8</v>
      </c>
      <c r="AU59" s="455">
        <v>0.7</v>
      </c>
      <c r="AV59" s="455">
        <f t="shared" si="37"/>
        <v>-0.10000000000000009</v>
      </c>
      <c r="AW59" s="475">
        <f t="shared" si="38"/>
        <v>-1.9914132729024921E-2</v>
      </c>
      <c r="AX59" s="476">
        <v>5.0999999999999996</v>
      </c>
      <c r="AY59" s="455">
        <v>5.3</v>
      </c>
      <c r="AZ59" s="455">
        <f t="shared" si="39"/>
        <v>0.20000000000000018</v>
      </c>
      <c r="BA59" s="475">
        <f t="shared" si="40"/>
        <v>3.9828265458049843E-2</v>
      </c>
      <c r="BB59" s="476">
        <v>-18.13</v>
      </c>
      <c r="BC59" s="455">
        <v>-19.260000000000002</v>
      </c>
      <c r="BD59" s="455">
        <f t="shared" si="41"/>
        <v>-1.1300000000000026</v>
      </c>
      <c r="BE59" s="455">
        <v>-11.345499</v>
      </c>
      <c r="BF59" s="475">
        <f t="shared" si="42"/>
        <v>-0.22502969983798191</v>
      </c>
      <c r="BG59" s="443">
        <v>79</v>
      </c>
      <c r="BH59" s="443">
        <v>77.8</v>
      </c>
      <c r="BI59" s="443">
        <f t="shared" si="43"/>
        <v>-1.2000000000000028</v>
      </c>
      <c r="BJ59" s="495">
        <v>14.9</v>
      </c>
      <c r="BK59" s="495">
        <v>15.2</v>
      </c>
      <c r="BL59" s="495">
        <f t="shared" si="44"/>
        <v>0.29999999999999893</v>
      </c>
      <c r="BM59" s="495">
        <v>0</v>
      </c>
      <c r="BN59" s="495">
        <v>0</v>
      </c>
      <c r="BO59" s="495">
        <f t="shared" si="45"/>
        <v>0</v>
      </c>
      <c r="BP59" s="443"/>
      <c r="BQ59" s="443"/>
      <c r="BR59" s="443"/>
      <c r="BS59" s="443"/>
      <c r="BT59" s="466" t="s">
        <v>723</v>
      </c>
      <c r="BU59" s="447">
        <v>366.39049557999999</v>
      </c>
      <c r="BV59" s="447">
        <v>4.3408764499999997</v>
      </c>
      <c r="BW59" s="447">
        <v>513.08999946999995</v>
      </c>
      <c r="BX59" s="447">
        <v>491.74400000000003</v>
      </c>
      <c r="BY59" s="447">
        <v>3.4953988499999999</v>
      </c>
      <c r="BZ59" s="447">
        <v>3.4718269400000001</v>
      </c>
      <c r="CA59" s="447">
        <v>0.36154090999999999</v>
      </c>
      <c r="CB59" s="447">
        <v>5.0215637800000001</v>
      </c>
      <c r="CC59" s="447">
        <v>5.0034741699999996</v>
      </c>
      <c r="CD59" s="447">
        <v>0.31526663999999999</v>
      </c>
      <c r="CE59" s="447">
        <v>0.67894805000000003</v>
      </c>
      <c r="CF59" s="447">
        <v>0.17035626000000001</v>
      </c>
      <c r="CG59" s="447"/>
    </row>
    <row r="60" spans="1:85" s="449" customFormat="1">
      <c r="A60" s="500">
        <v>62005024</v>
      </c>
      <c r="B60" s="491" t="s">
        <v>849</v>
      </c>
      <c r="C60" s="500" t="s">
        <v>695</v>
      </c>
      <c r="D60" s="473" t="s">
        <v>739</v>
      </c>
      <c r="E60" s="448" t="s">
        <v>784</v>
      </c>
      <c r="F60" s="481" t="str">
        <f t="shared" si="23"/>
        <v>05/29/20</v>
      </c>
      <c r="G60" s="466" t="s">
        <v>785</v>
      </c>
      <c r="H60" s="466" t="s">
        <v>708</v>
      </c>
      <c r="I60" s="474"/>
      <c r="J60" s="467">
        <v>21.943166999999999</v>
      </c>
      <c r="K60" s="467">
        <v>45.711728999999998</v>
      </c>
      <c r="L60" s="467">
        <v>29.232669999999999</v>
      </c>
      <c r="M60" s="467">
        <v>32.175196</v>
      </c>
      <c r="N60" s="450">
        <v>4250</v>
      </c>
      <c r="O60" s="450">
        <v>38.71</v>
      </c>
      <c r="P60" s="450">
        <v>3.0499999999999999E-2</v>
      </c>
      <c r="Q60" s="450">
        <v>1.4999999999999999E-2</v>
      </c>
      <c r="R60" s="451">
        <v>7.7510637600000001</v>
      </c>
      <c r="S60" s="451">
        <f t="shared" si="24"/>
        <v>12.77262314</v>
      </c>
      <c r="T60" s="492">
        <v>70.8</v>
      </c>
      <c r="U60" s="492">
        <v>68.7</v>
      </c>
      <c r="V60" s="455">
        <v>24228</v>
      </c>
      <c r="W60" s="455">
        <v>25928</v>
      </c>
      <c r="X60" s="455">
        <f t="shared" si="25"/>
        <v>1700</v>
      </c>
      <c r="Y60" s="455">
        <f t="shared" si="26"/>
        <v>219.32473433814198</v>
      </c>
      <c r="Z60" s="476">
        <v>24236</v>
      </c>
      <c r="AA60" s="455">
        <v>25936</v>
      </c>
      <c r="AB60" s="455">
        <f t="shared" si="27"/>
        <v>1700</v>
      </c>
      <c r="AC60" s="475">
        <f t="shared" si="28"/>
        <v>219.32473433814198</v>
      </c>
      <c r="AD60" s="476">
        <v>1103</v>
      </c>
      <c r="AE60" s="455">
        <v>1173</v>
      </c>
      <c r="AF60" s="455">
        <f t="shared" si="29"/>
        <v>70</v>
      </c>
      <c r="AG60" s="475">
        <f t="shared" si="30"/>
        <v>9.0310184727470233</v>
      </c>
      <c r="AH60" s="476">
        <v>21202</v>
      </c>
      <c r="AI60" s="455">
        <v>22747</v>
      </c>
      <c r="AJ60" s="455">
        <f t="shared" si="31"/>
        <v>1545</v>
      </c>
      <c r="AK60" s="475">
        <f t="shared" si="32"/>
        <v>199.32747914848787</v>
      </c>
      <c r="AL60" s="476">
        <v>998.4</v>
      </c>
      <c r="AM60" s="455">
        <v>1085.5999999999999</v>
      </c>
      <c r="AN60" s="455">
        <f t="shared" si="33"/>
        <v>87.199999999999932</v>
      </c>
      <c r="AO60" s="475">
        <f t="shared" si="34"/>
        <v>11.250068726050568</v>
      </c>
      <c r="AP60" s="476">
        <v>803.98231599999997</v>
      </c>
      <c r="AQ60" s="455">
        <v>874.73177999999996</v>
      </c>
      <c r="AR60" s="455">
        <f t="shared" si="35"/>
        <v>70.749463999999989</v>
      </c>
      <c r="AS60" s="475">
        <f t="shared" si="36"/>
        <v>9.127710233156435</v>
      </c>
      <c r="AT60" s="476">
        <v>0.7</v>
      </c>
      <c r="AU60" s="455">
        <v>0.7</v>
      </c>
      <c r="AV60" s="455">
        <f t="shared" si="37"/>
        <v>0</v>
      </c>
      <c r="AW60" s="475">
        <f t="shared" si="38"/>
        <v>0</v>
      </c>
      <c r="AX60" s="476">
        <v>5.7</v>
      </c>
      <c r="AY60" s="455">
        <v>6.1</v>
      </c>
      <c r="AZ60" s="455">
        <f t="shared" si="39"/>
        <v>0.39999999999999947</v>
      </c>
      <c r="BA60" s="475">
        <f t="shared" si="40"/>
        <v>5.1605819844268638E-2</v>
      </c>
      <c r="BB60" s="476">
        <v>-20.62</v>
      </c>
      <c r="BC60" s="455">
        <v>-21.41</v>
      </c>
      <c r="BD60" s="455">
        <f t="shared" si="41"/>
        <v>-0.78999999999999915</v>
      </c>
      <c r="BE60" s="455">
        <v>-3.4025780000000001</v>
      </c>
      <c r="BF60" s="475">
        <f t="shared" si="42"/>
        <v>-0.10192149419243059</v>
      </c>
      <c r="BG60" s="443">
        <v>70.8</v>
      </c>
      <c r="BH60" s="443">
        <v>68.7</v>
      </c>
      <c r="BI60" s="443">
        <f t="shared" si="43"/>
        <v>-2.0999999999999943</v>
      </c>
      <c r="BJ60" s="495">
        <v>16.2</v>
      </c>
      <c r="BK60" s="495">
        <v>17</v>
      </c>
      <c r="BL60" s="495">
        <f t="shared" si="44"/>
        <v>0.80000000000000071</v>
      </c>
      <c r="BM60" s="495">
        <v>0</v>
      </c>
      <c r="BN60" s="495">
        <v>0</v>
      </c>
      <c r="BO60" s="495">
        <f t="shared" si="45"/>
        <v>0</v>
      </c>
      <c r="BP60" s="443"/>
      <c r="BQ60" s="443"/>
      <c r="BR60" s="443"/>
      <c r="BS60" s="443"/>
      <c r="BT60" s="466" t="s">
        <v>723</v>
      </c>
      <c r="BU60" s="447">
        <v>1658.9137670499999</v>
      </c>
      <c r="BV60" s="447">
        <v>-2.1826188900000001</v>
      </c>
      <c r="BW60" s="447">
        <v>5105.8120970099999</v>
      </c>
      <c r="BX60" s="447">
        <v>5219.7391089800003</v>
      </c>
      <c r="BY60" s="447">
        <v>8.8396238100000009</v>
      </c>
      <c r="BZ60" s="447">
        <v>9.03211765</v>
      </c>
      <c r="CA60" s="447">
        <v>0.24125822</v>
      </c>
      <c r="CB60" s="447">
        <v>7.7509927200000002</v>
      </c>
      <c r="CC60" s="447">
        <v>7.7323378199999997</v>
      </c>
      <c r="CD60" s="447">
        <v>-2.4241367600000001</v>
      </c>
      <c r="CE60" s="447">
        <v>-2.1312149800000002</v>
      </c>
      <c r="CF60" s="447">
        <v>0.73999477999999996</v>
      </c>
      <c r="CG60" s="447"/>
    </row>
    <row r="61" spans="1:85" s="449" customFormat="1">
      <c r="A61" s="500">
        <v>62005025</v>
      </c>
      <c r="B61" s="491" t="s">
        <v>826</v>
      </c>
      <c r="C61" s="500" t="s">
        <v>695</v>
      </c>
      <c r="D61" s="473" t="s">
        <v>716</v>
      </c>
      <c r="E61" s="448" t="s">
        <v>789</v>
      </c>
      <c r="F61" s="481" t="str">
        <f t="shared" si="23"/>
        <v>05/29/20</v>
      </c>
      <c r="G61" s="466" t="s">
        <v>790</v>
      </c>
      <c r="H61" s="466" t="s">
        <v>708</v>
      </c>
      <c r="I61" s="474"/>
      <c r="J61" s="467">
        <v>20.007359999999998</v>
      </c>
      <c r="K61" s="467">
        <v>54.846052999999998</v>
      </c>
      <c r="L61" s="467">
        <v>29.235671</v>
      </c>
      <c r="M61" s="467">
        <v>30.879362</v>
      </c>
      <c r="N61" s="450">
        <v>4250</v>
      </c>
      <c r="O61" s="450">
        <v>38.71</v>
      </c>
      <c r="P61" s="450">
        <v>3.0499999999999999E-2</v>
      </c>
      <c r="Q61" s="450">
        <v>1.4999999999999999E-2</v>
      </c>
      <c r="R61" s="451">
        <v>5.2986867499999999</v>
      </c>
      <c r="S61" s="451">
        <f t="shared" si="24"/>
        <v>13.049750509999999</v>
      </c>
      <c r="T61" s="492">
        <v>68.7</v>
      </c>
      <c r="U61" s="492">
        <v>64.7</v>
      </c>
      <c r="V61" s="455">
        <v>25953</v>
      </c>
      <c r="W61" s="455">
        <v>28562</v>
      </c>
      <c r="X61" s="455">
        <f t="shared" si="25"/>
        <v>2609</v>
      </c>
      <c r="Y61" s="455">
        <f t="shared" si="26"/>
        <v>492.38615587154686</v>
      </c>
      <c r="Z61" s="476">
        <v>25962</v>
      </c>
      <c r="AA61" s="455">
        <v>28577</v>
      </c>
      <c r="AB61" s="455">
        <f t="shared" si="27"/>
        <v>2615</v>
      </c>
      <c r="AC61" s="475">
        <f t="shared" si="28"/>
        <v>493.51851192184557</v>
      </c>
      <c r="AD61" s="476">
        <v>1173</v>
      </c>
      <c r="AE61" s="455">
        <v>3890</v>
      </c>
      <c r="AF61" s="455">
        <f t="shared" si="29"/>
        <v>2717</v>
      </c>
      <c r="AG61" s="475">
        <f t="shared" si="30"/>
        <v>512.76856477692331</v>
      </c>
      <c r="AH61" s="476">
        <v>22748</v>
      </c>
      <c r="AI61" s="455">
        <v>20971</v>
      </c>
      <c r="AJ61" s="455">
        <f t="shared" si="31"/>
        <v>-1777</v>
      </c>
      <c r="AK61" s="475">
        <f t="shared" si="32"/>
        <v>-335.36611689679523</v>
      </c>
      <c r="AL61" s="476">
        <v>1109.5999999999999</v>
      </c>
      <c r="AM61" s="455">
        <v>1232.5999999999999</v>
      </c>
      <c r="AN61" s="455">
        <f t="shared" si="33"/>
        <v>123</v>
      </c>
      <c r="AO61" s="475">
        <f t="shared" si="34"/>
        <v>23.213299031123135</v>
      </c>
      <c r="AP61" s="476">
        <v>892.61167699999999</v>
      </c>
      <c r="AQ61" s="455">
        <v>995.69</v>
      </c>
      <c r="AR61" s="455">
        <f t="shared" si="35"/>
        <v>103.07832300000007</v>
      </c>
      <c r="AS61" s="475">
        <f t="shared" si="36"/>
        <v>19.453560450615441</v>
      </c>
      <c r="AT61" s="476">
        <v>0.7</v>
      </c>
      <c r="AU61" s="455">
        <v>0.7</v>
      </c>
      <c r="AV61" s="455">
        <f t="shared" si="37"/>
        <v>0</v>
      </c>
      <c r="AW61" s="475">
        <f t="shared" si="38"/>
        <v>0</v>
      </c>
      <c r="AX61" s="476">
        <v>6.2</v>
      </c>
      <c r="AY61" s="455">
        <v>6.6</v>
      </c>
      <c r="AZ61" s="455">
        <f t="shared" si="39"/>
        <v>0.39999999999999947</v>
      </c>
      <c r="BA61" s="475">
        <f t="shared" si="40"/>
        <v>7.5490403353245875E-2</v>
      </c>
      <c r="BB61" s="476">
        <v>-21.71</v>
      </c>
      <c r="BC61" s="455">
        <v>-22.54</v>
      </c>
      <c r="BD61" s="455">
        <f t="shared" si="41"/>
        <v>-0.82999999999999829</v>
      </c>
      <c r="BE61" s="455">
        <v>-3.0698500000000002</v>
      </c>
      <c r="BF61" s="475">
        <f t="shared" si="42"/>
        <v>-0.15664258695798508</v>
      </c>
      <c r="BG61" s="443">
        <v>68.7</v>
      </c>
      <c r="BH61" s="443">
        <v>64.7</v>
      </c>
      <c r="BI61" s="443">
        <f t="shared" si="43"/>
        <v>-4</v>
      </c>
      <c r="BJ61" s="495">
        <v>17.399999999999999</v>
      </c>
      <c r="BK61" s="495">
        <v>18.3</v>
      </c>
      <c r="BL61" s="495">
        <f t="shared" si="44"/>
        <v>0.90000000000000213</v>
      </c>
      <c r="BM61" s="495">
        <v>0</v>
      </c>
      <c r="BN61" s="495">
        <v>0</v>
      </c>
      <c r="BO61" s="495">
        <f t="shared" si="45"/>
        <v>0</v>
      </c>
      <c r="BP61" s="443"/>
      <c r="BQ61" s="443"/>
      <c r="BR61" s="443"/>
      <c r="BS61" s="443"/>
      <c r="BT61" s="466" t="s">
        <v>723</v>
      </c>
      <c r="BU61" s="447"/>
      <c r="BV61" s="447"/>
      <c r="BW61" s="447"/>
      <c r="BX61" s="447"/>
      <c r="BY61" s="447"/>
      <c r="BZ61" s="447"/>
      <c r="CA61" s="447"/>
      <c r="CB61" s="447"/>
      <c r="CC61" s="447"/>
      <c r="CD61" s="447"/>
      <c r="CE61" s="447"/>
      <c r="CF61" s="447"/>
      <c r="CG61" s="447"/>
    </row>
    <row r="62" spans="1:85" s="449" customFormat="1" ht="22.5">
      <c r="A62" s="500">
        <v>62005026</v>
      </c>
      <c r="B62" s="491" t="s">
        <v>850</v>
      </c>
      <c r="C62" s="500" t="s">
        <v>695</v>
      </c>
      <c r="D62" s="473" t="s">
        <v>763</v>
      </c>
      <c r="E62" s="448" t="s">
        <v>791</v>
      </c>
      <c r="F62" s="481" t="str">
        <f t="shared" si="23"/>
        <v>05/29/20</v>
      </c>
      <c r="G62" s="466" t="s">
        <v>792</v>
      </c>
      <c r="H62" s="466" t="s">
        <v>793</v>
      </c>
      <c r="I62" s="474"/>
      <c r="J62" s="467">
        <v>-123.43070299999999</v>
      </c>
      <c r="K62" s="467">
        <v>-166.368314</v>
      </c>
      <c r="L62" s="467">
        <v>-136.891817</v>
      </c>
      <c r="M62" s="467">
        <v>-162.24340100000001</v>
      </c>
      <c r="N62" s="450">
        <v>4250</v>
      </c>
      <c r="O62" s="450">
        <v>38.71</v>
      </c>
      <c r="P62" s="450">
        <v>3.0499999999999999E-2</v>
      </c>
      <c r="Q62" s="450">
        <v>1.4999999999999999E-2</v>
      </c>
      <c r="R62" s="451">
        <v>96.601136580000002</v>
      </c>
      <c r="S62" s="451">
        <f t="shared" si="24"/>
        <v>101.89982333</v>
      </c>
      <c r="T62" s="492">
        <v>64.599999999999994</v>
      </c>
      <c r="U62" s="492">
        <v>2</v>
      </c>
      <c r="V62" s="455">
        <v>28626</v>
      </c>
      <c r="W62" s="455">
        <v>74425</v>
      </c>
      <c r="X62" s="455">
        <f t="shared" si="25"/>
        <v>45799</v>
      </c>
      <c r="Y62" s="455">
        <f t="shared" si="26"/>
        <v>474.10415261596501</v>
      </c>
      <c r="Z62" s="476">
        <v>28641</v>
      </c>
      <c r="AA62" s="455">
        <v>74447</v>
      </c>
      <c r="AB62" s="455">
        <f t="shared" si="27"/>
        <v>45806</v>
      </c>
      <c r="AC62" s="475">
        <f t="shared" si="28"/>
        <v>474.17661553149395</v>
      </c>
      <c r="AD62" s="476">
        <v>3891</v>
      </c>
      <c r="AE62" s="455">
        <v>3900</v>
      </c>
      <c r="AF62" s="455">
        <f t="shared" si="29"/>
        <v>9</v>
      </c>
      <c r="AG62" s="475">
        <f t="shared" si="30"/>
        <v>9.3166605680117143E-2</v>
      </c>
      <c r="AH62" s="476">
        <v>20973</v>
      </c>
      <c r="AI62" s="455">
        <v>66110</v>
      </c>
      <c r="AJ62" s="455">
        <f t="shared" si="31"/>
        <v>45137</v>
      </c>
      <c r="AK62" s="475">
        <f t="shared" si="32"/>
        <v>467.25123117593859</v>
      </c>
      <c r="AL62" s="476">
        <v>1294.8</v>
      </c>
      <c r="AM62" s="455">
        <v>1926.1</v>
      </c>
      <c r="AN62" s="455">
        <f t="shared" si="33"/>
        <v>631.29999999999995</v>
      </c>
      <c r="AO62" s="475">
        <f t="shared" si="34"/>
        <v>6.5351197962064385</v>
      </c>
      <c r="AP62" s="476">
        <v>1045.02088</v>
      </c>
      <c r="AQ62" s="455">
        <v>1577.84</v>
      </c>
      <c r="AR62" s="455">
        <f t="shared" si="35"/>
        <v>532.81911999999988</v>
      </c>
      <c r="AS62" s="475">
        <f t="shared" si="36"/>
        <v>5.5156609835407782</v>
      </c>
      <c r="AT62" s="476">
        <v>0.6</v>
      </c>
      <c r="AU62" s="455">
        <v>-0.5</v>
      </c>
      <c r="AV62" s="455">
        <f t="shared" si="37"/>
        <v>-1.1000000000000001</v>
      </c>
      <c r="AW62" s="475">
        <f t="shared" si="38"/>
        <v>-1.138702958312543E-2</v>
      </c>
      <c r="AX62" s="476">
        <v>6.9</v>
      </c>
      <c r="AY62" s="455">
        <v>8.6999999999999993</v>
      </c>
      <c r="AZ62" s="455">
        <f t="shared" si="39"/>
        <v>1.7999999999999989</v>
      </c>
      <c r="BA62" s="475">
        <f t="shared" si="40"/>
        <v>1.8633321136023416E-2</v>
      </c>
      <c r="BB62" s="476">
        <v>-23.1</v>
      </c>
      <c r="BC62" s="455">
        <v>-26.07</v>
      </c>
      <c r="BD62" s="455">
        <f t="shared" si="41"/>
        <v>-2.9699999999999989</v>
      </c>
      <c r="BE62" s="455">
        <v>4.1660820000000003</v>
      </c>
      <c r="BF62" s="475">
        <f t="shared" si="42"/>
        <v>-3.0744979874438645E-2</v>
      </c>
      <c r="BG62" s="443">
        <v>64.599999999999994</v>
      </c>
      <c r="BH62" s="443">
        <v>2</v>
      </c>
      <c r="BI62" s="443">
        <f t="shared" si="43"/>
        <v>-62.599999999999994</v>
      </c>
      <c r="BJ62" s="495">
        <v>18.899999999999999</v>
      </c>
      <c r="BK62" s="495">
        <v>24</v>
      </c>
      <c r="BL62" s="495">
        <f t="shared" si="44"/>
        <v>5.1000000000000014</v>
      </c>
      <c r="BM62" s="495">
        <v>0</v>
      </c>
      <c r="BN62" s="495">
        <v>0</v>
      </c>
      <c r="BO62" s="495">
        <f t="shared" si="45"/>
        <v>0</v>
      </c>
      <c r="BP62" s="443"/>
      <c r="BQ62" s="443"/>
      <c r="BR62" s="443"/>
      <c r="BS62" s="443"/>
      <c r="BT62" s="466" t="s">
        <v>723</v>
      </c>
      <c r="BU62" s="447">
        <v>23.555344219999999</v>
      </c>
      <c r="BV62" s="447">
        <v>49.134953439999997</v>
      </c>
      <c r="BW62" s="447">
        <v>866.70076458999995</v>
      </c>
      <c r="BX62" s="447">
        <v>581.15200000000004</v>
      </c>
      <c r="BY62" s="447">
        <v>72.687418210000004</v>
      </c>
      <c r="BZ62" s="447">
        <v>73.127316859999993</v>
      </c>
      <c r="CA62" s="447">
        <v>-0.54882671000000005</v>
      </c>
      <c r="CB62" s="447">
        <v>96.601273590000005</v>
      </c>
      <c r="CC62" s="447">
        <v>97.134372970000001</v>
      </c>
      <c r="CD62" s="447">
        <v>-5.304412E-2</v>
      </c>
      <c r="CE62" s="447">
        <v>-0.60155174</v>
      </c>
      <c r="CF62" s="447">
        <v>1.129634E-2</v>
      </c>
      <c r="CG62" s="447"/>
    </row>
    <row r="63" spans="1:85" s="449" customFormat="1">
      <c r="A63" s="500">
        <v>62005027</v>
      </c>
      <c r="B63" s="491" t="s">
        <v>915</v>
      </c>
      <c r="C63" s="500" t="s">
        <v>695</v>
      </c>
      <c r="D63" s="473" t="s">
        <v>794</v>
      </c>
      <c r="E63" s="448" t="s">
        <v>795</v>
      </c>
      <c r="F63" s="481" t="str">
        <f t="shared" si="23"/>
        <v>05/29/20</v>
      </c>
      <c r="G63" s="466" t="s">
        <v>796</v>
      </c>
      <c r="H63" s="466" t="s">
        <v>708</v>
      </c>
      <c r="I63" s="474"/>
      <c r="J63" s="467">
        <v>-220.45034899999999</v>
      </c>
      <c r="K63" s="467">
        <v>-464.19694099999998</v>
      </c>
      <c r="L63" s="467">
        <v>-296.01188999999999</v>
      </c>
      <c r="M63" s="467">
        <v>-216.419206</v>
      </c>
      <c r="N63" s="450">
        <v>4250</v>
      </c>
      <c r="O63" s="450">
        <v>38.71</v>
      </c>
      <c r="P63" s="450">
        <v>3.0499999999999999E-2</v>
      </c>
      <c r="Q63" s="450">
        <v>1.4999999999999999E-2</v>
      </c>
      <c r="R63" s="451">
        <v>0.11110056</v>
      </c>
      <c r="S63" s="451">
        <f t="shared" si="24"/>
        <v>96.712237139999999</v>
      </c>
      <c r="T63" s="492">
        <v>2</v>
      </c>
      <c r="U63" s="492">
        <v>91.3</v>
      </c>
      <c r="V63" s="455">
        <v>-4398</v>
      </c>
      <c r="W63" s="455">
        <v>-72187</v>
      </c>
      <c r="X63" s="455">
        <f t="shared" si="25"/>
        <v>-67789</v>
      </c>
      <c r="Y63" s="455">
        <f t="shared" si="26"/>
        <v>-610158.94069300825</v>
      </c>
      <c r="Z63" s="476">
        <v>-4419</v>
      </c>
      <c r="AA63" s="455">
        <v>-72961</v>
      </c>
      <c r="AB63" s="455">
        <f t="shared" si="27"/>
        <v>-68542</v>
      </c>
      <c r="AC63" s="475">
        <f t="shared" si="28"/>
        <v>-616936.58429804491</v>
      </c>
      <c r="AD63" s="476">
        <v>12</v>
      </c>
      <c r="AE63" s="455">
        <v>292</v>
      </c>
      <c r="AF63" s="455">
        <f t="shared" si="29"/>
        <v>280</v>
      </c>
      <c r="AG63" s="475">
        <f t="shared" si="30"/>
        <v>2520.2393219260102</v>
      </c>
      <c r="AH63" s="476">
        <v>35</v>
      </c>
      <c r="AI63" s="455">
        <v>752</v>
      </c>
      <c r="AJ63" s="455">
        <f t="shared" si="31"/>
        <v>717</v>
      </c>
      <c r="AK63" s="475">
        <f t="shared" si="32"/>
        <v>6453.6128350748186</v>
      </c>
      <c r="AL63" s="476">
        <v>-6.1</v>
      </c>
      <c r="AM63" s="455">
        <v>-72282.7</v>
      </c>
      <c r="AN63" s="455">
        <f t="shared" si="33"/>
        <v>-72276.599999999991</v>
      </c>
      <c r="AO63" s="475">
        <f t="shared" si="34"/>
        <v>-650551.17633970513</v>
      </c>
      <c r="AP63" s="476">
        <v>0.59164600000000001</v>
      </c>
      <c r="AQ63" s="455">
        <v>4730.03</v>
      </c>
      <c r="AR63" s="455">
        <f t="shared" si="35"/>
        <v>4729.4383539999999</v>
      </c>
      <c r="AS63" s="475">
        <f t="shared" si="36"/>
        <v>42568.987537056521</v>
      </c>
      <c r="AT63" s="476">
        <v>0</v>
      </c>
      <c r="AU63" s="455">
        <v>-11.3</v>
      </c>
      <c r="AV63" s="455">
        <f t="shared" si="37"/>
        <v>-11.3</v>
      </c>
      <c r="AW63" s="475">
        <f t="shared" si="38"/>
        <v>-101.70965834915684</v>
      </c>
      <c r="AX63" s="476">
        <v>0</v>
      </c>
      <c r="AY63" s="455">
        <v>92</v>
      </c>
      <c r="AZ63" s="455">
        <f t="shared" si="39"/>
        <v>92</v>
      </c>
      <c r="BA63" s="475">
        <f t="shared" si="40"/>
        <v>828.0786343471176</v>
      </c>
      <c r="BB63" s="476">
        <v>-43.23</v>
      </c>
      <c r="BC63" s="455">
        <v>-169.54</v>
      </c>
      <c r="BD63" s="455">
        <f t="shared" si="41"/>
        <v>-126.31</v>
      </c>
      <c r="BE63" s="455">
        <v>20.735361999999999</v>
      </c>
      <c r="BF63" s="475">
        <f t="shared" si="42"/>
        <v>-1136.8979598302656</v>
      </c>
      <c r="BG63" s="443">
        <v>2</v>
      </c>
      <c r="BH63" s="443">
        <v>91.3</v>
      </c>
      <c r="BI63" s="443">
        <f t="shared" si="43"/>
        <v>89.3</v>
      </c>
      <c r="BJ63" s="495">
        <v>4325.7</v>
      </c>
      <c r="BK63" s="495">
        <v>88067.6</v>
      </c>
      <c r="BL63" s="495">
        <f t="shared" si="44"/>
        <v>83741.900000000009</v>
      </c>
      <c r="BM63" s="495">
        <v>-4253</v>
      </c>
      <c r="BN63" s="495">
        <v>-86516.2</v>
      </c>
      <c r="BO63" s="495">
        <f t="shared" si="45"/>
        <v>-82263.199999999997</v>
      </c>
      <c r="BP63" s="443"/>
      <c r="BQ63" s="443">
        <f>X63/BO63</f>
        <v>0.82405012204728245</v>
      </c>
      <c r="BR63" s="443"/>
      <c r="BS63" s="443"/>
      <c r="BT63" s="466" t="s">
        <v>719</v>
      </c>
      <c r="BU63" s="447"/>
      <c r="BV63" s="447"/>
      <c r="BW63" s="447"/>
      <c r="BX63" s="447"/>
      <c r="BY63" s="447"/>
      <c r="BZ63" s="447"/>
      <c r="CA63" s="447"/>
      <c r="CB63" s="447"/>
      <c r="CC63" s="447"/>
      <c r="CD63" s="447"/>
      <c r="CE63" s="447"/>
      <c r="CF63" s="447"/>
      <c r="CG63" s="447"/>
    </row>
    <row r="64" spans="1:85" s="488" customFormat="1" ht="15.75">
      <c r="A64" s="480" t="s">
        <v>1241</v>
      </c>
      <c r="B64" s="483"/>
      <c r="C64" s="483"/>
      <c r="D64" s="484"/>
      <c r="E64" s="483"/>
      <c r="F64" s="483"/>
      <c r="G64" s="484"/>
      <c r="H64" s="484"/>
      <c r="I64" s="484"/>
      <c r="J64" s="484"/>
      <c r="K64" s="484"/>
      <c r="L64" s="484"/>
      <c r="M64" s="484"/>
      <c r="N64" s="484"/>
      <c r="O64" s="484"/>
      <c r="P64" s="485"/>
      <c r="Q64" s="486"/>
      <c r="R64" s="483"/>
      <c r="S64" s="483"/>
      <c r="T64" s="483"/>
      <c r="U64" s="483"/>
      <c r="V64" s="483"/>
      <c r="W64" s="483"/>
      <c r="X64" s="483"/>
      <c r="Y64" s="483"/>
      <c r="Z64" s="483"/>
      <c r="AA64" s="483"/>
      <c r="AB64" s="483"/>
      <c r="AC64" s="483"/>
      <c r="AD64" s="483"/>
      <c r="AE64" s="483"/>
      <c r="AF64" s="483"/>
      <c r="AG64" s="483"/>
      <c r="AH64" s="483"/>
      <c r="AI64" s="483"/>
      <c r="AJ64" s="483"/>
      <c r="AK64" s="483"/>
      <c r="AL64" s="483"/>
      <c r="AM64" s="483"/>
      <c r="AN64" s="483"/>
      <c r="AO64" s="483"/>
      <c r="AP64" s="483"/>
      <c r="AQ64" s="483"/>
      <c r="AR64" s="483"/>
      <c r="AS64" s="483"/>
      <c r="AT64" s="483"/>
      <c r="AU64" s="483"/>
      <c r="AV64" s="483"/>
      <c r="AW64" s="483"/>
      <c r="AX64" s="483"/>
      <c r="AY64" s="483"/>
      <c r="AZ64" s="483"/>
      <c r="BA64" s="483"/>
      <c r="BB64" s="483"/>
      <c r="BC64" s="483"/>
      <c r="BD64" s="483"/>
      <c r="BE64" s="483"/>
      <c r="BF64" s="483"/>
      <c r="BG64" s="483"/>
      <c r="BH64" s="483"/>
      <c r="BI64" s="483"/>
      <c r="BJ64" s="483"/>
      <c r="BK64" s="483"/>
      <c r="BL64" s="483"/>
      <c r="BM64" s="483"/>
      <c r="BN64" s="483"/>
      <c r="BO64" s="483"/>
      <c r="BP64" s="483"/>
      <c r="BQ64" s="483"/>
      <c r="BR64" s="483"/>
      <c r="BS64" s="483"/>
      <c r="BT64" s="483"/>
      <c r="BU64" s="483"/>
      <c r="BV64" s="483"/>
      <c r="BW64" s="483"/>
      <c r="BX64" s="483"/>
      <c r="BY64" s="483"/>
      <c r="BZ64" s="483"/>
      <c r="CA64" s="483"/>
      <c r="CB64" s="483"/>
      <c r="CC64" s="483"/>
      <c r="CD64" s="483"/>
      <c r="CE64" s="483"/>
      <c r="CF64" s="490"/>
      <c r="CG64" s="487"/>
    </row>
    <row r="65" spans="1:85" s="449" customFormat="1" ht="22.5">
      <c r="A65" s="500">
        <v>62006001</v>
      </c>
      <c r="B65" s="491" t="s">
        <v>832</v>
      </c>
      <c r="C65" s="491" t="s">
        <v>695</v>
      </c>
      <c r="D65" s="473" t="s">
        <v>752</v>
      </c>
      <c r="E65" s="448" t="s">
        <v>797</v>
      </c>
      <c r="F65" s="481" t="str">
        <f t="shared" si="23"/>
        <v>06/01/20</v>
      </c>
      <c r="G65" s="466" t="s">
        <v>798</v>
      </c>
      <c r="H65" s="466" t="s">
        <v>799</v>
      </c>
      <c r="I65" s="474"/>
      <c r="J65" s="467">
        <v>24.227556</v>
      </c>
      <c r="K65" s="467">
        <v>39.990265000000001</v>
      </c>
      <c r="L65" s="467">
        <v>29.527072</v>
      </c>
      <c r="M65" s="467">
        <v>25.695194999999998</v>
      </c>
      <c r="N65" s="450">
        <v>4250</v>
      </c>
      <c r="O65" s="450">
        <v>38.71</v>
      </c>
      <c r="P65" s="450">
        <v>3.0499999999999999E-2</v>
      </c>
      <c r="Q65" s="450">
        <v>1.4999999999999999E-2</v>
      </c>
      <c r="R65" s="451">
        <v>3.5979848099999998</v>
      </c>
      <c r="S65" s="451">
        <f>R65+R63</f>
        <v>3.7090853699999999</v>
      </c>
      <c r="T65" s="492">
        <v>91.2</v>
      </c>
      <c r="U65" s="492">
        <v>90.4</v>
      </c>
      <c r="V65" s="455">
        <v>16</v>
      </c>
      <c r="W65" s="455">
        <v>719</v>
      </c>
      <c r="X65" s="455">
        <f t="shared" si="25"/>
        <v>703</v>
      </c>
      <c r="Y65" s="455">
        <f t="shared" si="26"/>
        <v>195.38715062001611</v>
      </c>
      <c r="Z65" s="476">
        <v>16</v>
      </c>
      <c r="AA65" s="455">
        <v>718</v>
      </c>
      <c r="AB65" s="455">
        <f t="shared" si="27"/>
        <v>702</v>
      </c>
      <c r="AC65" s="475">
        <f t="shared" si="28"/>
        <v>195.1092172620929</v>
      </c>
      <c r="AD65" s="476">
        <v>0</v>
      </c>
      <c r="AE65" s="455">
        <v>7</v>
      </c>
      <c r="AF65" s="455">
        <f t="shared" si="29"/>
        <v>7</v>
      </c>
      <c r="AG65" s="475">
        <f t="shared" si="30"/>
        <v>1.9455335054624647</v>
      </c>
      <c r="AH65" s="476">
        <v>0</v>
      </c>
      <c r="AI65" s="455">
        <v>638</v>
      </c>
      <c r="AJ65" s="455">
        <f t="shared" si="31"/>
        <v>638</v>
      </c>
      <c r="AK65" s="475">
        <f t="shared" si="32"/>
        <v>177.3214823550075</v>
      </c>
      <c r="AL65" s="476">
        <v>15.9</v>
      </c>
      <c r="AM65" s="455">
        <v>72.599999999999994</v>
      </c>
      <c r="AN65" s="455">
        <f t="shared" si="33"/>
        <v>56.699999999999996</v>
      </c>
      <c r="AO65" s="475">
        <f t="shared" si="34"/>
        <v>15.758821394245963</v>
      </c>
      <c r="AP65" s="476">
        <v>13.032168</v>
      </c>
      <c r="AQ65" s="455">
        <v>58.951802999999998</v>
      </c>
      <c r="AR65" s="455">
        <f t="shared" si="35"/>
        <v>45.919635</v>
      </c>
      <c r="AS65" s="475">
        <f t="shared" si="36"/>
        <v>12.762598350158127</v>
      </c>
      <c r="AT65" s="476">
        <v>0</v>
      </c>
      <c r="AU65" s="455">
        <v>0.2</v>
      </c>
      <c r="AV65" s="455">
        <f t="shared" si="37"/>
        <v>0.2</v>
      </c>
      <c r="AW65" s="475">
        <f t="shared" si="38"/>
        <v>5.5586671584641853E-2</v>
      </c>
      <c r="AX65" s="476">
        <v>0.1</v>
      </c>
      <c r="AY65" s="455">
        <v>0.4</v>
      </c>
      <c r="AZ65" s="455">
        <f t="shared" si="39"/>
        <v>0.30000000000000004</v>
      </c>
      <c r="BA65" s="475">
        <f t="shared" si="40"/>
        <v>8.3380007376962786E-2</v>
      </c>
      <c r="BB65" s="476">
        <v>-1.03</v>
      </c>
      <c r="BC65" s="455">
        <v>-2.09</v>
      </c>
      <c r="BD65" s="455">
        <f t="shared" si="41"/>
        <v>-1.0599999999999998</v>
      </c>
      <c r="BE65" s="455">
        <v>-7.4836770000000001</v>
      </c>
      <c r="BF65" s="475">
        <f t="shared" si="42"/>
        <v>-0.29460935939860178</v>
      </c>
      <c r="BG65" s="443">
        <v>91.2</v>
      </c>
      <c r="BH65" s="443">
        <v>90.4</v>
      </c>
      <c r="BI65" s="443">
        <f t="shared" si="43"/>
        <v>-0.79999999999999716</v>
      </c>
      <c r="BJ65" s="495">
        <v>0.5</v>
      </c>
      <c r="BK65" s="495">
        <v>0.9</v>
      </c>
      <c r="BL65" s="495">
        <f t="shared" si="44"/>
        <v>0.4</v>
      </c>
      <c r="BM65" s="495">
        <v>0</v>
      </c>
      <c r="BN65" s="495">
        <v>0</v>
      </c>
      <c r="BO65" s="495">
        <f t="shared" si="45"/>
        <v>0</v>
      </c>
      <c r="BP65" s="443"/>
      <c r="BQ65" s="443"/>
      <c r="BR65" s="443"/>
      <c r="BS65" s="443"/>
      <c r="BT65" s="466" t="s">
        <v>723</v>
      </c>
      <c r="BU65" s="447">
        <v>2372.4150533400002</v>
      </c>
      <c r="BV65" s="447">
        <v>-1.38253219</v>
      </c>
      <c r="BW65" s="447">
        <v>2020.5326384299999</v>
      </c>
      <c r="BX65" s="447">
        <v>2048.8587703600001</v>
      </c>
      <c r="BY65" s="447">
        <v>3.01503517</v>
      </c>
      <c r="BZ65" s="447">
        <v>3.0320365900000001</v>
      </c>
      <c r="CA65" s="447">
        <v>0.19212475000000001</v>
      </c>
      <c r="CB65" s="447">
        <v>3.59787948</v>
      </c>
      <c r="CC65" s="447">
        <v>3.5909803199999999</v>
      </c>
      <c r="CD65" s="447">
        <v>-0.75709607000000001</v>
      </c>
      <c r="CE65" s="447">
        <v>-0.56072608000000002</v>
      </c>
      <c r="CF65" s="447">
        <v>0.63450872999999997</v>
      </c>
      <c r="CG65" s="447"/>
    </row>
    <row r="66" spans="1:85" s="449" customFormat="1" ht="22.5">
      <c r="A66" s="500">
        <v>62006001</v>
      </c>
      <c r="B66" s="491" t="s">
        <v>831</v>
      </c>
      <c r="C66" s="491" t="s">
        <v>696</v>
      </c>
      <c r="D66" s="473" t="s">
        <v>752</v>
      </c>
      <c r="E66" s="448" t="s">
        <v>797</v>
      </c>
      <c r="F66" s="481" t="str">
        <f t="shared" si="23"/>
        <v>06/01/20</v>
      </c>
      <c r="G66" s="466" t="s">
        <v>798</v>
      </c>
      <c r="H66" s="466" t="s">
        <v>799</v>
      </c>
      <c r="I66" s="474"/>
      <c r="J66" s="467">
        <v>20.739069000000001</v>
      </c>
      <c r="K66" s="467">
        <v>49.616712999999997</v>
      </c>
      <c r="L66" s="467">
        <v>29.516055999999999</v>
      </c>
      <c r="M66" s="467">
        <v>27.744291</v>
      </c>
      <c r="N66" s="450">
        <v>4250</v>
      </c>
      <c r="O66" s="450">
        <v>38.71</v>
      </c>
      <c r="P66" s="450">
        <v>3.0499999999999999E-2</v>
      </c>
      <c r="Q66" s="450">
        <v>1.4999999999999999E-2</v>
      </c>
      <c r="R66" s="451">
        <v>3.8651089500000002</v>
      </c>
      <c r="S66" s="451">
        <f t="shared" si="24"/>
        <v>7.4630937599999996</v>
      </c>
      <c r="T66" s="492">
        <v>90.4</v>
      </c>
      <c r="U66" s="492">
        <v>89.6</v>
      </c>
      <c r="V66" s="455">
        <v>719</v>
      </c>
      <c r="W66" s="455">
        <v>1377</v>
      </c>
      <c r="X66" s="455">
        <f t="shared" si="25"/>
        <v>658</v>
      </c>
      <c r="Y66" s="455">
        <f t="shared" si="26"/>
        <v>170.24099669945915</v>
      </c>
      <c r="Z66" s="476">
        <v>718</v>
      </c>
      <c r="AA66" s="455">
        <v>1376</v>
      </c>
      <c r="AB66" s="455">
        <f t="shared" si="27"/>
        <v>658</v>
      </c>
      <c r="AC66" s="475">
        <f t="shared" si="28"/>
        <v>170.24099669945915</v>
      </c>
      <c r="AD66" s="476">
        <v>7</v>
      </c>
      <c r="AE66" s="455">
        <v>25</v>
      </c>
      <c r="AF66" s="455">
        <f t="shared" si="29"/>
        <v>18</v>
      </c>
      <c r="AG66" s="475">
        <f t="shared" si="30"/>
        <v>4.657048541930493</v>
      </c>
      <c r="AH66" s="476">
        <v>638</v>
      </c>
      <c r="AI66" s="455">
        <v>1185</v>
      </c>
      <c r="AJ66" s="455">
        <f t="shared" si="31"/>
        <v>547</v>
      </c>
      <c r="AK66" s="475">
        <f t="shared" si="32"/>
        <v>141.52253069088775</v>
      </c>
      <c r="AL66" s="476">
        <v>72.599999999999994</v>
      </c>
      <c r="AM66" s="455">
        <v>164.4</v>
      </c>
      <c r="AN66" s="455">
        <f t="shared" si="33"/>
        <v>91.800000000000011</v>
      </c>
      <c r="AO66" s="475">
        <f t="shared" si="34"/>
        <v>23.750947563845518</v>
      </c>
      <c r="AP66" s="476">
        <v>58.971801999999997</v>
      </c>
      <c r="AQ66" s="455">
        <v>133.56124500000001</v>
      </c>
      <c r="AR66" s="455">
        <f t="shared" si="35"/>
        <v>74.589443000000017</v>
      </c>
      <c r="AS66" s="475">
        <f t="shared" si="36"/>
        <v>19.298147598142094</v>
      </c>
      <c r="AT66" s="476">
        <v>0.2</v>
      </c>
      <c r="AU66" s="455">
        <v>0.5</v>
      </c>
      <c r="AV66" s="455">
        <f t="shared" si="37"/>
        <v>0.3</v>
      </c>
      <c r="AW66" s="475">
        <f t="shared" si="38"/>
        <v>7.7617475698841545E-2</v>
      </c>
      <c r="AX66" s="476">
        <v>0.4</v>
      </c>
      <c r="AY66" s="455">
        <v>1</v>
      </c>
      <c r="AZ66" s="455">
        <f t="shared" si="39"/>
        <v>0.6</v>
      </c>
      <c r="BA66" s="475">
        <f t="shared" si="40"/>
        <v>0.15523495139768309</v>
      </c>
      <c r="BB66" s="476">
        <v>-2.09</v>
      </c>
      <c r="BC66" s="455">
        <v>-2.63</v>
      </c>
      <c r="BD66" s="455">
        <f t="shared" si="41"/>
        <v>-0.54</v>
      </c>
      <c r="BE66" s="455">
        <v>-2.2808600000000001</v>
      </c>
      <c r="BF66" s="475">
        <f t="shared" si="42"/>
        <v>-0.13971145625791481</v>
      </c>
      <c r="BG66" s="443">
        <v>90.4</v>
      </c>
      <c r="BH66" s="443">
        <v>89.6</v>
      </c>
      <c r="BI66" s="443">
        <f t="shared" si="43"/>
        <v>-0.80000000000001137</v>
      </c>
      <c r="BJ66" s="495">
        <v>0.9</v>
      </c>
      <c r="BK66" s="495">
        <v>1.8</v>
      </c>
      <c r="BL66" s="495">
        <f t="shared" si="44"/>
        <v>0.9</v>
      </c>
      <c r="BM66" s="495">
        <v>0</v>
      </c>
      <c r="BN66" s="495">
        <v>0</v>
      </c>
      <c r="BO66" s="495">
        <f t="shared" si="45"/>
        <v>0</v>
      </c>
      <c r="BP66" s="443"/>
      <c r="BQ66" s="443"/>
      <c r="BR66" s="443"/>
      <c r="BS66" s="443"/>
      <c r="BT66" s="466" t="s">
        <v>723</v>
      </c>
      <c r="BU66" s="447">
        <v>1476.240153</v>
      </c>
      <c r="BV66" s="447">
        <v>-1.5119721699999999</v>
      </c>
      <c r="BW66" s="447">
        <v>3364.6205778399999</v>
      </c>
      <c r="BX66" s="447">
        <v>3416.2736851499999</v>
      </c>
      <c r="BY66" s="447">
        <v>2.9777031300000001</v>
      </c>
      <c r="BZ66" s="447">
        <v>2.99541382</v>
      </c>
      <c r="CA66" s="447">
        <v>0.13232461000000001</v>
      </c>
      <c r="CB66" s="447">
        <v>3.8649383300000002</v>
      </c>
      <c r="CC66" s="447">
        <v>3.8598308299999999</v>
      </c>
      <c r="CD66" s="447">
        <v>-0.72788865000000003</v>
      </c>
      <c r="CE66" s="447">
        <v>-0.59126031999999995</v>
      </c>
      <c r="CF66" s="447">
        <v>0.72008327999999999</v>
      </c>
      <c r="CG66" s="447"/>
    </row>
    <row r="67" spans="1:85" s="449" customFormat="1" ht="22.5">
      <c r="A67" s="500">
        <v>62006001</v>
      </c>
      <c r="B67" s="491" t="s">
        <v>830</v>
      </c>
      <c r="C67" s="491" t="s">
        <v>698</v>
      </c>
      <c r="D67" s="473" t="s">
        <v>752</v>
      </c>
      <c r="E67" s="448" t="s">
        <v>797</v>
      </c>
      <c r="F67" s="481" t="str">
        <f t="shared" si="23"/>
        <v>06/01/20</v>
      </c>
      <c r="G67" s="466" t="s">
        <v>798</v>
      </c>
      <c r="H67" s="466" t="s">
        <v>799</v>
      </c>
      <c r="I67" s="474"/>
      <c r="J67" s="468">
        <f>AVERAGE(J65:J66)</f>
        <v>22.4833125</v>
      </c>
      <c r="K67" s="468">
        <f>AVERAGE(K65:K66)</f>
        <v>44.803488999999999</v>
      </c>
      <c r="L67" s="468">
        <f>AVERAGE(L65:L66)</f>
        <v>29.521563999999998</v>
      </c>
      <c r="M67" s="468">
        <f>AVERAGE(M65:M66)</f>
        <v>26.719743000000001</v>
      </c>
      <c r="N67" s="452"/>
      <c r="O67" s="450"/>
      <c r="P67" s="470"/>
      <c r="Q67" s="469"/>
      <c r="R67" s="453">
        <f>R66+R65</f>
        <v>7.4630937599999996</v>
      </c>
      <c r="S67" s="453">
        <f>S66</f>
        <v>7.4630937599999996</v>
      </c>
      <c r="T67" s="493">
        <v>91.2</v>
      </c>
      <c r="U67" s="493">
        <v>89.6</v>
      </c>
      <c r="V67" s="456">
        <f>V65</f>
        <v>16</v>
      </c>
      <c r="W67" s="456">
        <f>W66</f>
        <v>1377</v>
      </c>
      <c r="X67" s="456">
        <f>SUM(X65:X66)</f>
        <v>1361</v>
      </c>
      <c r="Y67" s="456">
        <f t="shared" si="26"/>
        <v>182.3640495171804</v>
      </c>
      <c r="Z67" s="456">
        <f>Z65</f>
        <v>16</v>
      </c>
      <c r="AA67" s="456">
        <f>AA66</f>
        <v>1376</v>
      </c>
      <c r="AB67" s="456">
        <f>SUM(AB65:AB66)</f>
        <v>1360</v>
      </c>
      <c r="AC67" s="454">
        <f t="shared" si="28"/>
        <v>182.23005682833605</v>
      </c>
      <c r="AD67" s="456">
        <f>AD65</f>
        <v>0</v>
      </c>
      <c r="AE67" s="456">
        <f>AE66</f>
        <v>25</v>
      </c>
      <c r="AF67" s="456">
        <f>SUM(AF65:AF66)</f>
        <v>25</v>
      </c>
      <c r="AG67" s="454">
        <f t="shared" si="30"/>
        <v>3.3498172211091184</v>
      </c>
      <c r="AH67" s="456">
        <f>AH65</f>
        <v>0</v>
      </c>
      <c r="AI67" s="456">
        <f>AI66</f>
        <v>1185</v>
      </c>
      <c r="AJ67" s="456">
        <f>SUM(AJ65:AJ66)</f>
        <v>1185</v>
      </c>
      <c r="AK67" s="454">
        <f t="shared" si="32"/>
        <v>158.78133628057222</v>
      </c>
      <c r="AL67" s="456">
        <f>AL65</f>
        <v>15.9</v>
      </c>
      <c r="AM67" s="456">
        <f>AM66</f>
        <v>164.4</v>
      </c>
      <c r="AN67" s="456">
        <f>SUM(AN65:AN66)</f>
        <v>148.5</v>
      </c>
      <c r="AO67" s="454">
        <f t="shared" si="34"/>
        <v>19.897914293388162</v>
      </c>
      <c r="AP67" s="456">
        <f>AP65</f>
        <v>13.032168</v>
      </c>
      <c r="AQ67" s="456">
        <f>AQ66</f>
        <v>133.56124500000001</v>
      </c>
      <c r="AR67" s="456">
        <f>SUM(AR65:AR66)</f>
        <v>120.50907800000002</v>
      </c>
      <c r="AS67" s="454">
        <f t="shared" si="36"/>
        <v>16.147335391375282</v>
      </c>
      <c r="AT67" s="456">
        <f>AT65</f>
        <v>0</v>
      </c>
      <c r="AU67" s="456">
        <f>AU66</f>
        <v>0.5</v>
      </c>
      <c r="AV67" s="456">
        <f>SUM(AV65:AV66)</f>
        <v>0.5</v>
      </c>
      <c r="AW67" s="454">
        <f t="shared" si="38"/>
        <v>6.6996344422182372E-2</v>
      </c>
      <c r="AX67" s="456">
        <f>AX65</f>
        <v>0.1</v>
      </c>
      <c r="AY67" s="456">
        <f>AY66</f>
        <v>1</v>
      </c>
      <c r="AZ67" s="456">
        <f>SUM(AZ65:AZ66)</f>
        <v>0.9</v>
      </c>
      <c r="BA67" s="454">
        <f t="shared" si="40"/>
        <v>0.12059341995992827</v>
      </c>
      <c r="BB67" s="456">
        <f>BB65</f>
        <v>-1.03</v>
      </c>
      <c r="BC67" s="456">
        <f>BC66</f>
        <v>-2.63</v>
      </c>
      <c r="BD67" s="456">
        <f>SUM(BD65:BD66)</f>
        <v>-1.5999999999999999</v>
      </c>
      <c r="BE67" s="455">
        <f>AVERAGE(BE65:BE66)</f>
        <v>-4.8822685000000003</v>
      </c>
      <c r="BF67" s="454">
        <f t="shared" si="42"/>
        <v>-0.21438830215098356</v>
      </c>
      <c r="BG67" s="445" t="s">
        <v>1077</v>
      </c>
      <c r="BH67" s="445" t="s">
        <v>1078</v>
      </c>
      <c r="BI67" s="445">
        <f>SUM(BI65:BI66)</f>
        <v>-1.6000000000000085</v>
      </c>
      <c r="BJ67" s="496" t="s">
        <v>1079</v>
      </c>
      <c r="BK67" s="496" t="s">
        <v>1080</v>
      </c>
      <c r="BL67" s="496">
        <f>SUM(BL65:BL66)</f>
        <v>1.3</v>
      </c>
      <c r="BM67" s="496" t="s">
        <v>1081</v>
      </c>
      <c r="BN67" s="496" t="s">
        <v>1082</v>
      </c>
      <c r="BO67" s="496">
        <f>SUM(BO65:BO66)</f>
        <v>0</v>
      </c>
      <c r="BP67" s="445"/>
      <c r="BQ67" s="445"/>
      <c r="BR67" s="445"/>
      <c r="BS67" s="445"/>
      <c r="BT67" s="466" t="s">
        <v>723</v>
      </c>
      <c r="BU67" s="447"/>
      <c r="BV67" s="447"/>
      <c r="BW67" s="447"/>
      <c r="BX67" s="447"/>
      <c r="BY67" s="447"/>
      <c r="BZ67" s="447"/>
      <c r="CA67" s="447"/>
      <c r="CB67" s="447"/>
      <c r="CC67" s="447"/>
      <c r="CD67" s="447"/>
      <c r="CE67" s="447"/>
      <c r="CF67" s="447"/>
      <c r="CG67" s="447"/>
    </row>
    <row r="68" spans="1:85" s="449" customFormat="1" ht="22.5">
      <c r="A68" s="500">
        <v>62006001</v>
      </c>
      <c r="B68" s="491" t="s">
        <v>829</v>
      </c>
      <c r="C68" s="491" t="s">
        <v>697</v>
      </c>
      <c r="D68" s="473" t="s">
        <v>752</v>
      </c>
      <c r="E68" s="448" t="s">
        <v>797</v>
      </c>
      <c r="F68" s="481" t="str">
        <f t="shared" si="23"/>
        <v>06/01/20</v>
      </c>
      <c r="G68" s="466" t="s">
        <v>798</v>
      </c>
      <c r="H68" s="466" t="s">
        <v>799</v>
      </c>
      <c r="I68" s="474"/>
      <c r="J68" s="467">
        <v>24.588822</v>
      </c>
      <c r="K68" s="467">
        <v>39.842843999999999</v>
      </c>
      <c r="L68" s="467">
        <v>29.514858</v>
      </c>
      <c r="M68" s="467">
        <v>29.632942</v>
      </c>
      <c r="N68" s="450">
        <v>4250</v>
      </c>
      <c r="O68" s="450">
        <v>38.71</v>
      </c>
      <c r="P68" s="450">
        <v>3.0499999999999999E-2</v>
      </c>
      <c r="Q68" s="450">
        <v>1.4999999999999999E-2</v>
      </c>
      <c r="R68" s="451">
        <v>10.28512394</v>
      </c>
      <c r="S68" s="451">
        <f>R68+R67</f>
        <v>17.748217699999998</v>
      </c>
      <c r="T68" s="492">
        <v>89.6</v>
      </c>
      <c r="U68" s="492">
        <v>87.4</v>
      </c>
      <c r="V68" s="455">
        <v>1379</v>
      </c>
      <c r="W68" s="455">
        <v>3293</v>
      </c>
      <c r="X68" s="455">
        <f>W68-V68</f>
        <v>1914</v>
      </c>
      <c r="Y68" s="455">
        <f t="shared" si="26"/>
        <v>186.09401414758256</v>
      </c>
      <c r="Z68" s="476">
        <v>1377</v>
      </c>
      <c r="AA68" s="455">
        <v>3291</v>
      </c>
      <c r="AB68" s="455">
        <f>AA68-Z68</f>
        <v>1914</v>
      </c>
      <c r="AC68" s="475">
        <f t="shared" si="28"/>
        <v>186.09401414758256</v>
      </c>
      <c r="AD68" s="476">
        <v>25</v>
      </c>
      <c r="AE68" s="455">
        <v>26</v>
      </c>
      <c r="AF68" s="455">
        <f>AE68-AD68</f>
        <v>1</v>
      </c>
      <c r="AG68" s="475">
        <f t="shared" si="30"/>
        <v>9.7227802584943859E-2</v>
      </c>
      <c r="AH68" s="476">
        <v>1185</v>
      </c>
      <c r="AI68" s="455">
        <v>3015</v>
      </c>
      <c r="AJ68" s="455">
        <f>AI68-AH68</f>
        <v>1830</v>
      </c>
      <c r="AK68" s="475">
        <f t="shared" si="32"/>
        <v>177.92687873044727</v>
      </c>
      <c r="AL68" s="476">
        <v>166.2</v>
      </c>
      <c r="AM68" s="455">
        <v>247.1</v>
      </c>
      <c r="AN68" s="455">
        <f>AM68-AL68</f>
        <v>80.900000000000006</v>
      </c>
      <c r="AO68" s="475">
        <f t="shared" si="34"/>
        <v>7.8657292291219587</v>
      </c>
      <c r="AP68" s="476">
        <v>135.01</v>
      </c>
      <c r="AQ68" s="455">
        <v>200.91084599999999</v>
      </c>
      <c r="AR68" s="455">
        <f>AQ68-AP68</f>
        <v>65.900846000000001</v>
      </c>
      <c r="AS68" s="475">
        <f t="shared" si="36"/>
        <v>6.4073944450687872</v>
      </c>
      <c r="AT68" s="476">
        <v>0.5</v>
      </c>
      <c r="AU68" s="455">
        <v>0.8</v>
      </c>
      <c r="AV68" s="455">
        <f>AU68-AT68</f>
        <v>0.30000000000000004</v>
      </c>
      <c r="AW68" s="475">
        <f t="shared" si="38"/>
        <v>2.9168340775483161E-2</v>
      </c>
      <c r="AX68" s="476">
        <v>1</v>
      </c>
      <c r="AY68" s="455">
        <v>1.5</v>
      </c>
      <c r="AZ68" s="455">
        <f>AY68-AX68</f>
        <v>0.5</v>
      </c>
      <c r="BA68" s="475">
        <f t="shared" si="40"/>
        <v>4.861390129247193E-2</v>
      </c>
      <c r="BB68" s="476">
        <v>-2.64</v>
      </c>
      <c r="BC68" s="455">
        <v>-2.9900899999999999</v>
      </c>
      <c r="BD68" s="455">
        <f>BC68-BB68</f>
        <v>-0.35008999999999979</v>
      </c>
      <c r="BE68" s="455">
        <v>-1.67489</v>
      </c>
      <c r="BF68" s="475">
        <f t="shared" si="42"/>
        <v>-3.4038481406962973E-2</v>
      </c>
      <c r="BG68" s="443">
        <v>89.6</v>
      </c>
      <c r="BH68" s="443">
        <v>87.4</v>
      </c>
      <c r="BI68" s="443">
        <f>BH68-BG68</f>
        <v>-2.1999999999999886</v>
      </c>
      <c r="BJ68" s="495">
        <v>1.8</v>
      </c>
      <c r="BK68" s="495">
        <v>2.6</v>
      </c>
      <c r="BL68" s="495">
        <f>BK68-BJ68</f>
        <v>0.8</v>
      </c>
      <c r="BM68" s="495">
        <v>0</v>
      </c>
      <c r="BN68" s="495">
        <v>0</v>
      </c>
      <c r="BO68" s="495">
        <f>BN68-BM68</f>
        <v>0</v>
      </c>
      <c r="BP68" s="443"/>
      <c r="BQ68" s="443"/>
      <c r="BR68" s="443"/>
      <c r="BS68" s="443"/>
      <c r="BT68" s="466" t="s">
        <v>723</v>
      </c>
      <c r="BU68" s="447">
        <v>1875.62922239</v>
      </c>
      <c r="BV68" s="447">
        <v>-0.82037110000000002</v>
      </c>
      <c r="BW68" s="447">
        <v>1296.0545450300001</v>
      </c>
      <c r="BX68" s="447">
        <v>1306.77494907</v>
      </c>
      <c r="BY68" s="447">
        <v>6.7991210400000002</v>
      </c>
      <c r="BZ68" s="447">
        <v>6.79044823</v>
      </c>
      <c r="CA68" s="447">
        <v>0.27741124</v>
      </c>
      <c r="CB68" s="447">
        <v>10.285133549999999</v>
      </c>
      <c r="CC68" s="447">
        <v>10.256680360000001</v>
      </c>
      <c r="CD68" s="447">
        <v>-0.14949952</v>
      </c>
      <c r="CE68" s="447">
        <v>0.12772078000000001</v>
      </c>
      <c r="CF68" s="447">
        <v>0.33398509999999998</v>
      </c>
      <c r="CG68" s="447"/>
    </row>
    <row r="69" spans="1:85" s="449" customFormat="1" ht="22.5">
      <c r="A69" s="500">
        <v>62006001</v>
      </c>
      <c r="B69" s="491" t="s">
        <v>828</v>
      </c>
      <c r="C69" s="491" t="s">
        <v>699</v>
      </c>
      <c r="D69" s="473" t="s">
        <v>752</v>
      </c>
      <c r="E69" s="448" t="s">
        <v>797</v>
      </c>
      <c r="F69" s="481" t="str">
        <f t="shared" si="23"/>
        <v>06/01/20</v>
      </c>
      <c r="G69" s="466" t="s">
        <v>798</v>
      </c>
      <c r="H69" s="466" t="s">
        <v>799</v>
      </c>
      <c r="I69" s="474"/>
      <c r="J69" s="467">
        <v>20.325669999999999</v>
      </c>
      <c r="K69" s="467">
        <v>52.809041000000001</v>
      </c>
      <c r="L69" s="467">
        <v>29.492049000000002</v>
      </c>
      <c r="M69" s="467">
        <v>29.741544999999999</v>
      </c>
      <c r="N69" s="450">
        <v>4250</v>
      </c>
      <c r="O69" s="450">
        <v>38.71</v>
      </c>
      <c r="P69" s="450">
        <v>3.0499999999999999E-2</v>
      </c>
      <c r="Q69" s="450">
        <v>1.4999999999999999E-2</v>
      </c>
      <c r="R69" s="451">
        <v>3.59829584</v>
      </c>
      <c r="S69" s="451">
        <f>R69+R68</f>
        <v>13.883419780000001</v>
      </c>
      <c r="T69" s="492">
        <v>87.4</v>
      </c>
      <c r="U69" s="492">
        <v>86.6</v>
      </c>
      <c r="V69" s="455">
        <v>3335</v>
      </c>
      <c r="W69" s="455">
        <v>3992</v>
      </c>
      <c r="X69" s="455">
        <f>W69-V69</f>
        <v>657</v>
      </c>
      <c r="Y69" s="455">
        <f t="shared" si="26"/>
        <v>182.58643235960275</v>
      </c>
      <c r="Z69" s="476">
        <v>3332</v>
      </c>
      <c r="AA69" s="455">
        <v>3990</v>
      </c>
      <c r="AB69" s="455">
        <f>AA69-Z69</f>
        <v>658</v>
      </c>
      <c r="AC69" s="475">
        <f t="shared" si="28"/>
        <v>182.86434169348342</v>
      </c>
      <c r="AD69" s="476">
        <v>26</v>
      </c>
      <c r="AE69" s="455">
        <v>33</v>
      </c>
      <c r="AF69" s="455">
        <f>AE69-AD69</f>
        <v>7</v>
      </c>
      <c r="AG69" s="475">
        <f t="shared" si="30"/>
        <v>1.9453653371647175</v>
      </c>
      <c r="AH69" s="476">
        <v>3016</v>
      </c>
      <c r="AI69" s="455">
        <v>3614</v>
      </c>
      <c r="AJ69" s="455">
        <f>AI69-AH69</f>
        <v>598</v>
      </c>
      <c r="AK69" s="475">
        <f t="shared" si="32"/>
        <v>166.18978166064301</v>
      </c>
      <c r="AL69" s="476">
        <v>287.10610100000002</v>
      </c>
      <c r="AM69" s="455">
        <v>338.7</v>
      </c>
      <c r="AN69" s="455">
        <f>AM69-AL69</f>
        <v>51.593898999999965</v>
      </c>
      <c r="AO69" s="475">
        <f t="shared" si="34"/>
        <v>14.338426103396758</v>
      </c>
      <c r="AP69" s="476">
        <v>230.32060999999999</v>
      </c>
      <c r="AQ69" s="455">
        <v>271.99035300000003</v>
      </c>
      <c r="AR69" s="455">
        <f>AQ69-AP69</f>
        <v>41.66974300000004</v>
      </c>
      <c r="AS69" s="475">
        <f t="shared" si="36"/>
        <v>11.580410520108886</v>
      </c>
      <c r="AT69" s="476">
        <v>1</v>
      </c>
      <c r="AU69" s="455">
        <v>1.2</v>
      </c>
      <c r="AV69" s="455">
        <f>AU69-AT69</f>
        <v>0.19999999999999996</v>
      </c>
      <c r="AW69" s="475">
        <f t="shared" si="38"/>
        <v>5.5581866776134768E-2</v>
      </c>
      <c r="AX69" s="476">
        <v>1.9</v>
      </c>
      <c r="AY69" s="455">
        <v>2.2999999999999998</v>
      </c>
      <c r="AZ69" s="455">
        <f>AY69-AX69</f>
        <v>0.39999999999999991</v>
      </c>
      <c r="BA69" s="475">
        <f t="shared" si="40"/>
        <v>0.11116373355226954</v>
      </c>
      <c r="BB69" s="476">
        <v>-3.25</v>
      </c>
      <c r="BC69" s="455">
        <v>-3.46</v>
      </c>
      <c r="BD69" s="455">
        <f>BC69-BB69</f>
        <v>-0.20999999999999996</v>
      </c>
      <c r="BE69" s="455">
        <v>-1.53098</v>
      </c>
      <c r="BF69" s="475">
        <f t="shared" si="42"/>
        <v>-5.8360960114941511E-2</v>
      </c>
      <c r="BG69" s="443">
        <v>87.4</v>
      </c>
      <c r="BH69" s="443">
        <v>86.6</v>
      </c>
      <c r="BI69" s="443">
        <f>BH69-BG69</f>
        <v>-0.80000000000001137</v>
      </c>
      <c r="BJ69" s="495">
        <v>3.2</v>
      </c>
      <c r="BK69" s="495">
        <v>3.7</v>
      </c>
      <c r="BL69" s="495">
        <f>BK69-BJ69</f>
        <v>0.5</v>
      </c>
      <c r="BM69" s="495">
        <v>0</v>
      </c>
      <c r="BN69" s="495">
        <v>0</v>
      </c>
      <c r="BO69" s="495">
        <f>BN69-BM69</f>
        <v>0</v>
      </c>
      <c r="BP69" s="443"/>
      <c r="BQ69" s="443"/>
      <c r="BR69" s="443"/>
      <c r="BS69" s="443"/>
      <c r="BT69" s="466" t="s">
        <v>723</v>
      </c>
      <c r="BU69" s="447">
        <v>2367.6364135099998</v>
      </c>
      <c r="BV69" s="447">
        <v>-1.2011729900000001</v>
      </c>
      <c r="BW69" s="447">
        <v>2024.2004322</v>
      </c>
      <c r="BX69" s="447">
        <v>2048.8101868099998</v>
      </c>
      <c r="BY69" s="447">
        <v>3.0196136999999998</v>
      </c>
      <c r="BZ69" s="447">
        <v>3.0319737999999998</v>
      </c>
      <c r="CA69" s="447">
        <v>0.20142778</v>
      </c>
      <c r="CB69" s="447">
        <v>3.5982134100000001</v>
      </c>
      <c r="CC69" s="447">
        <v>3.5909801799999999</v>
      </c>
      <c r="CD69" s="447">
        <v>-0.61157943000000003</v>
      </c>
      <c r="CE69" s="447">
        <v>-0.40765848999999998</v>
      </c>
      <c r="CF69" s="447">
        <v>0.63449862000000001</v>
      </c>
      <c r="CG69" s="447"/>
    </row>
    <row r="70" spans="1:85" s="449" customFormat="1" ht="22.5">
      <c r="A70" s="500">
        <v>62006001</v>
      </c>
      <c r="B70" s="491" t="s">
        <v>239</v>
      </c>
      <c r="C70" s="491" t="s">
        <v>700</v>
      </c>
      <c r="D70" s="473" t="s">
        <v>752</v>
      </c>
      <c r="E70" s="448" t="s">
        <v>797</v>
      </c>
      <c r="F70" s="481" t="str">
        <f t="shared" si="23"/>
        <v>06/01/20</v>
      </c>
      <c r="G70" s="466" t="s">
        <v>798</v>
      </c>
      <c r="H70" s="466" t="s">
        <v>799</v>
      </c>
      <c r="I70" s="474"/>
      <c r="J70" s="467">
        <v>20.081025</v>
      </c>
      <c r="K70" s="467">
        <v>54.671112999999998</v>
      </c>
      <c r="L70" s="467">
        <v>29.489021999999999</v>
      </c>
      <c r="M70" s="467">
        <v>29.067093</v>
      </c>
      <c r="N70" s="450">
        <v>4250</v>
      </c>
      <c r="O70" s="450">
        <v>38.71</v>
      </c>
      <c r="P70" s="450">
        <v>3.0499999999999999E-2</v>
      </c>
      <c r="Q70" s="450">
        <v>1.4999999999999999E-2</v>
      </c>
      <c r="R70" s="451">
        <v>3.8650448100000001</v>
      </c>
      <c r="S70" s="451">
        <f>R70+R69</f>
        <v>7.4633406500000001</v>
      </c>
      <c r="T70" s="492">
        <v>86.6</v>
      </c>
      <c r="U70" s="492">
        <v>85.9</v>
      </c>
      <c r="V70" s="455">
        <v>3993</v>
      </c>
      <c r="W70" s="455">
        <v>4637</v>
      </c>
      <c r="X70" s="455">
        <f>W70-V70</f>
        <v>644</v>
      </c>
      <c r="Y70" s="455">
        <f t="shared" si="26"/>
        <v>166.62161285524655</v>
      </c>
      <c r="Z70" s="476">
        <v>3990</v>
      </c>
      <c r="AA70" s="455">
        <v>4635</v>
      </c>
      <c r="AB70" s="455">
        <f>AA70-Z70</f>
        <v>645</v>
      </c>
      <c r="AC70" s="475">
        <f t="shared" si="28"/>
        <v>166.8803420677547</v>
      </c>
      <c r="AD70" s="476">
        <v>33</v>
      </c>
      <c r="AE70" s="455">
        <v>51</v>
      </c>
      <c r="AF70" s="455">
        <f>AE70-AD70</f>
        <v>18</v>
      </c>
      <c r="AG70" s="475">
        <f t="shared" si="30"/>
        <v>4.6571258251466432</v>
      </c>
      <c r="AH70" s="476">
        <v>3614</v>
      </c>
      <c r="AI70" s="455">
        <v>4149</v>
      </c>
      <c r="AJ70" s="455">
        <f>AI70-AH70</f>
        <v>535</v>
      </c>
      <c r="AK70" s="475">
        <f t="shared" si="32"/>
        <v>138.42012869185857</v>
      </c>
      <c r="AL70" s="476">
        <v>338.7</v>
      </c>
      <c r="AM70" s="455">
        <v>429.29881399999999</v>
      </c>
      <c r="AN70" s="455">
        <f>AM70-AL70</f>
        <v>90.598814000000004</v>
      </c>
      <c r="AO70" s="475">
        <f t="shared" si="34"/>
        <v>23.440559800392069</v>
      </c>
      <c r="AP70" s="476">
        <v>272.01</v>
      </c>
      <c r="AQ70" s="455">
        <v>345.47</v>
      </c>
      <c r="AR70" s="455">
        <f>AQ70-AP70</f>
        <v>73.460000000000036</v>
      </c>
      <c r="AS70" s="475">
        <f t="shared" si="36"/>
        <v>19.006247950848476</v>
      </c>
      <c r="AT70" s="476">
        <v>1.2</v>
      </c>
      <c r="AU70" s="455">
        <v>1.5</v>
      </c>
      <c r="AV70" s="455">
        <f>AU70-AT70</f>
        <v>0.30000000000000004</v>
      </c>
      <c r="AW70" s="475">
        <f t="shared" si="38"/>
        <v>7.7618763752444059E-2</v>
      </c>
      <c r="AX70" s="476">
        <v>2.2999999999999998</v>
      </c>
      <c r="AY70" s="455">
        <v>2.9</v>
      </c>
      <c r="AZ70" s="455">
        <f>AY70-AX70</f>
        <v>0.60000000000000009</v>
      </c>
      <c r="BA70" s="475">
        <f t="shared" si="40"/>
        <v>0.15523752750488812</v>
      </c>
      <c r="BB70" s="476">
        <v>-3.46</v>
      </c>
      <c r="BC70" s="455">
        <v>-3.83</v>
      </c>
      <c r="BD70" s="455">
        <f>BC70-BB70</f>
        <v>-0.37000000000000011</v>
      </c>
      <c r="BE70" s="455">
        <v>-1.484977</v>
      </c>
      <c r="BF70" s="475">
        <f t="shared" si="42"/>
        <v>-9.5729808628014348E-2</v>
      </c>
      <c r="BG70" s="443">
        <v>86.6</v>
      </c>
      <c r="BH70" s="443">
        <v>85.9</v>
      </c>
      <c r="BI70" s="443">
        <f>BH70-BG70</f>
        <v>-0.69999999999998863</v>
      </c>
      <c r="BJ70" s="495">
        <v>3.7</v>
      </c>
      <c r="BK70" s="495">
        <v>4.5</v>
      </c>
      <c r="BL70" s="495">
        <f>BK70-BJ70</f>
        <v>0.79999999999999982</v>
      </c>
      <c r="BM70" s="495">
        <v>0</v>
      </c>
      <c r="BN70" s="495">
        <v>0</v>
      </c>
      <c r="BO70" s="495">
        <f>BN70-BM70</f>
        <v>0</v>
      </c>
      <c r="BP70" s="443"/>
      <c r="BQ70" s="443"/>
      <c r="BR70" s="443"/>
      <c r="BS70" s="443"/>
      <c r="BT70" s="466" t="s">
        <v>723</v>
      </c>
      <c r="BU70" s="447">
        <v>1476.2593440000001</v>
      </c>
      <c r="BV70" s="447">
        <v>-1.39221705</v>
      </c>
      <c r="BW70" s="447">
        <v>3368.6610510700002</v>
      </c>
      <c r="BX70" s="447">
        <v>3416.2222799699998</v>
      </c>
      <c r="BY70" s="447">
        <v>2.9817099200000001</v>
      </c>
      <c r="BZ70" s="447">
        <v>2.9953370000000001</v>
      </c>
      <c r="CA70" s="447">
        <v>0.13046316999999999</v>
      </c>
      <c r="CB70" s="447">
        <v>3.86486638</v>
      </c>
      <c r="CC70" s="447">
        <v>3.8598307200000002</v>
      </c>
      <c r="CD70" s="447">
        <v>-0.58808181999999998</v>
      </c>
      <c r="CE70" s="447">
        <v>-0.45494320999999999</v>
      </c>
      <c r="CF70" s="447">
        <v>0.72008883000000001</v>
      </c>
      <c r="CG70" s="447"/>
    </row>
    <row r="71" spans="1:85" s="449" customFormat="1" ht="22.5">
      <c r="A71" s="500">
        <v>62006001</v>
      </c>
      <c r="B71" s="491" t="s">
        <v>833</v>
      </c>
      <c r="C71" s="491" t="s">
        <v>701</v>
      </c>
      <c r="D71" s="473" t="s">
        <v>752</v>
      </c>
      <c r="E71" s="448" t="s">
        <v>797</v>
      </c>
      <c r="F71" s="481" t="str">
        <f t="shared" si="23"/>
        <v>06/01/20</v>
      </c>
      <c r="G71" s="466" t="s">
        <v>798</v>
      </c>
      <c r="H71" s="466" t="s">
        <v>799</v>
      </c>
      <c r="I71" s="474"/>
      <c r="J71" s="468">
        <f>AVERAGE(J69:J70)</f>
        <v>20.2033475</v>
      </c>
      <c r="K71" s="468">
        <f>AVERAGE(K69:K70)</f>
        <v>53.740076999999999</v>
      </c>
      <c r="L71" s="468">
        <f>AVERAGE(L69:L70)</f>
        <v>29.4905355</v>
      </c>
      <c r="M71" s="468">
        <f>AVERAGE(M69:M70)</f>
        <v>29.404319000000001</v>
      </c>
      <c r="N71" s="452"/>
      <c r="O71" s="450"/>
      <c r="P71" s="470"/>
      <c r="Q71" s="469"/>
      <c r="R71" s="453">
        <f>R70+R69</f>
        <v>7.4633406500000001</v>
      </c>
      <c r="S71" s="453">
        <f>S70</f>
        <v>7.4633406500000001</v>
      </c>
      <c r="T71" s="493">
        <v>87.4</v>
      </c>
      <c r="U71" s="493">
        <v>85.9</v>
      </c>
      <c r="V71" s="456">
        <f>V69</f>
        <v>3335</v>
      </c>
      <c r="W71" s="456">
        <f>W70</f>
        <v>4637</v>
      </c>
      <c r="X71" s="456">
        <f>SUM(X69:X70)</f>
        <v>1301</v>
      </c>
      <c r="Y71" s="456">
        <f t="shared" si="26"/>
        <v>174.31872146958747</v>
      </c>
      <c r="Z71" s="456">
        <f>Z69</f>
        <v>3332</v>
      </c>
      <c r="AA71" s="456">
        <f>AA70</f>
        <v>4635</v>
      </c>
      <c r="AB71" s="456">
        <f>SUM(AB69:AB70)</f>
        <v>1303</v>
      </c>
      <c r="AC71" s="454">
        <f t="shared" si="28"/>
        <v>174.58669798222328</v>
      </c>
      <c r="AD71" s="456">
        <f>AD69</f>
        <v>26</v>
      </c>
      <c r="AE71" s="456">
        <f>AE70</f>
        <v>51</v>
      </c>
      <c r="AF71" s="456">
        <f>SUM(AF69:AF70)</f>
        <v>25</v>
      </c>
      <c r="AG71" s="454">
        <f t="shared" si="30"/>
        <v>3.3497064079474921</v>
      </c>
      <c r="AH71" s="456">
        <f>AH69</f>
        <v>3016</v>
      </c>
      <c r="AI71" s="456">
        <f>AI70</f>
        <v>4149</v>
      </c>
      <c r="AJ71" s="456">
        <f>SUM(AJ69:AJ70)</f>
        <v>1133</v>
      </c>
      <c r="AK71" s="454">
        <f t="shared" si="32"/>
        <v>151.80869440818034</v>
      </c>
      <c r="AL71" s="456">
        <f>AL69</f>
        <v>287.10610100000002</v>
      </c>
      <c r="AM71" s="456">
        <f>AM70</f>
        <v>429.29881399999999</v>
      </c>
      <c r="AN71" s="456">
        <f>SUM(AN69:AN70)</f>
        <v>142.19271299999997</v>
      </c>
      <c r="AO71" s="454">
        <f t="shared" si="34"/>
        <v>19.05215367598154</v>
      </c>
      <c r="AP71" s="456">
        <f>AP69</f>
        <v>230.32060999999999</v>
      </c>
      <c r="AQ71" s="456">
        <f>AQ70</f>
        <v>345.47</v>
      </c>
      <c r="AR71" s="456">
        <f>SUM(AR69:AR70)</f>
        <v>115.12974300000008</v>
      </c>
      <c r="AS71" s="454">
        <f t="shared" si="36"/>
        <v>15.426033514897926</v>
      </c>
      <c r="AT71" s="456">
        <f>AT69</f>
        <v>1</v>
      </c>
      <c r="AU71" s="456">
        <f>AU70</f>
        <v>1.5</v>
      </c>
      <c r="AV71" s="456">
        <f>SUM(AV69:AV70)</f>
        <v>0.5</v>
      </c>
      <c r="AW71" s="454">
        <f t="shared" si="38"/>
        <v>6.6994128158949839E-2</v>
      </c>
      <c r="AX71" s="456">
        <f>AX69</f>
        <v>1.9</v>
      </c>
      <c r="AY71" s="456">
        <f>AY70</f>
        <v>2.9</v>
      </c>
      <c r="AZ71" s="456">
        <f>SUM(AZ69:AZ70)</f>
        <v>1</v>
      </c>
      <c r="BA71" s="454">
        <f t="shared" si="40"/>
        <v>0.13398825631789968</v>
      </c>
      <c r="BB71" s="456">
        <f>BB69</f>
        <v>-3.25</v>
      </c>
      <c r="BC71" s="456">
        <f>BC70</f>
        <v>-3.83</v>
      </c>
      <c r="BD71" s="456">
        <f>SUM(BD69:BD70)</f>
        <v>-0.58000000000000007</v>
      </c>
      <c r="BE71" s="455">
        <f>AVERAGE(BE69:BE70)</f>
        <v>-1.5079785000000001</v>
      </c>
      <c r="BF71" s="454">
        <f t="shared" si="42"/>
        <v>-7.7713188664381816E-2</v>
      </c>
      <c r="BG71" s="445" t="s">
        <v>1083</v>
      </c>
      <c r="BH71" s="445" t="s">
        <v>1084</v>
      </c>
      <c r="BI71" s="445">
        <f>SUM(BI69:BI70)</f>
        <v>-1.5</v>
      </c>
      <c r="BJ71" s="496" t="s">
        <v>1085</v>
      </c>
      <c r="BK71" s="496" t="s">
        <v>1086</v>
      </c>
      <c r="BL71" s="496">
        <f>SUM(BL69:BL70)</f>
        <v>1.2999999999999998</v>
      </c>
      <c r="BM71" s="496" t="s">
        <v>1087</v>
      </c>
      <c r="BN71" s="496" t="s">
        <v>1088</v>
      </c>
      <c r="BO71" s="496">
        <f>SUM(BO69:BO70)</f>
        <v>0</v>
      </c>
      <c r="BP71" s="445"/>
      <c r="BQ71" s="445"/>
      <c r="BR71" s="445"/>
      <c r="BS71" s="445"/>
      <c r="BT71" s="466" t="s">
        <v>723</v>
      </c>
      <c r="BU71" s="447"/>
      <c r="BV71" s="447"/>
      <c r="BW71" s="447"/>
      <c r="BX71" s="447"/>
      <c r="BY71" s="447"/>
      <c r="BZ71" s="447"/>
      <c r="CA71" s="447"/>
      <c r="CB71" s="447"/>
      <c r="CC71" s="447"/>
      <c r="CD71" s="447"/>
      <c r="CE71" s="447"/>
      <c r="CF71" s="447"/>
      <c r="CG71" s="447"/>
    </row>
    <row r="72" spans="1:85" s="449" customFormat="1" ht="22.5">
      <c r="A72" s="500">
        <v>62006001</v>
      </c>
      <c r="B72" s="491" t="s">
        <v>836</v>
      </c>
      <c r="C72" s="491" t="s">
        <v>770</v>
      </c>
      <c r="D72" s="473" t="s">
        <v>752</v>
      </c>
      <c r="E72" s="448" t="s">
        <v>797</v>
      </c>
      <c r="F72" s="481" t="str">
        <f t="shared" si="23"/>
        <v>06/01/20</v>
      </c>
      <c r="G72" s="466" t="s">
        <v>798</v>
      </c>
      <c r="H72" s="466" t="s">
        <v>799</v>
      </c>
      <c r="I72" s="474"/>
      <c r="J72" s="467">
        <v>23.104863999999999</v>
      </c>
      <c r="K72" s="467">
        <v>42.637700000000002</v>
      </c>
      <c r="L72" s="467">
        <v>29.482188000000001</v>
      </c>
      <c r="M72" s="467">
        <v>30.938324000000001</v>
      </c>
      <c r="N72" s="450">
        <v>4250</v>
      </c>
      <c r="O72" s="450">
        <v>38.71</v>
      </c>
      <c r="P72" s="450">
        <v>3.0499999999999999E-2</v>
      </c>
      <c r="Q72" s="450">
        <v>1.4999999999999999E-2</v>
      </c>
      <c r="R72" s="451">
        <v>1.77487931</v>
      </c>
      <c r="S72" s="451"/>
      <c r="T72" s="492">
        <v>85.9</v>
      </c>
      <c r="U72" s="492">
        <v>83.5</v>
      </c>
      <c r="V72" s="455">
        <v>4647</v>
      </c>
      <c r="W72" s="455">
        <v>6632</v>
      </c>
      <c r="X72" s="455">
        <f>W72-V72-X73</f>
        <v>463</v>
      </c>
      <c r="Y72" s="455">
        <f t="shared" si="26"/>
        <v>260.86280762380403</v>
      </c>
      <c r="Z72" s="476">
        <v>4645</v>
      </c>
      <c r="AA72" s="455">
        <v>6631</v>
      </c>
      <c r="AB72" s="455">
        <f>AA72-Z72-AB73</f>
        <v>464</v>
      </c>
      <c r="AC72" s="475">
        <f t="shared" si="28"/>
        <v>261.42622621478415</v>
      </c>
      <c r="AD72" s="476">
        <v>51</v>
      </c>
      <c r="AE72" s="455">
        <v>106</v>
      </c>
      <c r="AF72" s="455">
        <f>AE72-AD72-AF73</f>
        <v>39</v>
      </c>
      <c r="AG72" s="475">
        <f t="shared" si="30"/>
        <v>21.973325048225391</v>
      </c>
      <c r="AH72" s="476">
        <v>4149</v>
      </c>
      <c r="AI72" s="455">
        <v>6011</v>
      </c>
      <c r="AJ72" s="455">
        <f>AI72-AH72-AJ73</f>
        <v>398</v>
      </c>
      <c r="AK72" s="475">
        <f t="shared" si="32"/>
        <v>224.24059921009501</v>
      </c>
      <c r="AL72" s="476">
        <v>438.7</v>
      </c>
      <c r="AM72" s="455">
        <v>504.7</v>
      </c>
      <c r="AN72" s="455">
        <f>AM72-AL72-AN73</f>
        <v>25.199999999999989</v>
      </c>
      <c r="AO72" s="475">
        <f t="shared" si="34"/>
        <v>14.198148492699477</v>
      </c>
      <c r="AP72" s="476">
        <v>353.10974800000002</v>
      </c>
      <c r="AQ72" s="455">
        <v>407.269431</v>
      </c>
      <c r="AR72" s="455">
        <f>AQ72-AP72-AR73</f>
        <v>20.599951999999973</v>
      </c>
      <c r="AS72" s="475">
        <f t="shared" si="36"/>
        <v>11.606395930098467</v>
      </c>
      <c r="AT72" s="476">
        <v>1.5</v>
      </c>
      <c r="AU72" s="455">
        <v>1.7</v>
      </c>
      <c r="AV72" s="455">
        <f>AU72-AT72-AV73</f>
        <v>0.10000000000000009</v>
      </c>
      <c r="AW72" s="475">
        <f t="shared" si="38"/>
        <v>5.6341859098013876E-2</v>
      </c>
      <c r="AX72" s="476">
        <v>3</v>
      </c>
      <c r="AY72" s="455">
        <v>3.4</v>
      </c>
      <c r="AZ72" s="455">
        <f>AY72-AX72-AZ73</f>
        <v>0.20000000000000018</v>
      </c>
      <c r="BA72" s="475">
        <f t="shared" si="40"/>
        <v>0.11268371819602775</v>
      </c>
      <c r="BB72" s="476">
        <v>-3.87</v>
      </c>
      <c r="BC72" s="455">
        <v>-4.12</v>
      </c>
      <c r="BD72" s="455">
        <f>BC72-BB72-BD73</f>
        <v>-9.9999999999999645E-2</v>
      </c>
      <c r="BE72" s="455">
        <v>-1.5134540000000001</v>
      </c>
      <c r="BF72" s="475">
        <f t="shared" si="42"/>
        <v>-5.6341859098013626E-2</v>
      </c>
      <c r="BG72" s="443">
        <v>85.9</v>
      </c>
      <c r="BH72" s="443">
        <v>83.5</v>
      </c>
      <c r="BI72" s="443">
        <f>BH72-BG72-BI73</f>
        <v>-0.60000000000000853</v>
      </c>
      <c r="BJ72" s="495">
        <v>4.5999999999999996</v>
      </c>
      <c r="BK72" s="495">
        <v>5.2</v>
      </c>
      <c r="BL72" s="495">
        <f>BK72-BJ72-BL73</f>
        <v>0.20000000000000107</v>
      </c>
      <c r="BM72" s="495">
        <v>0</v>
      </c>
      <c r="BN72" s="495">
        <v>0</v>
      </c>
      <c r="BO72" s="495">
        <f>BN72-BM72-BO73</f>
        <v>0</v>
      </c>
      <c r="BP72" s="443"/>
      <c r="BQ72" s="443"/>
      <c r="BR72" s="443"/>
      <c r="BS72" s="443"/>
      <c r="BT72" s="466" t="s">
        <v>723</v>
      </c>
      <c r="BU72" s="447">
        <v>5477.2511669799997</v>
      </c>
      <c r="BV72" s="447">
        <v>-4.5513525499999998</v>
      </c>
      <c r="BW72" s="447">
        <v>2347.5014961500001</v>
      </c>
      <c r="BX72" s="447">
        <v>2459.4392471599999</v>
      </c>
      <c r="BY72" s="447">
        <v>3.0082371600000002</v>
      </c>
      <c r="BZ72" s="447">
        <v>3.0983550800000002</v>
      </c>
      <c r="CA72" s="447">
        <v>0.1544026</v>
      </c>
      <c r="CB72" s="447">
        <v>1.77484194</v>
      </c>
      <c r="CC72" s="447">
        <v>1.7721057600000001</v>
      </c>
      <c r="CD72" s="447">
        <v>-3.1547333000000002</v>
      </c>
      <c r="CE72" s="447">
        <v>-2.9085729800000002</v>
      </c>
      <c r="CF72" s="447">
        <v>0.84360579999999996</v>
      </c>
      <c r="CG72" s="447"/>
    </row>
    <row r="73" spans="1:85" s="449" customFormat="1" ht="22.5">
      <c r="A73" s="500">
        <v>62006001</v>
      </c>
      <c r="B73" s="491" t="s">
        <v>837</v>
      </c>
      <c r="C73" s="491" t="s">
        <v>705</v>
      </c>
      <c r="D73" s="473" t="s">
        <v>752</v>
      </c>
      <c r="E73" s="448" t="s">
        <v>797</v>
      </c>
      <c r="F73" s="481" t="str">
        <f t="shared" si="23"/>
        <v>06/01/20</v>
      </c>
      <c r="G73" s="466" t="s">
        <v>798</v>
      </c>
      <c r="H73" s="466" t="s">
        <v>799</v>
      </c>
      <c r="I73" s="474"/>
      <c r="J73" s="467">
        <v>26.762892000000001</v>
      </c>
      <c r="K73" s="467">
        <v>34.470638999999998</v>
      </c>
      <c r="L73" s="467">
        <v>29.515187999999998</v>
      </c>
      <c r="M73" s="467">
        <v>31.161577000000001</v>
      </c>
      <c r="N73" s="450">
        <v>4250</v>
      </c>
      <c r="O73" s="450">
        <v>38.71</v>
      </c>
      <c r="P73" s="450">
        <v>3.0499999999999999E-2</v>
      </c>
      <c r="Q73" s="450">
        <v>1.4999999999999999E-2</v>
      </c>
      <c r="R73" s="451">
        <v>6.2509066500000001</v>
      </c>
      <c r="S73" s="451">
        <f>R73+R72</f>
        <v>8.0257859600000003</v>
      </c>
      <c r="T73" s="492">
        <v>85.5</v>
      </c>
      <c r="U73" s="492">
        <v>83.7</v>
      </c>
      <c r="V73" s="455">
        <v>4958</v>
      </c>
      <c r="W73" s="455">
        <v>6480</v>
      </c>
      <c r="X73" s="455">
        <f>W73-V73</f>
        <v>1522</v>
      </c>
      <c r="Y73" s="455">
        <f t="shared" si="26"/>
        <v>243.48467913850544</v>
      </c>
      <c r="Z73" s="476">
        <v>4956</v>
      </c>
      <c r="AA73" s="455">
        <v>6478</v>
      </c>
      <c r="AB73" s="455">
        <f>AA73-Z73</f>
        <v>1522</v>
      </c>
      <c r="AC73" s="475">
        <f t="shared" si="28"/>
        <v>243.48467913850544</v>
      </c>
      <c r="AD73" s="476">
        <v>65</v>
      </c>
      <c r="AE73" s="455">
        <v>81</v>
      </c>
      <c r="AF73" s="455">
        <f>AE73-AD73</f>
        <v>16</v>
      </c>
      <c r="AG73" s="475">
        <f t="shared" si="30"/>
        <v>2.5596286900237102</v>
      </c>
      <c r="AH73" s="476">
        <v>4431</v>
      </c>
      <c r="AI73" s="455">
        <v>5895</v>
      </c>
      <c r="AJ73" s="455">
        <f>AI73-AH73</f>
        <v>1464</v>
      </c>
      <c r="AK73" s="475">
        <f t="shared" si="32"/>
        <v>234.20602513716949</v>
      </c>
      <c r="AL73" s="476">
        <v>452.5</v>
      </c>
      <c r="AM73" s="455">
        <v>493.3</v>
      </c>
      <c r="AN73" s="455">
        <f>AM73-AL73</f>
        <v>40.800000000000011</v>
      </c>
      <c r="AO73" s="475">
        <f t="shared" si="34"/>
        <v>6.5270531595604631</v>
      </c>
      <c r="AP73" s="476">
        <v>364.36975100000001</v>
      </c>
      <c r="AQ73" s="455">
        <v>397.92948200000001</v>
      </c>
      <c r="AR73" s="455">
        <f>AQ73-AP73</f>
        <v>33.559730999999999</v>
      </c>
      <c r="AS73" s="475">
        <f t="shared" si="36"/>
        <v>5.3687781435673809</v>
      </c>
      <c r="AT73" s="476">
        <v>1.6</v>
      </c>
      <c r="AU73" s="455">
        <v>1.7</v>
      </c>
      <c r="AV73" s="455">
        <f>AU73-AT73</f>
        <v>9.9999999999999867E-2</v>
      </c>
      <c r="AW73" s="475">
        <f t="shared" si="38"/>
        <v>1.5997679312648169E-2</v>
      </c>
      <c r="AX73" s="476">
        <v>3.1</v>
      </c>
      <c r="AY73" s="455">
        <v>3.3</v>
      </c>
      <c r="AZ73" s="455">
        <f>AY73-AX73</f>
        <v>0.19999999999999973</v>
      </c>
      <c r="BA73" s="475">
        <f t="shared" si="40"/>
        <v>3.1995358625296337E-2</v>
      </c>
      <c r="BB73" s="476">
        <v>-3.92</v>
      </c>
      <c r="BC73" s="455">
        <v>-4.07</v>
      </c>
      <c r="BD73" s="455">
        <f>BC73-BB73</f>
        <v>-0.15000000000000036</v>
      </c>
      <c r="BE73" s="455">
        <v>-1.483776</v>
      </c>
      <c r="BF73" s="475">
        <f t="shared" si="42"/>
        <v>-2.3996518968972341E-2</v>
      </c>
      <c r="BG73" s="443">
        <v>85.5</v>
      </c>
      <c r="BH73" s="443">
        <v>83.7</v>
      </c>
      <c r="BI73" s="443">
        <f>BH73-BG73</f>
        <v>-1.7999999999999972</v>
      </c>
      <c r="BJ73" s="495">
        <v>4.7</v>
      </c>
      <c r="BK73" s="495">
        <v>5.0999999999999996</v>
      </c>
      <c r="BL73" s="495">
        <f>BK73-BJ73</f>
        <v>0.39999999999999947</v>
      </c>
      <c r="BM73" s="495">
        <v>0</v>
      </c>
      <c r="BN73" s="495">
        <v>0</v>
      </c>
      <c r="BO73" s="495">
        <f>BN73-BM73</f>
        <v>0</v>
      </c>
      <c r="BP73" s="443"/>
      <c r="BQ73" s="443"/>
      <c r="BR73" s="443"/>
      <c r="BS73" s="443"/>
      <c r="BT73" s="466" t="s">
        <v>723</v>
      </c>
      <c r="BU73" s="447">
        <v>11292.75501006</v>
      </c>
      <c r="BV73" s="447">
        <v>-1.01967867</v>
      </c>
      <c r="BW73" s="447">
        <v>1127.25786137</v>
      </c>
      <c r="BX73" s="447">
        <v>1138.87068279</v>
      </c>
      <c r="BY73" s="447">
        <v>5.8861502200000002</v>
      </c>
      <c r="BZ73" s="447">
        <v>5.8928713699999999</v>
      </c>
      <c r="CA73" s="447">
        <v>0.25685152</v>
      </c>
      <c r="CB73" s="447">
        <v>6.2508725399999996</v>
      </c>
      <c r="CC73" s="447">
        <v>6.2348582099999996</v>
      </c>
      <c r="CD73" s="447">
        <v>-0.37133061000000001</v>
      </c>
      <c r="CE73" s="447">
        <v>-0.11405556</v>
      </c>
      <c r="CF73" s="447">
        <v>0.41973523000000001</v>
      </c>
      <c r="CG73" s="447"/>
    </row>
    <row r="74" spans="1:85" s="449" customFormat="1" ht="22.5">
      <c r="A74" s="500">
        <v>62006001</v>
      </c>
      <c r="B74" s="491" t="s">
        <v>835</v>
      </c>
      <c r="C74" s="491" t="s">
        <v>703</v>
      </c>
      <c r="D74" s="473" t="s">
        <v>752</v>
      </c>
      <c r="E74" s="448" t="s">
        <v>797</v>
      </c>
      <c r="F74" s="481" t="str">
        <f t="shared" si="23"/>
        <v>06/01/20</v>
      </c>
      <c r="G74" s="466" t="s">
        <v>798</v>
      </c>
      <c r="H74" s="466" t="s">
        <v>799</v>
      </c>
      <c r="I74" s="474"/>
      <c r="J74" s="468">
        <f>AVERAGE(J72:J73)</f>
        <v>24.933878</v>
      </c>
      <c r="K74" s="468">
        <f>AVERAGE(K72:K73)</f>
        <v>38.5541695</v>
      </c>
      <c r="L74" s="468">
        <f>AVERAGE(L72:L73)</f>
        <v>29.498688000000001</v>
      </c>
      <c r="M74" s="468">
        <f>AVERAGE(M72:M73)</f>
        <v>31.049950500000001</v>
      </c>
      <c r="N74" s="452"/>
      <c r="O74" s="450"/>
      <c r="P74" s="470"/>
      <c r="Q74" s="469"/>
      <c r="R74" s="453">
        <f>R73+R72</f>
        <v>8.0257859600000003</v>
      </c>
      <c r="S74" s="453">
        <f>S73</f>
        <v>8.0257859600000003</v>
      </c>
      <c r="T74" s="493">
        <v>85.9</v>
      </c>
      <c r="U74" s="493">
        <v>83.7</v>
      </c>
      <c r="V74" s="456">
        <f>V72</f>
        <v>4647</v>
      </c>
      <c r="W74" s="456">
        <f>W73</f>
        <v>6480</v>
      </c>
      <c r="X74" s="456">
        <f>SUM(X72:X73)</f>
        <v>1985</v>
      </c>
      <c r="Y74" s="456">
        <f t="shared" si="26"/>
        <v>247.3278018991675</v>
      </c>
      <c r="Z74" s="456">
        <f>Z72</f>
        <v>4645</v>
      </c>
      <c r="AA74" s="456">
        <f>AA73</f>
        <v>6478</v>
      </c>
      <c r="AB74" s="456">
        <f>SUM(AB72:AB73)</f>
        <v>1986</v>
      </c>
      <c r="AC74" s="454">
        <f t="shared" si="28"/>
        <v>247.45240028803357</v>
      </c>
      <c r="AD74" s="456">
        <f>AD72</f>
        <v>51</v>
      </c>
      <c r="AE74" s="456">
        <f>AE73</f>
        <v>81</v>
      </c>
      <c r="AF74" s="456">
        <f>SUM(AF72:AF73)</f>
        <v>55</v>
      </c>
      <c r="AG74" s="454">
        <f t="shared" si="30"/>
        <v>6.8529113876343644</v>
      </c>
      <c r="AH74" s="456">
        <f>AH72</f>
        <v>4149</v>
      </c>
      <c r="AI74" s="456">
        <f>AI73</f>
        <v>5895</v>
      </c>
      <c r="AJ74" s="456">
        <f>SUM(AJ72:AJ73)</f>
        <v>1862</v>
      </c>
      <c r="AK74" s="454">
        <f t="shared" si="32"/>
        <v>232.00220006863975</v>
      </c>
      <c r="AL74" s="456">
        <f>AL72</f>
        <v>438.7</v>
      </c>
      <c r="AM74" s="456">
        <f>AM73</f>
        <v>493.3</v>
      </c>
      <c r="AN74" s="456">
        <f>SUM(AN72:AN73)</f>
        <v>66</v>
      </c>
      <c r="AO74" s="454">
        <f t="shared" si="34"/>
        <v>8.2234936651612376</v>
      </c>
      <c r="AP74" s="456">
        <f>AP72</f>
        <v>353.10974800000002</v>
      </c>
      <c r="AQ74" s="456">
        <f>AQ73</f>
        <v>397.92948200000001</v>
      </c>
      <c r="AR74" s="456">
        <f>SUM(AR72:AR73)</f>
        <v>54.159682999999973</v>
      </c>
      <c r="AS74" s="454">
        <f t="shared" si="36"/>
        <v>6.748209243297584</v>
      </c>
      <c r="AT74" s="456">
        <f>AT72</f>
        <v>1.5</v>
      </c>
      <c r="AU74" s="456">
        <f>AU73</f>
        <v>1.7</v>
      </c>
      <c r="AV74" s="456">
        <f>SUM(AV72:AV73)</f>
        <v>0.19999999999999996</v>
      </c>
      <c r="AW74" s="454">
        <f t="shared" si="38"/>
        <v>2.4919677773215864E-2</v>
      </c>
      <c r="AX74" s="456">
        <f>AX72</f>
        <v>3</v>
      </c>
      <c r="AY74" s="456">
        <f>AY73</f>
        <v>3.3</v>
      </c>
      <c r="AZ74" s="456">
        <f>SUM(AZ72:AZ73)</f>
        <v>0.39999999999999991</v>
      </c>
      <c r="BA74" s="454">
        <f t="shared" si="40"/>
        <v>4.9839355546431728E-2</v>
      </c>
      <c r="BB74" s="456">
        <f>BB72</f>
        <v>-3.87</v>
      </c>
      <c r="BC74" s="456">
        <f>BC73</f>
        <v>-4.07</v>
      </c>
      <c r="BD74" s="456">
        <f>SUM(BD72:BD73)</f>
        <v>-0.25</v>
      </c>
      <c r="BE74" s="455">
        <f>AVERAGE(BE72:BE73)</f>
        <v>-1.498615</v>
      </c>
      <c r="BF74" s="454">
        <f t="shared" si="42"/>
        <v>-3.1149597216519838E-2</v>
      </c>
      <c r="BG74" s="445" t="s">
        <v>1089</v>
      </c>
      <c r="BH74" s="445" t="s">
        <v>1090</v>
      </c>
      <c r="BI74" s="445">
        <f>SUM(BI72:BI73)</f>
        <v>-2.4000000000000057</v>
      </c>
      <c r="BJ74" s="496" t="s">
        <v>1091</v>
      </c>
      <c r="BK74" s="496" t="s">
        <v>1092</v>
      </c>
      <c r="BL74" s="496">
        <f>SUM(BL72:BL73)</f>
        <v>0.60000000000000053</v>
      </c>
      <c r="BM74" s="496" t="s">
        <v>1093</v>
      </c>
      <c r="BN74" s="496" t="s">
        <v>1094</v>
      </c>
      <c r="BO74" s="496">
        <f>SUM(BO72:BO73)</f>
        <v>0</v>
      </c>
      <c r="BP74" s="445"/>
      <c r="BQ74" s="445"/>
      <c r="BR74" s="445"/>
      <c r="BS74" s="445"/>
      <c r="BT74" s="466" t="s">
        <v>723</v>
      </c>
      <c r="BU74" s="447"/>
      <c r="BV74" s="447"/>
      <c r="BW74" s="447"/>
      <c r="BX74" s="447"/>
      <c r="BY74" s="447"/>
      <c r="BZ74" s="447"/>
      <c r="CA74" s="447"/>
      <c r="CB74" s="447"/>
      <c r="CC74" s="447"/>
      <c r="CD74" s="447"/>
      <c r="CE74" s="447"/>
      <c r="CF74" s="447"/>
      <c r="CG74" s="447"/>
    </row>
    <row r="75" spans="1:85" s="449" customFormat="1">
      <c r="A75" s="500">
        <v>62006002</v>
      </c>
      <c r="B75" s="491" t="s">
        <v>851</v>
      </c>
      <c r="C75" s="472" t="s">
        <v>695</v>
      </c>
      <c r="D75" s="473" t="s">
        <v>800</v>
      </c>
      <c r="E75" s="448" t="s">
        <v>801</v>
      </c>
      <c r="F75" s="481" t="str">
        <f t="shared" si="23"/>
        <v>06/01/20</v>
      </c>
      <c r="G75" s="466" t="s">
        <v>802</v>
      </c>
      <c r="H75" s="466" t="s">
        <v>708</v>
      </c>
      <c r="I75" s="474"/>
      <c r="J75" s="467">
        <v>20.887722</v>
      </c>
      <c r="K75" s="467">
        <v>52.818351999999997</v>
      </c>
      <c r="L75" s="467">
        <v>29.45391</v>
      </c>
      <c r="M75" s="467">
        <v>28.240182000000001</v>
      </c>
      <c r="N75" s="450">
        <v>4250</v>
      </c>
      <c r="O75" s="450">
        <v>38.71</v>
      </c>
      <c r="P75" s="450">
        <v>3.0499999999999999E-2</v>
      </c>
      <c r="Q75" s="450">
        <v>1.4999999999999999E-2</v>
      </c>
      <c r="R75" s="451">
        <v>1.9178923999999999</v>
      </c>
      <c r="S75" s="451">
        <f t="shared" ref="S75:S90" si="46">R75+R74</f>
        <v>9.9436783599999998</v>
      </c>
      <c r="T75" s="492">
        <v>83.5</v>
      </c>
      <c r="U75" s="492">
        <v>83.1</v>
      </c>
      <c r="V75" s="455">
        <v>6678</v>
      </c>
      <c r="W75" s="455">
        <v>7030</v>
      </c>
      <c r="X75" s="455">
        <f t="shared" ref="X75:X90" si="47">W75-V75</f>
        <v>352</v>
      </c>
      <c r="Y75" s="455">
        <f t="shared" si="26"/>
        <v>183.53480101386293</v>
      </c>
      <c r="Z75" s="476">
        <v>6677</v>
      </c>
      <c r="AA75" s="455">
        <v>7029</v>
      </c>
      <c r="AB75" s="455">
        <f t="shared" ref="AB75:AB90" si="48">AA75-Z75</f>
        <v>352</v>
      </c>
      <c r="AC75" s="475">
        <f t="shared" si="28"/>
        <v>183.53480101386293</v>
      </c>
      <c r="AD75" s="476">
        <v>106</v>
      </c>
      <c r="AE75" s="455">
        <v>109</v>
      </c>
      <c r="AF75" s="455">
        <f t="shared" ref="AF75:AF90" si="49">AE75-AD75</f>
        <v>3</v>
      </c>
      <c r="AG75" s="475">
        <f t="shared" si="30"/>
        <v>1.5642170540954228</v>
      </c>
      <c r="AH75" s="476">
        <v>6012</v>
      </c>
      <c r="AI75" s="455">
        <v>6296</v>
      </c>
      <c r="AJ75" s="455">
        <f t="shared" ref="AJ75:AJ90" si="50">AI75-AH75</f>
        <v>284</v>
      </c>
      <c r="AK75" s="475">
        <f t="shared" si="32"/>
        <v>148.07921445436668</v>
      </c>
      <c r="AL75" s="476">
        <v>548.4</v>
      </c>
      <c r="AM75" s="455">
        <v>612</v>
      </c>
      <c r="AN75" s="455">
        <f t="shared" ref="AN75:AN90" si="51">AM75-AL75</f>
        <v>63.600000000000023</v>
      </c>
      <c r="AO75" s="475">
        <f t="shared" si="34"/>
        <v>33.161401546822972</v>
      </c>
      <c r="AP75" s="476">
        <v>438.59927900000002</v>
      </c>
      <c r="AQ75" s="455">
        <v>490.27</v>
      </c>
      <c r="AR75" s="455">
        <f t="shared" ref="AR75:AR90" si="52">AQ75-AP75</f>
        <v>51.670720999999958</v>
      </c>
      <c r="AS75" s="475">
        <f t="shared" si="36"/>
        <v>26.941407661868809</v>
      </c>
      <c r="AT75" s="476">
        <v>2</v>
      </c>
      <c r="AU75" s="455">
        <v>2.1</v>
      </c>
      <c r="AV75" s="455">
        <f t="shared" ref="AV75:AV90" si="53">AU75-AT75</f>
        <v>0.10000000000000009</v>
      </c>
      <c r="AW75" s="475">
        <f t="shared" si="38"/>
        <v>5.2140568469847472E-2</v>
      </c>
      <c r="AX75" s="476">
        <v>3.9</v>
      </c>
      <c r="AY75" s="455">
        <v>4.3</v>
      </c>
      <c r="AZ75" s="455">
        <f t="shared" ref="AZ75:AZ90" si="54">AY75-AX75</f>
        <v>0.39999999999999991</v>
      </c>
      <c r="BA75" s="475">
        <f t="shared" si="40"/>
        <v>0.20856227387938964</v>
      </c>
      <c r="BB75" s="476">
        <v>-4.54</v>
      </c>
      <c r="BC75" s="455">
        <v>-4.97</v>
      </c>
      <c r="BD75" s="455">
        <f t="shared" ref="BD75:BD90" si="55">BC75-BB75</f>
        <v>-0.42999999999999972</v>
      </c>
      <c r="BE75" s="455">
        <v>-2.6190259999999999</v>
      </c>
      <c r="BF75" s="475">
        <f t="shared" si="42"/>
        <v>-0.22420444442034376</v>
      </c>
      <c r="BG75" s="443">
        <v>83.5</v>
      </c>
      <c r="BH75" s="443">
        <v>83.1</v>
      </c>
      <c r="BI75" s="443">
        <f t="shared" ref="BI75:BI90" si="56">BH75-BG75</f>
        <v>-0.40000000000000568</v>
      </c>
      <c r="BJ75" s="495">
        <v>6.5</v>
      </c>
      <c r="BK75" s="495">
        <v>7</v>
      </c>
      <c r="BL75" s="495">
        <f t="shared" ref="BL75:BL90" si="57">BK75-BJ75</f>
        <v>0.5</v>
      </c>
      <c r="BM75" s="495">
        <v>0</v>
      </c>
      <c r="BN75" s="495">
        <v>0</v>
      </c>
      <c r="BO75" s="495">
        <f t="shared" ref="BO75:BO90" si="58">BN75-BM75</f>
        <v>0</v>
      </c>
      <c r="BP75" s="443"/>
      <c r="BQ75" s="443"/>
      <c r="BR75" s="443"/>
      <c r="BS75" s="443"/>
      <c r="BT75" s="466" t="s">
        <v>723</v>
      </c>
      <c r="BU75" s="447">
        <v>1103.12964332</v>
      </c>
      <c r="BV75" s="447">
        <v>-3.3738062900000001</v>
      </c>
      <c r="BW75" s="447">
        <v>1931.6723983899999</v>
      </c>
      <c r="BX75" s="447">
        <v>1999.1187940699999</v>
      </c>
      <c r="BY75" s="447">
        <v>1.5564206700000001</v>
      </c>
      <c r="BZ75" s="447">
        <v>1.5973827899999999</v>
      </c>
      <c r="CA75" s="447">
        <v>0.18082165</v>
      </c>
      <c r="CB75" s="447">
        <v>1.91777149</v>
      </c>
      <c r="CC75" s="447">
        <v>1.91431</v>
      </c>
      <c r="CD75" s="447">
        <v>-2.8173962399999999</v>
      </c>
      <c r="CE75" s="447">
        <v>-2.5643273299999998</v>
      </c>
      <c r="CF75" s="447">
        <v>0.79127994000000001</v>
      </c>
      <c r="CG75" s="447"/>
    </row>
    <row r="76" spans="1:85" s="449" customFormat="1">
      <c r="A76" s="500">
        <v>62006002</v>
      </c>
      <c r="B76" s="491" t="s">
        <v>852</v>
      </c>
      <c r="C76" s="472" t="s">
        <v>696</v>
      </c>
      <c r="D76" s="473" t="s">
        <v>800</v>
      </c>
      <c r="E76" s="448" t="s">
        <v>801</v>
      </c>
      <c r="F76" s="481" t="str">
        <f t="shared" si="23"/>
        <v>06/01/20</v>
      </c>
      <c r="G76" s="466" t="s">
        <v>802</v>
      </c>
      <c r="H76" s="466" t="s">
        <v>708</v>
      </c>
      <c r="I76" s="474"/>
      <c r="J76" s="467">
        <v>23.065266999999999</v>
      </c>
      <c r="K76" s="467">
        <v>44.896503000000003</v>
      </c>
      <c r="L76" s="467">
        <v>29.450500999999999</v>
      </c>
      <c r="M76" s="467">
        <v>28.514092999999999</v>
      </c>
      <c r="N76" s="450">
        <v>4250</v>
      </c>
      <c r="O76" s="450">
        <v>38.71</v>
      </c>
      <c r="P76" s="450">
        <v>3.0499999999999999E-2</v>
      </c>
      <c r="Q76" s="450">
        <v>1.4999999999999999E-2</v>
      </c>
      <c r="R76" s="451">
        <v>2.9568351399999999</v>
      </c>
      <c r="S76" s="451">
        <f t="shared" si="46"/>
        <v>4.8747275400000003</v>
      </c>
      <c r="T76" s="492">
        <v>83.1</v>
      </c>
      <c r="U76" s="492">
        <v>82.5</v>
      </c>
      <c r="V76" s="455">
        <v>7030</v>
      </c>
      <c r="W76" s="455">
        <v>7530</v>
      </c>
      <c r="X76" s="455">
        <f t="shared" si="47"/>
        <v>500</v>
      </c>
      <c r="Y76" s="455">
        <f t="shared" si="26"/>
        <v>169.09972194121042</v>
      </c>
      <c r="Z76" s="476">
        <v>7029</v>
      </c>
      <c r="AA76" s="455">
        <v>7530</v>
      </c>
      <c r="AB76" s="455">
        <f t="shared" si="48"/>
        <v>501</v>
      </c>
      <c r="AC76" s="475">
        <f t="shared" si="28"/>
        <v>169.43792138509286</v>
      </c>
      <c r="AD76" s="476">
        <v>109</v>
      </c>
      <c r="AE76" s="455">
        <v>112</v>
      </c>
      <c r="AF76" s="455">
        <f t="shared" si="49"/>
        <v>3</v>
      </c>
      <c r="AG76" s="475">
        <f t="shared" si="30"/>
        <v>1.0145983316472627</v>
      </c>
      <c r="AH76" s="476">
        <v>6296</v>
      </c>
      <c r="AI76" s="455">
        <v>6746</v>
      </c>
      <c r="AJ76" s="455">
        <f t="shared" si="50"/>
        <v>450</v>
      </c>
      <c r="AK76" s="475">
        <f t="shared" si="32"/>
        <v>152.18974974708939</v>
      </c>
      <c r="AL76" s="476">
        <v>612.03000799999995</v>
      </c>
      <c r="AM76" s="455">
        <v>658.1</v>
      </c>
      <c r="AN76" s="455">
        <f t="shared" si="51"/>
        <v>46.06999200000007</v>
      </c>
      <c r="AO76" s="475">
        <f t="shared" si="34"/>
        <v>15.580845674067602</v>
      </c>
      <c r="AP76" s="476">
        <v>490.28900199999998</v>
      </c>
      <c r="AQ76" s="455">
        <v>527.75881000000004</v>
      </c>
      <c r="AR76" s="455">
        <f t="shared" si="52"/>
        <v>37.469808000000057</v>
      </c>
      <c r="AS76" s="475">
        <f t="shared" si="36"/>
        <v>12.672268227981103</v>
      </c>
      <c r="AT76" s="476">
        <v>2.1</v>
      </c>
      <c r="AU76" s="455">
        <v>2.2999999999999998</v>
      </c>
      <c r="AV76" s="455">
        <f t="shared" si="53"/>
        <v>0.19999999999999973</v>
      </c>
      <c r="AW76" s="475">
        <f t="shared" si="38"/>
        <v>6.7639888776484081E-2</v>
      </c>
      <c r="AX76" s="476">
        <v>4.3</v>
      </c>
      <c r="AY76" s="455">
        <v>4.5999999999999996</v>
      </c>
      <c r="AZ76" s="455">
        <f t="shared" si="54"/>
        <v>0.29999999999999982</v>
      </c>
      <c r="BA76" s="475">
        <f t="shared" si="40"/>
        <v>0.1014598331647262</v>
      </c>
      <c r="BB76" s="476">
        <v>-4.97</v>
      </c>
      <c r="BC76" s="455">
        <v>-5.14</v>
      </c>
      <c r="BD76" s="455">
        <f t="shared" si="55"/>
        <v>-0.16999999999999993</v>
      </c>
      <c r="BE76" s="455">
        <v>-1.449848</v>
      </c>
      <c r="BF76" s="475">
        <f t="shared" si="42"/>
        <v>-5.749390546001152E-2</v>
      </c>
      <c r="BG76" s="443">
        <v>83.1</v>
      </c>
      <c r="BH76" s="443">
        <v>82.5</v>
      </c>
      <c r="BI76" s="443">
        <f t="shared" si="56"/>
        <v>-0.59999999999999432</v>
      </c>
      <c r="BJ76" s="495">
        <v>7</v>
      </c>
      <c r="BK76" s="495">
        <v>7.5</v>
      </c>
      <c r="BL76" s="495">
        <f t="shared" si="57"/>
        <v>0.5</v>
      </c>
      <c r="BM76" s="495">
        <v>0</v>
      </c>
      <c r="BN76" s="495">
        <v>0</v>
      </c>
      <c r="BO76" s="495">
        <f t="shared" si="58"/>
        <v>0</v>
      </c>
      <c r="BP76" s="443"/>
      <c r="BQ76" s="443"/>
      <c r="BR76" s="443"/>
      <c r="BS76" s="443"/>
      <c r="BT76" s="466" t="s">
        <v>723</v>
      </c>
      <c r="BU76" s="447">
        <v>2129.31351774</v>
      </c>
      <c r="BV76" s="447">
        <v>-4.1841674299999996</v>
      </c>
      <c r="BW76" s="447">
        <v>1780.20422065</v>
      </c>
      <c r="BX76" s="447">
        <v>1857.9436955799999</v>
      </c>
      <c r="BY76" s="447">
        <v>2.55605729</v>
      </c>
      <c r="BZ76" s="447">
        <v>2.6040111800000001</v>
      </c>
      <c r="CA76" s="447">
        <v>0.28816417</v>
      </c>
      <c r="CB76" s="447">
        <v>2.9568141899999998</v>
      </c>
      <c r="CC76" s="447">
        <v>2.9483181900000002</v>
      </c>
      <c r="CD76" s="447">
        <v>-2.1696586299999998</v>
      </c>
      <c r="CE76" s="447">
        <v>-1.84153934</v>
      </c>
      <c r="CF76" s="447">
        <v>0.70901431999999998</v>
      </c>
      <c r="CG76" s="447"/>
    </row>
    <row r="77" spans="1:85" s="449" customFormat="1">
      <c r="A77" s="500">
        <v>62006002</v>
      </c>
      <c r="B77" s="491" t="s">
        <v>853</v>
      </c>
      <c r="C77" s="472" t="s">
        <v>697</v>
      </c>
      <c r="D77" s="473" t="s">
        <v>800</v>
      </c>
      <c r="E77" s="448" t="s">
        <v>801</v>
      </c>
      <c r="F77" s="481" t="str">
        <f t="shared" si="23"/>
        <v>06/01/20</v>
      </c>
      <c r="G77" s="466" t="s">
        <v>802</v>
      </c>
      <c r="H77" s="466" t="s">
        <v>708</v>
      </c>
      <c r="I77" s="474"/>
      <c r="J77" s="467">
        <v>24.646694</v>
      </c>
      <c r="K77" s="467">
        <v>38.738407000000002</v>
      </c>
      <c r="L77" s="467">
        <v>29.457138</v>
      </c>
      <c r="M77" s="467">
        <v>30.497633</v>
      </c>
      <c r="N77" s="450">
        <v>4250</v>
      </c>
      <c r="O77" s="450">
        <v>38.71</v>
      </c>
      <c r="P77" s="450">
        <v>3.0499999999999999E-2</v>
      </c>
      <c r="Q77" s="450">
        <v>1.4999999999999999E-2</v>
      </c>
      <c r="R77" s="451">
        <v>4.3996214699999996</v>
      </c>
      <c r="S77" s="451">
        <f t="shared" si="46"/>
        <v>7.3564566099999995</v>
      </c>
      <c r="T77" s="492">
        <v>82.5</v>
      </c>
      <c r="U77" s="492">
        <v>81.5</v>
      </c>
      <c r="V77" s="455">
        <v>7530</v>
      </c>
      <c r="W77" s="455">
        <v>8343</v>
      </c>
      <c r="X77" s="455">
        <f t="shared" si="47"/>
        <v>813</v>
      </c>
      <c r="Y77" s="455">
        <f t="shared" si="26"/>
        <v>184.78862455410285</v>
      </c>
      <c r="Z77" s="476">
        <v>7530</v>
      </c>
      <c r="AA77" s="455">
        <v>8343</v>
      </c>
      <c r="AB77" s="455">
        <f t="shared" si="48"/>
        <v>813</v>
      </c>
      <c r="AC77" s="475">
        <f t="shared" si="28"/>
        <v>184.78862455410285</v>
      </c>
      <c r="AD77" s="476">
        <v>112</v>
      </c>
      <c r="AE77" s="455">
        <v>108</v>
      </c>
      <c r="AF77" s="455">
        <f t="shared" si="49"/>
        <v>-4</v>
      </c>
      <c r="AG77" s="475">
        <f t="shared" si="30"/>
        <v>-0.90916912449743104</v>
      </c>
      <c r="AH77" s="476">
        <v>6746</v>
      </c>
      <c r="AI77" s="455">
        <v>7512</v>
      </c>
      <c r="AJ77" s="455">
        <f t="shared" si="50"/>
        <v>766</v>
      </c>
      <c r="AK77" s="475">
        <f t="shared" si="32"/>
        <v>174.10588734125804</v>
      </c>
      <c r="AL77" s="476">
        <v>658.1</v>
      </c>
      <c r="AM77" s="455">
        <v>707.3</v>
      </c>
      <c r="AN77" s="455">
        <f t="shared" si="51"/>
        <v>49.199999999999932</v>
      </c>
      <c r="AO77" s="475">
        <f t="shared" si="34"/>
        <v>11.182780231318386</v>
      </c>
      <c r="AP77" s="476">
        <v>527.77</v>
      </c>
      <c r="AQ77" s="455">
        <v>568.00856699999997</v>
      </c>
      <c r="AR77" s="455">
        <f t="shared" si="52"/>
        <v>40.238566999999989</v>
      </c>
      <c r="AS77" s="475">
        <f t="shared" si="36"/>
        <v>9.1459156826053025</v>
      </c>
      <c r="AT77" s="476">
        <v>2.2999999999999998</v>
      </c>
      <c r="AU77" s="455">
        <v>2.4</v>
      </c>
      <c r="AV77" s="455">
        <f t="shared" si="53"/>
        <v>0.10000000000000009</v>
      </c>
      <c r="AW77" s="475">
        <f t="shared" si="38"/>
        <v>2.2729228112435794E-2</v>
      </c>
      <c r="AX77" s="476">
        <v>4.5999999999999996</v>
      </c>
      <c r="AY77" s="455">
        <v>4.9000000000000004</v>
      </c>
      <c r="AZ77" s="455">
        <f t="shared" si="54"/>
        <v>0.30000000000000071</v>
      </c>
      <c r="BA77" s="475">
        <f t="shared" si="40"/>
        <v>6.8187684337307486E-2</v>
      </c>
      <c r="BB77" s="476">
        <v>-5.14</v>
      </c>
      <c r="BC77" s="455">
        <v>-5.32</v>
      </c>
      <c r="BD77" s="455">
        <f t="shared" si="55"/>
        <v>-0.1800000000000006</v>
      </c>
      <c r="BE77" s="455">
        <v>-1.427586</v>
      </c>
      <c r="BF77" s="475">
        <f t="shared" si="42"/>
        <v>-4.0912610602384533E-2</v>
      </c>
      <c r="BG77" s="443">
        <v>82.5</v>
      </c>
      <c r="BH77" s="443">
        <v>81.5</v>
      </c>
      <c r="BI77" s="443">
        <f t="shared" si="56"/>
        <v>-1</v>
      </c>
      <c r="BJ77" s="495">
        <v>7.5</v>
      </c>
      <c r="BK77" s="495">
        <v>7.9</v>
      </c>
      <c r="BL77" s="495">
        <f t="shared" si="57"/>
        <v>0.40000000000000036</v>
      </c>
      <c r="BM77" s="495">
        <v>0</v>
      </c>
      <c r="BN77" s="495">
        <v>0</v>
      </c>
      <c r="BO77" s="495">
        <f t="shared" si="58"/>
        <v>0</v>
      </c>
      <c r="BP77" s="443"/>
      <c r="BQ77" s="443"/>
      <c r="BR77" s="443"/>
      <c r="BS77" s="443"/>
      <c r="BT77" s="466" t="s">
        <v>723</v>
      </c>
      <c r="BU77" s="447">
        <v>1871.3883889700001</v>
      </c>
      <c r="BV77" s="447">
        <v>-3.7242545100000002</v>
      </c>
      <c r="BW77" s="447">
        <v>1566.7464957300001</v>
      </c>
      <c r="BX77" s="447">
        <v>1627.3532734400001</v>
      </c>
      <c r="BY77" s="447">
        <v>3.40475124</v>
      </c>
      <c r="BZ77" s="447">
        <v>3.4472593200000001</v>
      </c>
      <c r="CA77" s="447">
        <v>0.27342786000000002</v>
      </c>
      <c r="CB77" s="447">
        <v>4.3996084</v>
      </c>
      <c r="CC77" s="447">
        <v>4.3876114499999996</v>
      </c>
      <c r="CD77" s="447">
        <v>-1.52533466</v>
      </c>
      <c r="CE77" s="447">
        <v>-1.23309793</v>
      </c>
      <c r="CF77" s="447">
        <v>0.55476347000000004</v>
      </c>
      <c r="CG77" s="447"/>
    </row>
    <row r="78" spans="1:85" s="449" customFormat="1">
      <c r="A78" s="500">
        <v>62006002</v>
      </c>
      <c r="B78" s="491" t="s">
        <v>854</v>
      </c>
      <c r="C78" s="472" t="s">
        <v>699</v>
      </c>
      <c r="D78" s="473" t="s">
        <v>800</v>
      </c>
      <c r="E78" s="448" t="s">
        <v>801</v>
      </c>
      <c r="F78" s="481" t="str">
        <f t="shared" si="23"/>
        <v>06/01/20</v>
      </c>
      <c r="G78" s="466" t="s">
        <v>802</v>
      </c>
      <c r="H78" s="466" t="s">
        <v>708</v>
      </c>
      <c r="I78" s="474"/>
      <c r="J78" s="467">
        <v>25.435386000000001</v>
      </c>
      <c r="K78" s="467">
        <v>36.687691000000001</v>
      </c>
      <c r="L78" s="467">
        <v>29.459251999999999</v>
      </c>
      <c r="M78" s="467">
        <v>31.967233</v>
      </c>
      <c r="N78" s="450">
        <v>4250</v>
      </c>
      <c r="O78" s="450">
        <v>38.71</v>
      </c>
      <c r="P78" s="450">
        <v>3.0499999999999999E-2</v>
      </c>
      <c r="Q78" s="450">
        <v>1.4999999999999999E-2</v>
      </c>
      <c r="R78" s="451">
        <v>5.1426668900000001</v>
      </c>
      <c r="S78" s="451">
        <f t="shared" si="46"/>
        <v>9.5422883600000006</v>
      </c>
      <c r="T78" s="492">
        <v>81.5</v>
      </c>
      <c r="U78" s="492">
        <v>80</v>
      </c>
      <c r="V78" s="455">
        <v>8343</v>
      </c>
      <c r="W78" s="455">
        <v>9620</v>
      </c>
      <c r="X78" s="455">
        <f t="shared" si="47"/>
        <v>1277</v>
      </c>
      <c r="Y78" s="455">
        <f t="shared" si="26"/>
        <v>248.31474161454</v>
      </c>
      <c r="Z78" s="476">
        <v>8343.8671809999996</v>
      </c>
      <c r="AA78" s="455">
        <v>9621</v>
      </c>
      <c r="AB78" s="455">
        <f t="shared" si="48"/>
        <v>1277.1328190000004</v>
      </c>
      <c r="AC78" s="475">
        <f t="shared" si="28"/>
        <v>248.34056848663599</v>
      </c>
      <c r="AD78" s="476">
        <v>108</v>
      </c>
      <c r="AE78" s="455">
        <v>110</v>
      </c>
      <c r="AF78" s="455">
        <f t="shared" si="49"/>
        <v>2</v>
      </c>
      <c r="AG78" s="475">
        <f t="shared" si="30"/>
        <v>0.3889032758254346</v>
      </c>
      <c r="AH78" s="476">
        <v>7512</v>
      </c>
      <c r="AI78" s="455">
        <v>8751</v>
      </c>
      <c r="AJ78" s="455">
        <f t="shared" si="50"/>
        <v>1239</v>
      </c>
      <c r="AK78" s="475">
        <f t="shared" si="32"/>
        <v>240.92557937385675</v>
      </c>
      <c r="AL78" s="476">
        <v>707.4</v>
      </c>
      <c r="AM78" s="455">
        <v>741.4</v>
      </c>
      <c r="AN78" s="455">
        <f t="shared" si="51"/>
        <v>34</v>
      </c>
      <c r="AO78" s="475">
        <f t="shared" si="34"/>
        <v>6.6113556890323881</v>
      </c>
      <c r="AP78" s="476">
        <v>568.02866700000004</v>
      </c>
      <c r="AQ78" s="455">
        <v>595.80823599999997</v>
      </c>
      <c r="AR78" s="455">
        <f t="shared" si="52"/>
        <v>27.779568999999924</v>
      </c>
      <c r="AS78" s="475">
        <f t="shared" si="36"/>
        <v>5.4017826925593315</v>
      </c>
      <c r="AT78" s="476">
        <v>2.4</v>
      </c>
      <c r="AU78" s="455">
        <v>2.5</v>
      </c>
      <c r="AV78" s="455">
        <f t="shared" si="53"/>
        <v>0.10000000000000009</v>
      </c>
      <c r="AW78" s="475">
        <f t="shared" si="38"/>
        <v>1.9445163791271747E-2</v>
      </c>
      <c r="AX78" s="476">
        <v>4.9000000000000004</v>
      </c>
      <c r="AY78" s="455">
        <v>5.0999999999999996</v>
      </c>
      <c r="AZ78" s="455">
        <f t="shared" si="54"/>
        <v>0.19999999999999929</v>
      </c>
      <c r="BA78" s="475">
        <f t="shared" si="40"/>
        <v>3.8890327582543321E-2</v>
      </c>
      <c r="BB78" s="476">
        <v>-5.32</v>
      </c>
      <c r="BC78" s="455">
        <v>-5.45</v>
      </c>
      <c r="BD78" s="455">
        <f t="shared" si="55"/>
        <v>-0.12999999999999989</v>
      </c>
      <c r="BE78" s="455">
        <v>-1.5005329999999999</v>
      </c>
      <c r="BF78" s="475">
        <f t="shared" si="42"/>
        <v>-2.5278712928653229E-2</v>
      </c>
      <c r="BG78" s="443">
        <v>81.5</v>
      </c>
      <c r="BH78" s="443">
        <v>80</v>
      </c>
      <c r="BI78" s="443">
        <f t="shared" si="56"/>
        <v>-1.5</v>
      </c>
      <c r="BJ78" s="495">
        <v>7.9</v>
      </c>
      <c r="BK78" s="495">
        <v>8.1999999999999993</v>
      </c>
      <c r="BL78" s="495">
        <f t="shared" si="57"/>
        <v>0.29999999999999893</v>
      </c>
      <c r="BM78" s="495">
        <v>0</v>
      </c>
      <c r="BN78" s="495">
        <v>0</v>
      </c>
      <c r="BO78" s="495">
        <f t="shared" si="58"/>
        <v>0</v>
      </c>
      <c r="BP78" s="443"/>
      <c r="BQ78" s="443"/>
      <c r="BR78" s="443"/>
      <c r="BS78" s="443"/>
      <c r="BT78" s="466" t="s">
        <v>723</v>
      </c>
      <c r="BU78" s="447">
        <v>1574.4312422200001</v>
      </c>
      <c r="BV78" s="447">
        <v>-0.27295809999999998</v>
      </c>
      <c r="BW78" s="447">
        <v>990.68176731999995</v>
      </c>
      <c r="BX78" s="447">
        <v>993.39331483000001</v>
      </c>
      <c r="BY78" s="447">
        <v>4.9204038900000002</v>
      </c>
      <c r="BZ78" s="447">
        <v>4.9043650699999999</v>
      </c>
      <c r="CA78" s="447">
        <v>0.26927252000000002</v>
      </c>
      <c r="CB78" s="447">
        <v>5.1426433300000003</v>
      </c>
      <c r="CC78" s="447">
        <v>5.1288327899999997</v>
      </c>
      <c r="CD78" s="447">
        <v>5.7570870000000003E-2</v>
      </c>
      <c r="CE78" s="447">
        <v>0.32703166</v>
      </c>
      <c r="CF78" s="447">
        <v>0.41214187000000002</v>
      </c>
      <c r="CG78" s="447"/>
    </row>
    <row r="79" spans="1:85" s="449" customFormat="1" ht="22.5">
      <c r="A79" s="500">
        <v>62006003</v>
      </c>
      <c r="B79" s="491" t="s">
        <v>855</v>
      </c>
      <c r="C79" s="472" t="s">
        <v>695</v>
      </c>
      <c r="D79" s="473" t="s">
        <v>803</v>
      </c>
      <c r="E79" s="448" t="s">
        <v>804</v>
      </c>
      <c r="F79" s="481" t="str">
        <f t="shared" si="23"/>
        <v>06/01/20</v>
      </c>
      <c r="G79" s="466" t="s">
        <v>805</v>
      </c>
      <c r="H79" s="466" t="s">
        <v>708</v>
      </c>
      <c r="I79" s="474"/>
      <c r="J79" s="467">
        <v>23.925221000000001</v>
      </c>
      <c r="K79" s="467">
        <v>41.512768999999999</v>
      </c>
      <c r="L79" s="467">
        <v>29.412915000000002</v>
      </c>
      <c r="M79" s="467">
        <v>32.384618000000003</v>
      </c>
      <c r="N79" s="450">
        <v>4250</v>
      </c>
      <c r="O79" s="450">
        <v>38.71</v>
      </c>
      <c r="P79" s="450">
        <v>3.0499999999999999E-2</v>
      </c>
      <c r="Q79" s="450">
        <v>1.4999999999999999E-2</v>
      </c>
      <c r="R79" s="451">
        <v>8.0263312399999993</v>
      </c>
      <c r="S79" s="451">
        <f t="shared" si="46"/>
        <v>13.168998129999999</v>
      </c>
      <c r="T79" s="492">
        <v>76.5</v>
      </c>
      <c r="U79" s="492">
        <v>74.2</v>
      </c>
      <c r="V79" s="455">
        <v>12556</v>
      </c>
      <c r="W79" s="455">
        <v>14512</v>
      </c>
      <c r="X79" s="455">
        <f t="shared" si="47"/>
        <v>1956</v>
      </c>
      <c r="Y79" s="455">
        <f t="shared" si="26"/>
        <v>243.69789154129157</v>
      </c>
      <c r="Z79" s="476">
        <v>12560</v>
      </c>
      <c r="AA79" s="455">
        <v>14516</v>
      </c>
      <c r="AB79" s="455">
        <f t="shared" si="48"/>
        <v>1956</v>
      </c>
      <c r="AC79" s="475">
        <f t="shared" si="28"/>
        <v>243.69789154129157</v>
      </c>
      <c r="AD79" s="476">
        <v>117</v>
      </c>
      <c r="AE79" s="455">
        <v>171</v>
      </c>
      <c r="AF79" s="455">
        <f t="shared" si="49"/>
        <v>54</v>
      </c>
      <c r="AG79" s="475">
        <f t="shared" si="30"/>
        <v>6.7278559014466994</v>
      </c>
      <c r="AH79" s="476">
        <v>11461</v>
      </c>
      <c r="AI79" s="455">
        <v>13299</v>
      </c>
      <c r="AJ79" s="455">
        <f t="shared" si="50"/>
        <v>1838</v>
      </c>
      <c r="AK79" s="475">
        <f t="shared" si="32"/>
        <v>228.99628049738951</v>
      </c>
      <c r="AL79" s="476">
        <v>957</v>
      </c>
      <c r="AM79" s="455">
        <v>1018</v>
      </c>
      <c r="AN79" s="455">
        <f t="shared" si="51"/>
        <v>61</v>
      </c>
      <c r="AO79" s="475">
        <f t="shared" si="34"/>
        <v>7.5999853701527531</v>
      </c>
      <c r="AP79" s="476">
        <v>767.58</v>
      </c>
      <c r="AQ79" s="455">
        <v>816.96733600000005</v>
      </c>
      <c r="AR79" s="455">
        <f t="shared" si="52"/>
        <v>49.387336000000005</v>
      </c>
      <c r="AS79" s="475">
        <f t="shared" si="36"/>
        <v>6.1531644437839086</v>
      </c>
      <c r="AT79" s="476">
        <v>3.1</v>
      </c>
      <c r="AU79" s="455">
        <v>3.3</v>
      </c>
      <c r="AV79" s="455">
        <f t="shared" si="53"/>
        <v>0.19999999999999973</v>
      </c>
      <c r="AW79" s="475">
        <f t="shared" si="38"/>
        <v>2.4917984820172927E-2</v>
      </c>
      <c r="AX79" s="476">
        <v>6.5</v>
      </c>
      <c r="AY79" s="455">
        <v>6.9</v>
      </c>
      <c r="AZ79" s="455">
        <f t="shared" si="54"/>
        <v>0.40000000000000036</v>
      </c>
      <c r="BA79" s="475">
        <f t="shared" si="40"/>
        <v>4.9835969640345965E-2</v>
      </c>
      <c r="BB79" s="476">
        <v>-6.39</v>
      </c>
      <c r="BC79" s="455">
        <v>-6.63</v>
      </c>
      <c r="BD79" s="455">
        <f t="shared" si="55"/>
        <v>-0.24000000000000021</v>
      </c>
      <c r="BE79" s="455">
        <v>-1.471473</v>
      </c>
      <c r="BF79" s="475">
        <f t="shared" si="42"/>
        <v>-2.9901581784207581E-2</v>
      </c>
      <c r="BG79" s="443">
        <v>76.5</v>
      </c>
      <c r="BH79" s="443">
        <v>74.2</v>
      </c>
      <c r="BI79" s="443">
        <f t="shared" si="56"/>
        <v>-2.2999999999999972</v>
      </c>
      <c r="BJ79" s="495">
        <v>10.5</v>
      </c>
      <c r="BK79" s="495">
        <v>11.1</v>
      </c>
      <c r="BL79" s="495">
        <f t="shared" si="57"/>
        <v>0.59999999999999964</v>
      </c>
      <c r="BM79" s="495">
        <v>0</v>
      </c>
      <c r="BN79" s="495">
        <v>0</v>
      </c>
      <c r="BO79" s="495">
        <f t="shared" si="58"/>
        <v>0</v>
      </c>
      <c r="BP79" s="443"/>
      <c r="BQ79" s="443"/>
      <c r="BR79" s="443"/>
      <c r="BS79" s="443"/>
      <c r="BT79" s="466" t="s">
        <v>723</v>
      </c>
      <c r="BU79" s="447">
        <v>9033.9790521499999</v>
      </c>
      <c r="BV79" s="447">
        <v>-3.383934</v>
      </c>
      <c r="BW79" s="447">
        <v>3477.2943062999998</v>
      </c>
      <c r="BX79" s="447">
        <v>3599.08496625</v>
      </c>
      <c r="BY79" s="447">
        <v>8.9021245400000009</v>
      </c>
      <c r="BZ79" s="447">
        <v>8.9942813099999999</v>
      </c>
      <c r="CA79" s="447">
        <v>0.22910902999999999</v>
      </c>
      <c r="CB79" s="447">
        <v>8.0262991600000007</v>
      </c>
      <c r="CC79" s="447">
        <v>8.00795222</v>
      </c>
      <c r="CD79" s="447">
        <v>-1.26670295</v>
      </c>
      <c r="CE79" s="447">
        <v>-1.02461509</v>
      </c>
      <c r="CF79" s="447">
        <v>0.56585012999999995</v>
      </c>
      <c r="CG79" s="447"/>
    </row>
    <row r="80" spans="1:85" s="449" customFormat="1" ht="22.5">
      <c r="A80" s="500">
        <v>62006003</v>
      </c>
      <c r="B80" s="491" t="s">
        <v>856</v>
      </c>
      <c r="C80" s="472" t="s">
        <v>696</v>
      </c>
      <c r="D80" s="473" t="s">
        <v>803</v>
      </c>
      <c r="E80" s="448" t="s">
        <v>804</v>
      </c>
      <c r="F80" s="481" t="str">
        <f t="shared" si="23"/>
        <v>06/01/20</v>
      </c>
      <c r="G80" s="466" t="s">
        <v>805</v>
      </c>
      <c r="H80" s="466" t="s">
        <v>708</v>
      </c>
      <c r="I80" s="474"/>
      <c r="J80" s="467">
        <v>23.969705000000001</v>
      </c>
      <c r="K80" s="467">
        <v>41.127121000000002</v>
      </c>
      <c r="L80" s="467">
        <v>29.401091999999998</v>
      </c>
      <c r="M80" s="467">
        <v>33.018903999999999</v>
      </c>
      <c r="N80" s="450">
        <v>4250</v>
      </c>
      <c r="O80" s="450">
        <v>38.71</v>
      </c>
      <c r="P80" s="450">
        <v>3.0499999999999999E-2</v>
      </c>
      <c r="Q80" s="450">
        <v>1.4999999999999999E-2</v>
      </c>
      <c r="R80" s="451">
        <v>8.0270170099999998</v>
      </c>
      <c r="S80" s="451">
        <f t="shared" si="46"/>
        <v>16.053348249999999</v>
      </c>
      <c r="T80" s="492">
        <v>74.2</v>
      </c>
      <c r="U80" s="492">
        <v>71.8</v>
      </c>
      <c r="V80" s="455">
        <v>14512</v>
      </c>
      <c r="W80" s="455">
        <v>16455</v>
      </c>
      <c r="X80" s="455">
        <f t="shared" si="47"/>
        <v>1943</v>
      </c>
      <c r="Y80" s="455">
        <f t="shared" si="26"/>
        <v>242.05754112386018</v>
      </c>
      <c r="Z80" s="476">
        <v>14516</v>
      </c>
      <c r="AA80" s="455">
        <v>16461</v>
      </c>
      <c r="AB80" s="455">
        <f t="shared" si="48"/>
        <v>1945</v>
      </c>
      <c r="AC80" s="475">
        <f t="shared" si="28"/>
        <v>242.30669968394648</v>
      </c>
      <c r="AD80" s="476">
        <v>171</v>
      </c>
      <c r="AE80" s="455">
        <v>227</v>
      </c>
      <c r="AF80" s="455">
        <f t="shared" si="49"/>
        <v>56</v>
      </c>
      <c r="AG80" s="475">
        <f t="shared" si="30"/>
        <v>6.9764396824169683</v>
      </c>
      <c r="AH80" s="476">
        <v>13299</v>
      </c>
      <c r="AI80" s="455">
        <v>15124</v>
      </c>
      <c r="AJ80" s="455">
        <f t="shared" si="50"/>
        <v>1825</v>
      </c>
      <c r="AK80" s="475">
        <f t="shared" si="32"/>
        <v>227.35718607876726</v>
      </c>
      <c r="AL80" s="476">
        <v>1018</v>
      </c>
      <c r="AM80" s="455">
        <v>1079.5</v>
      </c>
      <c r="AN80" s="455">
        <f t="shared" si="51"/>
        <v>61.5</v>
      </c>
      <c r="AO80" s="475">
        <f t="shared" si="34"/>
        <v>7.6616257226543487</v>
      </c>
      <c r="AP80" s="476">
        <v>816.98725400000001</v>
      </c>
      <c r="AQ80" s="455">
        <v>866.866983</v>
      </c>
      <c r="AR80" s="455">
        <f t="shared" si="52"/>
        <v>49.879728999999998</v>
      </c>
      <c r="AS80" s="475">
        <f t="shared" si="36"/>
        <v>6.213980727567936</v>
      </c>
      <c r="AT80" s="476">
        <v>3.3</v>
      </c>
      <c r="AU80" s="455">
        <v>3.4</v>
      </c>
      <c r="AV80" s="455">
        <f t="shared" si="53"/>
        <v>0.10000000000000009</v>
      </c>
      <c r="AW80" s="475">
        <f t="shared" si="38"/>
        <v>1.2457928004316025E-2</v>
      </c>
      <c r="AX80" s="476">
        <v>6.9</v>
      </c>
      <c r="AY80" s="455">
        <v>7.2</v>
      </c>
      <c r="AZ80" s="455">
        <f t="shared" si="54"/>
        <v>0.29999999999999982</v>
      </c>
      <c r="BA80" s="475">
        <f t="shared" si="40"/>
        <v>3.7373784012948025E-2</v>
      </c>
      <c r="BB80" s="476">
        <v>-6.63</v>
      </c>
      <c r="BC80" s="455">
        <v>-6.87</v>
      </c>
      <c r="BD80" s="455">
        <f t="shared" si="55"/>
        <v>-0.24000000000000021</v>
      </c>
      <c r="BE80" s="455">
        <v>-1.464378</v>
      </c>
      <c r="BF80" s="475">
        <f t="shared" si="42"/>
        <v>-2.9899027210358461E-2</v>
      </c>
      <c r="BG80" s="443">
        <v>74.2</v>
      </c>
      <c r="BH80" s="443">
        <v>71.8</v>
      </c>
      <c r="BI80" s="443">
        <f t="shared" si="56"/>
        <v>-2.4000000000000057</v>
      </c>
      <c r="BJ80" s="495">
        <v>11.1</v>
      </c>
      <c r="BK80" s="495">
        <v>11.7</v>
      </c>
      <c r="BL80" s="495">
        <f t="shared" si="57"/>
        <v>0.59999999999999964</v>
      </c>
      <c r="BM80" s="495">
        <v>0</v>
      </c>
      <c r="BN80" s="495">
        <v>0</v>
      </c>
      <c r="BO80" s="495">
        <f t="shared" si="58"/>
        <v>0</v>
      </c>
      <c r="BP80" s="443"/>
      <c r="BQ80" s="443"/>
      <c r="BR80" s="443"/>
      <c r="BS80" s="443"/>
      <c r="BT80" s="466" t="s">
        <v>723</v>
      </c>
      <c r="BU80" s="447">
        <v>9045.3353809500004</v>
      </c>
      <c r="BV80" s="447">
        <v>-3.3208159099999999</v>
      </c>
      <c r="BW80" s="447">
        <v>3479.4374653300001</v>
      </c>
      <c r="BX80" s="447">
        <v>3598.9520369900001</v>
      </c>
      <c r="BY80" s="447">
        <v>8.9003013099999997</v>
      </c>
      <c r="BZ80" s="447">
        <v>8.9941840400000004</v>
      </c>
      <c r="CA80" s="447">
        <v>0.23758853999999999</v>
      </c>
      <c r="CB80" s="447">
        <v>8.0269794799999996</v>
      </c>
      <c r="CC80" s="447">
        <v>8.0079534999999993</v>
      </c>
      <c r="CD80" s="447">
        <v>-1.2949210900000001</v>
      </c>
      <c r="CE80" s="447">
        <v>-1.0438159499999999</v>
      </c>
      <c r="CF80" s="447">
        <v>0.56581985000000001</v>
      </c>
      <c r="CG80" s="447"/>
    </row>
    <row r="81" spans="1:85" s="449" customFormat="1" ht="22.5">
      <c r="A81" s="500">
        <v>62006003</v>
      </c>
      <c r="B81" s="491" t="s">
        <v>857</v>
      </c>
      <c r="C81" s="472" t="s">
        <v>697</v>
      </c>
      <c r="D81" s="473" t="s">
        <v>803</v>
      </c>
      <c r="E81" s="448" t="s">
        <v>804</v>
      </c>
      <c r="F81" s="481" t="str">
        <f t="shared" si="23"/>
        <v>06/01/20</v>
      </c>
      <c r="G81" s="466" t="s">
        <v>805</v>
      </c>
      <c r="H81" s="466" t="s">
        <v>708</v>
      </c>
      <c r="I81" s="474"/>
      <c r="J81" s="467">
        <v>23.944330000000001</v>
      </c>
      <c r="K81" s="467">
        <v>41.283338999999998</v>
      </c>
      <c r="L81" s="467">
        <v>29.3978</v>
      </c>
      <c r="M81" s="467">
        <v>33.374768000000003</v>
      </c>
      <c r="N81" s="450">
        <v>4250</v>
      </c>
      <c r="O81" s="450">
        <v>38.71</v>
      </c>
      <c r="P81" s="450">
        <v>3.0499999999999999E-2</v>
      </c>
      <c r="Q81" s="450">
        <v>1.4999999999999999E-2</v>
      </c>
      <c r="R81" s="451">
        <v>8.0260105999999993</v>
      </c>
      <c r="S81" s="451">
        <f t="shared" si="46"/>
        <v>16.053027610000001</v>
      </c>
      <c r="T81" s="492">
        <v>71.8</v>
      </c>
      <c r="U81" s="492">
        <v>69.400000000000006</v>
      </c>
      <c r="V81" s="455">
        <v>16455</v>
      </c>
      <c r="W81" s="455">
        <v>18393</v>
      </c>
      <c r="X81" s="455">
        <f t="shared" si="47"/>
        <v>1938</v>
      </c>
      <c r="Y81" s="455">
        <f t="shared" si="26"/>
        <v>241.46491907199825</v>
      </c>
      <c r="Z81" s="476">
        <v>16461</v>
      </c>
      <c r="AA81" s="455">
        <v>18399</v>
      </c>
      <c r="AB81" s="455">
        <f t="shared" si="48"/>
        <v>1938</v>
      </c>
      <c r="AC81" s="475">
        <f t="shared" si="28"/>
        <v>241.46491907199825</v>
      </c>
      <c r="AD81" s="476">
        <v>227</v>
      </c>
      <c r="AE81" s="455">
        <v>282</v>
      </c>
      <c r="AF81" s="455">
        <f t="shared" si="49"/>
        <v>55</v>
      </c>
      <c r="AG81" s="475">
        <f t="shared" si="30"/>
        <v>6.8527195815066584</v>
      </c>
      <c r="AH81" s="476">
        <v>15124</v>
      </c>
      <c r="AI81" s="455">
        <v>16943</v>
      </c>
      <c r="AJ81" s="455">
        <f t="shared" si="50"/>
        <v>1819</v>
      </c>
      <c r="AK81" s="475">
        <f t="shared" si="32"/>
        <v>226.63812579564748</v>
      </c>
      <c r="AL81" s="476">
        <v>1079.5</v>
      </c>
      <c r="AM81" s="455">
        <v>1141.2</v>
      </c>
      <c r="AN81" s="455">
        <f t="shared" si="51"/>
        <v>61.700000000000045</v>
      </c>
      <c r="AO81" s="475">
        <f t="shared" si="34"/>
        <v>7.6875054214356568</v>
      </c>
      <c r="AP81" s="476">
        <v>866.87710400000003</v>
      </c>
      <c r="AQ81" s="455">
        <v>916.96754899999996</v>
      </c>
      <c r="AR81" s="455">
        <f t="shared" si="52"/>
        <v>50.090444999999931</v>
      </c>
      <c r="AS81" s="475">
        <f t="shared" si="36"/>
        <v>6.2410140599614881</v>
      </c>
      <c r="AT81" s="476">
        <v>3.4</v>
      </c>
      <c r="AU81" s="455">
        <v>3.5</v>
      </c>
      <c r="AV81" s="455">
        <f t="shared" si="53"/>
        <v>0.10000000000000009</v>
      </c>
      <c r="AW81" s="475">
        <f t="shared" si="38"/>
        <v>1.2459490148193935E-2</v>
      </c>
      <c r="AX81" s="476">
        <v>7.2</v>
      </c>
      <c r="AY81" s="455">
        <v>7.6</v>
      </c>
      <c r="AZ81" s="455">
        <f t="shared" si="54"/>
        <v>0.39999999999999947</v>
      </c>
      <c r="BA81" s="475">
        <f t="shared" si="40"/>
        <v>4.9837960592775635E-2</v>
      </c>
      <c r="BB81" s="476">
        <v>-6.87</v>
      </c>
      <c r="BC81" s="455">
        <v>-7.12</v>
      </c>
      <c r="BD81" s="455">
        <f t="shared" si="55"/>
        <v>-0.25</v>
      </c>
      <c r="BE81" s="455">
        <v>-1.462774</v>
      </c>
      <c r="BF81" s="475">
        <f t="shared" si="42"/>
        <v>-3.1148725370484812E-2</v>
      </c>
      <c r="BG81" s="443">
        <v>71.8</v>
      </c>
      <c r="BH81" s="443">
        <v>69.400000000000006</v>
      </c>
      <c r="BI81" s="443">
        <f t="shared" si="56"/>
        <v>-2.3999999999999915</v>
      </c>
      <c r="BJ81" s="495">
        <v>11.7</v>
      </c>
      <c r="BK81" s="495">
        <v>12.2</v>
      </c>
      <c r="BL81" s="495">
        <f t="shared" si="57"/>
        <v>0.5</v>
      </c>
      <c r="BM81" s="495">
        <v>0</v>
      </c>
      <c r="BN81" s="495">
        <v>0</v>
      </c>
      <c r="BO81" s="495">
        <f t="shared" si="58"/>
        <v>0</v>
      </c>
      <c r="BP81" s="443"/>
      <c r="BQ81" s="443"/>
      <c r="BR81" s="443"/>
      <c r="BS81" s="443"/>
      <c r="BT81" s="466" t="s">
        <v>723</v>
      </c>
      <c r="BU81" s="447">
        <v>9045.4537954900006</v>
      </c>
      <c r="BV81" s="447">
        <v>-3.3638780100000001</v>
      </c>
      <c r="BW81" s="447">
        <v>3477.9322294200001</v>
      </c>
      <c r="BX81" s="447">
        <v>3598.9981363299999</v>
      </c>
      <c r="BY81" s="447">
        <v>8.9008994799999996</v>
      </c>
      <c r="BZ81" s="447">
        <v>8.9941913899999992</v>
      </c>
      <c r="CA81" s="447">
        <v>0.22516774000000001</v>
      </c>
      <c r="CB81" s="447">
        <v>8.0259817299999998</v>
      </c>
      <c r="CC81" s="447">
        <v>8.0079504099999994</v>
      </c>
      <c r="CD81" s="447">
        <v>-1.2756455600000001</v>
      </c>
      <c r="CE81" s="447">
        <v>-1.03724623</v>
      </c>
      <c r="CF81" s="447">
        <v>0.56583357000000001</v>
      </c>
      <c r="CG81" s="447"/>
    </row>
    <row r="82" spans="1:85" s="449" customFormat="1" ht="22.5">
      <c r="A82" s="500">
        <v>62006003</v>
      </c>
      <c r="B82" s="491" t="s">
        <v>858</v>
      </c>
      <c r="C82" s="472" t="s">
        <v>699</v>
      </c>
      <c r="D82" s="473" t="s">
        <v>803</v>
      </c>
      <c r="E82" s="448" t="s">
        <v>804</v>
      </c>
      <c r="F82" s="481" t="str">
        <f t="shared" si="23"/>
        <v>06/01/20</v>
      </c>
      <c r="G82" s="466" t="s">
        <v>805</v>
      </c>
      <c r="H82" s="466" t="s">
        <v>708</v>
      </c>
      <c r="I82" s="474"/>
      <c r="J82" s="467">
        <v>23.954315999999999</v>
      </c>
      <c r="K82" s="467">
        <v>41.571196</v>
      </c>
      <c r="L82" s="467">
        <v>29.394881000000002</v>
      </c>
      <c r="M82" s="467">
        <v>33.570684999999997</v>
      </c>
      <c r="N82" s="450">
        <v>4250</v>
      </c>
      <c r="O82" s="450">
        <v>38.71</v>
      </c>
      <c r="P82" s="450">
        <v>3.0499999999999999E-2</v>
      </c>
      <c r="Q82" s="450">
        <v>1.4999999999999999E-2</v>
      </c>
      <c r="R82" s="451">
        <v>8.0267481000000007</v>
      </c>
      <c r="S82" s="451">
        <f t="shared" si="46"/>
        <v>16.052758699999998</v>
      </c>
      <c r="T82" s="492">
        <v>69.400000000000006</v>
      </c>
      <c r="U82" s="492">
        <v>67</v>
      </c>
      <c r="V82" s="455">
        <v>18393</v>
      </c>
      <c r="W82" s="455">
        <v>20328</v>
      </c>
      <c r="X82" s="455">
        <f t="shared" si="47"/>
        <v>1935</v>
      </c>
      <c r="Y82" s="455">
        <f t="shared" si="26"/>
        <v>241.06898284250377</v>
      </c>
      <c r="Z82" s="476">
        <v>18399</v>
      </c>
      <c r="AA82" s="455">
        <v>20334</v>
      </c>
      <c r="AB82" s="455">
        <f t="shared" si="48"/>
        <v>1935</v>
      </c>
      <c r="AC82" s="475">
        <f t="shared" si="28"/>
        <v>241.06898284250377</v>
      </c>
      <c r="AD82" s="476">
        <v>282</v>
      </c>
      <c r="AE82" s="455">
        <v>335</v>
      </c>
      <c r="AF82" s="455">
        <f t="shared" si="49"/>
        <v>53</v>
      </c>
      <c r="AG82" s="475">
        <f t="shared" si="30"/>
        <v>6.6029230442649611</v>
      </c>
      <c r="AH82" s="476">
        <v>16943</v>
      </c>
      <c r="AI82" s="455">
        <v>18760</v>
      </c>
      <c r="AJ82" s="455">
        <f t="shared" si="50"/>
        <v>1817</v>
      </c>
      <c r="AK82" s="475">
        <f t="shared" si="32"/>
        <v>226.36813530998933</v>
      </c>
      <c r="AL82" s="476">
        <v>1141.2</v>
      </c>
      <c r="AM82" s="455">
        <v>1203.186539</v>
      </c>
      <c r="AN82" s="455">
        <f t="shared" si="51"/>
        <v>61.986538999999993</v>
      </c>
      <c r="AO82" s="475">
        <f t="shared" si="34"/>
        <v>7.7224971093835606</v>
      </c>
      <c r="AP82" s="476">
        <v>916.98663099999999</v>
      </c>
      <c r="AQ82" s="455">
        <v>967.33730800000001</v>
      </c>
      <c r="AR82" s="455">
        <f t="shared" si="52"/>
        <v>50.350677000000019</v>
      </c>
      <c r="AS82" s="475">
        <f t="shared" si="36"/>
        <v>6.2728612350498469</v>
      </c>
      <c r="AT82" s="476">
        <v>3.5</v>
      </c>
      <c r="AU82" s="455">
        <v>3.6</v>
      </c>
      <c r="AV82" s="455">
        <f t="shared" si="53"/>
        <v>0.10000000000000009</v>
      </c>
      <c r="AW82" s="475">
        <f t="shared" si="38"/>
        <v>1.2458345366537674E-2</v>
      </c>
      <c r="AX82" s="476">
        <v>7.6</v>
      </c>
      <c r="AY82" s="455">
        <v>8</v>
      </c>
      <c r="AZ82" s="455">
        <f t="shared" si="54"/>
        <v>0.40000000000000036</v>
      </c>
      <c r="BA82" s="475">
        <f t="shared" si="40"/>
        <v>4.9833381466150697E-2</v>
      </c>
      <c r="BB82" s="476">
        <v>-7.12</v>
      </c>
      <c r="BC82" s="455">
        <v>-7.36</v>
      </c>
      <c r="BD82" s="455">
        <f t="shared" si="55"/>
        <v>-0.24000000000000021</v>
      </c>
      <c r="BE82" s="455">
        <v>-1.4553510000000001</v>
      </c>
      <c r="BF82" s="475">
        <f t="shared" si="42"/>
        <v>-2.9900028879690416E-2</v>
      </c>
      <c r="BG82" s="443">
        <v>69.400000000000006</v>
      </c>
      <c r="BH82" s="443">
        <v>67</v>
      </c>
      <c r="BI82" s="443">
        <f t="shared" si="56"/>
        <v>-2.4000000000000057</v>
      </c>
      <c r="BJ82" s="495">
        <v>12.2</v>
      </c>
      <c r="BK82" s="495">
        <v>12.8</v>
      </c>
      <c r="BL82" s="495">
        <f t="shared" si="57"/>
        <v>0.60000000000000142</v>
      </c>
      <c r="BM82" s="495">
        <v>0</v>
      </c>
      <c r="BN82" s="495">
        <v>0</v>
      </c>
      <c r="BO82" s="495">
        <f t="shared" si="58"/>
        <v>0</v>
      </c>
      <c r="BP82" s="443"/>
      <c r="BQ82" s="443"/>
      <c r="BR82" s="443"/>
      <c r="BS82" s="443"/>
      <c r="BT82" s="466" t="s">
        <v>723</v>
      </c>
      <c r="BU82" s="447">
        <v>9041.9589358600006</v>
      </c>
      <c r="BV82" s="447">
        <v>-3.3634276500000002</v>
      </c>
      <c r="BW82" s="447">
        <v>3477.7428411300002</v>
      </c>
      <c r="BX82" s="447">
        <v>3598.78538381</v>
      </c>
      <c r="BY82" s="447">
        <v>8.9012662799999998</v>
      </c>
      <c r="BZ82" s="447">
        <v>8.9938842300000008</v>
      </c>
      <c r="CA82" s="447">
        <v>0.23460671</v>
      </c>
      <c r="CB82" s="447">
        <v>8.0267404100000004</v>
      </c>
      <c r="CC82" s="447">
        <v>8.0079532100000002</v>
      </c>
      <c r="CD82" s="447">
        <v>-1.2775509199999999</v>
      </c>
      <c r="CE82" s="447">
        <v>-1.02978814</v>
      </c>
      <c r="CF82" s="447">
        <v>0.56579307999999995</v>
      </c>
      <c r="CG82" s="447"/>
    </row>
    <row r="83" spans="1:85" s="449" customFormat="1" ht="22.5">
      <c r="A83" s="500">
        <v>62006003</v>
      </c>
      <c r="B83" s="491" t="s">
        <v>859</v>
      </c>
      <c r="C83" s="472" t="s">
        <v>700</v>
      </c>
      <c r="D83" s="473" t="s">
        <v>803</v>
      </c>
      <c r="E83" s="448" t="s">
        <v>804</v>
      </c>
      <c r="F83" s="481" t="str">
        <f t="shared" si="23"/>
        <v>06/01/20</v>
      </c>
      <c r="G83" s="466" t="s">
        <v>805</v>
      </c>
      <c r="H83" s="466" t="s">
        <v>708</v>
      </c>
      <c r="I83" s="474"/>
      <c r="J83" s="467">
        <v>23.992543999999999</v>
      </c>
      <c r="K83" s="467">
        <v>41.656098999999998</v>
      </c>
      <c r="L83" s="467">
        <v>29.393567000000001</v>
      </c>
      <c r="M83" s="467">
        <v>33.629916000000001</v>
      </c>
      <c r="N83" s="450">
        <v>4250</v>
      </c>
      <c r="O83" s="450">
        <v>38.71</v>
      </c>
      <c r="P83" s="450">
        <v>3.0499999999999999E-2</v>
      </c>
      <c r="Q83" s="450">
        <v>1.4999999999999999E-2</v>
      </c>
      <c r="R83" s="451">
        <v>8.0259673500000002</v>
      </c>
      <c r="S83" s="451">
        <f t="shared" si="46"/>
        <v>16.052715450000001</v>
      </c>
      <c r="T83" s="492">
        <v>67</v>
      </c>
      <c r="U83" s="492">
        <v>64.599999999999994</v>
      </c>
      <c r="V83" s="455">
        <v>20328</v>
      </c>
      <c r="W83" s="455">
        <v>22262</v>
      </c>
      <c r="X83" s="455">
        <f t="shared" si="47"/>
        <v>1934</v>
      </c>
      <c r="Y83" s="455">
        <f t="shared" si="26"/>
        <v>240.96783797656491</v>
      </c>
      <c r="Z83" s="476">
        <v>20334</v>
      </c>
      <c r="AA83" s="455">
        <v>22267</v>
      </c>
      <c r="AB83" s="455">
        <f t="shared" si="48"/>
        <v>1933</v>
      </c>
      <c r="AC83" s="475">
        <f t="shared" si="28"/>
        <v>240.84324240367113</v>
      </c>
      <c r="AD83" s="476">
        <v>335</v>
      </c>
      <c r="AE83" s="455">
        <v>390</v>
      </c>
      <c r="AF83" s="455">
        <f t="shared" si="49"/>
        <v>55</v>
      </c>
      <c r="AG83" s="475">
        <f t="shared" si="30"/>
        <v>6.8527565091577403</v>
      </c>
      <c r="AH83" s="476">
        <v>18760</v>
      </c>
      <c r="AI83" s="455">
        <v>20575</v>
      </c>
      <c r="AJ83" s="455">
        <f t="shared" si="50"/>
        <v>1815</v>
      </c>
      <c r="AK83" s="475">
        <f t="shared" si="32"/>
        <v>226.14096480220542</v>
      </c>
      <c r="AL83" s="476">
        <v>1203.2</v>
      </c>
      <c r="AM83" s="455">
        <v>1265</v>
      </c>
      <c r="AN83" s="455">
        <f t="shared" si="51"/>
        <v>61.799999999999955</v>
      </c>
      <c r="AO83" s="475">
        <f t="shared" si="34"/>
        <v>7.7000064048354186</v>
      </c>
      <c r="AP83" s="476">
        <v>967.36</v>
      </c>
      <c r="AQ83" s="455">
        <v>1017.64</v>
      </c>
      <c r="AR83" s="455">
        <f t="shared" si="52"/>
        <v>50.279999999999973</v>
      </c>
      <c r="AS83" s="475">
        <f t="shared" si="36"/>
        <v>6.2646654050991089</v>
      </c>
      <c r="AT83" s="476">
        <v>3.6</v>
      </c>
      <c r="AU83" s="455">
        <v>3.7</v>
      </c>
      <c r="AV83" s="455">
        <f t="shared" si="53"/>
        <v>0.10000000000000009</v>
      </c>
      <c r="AW83" s="475">
        <f t="shared" si="38"/>
        <v>1.2459557289377721E-2</v>
      </c>
      <c r="AX83" s="476">
        <v>8</v>
      </c>
      <c r="AY83" s="455">
        <v>8.3000000000000007</v>
      </c>
      <c r="AZ83" s="455">
        <f t="shared" si="54"/>
        <v>0.30000000000000071</v>
      </c>
      <c r="BA83" s="475">
        <f t="shared" si="40"/>
        <v>3.737867186813322E-2</v>
      </c>
      <c r="BB83" s="476">
        <v>-7.36</v>
      </c>
      <c r="BC83" s="455">
        <v>-7.61</v>
      </c>
      <c r="BD83" s="455">
        <f t="shared" si="55"/>
        <v>-0.25</v>
      </c>
      <c r="BE83" s="455">
        <v>-1.485751</v>
      </c>
      <c r="BF83" s="475">
        <f t="shared" si="42"/>
        <v>-3.1148893223444274E-2</v>
      </c>
      <c r="BG83" s="443">
        <v>67</v>
      </c>
      <c r="BH83" s="443">
        <v>64.599999999999994</v>
      </c>
      <c r="BI83" s="443">
        <f t="shared" si="56"/>
        <v>-2.4000000000000057</v>
      </c>
      <c r="BJ83" s="495">
        <v>12.8</v>
      </c>
      <c r="BK83" s="495">
        <v>13.4</v>
      </c>
      <c r="BL83" s="495">
        <f t="shared" si="57"/>
        <v>0.59999999999999964</v>
      </c>
      <c r="BM83" s="495">
        <v>0</v>
      </c>
      <c r="BN83" s="495">
        <v>0</v>
      </c>
      <c r="BO83" s="495">
        <f t="shared" si="58"/>
        <v>0</v>
      </c>
      <c r="BP83" s="443"/>
      <c r="BQ83" s="443"/>
      <c r="BR83" s="443"/>
      <c r="BS83" s="443"/>
      <c r="BT83" s="466" t="s">
        <v>723</v>
      </c>
      <c r="BU83" s="447">
        <v>9042.9108463499997</v>
      </c>
      <c r="BV83" s="447">
        <v>-3.3552146500000002</v>
      </c>
      <c r="BW83" s="447">
        <v>3478.12721779</v>
      </c>
      <c r="BX83" s="447">
        <v>3598.8772753100002</v>
      </c>
      <c r="BY83" s="447">
        <v>8.9031063100000001</v>
      </c>
      <c r="BZ83" s="447">
        <v>8.9940087799999997</v>
      </c>
      <c r="CA83" s="447">
        <v>0.22453258000000001</v>
      </c>
      <c r="CB83" s="447">
        <v>8.0259319500000004</v>
      </c>
      <c r="CC83" s="447">
        <v>8.0079514899999999</v>
      </c>
      <c r="CD83" s="447">
        <v>-1.2478448200000001</v>
      </c>
      <c r="CE83" s="447">
        <v>-1.0107002700000001</v>
      </c>
      <c r="CF83" s="447">
        <v>0.56581506999999998</v>
      </c>
      <c r="CG83" s="447"/>
    </row>
    <row r="84" spans="1:85" s="449" customFormat="1" ht="22.5">
      <c r="A84" s="500">
        <v>62006003</v>
      </c>
      <c r="B84" s="491" t="s">
        <v>860</v>
      </c>
      <c r="C84" s="472" t="s">
        <v>702</v>
      </c>
      <c r="D84" s="473" t="s">
        <v>803</v>
      </c>
      <c r="E84" s="448" t="s">
        <v>804</v>
      </c>
      <c r="F84" s="481" t="str">
        <f t="shared" si="23"/>
        <v>06/01/20</v>
      </c>
      <c r="G84" s="466" t="s">
        <v>805</v>
      </c>
      <c r="H84" s="466" t="s">
        <v>708</v>
      </c>
      <c r="I84" s="474"/>
      <c r="J84" s="467">
        <v>24.00309</v>
      </c>
      <c r="K84" s="467">
        <v>41.633380000000002</v>
      </c>
      <c r="L84" s="467">
        <v>29.389367</v>
      </c>
      <c r="M84" s="467">
        <v>33.664057999999997</v>
      </c>
      <c r="N84" s="450">
        <v>4250</v>
      </c>
      <c r="O84" s="450">
        <v>38.71</v>
      </c>
      <c r="P84" s="450">
        <v>3.0499999999999999E-2</v>
      </c>
      <c r="Q84" s="450">
        <v>1.4999999999999999E-2</v>
      </c>
      <c r="R84" s="451">
        <v>8.0268903799999993</v>
      </c>
      <c r="S84" s="451">
        <f t="shared" si="46"/>
        <v>16.052857729999999</v>
      </c>
      <c r="T84" s="492">
        <v>64.599999999999994</v>
      </c>
      <c r="U84" s="492">
        <v>62.2</v>
      </c>
      <c r="V84" s="455">
        <v>22262</v>
      </c>
      <c r="W84" s="455">
        <v>24193</v>
      </c>
      <c r="X84" s="455">
        <f t="shared" si="47"/>
        <v>1931</v>
      </c>
      <c r="Y84" s="455">
        <f t="shared" si="26"/>
        <v>240.56638481214691</v>
      </c>
      <c r="Z84" s="476">
        <v>22267</v>
      </c>
      <c r="AA84" s="455">
        <v>24199</v>
      </c>
      <c r="AB84" s="455">
        <f t="shared" si="48"/>
        <v>1932</v>
      </c>
      <c r="AC84" s="475">
        <f t="shared" si="28"/>
        <v>240.6909660575183</v>
      </c>
      <c r="AD84" s="476">
        <v>390</v>
      </c>
      <c r="AE84" s="455">
        <v>444</v>
      </c>
      <c r="AF84" s="455">
        <f t="shared" si="49"/>
        <v>54</v>
      </c>
      <c r="AG84" s="475">
        <f t="shared" si="30"/>
        <v>6.7273872500548597</v>
      </c>
      <c r="AH84" s="476">
        <v>20575</v>
      </c>
      <c r="AI84" s="455">
        <v>22388</v>
      </c>
      <c r="AJ84" s="455">
        <f t="shared" si="50"/>
        <v>1813</v>
      </c>
      <c r="AK84" s="475">
        <f t="shared" si="32"/>
        <v>225.86579785832333</v>
      </c>
      <c r="AL84" s="476">
        <v>1265.0999999999999</v>
      </c>
      <c r="AM84" s="455">
        <v>1326.7</v>
      </c>
      <c r="AN84" s="455">
        <f t="shared" si="51"/>
        <v>61.600000000000136</v>
      </c>
      <c r="AO84" s="475">
        <f t="shared" si="34"/>
        <v>7.674204714877412</v>
      </c>
      <c r="AP84" s="476">
        <v>1017.655996</v>
      </c>
      <c r="AQ84" s="455">
        <v>1067.795672</v>
      </c>
      <c r="AR84" s="455">
        <f t="shared" si="52"/>
        <v>50.139676000000009</v>
      </c>
      <c r="AS84" s="475">
        <f t="shared" si="36"/>
        <v>6.2464632785978091</v>
      </c>
      <c r="AT84" s="476">
        <v>3.7</v>
      </c>
      <c r="AU84" s="455">
        <v>3.9</v>
      </c>
      <c r="AV84" s="455">
        <f t="shared" si="53"/>
        <v>0.19999999999999973</v>
      </c>
      <c r="AW84" s="475">
        <f t="shared" si="38"/>
        <v>2.4916249074277225E-2</v>
      </c>
      <c r="AX84" s="476">
        <v>8.3000000000000007</v>
      </c>
      <c r="AY84" s="455">
        <v>8.6</v>
      </c>
      <c r="AZ84" s="455">
        <f t="shared" si="54"/>
        <v>0.29999999999999893</v>
      </c>
      <c r="BA84" s="475">
        <f t="shared" si="40"/>
        <v>3.7374373611415754E-2</v>
      </c>
      <c r="BB84" s="476">
        <v>-7.61</v>
      </c>
      <c r="BC84" s="455">
        <v>-7.85</v>
      </c>
      <c r="BD84" s="455">
        <f t="shared" si="55"/>
        <v>-0.23999999999999932</v>
      </c>
      <c r="BE84" s="455">
        <v>-1.4479709999999999</v>
      </c>
      <c r="BF84" s="475">
        <f t="shared" si="42"/>
        <v>-2.9899498889132625E-2</v>
      </c>
      <c r="BG84" s="443">
        <v>64.599999999999994</v>
      </c>
      <c r="BH84" s="443">
        <v>62.2</v>
      </c>
      <c r="BI84" s="443">
        <f t="shared" si="56"/>
        <v>-2.3999999999999915</v>
      </c>
      <c r="BJ84" s="495">
        <v>13.4</v>
      </c>
      <c r="BK84" s="495">
        <v>14</v>
      </c>
      <c r="BL84" s="495">
        <f t="shared" si="57"/>
        <v>0.59999999999999964</v>
      </c>
      <c r="BM84" s="495">
        <v>0</v>
      </c>
      <c r="BN84" s="495">
        <v>0</v>
      </c>
      <c r="BO84" s="495">
        <f t="shared" si="58"/>
        <v>0</v>
      </c>
      <c r="BP84" s="443"/>
      <c r="BQ84" s="443"/>
      <c r="BR84" s="443"/>
      <c r="BS84" s="443"/>
      <c r="BT84" s="466" t="s">
        <v>723</v>
      </c>
      <c r="BU84" s="447">
        <v>9040.0734434799997</v>
      </c>
      <c r="BV84" s="447">
        <v>-3.3061765699999999</v>
      </c>
      <c r="BW84" s="447">
        <v>3479.76987203</v>
      </c>
      <c r="BX84" s="447">
        <v>3598.7509321900002</v>
      </c>
      <c r="BY84" s="447">
        <v>8.9054960100000002</v>
      </c>
      <c r="BZ84" s="447">
        <v>8.9938272399999999</v>
      </c>
      <c r="CA84" s="447">
        <v>0.23603739000000001</v>
      </c>
      <c r="CB84" s="447">
        <v>8.02685447</v>
      </c>
      <c r="CC84" s="447">
        <v>8.0079527099999996</v>
      </c>
      <c r="CD84" s="447">
        <v>-1.23025176</v>
      </c>
      <c r="CE84" s="447">
        <v>-0.98213167999999995</v>
      </c>
      <c r="CF84" s="447">
        <v>0.56578963000000004</v>
      </c>
      <c r="CG84" s="447"/>
    </row>
    <row r="85" spans="1:85" s="449" customFormat="1" ht="22.5">
      <c r="A85" s="500">
        <v>62006003</v>
      </c>
      <c r="B85" s="491" t="s">
        <v>861</v>
      </c>
      <c r="C85" s="472" t="s">
        <v>705</v>
      </c>
      <c r="D85" s="473" t="s">
        <v>803</v>
      </c>
      <c r="E85" s="448" t="s">
        <v>804</v>
      </c>
      <c r="F85" s="481" t="str">
        <f t="shared" si="23"/>
        <v>06/01/20</v>
      </c>
      <c r="G85" s="466" t="s">
        <v>805</v>
      </c>
      <c r="H85" s="466" t="s">
        <v>708</v>
      </c>
      <c r="I85" s="474"/>
      <c r="J85" s="467">
        <v>24.002912999999999</v>
      </c>
      <c r="K85" s="467">
        <v>41.694273000000003</v>
      </c>
      <c r="L85" s="467">
        <v>29.385003999999999</v>
      </c>
      <c r="M85" s="467">
        <v>33.721806999999998</v>
      </c>
      <c r="N85" s="450">
        <v>4250</v>
      </c>
      <c r="O85" s="450">
        <v>38.71</v>
      </c>
      <c r="P85" s="450">
        <v>3.0499999999999999E-2</v>
      </c>
      <c r="Q85" s="450">
        <v>1.4999999999999999E-2</v>
      </c>
      <c r="R85" s="451">
        <v>8.0259998499999998</v>
      </c>
      <c r="S85" s="451">
        <f t="shared" si="46"/>
        <v>16.052890229999999</v>
      </c>
      <c r="T85" s="492">
        <v>62.2</v>
      </c>
      <c r="U85" s="492">
        <v>59.8</v>
      </c>
      <c r="V85" s="455">
        <v>24193</v>
      </c>
      <c r="W85" s="455">
        <v>26124</v>
      </c>
      <c r="X85" s="455">
        <f t="shared" si="47"/>
        <v>1931</v>
      </c>
      <c r="Y85" s="455">
        <f t="shared" si="26"/>
        <v>240.59307701083497</v>
      </c>
      <c r="Z85" s="476">
        <v>24199</v>
      </c>
      <c r="AA85" s="455">
        <v>26131</v>
      </c>
      <c r="AB85" s="455">
        <f t="shared" si="48"/>
        <v>1932</v>
      </c>
      <c r="AC85" s="475">
        <f t="shared" si="28"/>
        <v>240.71767207919896</v>
      </c>
      <c r="AD85" s="476">
        <v>444</v>
      </c>
      <c r="AE85" s="455">
        <v>499</v>
      </c>
      <c r="AF85" s="455">
        <f t="shared" si="49"/>
        <v>55</v>
      </c>
      <c r="AG85" s="475">
        <f t="shared" si="30"/>
        <v>6.8527287600186035</v>
      </c>
      <c r="AH85" s="476">
        <v>22388</v>
      </c>
      <c r="AI85" s="455">
        <v>24201</v>
      </c>
      <c r="AJ85" s="455">
        <f t="shared" si="50"/>
        <v>1813</v>
      </c>
      <c r="AK85" s="475">
        <f t="shared" si="32"/>
        <v>225.89085894388597</v>
      </c>
      <c r="AL85" s="476">
        <v>1326.7</v>
      </c>
      <c r="AM85" s="455">
        <v>1388.2536709999999</v>
      </c>
      <c r="AN85" s="455">
        <f t="shared" si="51"/>
        <v>61.553670999999895</v>
      </c>
      <c r="AO85" s="475">
        <f t="shared" si="34"/>
        <v>7.6692838462985886</v>
      </c>
      <c r="AP85" s="476">
        <v>1067.815666</v>
      </c>
      <c r="AQ85" s="455">
        <v>1117.82</v>
      </c>
      <c r="AR85" s="455">
        <f t="shared" si="52"/>
        <v>50.004333999999972</v>
      </c>
      <c r="AS85" s="475">
        <f t="shared" si="36"/>
        <v>6.2302934132250165</v>
      </c>
      <c r="AT85" s="476">
        <v>3.9</v>
      </c>
      <c r="AU85" s="455">
        <v>4</v>
      </c>
      <c r="AV85" s="455">
        <f t="shared" si="53"/>
        <v>0.10000000000000009</v>
      </c>
      <c r="AW85" s="475">
        <f t="shared" si="38"/>
        <v>1.2459506836397473E-2</v>
      </c>
      <c r="AX85" s="476">
        <v>8.6</v>
      </c>
      <c r="AY85" s="455">
        <v>9</v>
      </c>
      <c r="AZ85" s="455">
        <f t="shared" si="54"/>
        <v>0.40000000000000036</v>
      </c>
      <c r="BA85" s="475">
        <f t="shared" si="40"/>
        <v>4.983802734558989E-2</v>
      </c>
      <c r="BB85" s="476">
        <v>-7.85</v>
      </c>
      <c r="BC85" s="455">
        <v>-8.1</v>
      </c>
      <c r="BD85" s="455">
        <f t="shared" si="55"/>
        <v>-0.25</v>
      </c>
      <c r="BE85" s="455">
        <v>-1.4774130000000001</v>
      </c>
      <c r="BF85" s="475">
        <f t="shared" si="42"/>
        <v>-3.1148767090993654E-2</v>
      </c>
      <c r="BG85" s="443">
        <v>62.2</v>
      </c>
      <c r="BH85" s="443">
        <v>59.8</v>
      </c>
      <c r="BI85" s="443">
        <f t="shared" si="56"/>
        <v>-2.4000000000000057</v>
      </c>
      <c r="BJ85" s="495">
        <v>14</v>
      </c>
      <c r="BK85" s="495">
        <v>14.6</v>
      </c>
      <c r="BL85" s="495">
        <f t="shared" si="57"/>
        <v>0.59999999999999964</v>
      </c>
      <c r="BM85" s="495">
        <v>0</v>
      </c>
      <c r="BN85" s="495">
        <v>0</v>
      </c>
      <c r="BO85" s="495">
        <f t="shared" si="58"/>
        <v>0</v>
      </c>
      <c r="BP85" s="443"/>
      <c r="BQ85" s="443"/>
      <c r="BR85" s="443"/>
      <c r="BS85" s="443"/>
      <c r="BT85" s="466" t="s">
        <v>723</v>
      </c>
      <c r="BU85" s="447">
        <v>9040.4707123600001</v>
      </c>
      <c r="BV85" s="447">
        <v>-3.3696382300000001</v>
      </c>
      <c r="BW85" s="447">
        <v>3477.46606858</v>
      </c>
      <c r="BX85" s="447">
        <v>3598.7302592599999</v>
      </c>
      <c r="BY85" s="447">
        <v>8.9058009800000004</v>
      </c>
      <c r="BZ85" s="447">
        <v>8.9937715699999998</v>
      </c>
      <c r="CA85" s="447">
        <v>0.22521337999999999</v>
      </c>
      <c r="CB85" s="447">
        <v>8.0259865500000007</v>
      </c>
      <c r="CC85" s="447">
        <v>8.0079515699999995</v>
      </c>
      <c r="CD85" s="447">
        <v>-1.21522777</v>
      </c>
      <c r="CE85" s="447">
        <v>-0.97812790999999999</v>
      </c>
      <c r="CF85" s="447">
        <v>0.56578432999999995</v>
      </c>
      <c r="CG85" s="447"/>
    </row>
    <row r="86" spans="1:85" s="449" customFormat="1" ht="22.5">
      <c r="A86" s="500">
        <v>62006003</v>
      </c>
      <c r="B86" s="491" t="s">
        <v>862</v>
      </c>
      <c r="C86" s="472" t="s">
        <v>788</v>
      </c>
      <c r="D86" s="473" t="s">
        <v>803</v>
      </c>
      <c r="E86" s="448" t="s">
        <v>804</v>
      </c>
      <c r="F86" s="481" t="str">
        <f t="shared" si="23"/>
        <v>06/01/20</v>
      </c>
      <c r="G86" s="466" t="s">
        <v>805</v>
      </c>
      <c r="H86" s="466" t="s">
        <v>708</v>
      </c>
      <c r="I86" s="474"/>
      <c r="J86" s="467">
        <v>20.874037999999999</v>
      </c>
      <c r="K86" s="467">
        <v>49.715049999999998</v>
      </c>
      <c r="L86" s="467">
        <v>29.380064999999998</v>
      </c>
      <c r="M86" s="467">
        <v>35.41592</v>
      </c>
      <c r="N86" s="450">
        <v>4250</v>
      </c>
      <c r="O86" s="450">
        <v>38.71</v>
      </c>
      <c r="P86" s="450">
        <v>3.0499999999999999E-2</v>
      </c>
      <c r="Q86" s="450">
        <v>1.4999999999999999E-2</v>
      </c>
      <c r="R86" s="451">
        <v>0</v>
      </c>
      <c r="S86" s="451">
        <f t="shared" si="46"/>
        <v>8.0259998499999998</v>
      </c>
      <c r="T86" s="492">
        <v>59.8</v>
      </c>
      <c r="U86" s="492">
        <v>59.8</v>
      </c>
      <c r="V86" s="455">
        <v>26124</v>
      </c>
      <c r="W86" s="455">
        <v>26125</v>
      </c>
      <c r="X86" s="455">
        <f t="shared" si="47"/>
        <v>1</v>
      </c>
      <c r="Y86" s="455" t="e">
        <f t="shared" si="26"/>
        <v>#DIV/0!</v>
      </c>
      <c r="Z86" s="476">
        <v>26131</v>
      </c>
      <c r="AA86" s="455">
        <v>26131</v>
      </c>
      <c r="AB86" s="455">
        <f t="shared" si="48"/>
        <v>0</v>
      </c>
      <c r="AC86" s="475" t="e">
        <f t="shared" si="28"/>
        <v>#DIV/0!</v>
      </c>
      <c r="AD86" s="476">
        <v>499</v>
      </c>
      <c r="AE86" s="455">
        <v>499</v>
      </c>
      <c r="AF86" s="455">
        <f t="shared" si="49"/>
        <v>0</v>
      </c>
      <c r="AG86" s="475" t="e">
        <f t="shared" si="30"/>
        <v>#DIV/0!</v>
      </c>
      <c r="AH86" s="476">
        <v>24201</v>
      </c>
      <c r="AI86" s="455">
        <v>24201</v>
      </c>
      <c r="AJ86" s="455">
        <f t="shared" si="50"/>
        <v>0</v>
      </c>
      <c r="AK86" s="475" t="e">
        <f t="shared" si="32"/>
        <v>#DIV/0!</v>
      </c>
      <c r="AL86" s="476">
        <v>1388.3</v>
      </c>
      <c r="AM86" s="455">
        <v>1388.4</v>
      </c>
      <c r="AN86" s="455">
        <f t="shared" si="51"/>
        <v>0.10000000000013642</v>
      </c>
      <c r="AO86" s="475" t="e">
        <f t="shared" si="34"/>
        <v>#DIV/0!</v>
      </c>
      <c r="AP86" s="476">
        <v>1117.8399999999999</v>
      </c>
      <c r="AQ86" s="455">
        <v>1117.96</v>
      </c>
      <c r="AR86" s="455">
        <f t="shared" si="52"/>
        <v>0.12000000000011823</v>
      </c>
      <c r="AS86" s="475" t="e">
        <f t="shared" si="36"/>
        <v>#DIV/0!</v>
      </c>
      <c r="AT86" s="476">
        <v>4</v>
      </c>
      <c r="AU86" s="455">
        <v>4</v>
      </c>
      <c r="AV86" s="455">
        <f t="shared" si="53"/>
        <v>0</v>
      </c>
      <c r="AW86" s="475" t="e">
        <f t="shared" si="38"/>
        <v>#DIV/0!</v>
      </c>
      <c r="AX86" s="476">
        <v>9</v>
      </c>
      <c r="AY86" s="455">
        <v>9</v>
      </c>
      <c r="AZ86" s="455">
        <f t="shared" si="54"/>
        <v>0</v>
      </c>
      <c r="BA86" s="475" t="e">
        <f t="shared" si="40"/>
        <v>#DIV/0!</v>
      </c>
      <c r="BB86" s="476">
        <v>-8.1</v>
      </c>
      <c r="BC86" s="455">
        <v>-8.1</v>
      </c>
      <c r="BD86" s="455">
        <f t="shared" si="55"/>
        <v>0</v>
      </c>
      <c r="BE86" s="455">
        <v>-1.234064</v>
      </c>
      <c r="BF86" s="475" t="e">
        <f t="shared" si="42"/>
        <v>#DIV/0!</v>
      </c>
      <c r="BG86" s="443">
        <v>59.8</v>
      </c>
      <c r="BH86" s="443">
        <v>59.8</v>
      </c>
      <c r="BI86" s="443">
        <f t="shared" si="56"/>
        <v>0</v>
      </c>
      <c r="BJ86" s="495">
        <v>14.6</v>
      </c>
      <c r="BK86" s="495">
        <v>14.6</v>
      </c>
      <c r="BL86" s="495">
        <f t="shared" si="57"/>
        <v>0</v>
      </c>
      <c r="BM86" s="495">
        <v>0</v>
      </c>
      <c r="BN86" s="495">
        <v>0</v>
      </c>
      <c r="BO86" s="495">
        <f t="shared" si="58"/>
        <v>0</v>
      </c>
      <c r="BP86" s="443"/>
      <c r="BQ86" s="443"/>
      <c r="BR86" s="443"/>
      <c r="BS86" s="443"/>
      <c r="BT86" s="466" t="s">
        <v>723</v>
      </c>
      <c r="BU86" s="447"/>
      <c r="BV86" s="447"/>
      <c r="BW86" s="447"/>
      <c r="BX86" s="447"/>
      <c r="BY86" s="447"/>
      <c r="BZ86" s="447"/>
      <c r="CA86" s="447"/>
      <c r="CB86" s="447"/>
      <c r="CC86" s="447"/>
      <c r="CD86" s="447"/>
      <c r="CE86" s="447"/>
      <c r="CF86" s="447"/>
      <c r="CG86" s="447"/>
    </row>
    <row r="87" spans="1:85" s="449" customFormat="1">
      <c r="A87" s="500">
        <v>62006004</v>
      </c>
      <c r="B87" s="491" t="s">
        <v>907</v>
      </c>
      <c r="C87" s="491" t="s">
        <v>695</v>
      </c>
      <c r="D87" s="473" t="s">
        <v>917</v>
      </c>
      <c r="E87" s="448" t="s">
        <v>918</v>
      </c>
      <c r="F87" s="481" t="str">
        <f t="shared" si="23"/>
        <v>06/01/20</v>
      </c>
      <c r="G87" s="466" t="s">
        <v>919</v>
      </c>
      <c r="H87" s="466" t="s">
        <v>708</v>
      </c>
      <c r="I87" s="474"/>
      <c r="J87" s="467">
        <v>350.23542600000002</v>
      </c>
      <c r="K87" s="467">
        <v>549.03088300000002</v>
      </c>
      <c r="L87" s="467">
        <v>326.833822</v>
      </c>
      <c r="M87" s="467">
        <v>339.862798</v>
      </c>
      <c r="N87" s="450">
        <v>4250</v>
      </c>
      <c r="O87" s="450">
        <v>38.71</v>
      </c>
      <c r="P87" s="450">
        <v>3.0499999999999999E-2</v>
      </c>
      <c r="Q87" s="450">
        <v>1.4999999999999999E-2</v>
      </c>
      <c r="R87" s="451">
        <v>3.51572E-3</v>
      </c>
      <c r="S87" s="451">
        <f>R87+R86</f>
        <v>3.51572E-3</v>
      </c>
      <c r="T87" s="492">
        <v>61.199992000000002</v>
      </c>
      <c r="U87" s="492">
        <v>99.8</v>
      </c>
      <c r="V87" s="455">
        <v>5</v>
      </c>
      <c r="W87" s="455">
        <v>-34683</v>
      </c>
      <c r="X87" s="455">
        <f>W87-V87</f>
        <v>-34688</v>
      </c>
      <c r="Y87" s="455">
        <f>X87/$R87</f>
        <v>-9866542.272991024</v>
      </c>
      <c r="Z87" s="476">
        <v>5</v>
      </c>
      <c r="AA87" s="455">
        <v>-34841</v>
      </c>
      <c r="AB87" s="455">
        <f>AA87-Z87</f>
        <v>-34846</v>
      </c>
      <c r="AC87" s="475">
        <f>AB87/$R87</f>
        <v>-9911483.2808073461</v>
      </c>
      <c r="AD87" s="476">
        <v>0</v>
      </c>
      <c r="AE87" s="455">
        <v>18</v>
      </c>
      <c r="AF87" s="455">
        <f>AE87-AD87</f>
        <v>18</v>
      </c>
      <c r="AG87" s="475">
        <f>AF87/$R87</f>
        <v>5119.8616499607479</v>
      </c>
      <c r="AH87" s="476">
        <v>0</v>
      </c>
      <c r="AI87" s="455">
        <v>16</v>
      </c>
      <c r="AJ87" s="455">
        <f>AI87-AH87</f>
        <v>16</v>
      </c>
      <c r="AK87" s="475">
        <f>AJ87/$R87</f>
        <v>4550.9881332984423</v>
      </c>
      <c r="AL87" s="476">
        <v>4.8</v>
      </c>
      <c r="AM87" s="455">
        <v>-34753.599999999999</v>
      </c>
      <c r="AN87" s="455">
        <f>AM87-AL87</f>
        <v>-34758.400000000001</v>
      </c>
      <c r="AO87" s="475">
        <f>AN87/$R87</f>
        <v>-9886566.6207775362</v>
      </c>
      <c r="AP87" s="476">
        <v>3.484807</v>
      </c>
      <c r="AQ87" s="455">
        <v>305.33</v>
      </c>
      <c r="AR87" s="455">
        <f>AQ87-AP87</f>
        <v>301.84519299999999</v>
      </c>
      <c r="AS87" s="475">
        <f>AR87/$R87</f>
        <v>85855.868214761125</v>
      </c>
      <c r="AT87" s="476">
        <v>0</v>
      </c>
      <c r="AU87" s="455">
        <v>2.9</v>
      </c>
      <c r="AV87" s="455">
        <f>AU87-AT87</f>
        <v>2.9</v>
      </c>
      <c r="AW87" s="475">
        <f>AV87/$R87</f>
        <v>824.86659916034273</v>
      </c>
      <c r="AX87" s="476">
        <v>0</v>
      </c>
      <c r="AY87" s="455">
        <v>-0.5</v>
      </c>
      <c r="AZ87" s="455">
        <f>AY87-AX87</f>
        <v>-0.5</v>
      </c>
      <c r="BA87" s="475">
        <f>AZ87/$R87</f>
        <v>-142.21837916557632</v>
      </c>
      <c r="BB87" s="476">
        <v>-0.03</v>
      </c>
      <c r="BC87" s="455">
        <v>-5.36</v>
      </c>
      <c r="BD87" s="455">
        <f>BC87-BB87</f>
        <v>-5.33</v>
      </c>
      <c r="BE87" s="455">
        <v>-14.812799999999999</v>
      </c>
      <c r="BF87" s="475">
        <f>BD87/$R87</f>
        <v>-1516.0479219050437</v>
      </c>
      <c r="BG87" s="443">
        <v>61.199992000000002</v>
      </c>
      <c r="BH87" s="443">
        <v>99.8</v>
      </c>
      <c r="BI87" s="443">
        <f>BH87-BG87</f>
        <v>38.600007999999995</v>
      </c>
      <c r="BJ87" s="495">
        <v>0.1</v>
      </c>
      <c r="BK87" s="495">
        <v>37812.9</v>
      </c>
      <c r="BL87" s="495">
        <f>BK87-BJ87</f>
        <v>37812.800000000003</v>
      </c>
      <c r="BM87" s="495">
        <v>0</v>
      </c>
      <c r="BN87" s="495">
        <v>-37533.199999999997</v>
      </c>
      <c r="BO87" s="495">
        <f>BN87-BM87</f>
        <v>-37533.199999999997</v>
      </c>
      <c r="BP87" s="443"/>
      <c r="BQ87" s="443"/>
      <c r="BR87" s="443"/>
      <c r="BS87" s="443"/>
      <c r="BT87" s="466" t="s">
        <v>719</v>
      </c>
      <c r="BU87" s="447"/>
      <c r="BV87" s="447"/>
      <c r="BW87" s="447"/>
      <c r="BX87" s="447"/>
      <c r="BY87" s="447"/>
      <c r="BZ87" s="447"/>
      <c r="CA87" s="447"/>
      <c r="CB87" s="447"/>
      <c r="CC87" s="447"/>
      <c r="CD87" s="447"/>
      <c r="CE87" s="447"/>
      <c r="CF87" s="447"/>
      <c r="CG87" s="447"/>
    </row>
    <row r="88" spans="1:85" s="488" customFormat="1" ht="15.75">
      <c r="A88" s="480" t="s">
        <v>1240</v>
      </c>
      <c r="B88" s="483"/>
      <c r="C88" s="483"/>
      <c r="D88" s="484"/>
      <c r="E88" s="483"/>
      <c r="F88" s="483"/>
      <c r="G88" s="484"/>
      <c r="H88" s="484"/>
      <c r="I88" s="484"/>
      <c r="J88" s="484"/>
      <c r="K88" s="484"/>
      <c r="L88" s="484"/>
      <c r="M88" s="484"/>
      <c r="N88" s="484"/>
      <c r="O88" s="484"/>
      <c r="P88" s="485"/>
      <c r="Q88" s="486"/>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483"/>
      <c r="BC88" s="483"/>
      <c r="BD88" s="483"/>
      <c r="BE88" s="483"/>
      <c r="BF88" s="483"/>
      <c r="BG88" s="483"/>
      <c r="BH88" s="483"/>
      <c r="BI88" s="483"/>
      <c r="BJ88" s="483"/>
      <c r="BK88" s="483"/>
      <c r="BL88" s="483"/>
      <c r="BM88" s="483"/>
      <c r="BN88" s="483"/>
      <c r="BO88" s="483"/>
      <c r="BP88" s="483"/>
      <c r="BQ88" s="483"/>
      <c r="BR88" s="483"/>
      <c r="BS88" s="483"/>
      <c r="BT88" s="483"/>
      <c r="BU88" s="483"/>
      <c r="BV88" s="483"/>
      <c r="BW88" s="483"/>
      <c r="BX88" s="483"/>
      <c r="BY88" s="483"/>
      <c r="BZ88" s="483"/>
      <c r="CA88" s="483"/>
      <c r="CB88" s="483"/>
      <c r="CC88" s="483"/>
      <c r="CD88" s="483"/>
      <c r="CE88" s="483"/>
      <c r="CF88" s="490"/>
      <c r="CG88" s="487"/>
    </row>
    <row r="89" spans="1:85" s="449" customFormat="1" ht="22.5">
      <c r="A89" s="500">
        <v>62006005</v>
      </c>
      <c r="B89" s="491" t="s">
        <v>832</v>
      </c>
      <c r="C89" s="491" t="s">
        <v>695</v>
      </c>
      <c r="D89" s="473" t="s">
        <v>752</v>
      </c>
      <c r="E89" s="448" t="s">
        <v>806</v>
      </c>
      <c r="F89" s="481" t="str">
        <f t="shared" si="23"/>
        <v>06/02/20</v>
      </c>
      <c r="G89" s="466" t="s">
        <v>807</v>
      </c>
      <c r="H89" s="466" t="s">
        <v>708</v>
      </c>
      <c r="I89" s="474"/>
      <c r="J89" s="467">
        <v>36.052109000000002</v>
      </c>
      <c r="K89" s="467">
        <v>37.859200000000001</v>
      </c>
      <c r="L89" s="467">
        <v>29.147534</v>
      </c>
      <c r="M89" s="467">
        <v>37.543486999999999</v>
      </c>
      <c r="N89" s="450">
        <v>4250</v>
      </c>
      <c r="O89" s="450">
        <v>38.71</v>
      </c>
      <c r="P89" s="450">
        <v>3.0499999999999999E-2</v>
      </c>
      <c r="Q89" s="450">
        <v>1.4999999999999999E-2</v>
      </c>
      <c r="R89" s="451">
        <v>3.5975402700000001</v>
      </c>
      <c r="S89" s="451">
        <f>R89+R87</f>
        <v>3.6010559899999999</v>
      </c>
      <c r="T89" s="492">
        <v>99.5</v>
      </c>
      <c r="U89" s="492">
        <v>98.6</v>
      </c>
      <c r="V89" s="455">
        <v>26</v>
      </c>
      <c r="W89" s="455">
        <v>863.06321200000002</v>
      </c>
      <c r="X89" s="455">
        <f t="shared" si="47"/>
        <v>837.06321200000002</v>
      </c>
      <c r="Y89" s="455">
        <f t="shared" si="26"/>
        <v>232.67653707181435</v>
      </c>
      <c r="Z89" s="476">
        <v>26</v>
      </c>
      <c r="AA89" s="455">
        <v>866</v>
      </c>
      <c r="AB89" s="455">
        <f t="shared" si="48"/>
        <v>840</v>
      </c>
      <c r="AC89" s="475">
        <f t="shared" si="28"/>
        <v>233.49286928204418</v>
      </c>
      <c r="AD89" s="476">
        <v>0</v>
      </c>
      <c r="AE89" s="455">
        <v>19</v>
      </c>
      <c r="AF89" s="455">
        <f t="shared" si="49"/>
        <v>19</v>
      </c>
      <c r="AG89" s="475">
        <f t="shared" si="30"/>
        <v>5.2813863289986189</v>
      </c>
      <c r="AH89" s="476">
        <v>0</v>
      </c>
      <c r="AI89" s="455">
        <v>596</v>
      </c>
      <c r="AJ89" s="455">
        <f t="shared" si="50"/>
        <v>596</v>
      </c>
      <c r="AK89" s="475">
        <f t="shared" si="32"/>
        <v>165.66875010964088</v>
      </c>
      <c r="AL89" s="476">
        <v>19.100000000000001</v>
      </c>
      <c r="AM89" s="455">
        <v>87.3</v>
      </c>
      <c r="AN89" s="455">
        <f t="shared" si="51"/>
        <v>68.199999999999989</v>
      </c>
      <c r="AO89" s="475">
        <f t="shared" si="34"/>
        <v>18.957397244089776</v>
      </c>
      <c r="AP89" s="476">
        <v>15.540893000000001</v>
      </c>
      <c r="AQ89" s="455">
        <v>74.681269</v>
      </c>
      <c r="AR89" s="455">
        <f t="shared" si="52"/>
        <v>59.140376000000003</v>
      </c>
      <c r="AS89" s="475">
        <f t="shared" si="36"/>
        <v>16.43911438411779</v>
      </c>
      <c r="AT89" s="476">
        <v>0.1</v>
      </c>
      <c r="AU89" s="455">
        <v>12.9</v>
      </c>
      <c r="AV89" s="455">
        <f t="shared" si="53"/>
        <v>12.8</v>
      </c>
      <c r="AW89" s="475">
        <f t="shared" si="38"/>
        <v>3.5579865795359118</v>
      </c>
      <c r="AX89" s="476">
        <v>13.508929</v>
      </c>
      <c r="AY89" s="455">
        <v>169.7</v>
      </c>
      <c r="AZ89" s="455">
        <f t="shared" si="54"/>
        <v>156.19107099999999</v>
      </c>
      <c r="BA89" s="475">
        <f t="shared" si="40"/>
        <v>43.416073004792239</v>
      </c>
      <c r="BB89" s="476">
        <v>-2.0208889999999999</v>
      </c>
      <c r="BC89" s="455">
        <v>-3.82</v>
      </c>
      <c r="BD89" s="455">
        <f t="shared" si="55"/>
        <v>-1.7991109999999999</v>
      </c>
      <c r="BE89" s="455">
        <v>-12.782093</v>
      </c>
      <c r="BF89" s="475">
        <f t="shared" si="42"/>
        <v>-0.50009474946058075</v>
      </c>
      <c r="BG89" s="443">
        <v>99.5</v>
      </c>
      <c r="BH89" s="443">
        <v>98.6</v>
      </c>
      <c r="BI89" s="443">
        <f t="shared" si="56"/>
        <v>-0.90000000000000568</v>
      </c>
      <c r="BJ89" s="495">
        <v>0.2</v>
      </c>
      <c r="BK89" s="495">
        <v>0.7</v>
      </c>
      <c r="BL89" s="495">
        <f t="shared" si="57"/>
        <v>0.49999999999999994</v>
      </c>
      <c r="BM89" s="495">
        <v>0</v>
      </c>
      <c r="BN89" s="495">
        <v>0</v>
      </c>
      <c r="BO89" s="495">
        <f t="shared" si="58"/>
        <v>0</v>
      </c>
      <c r="BP89" s="443"/>
      <c r="BQ89" s="443"/>
      <c r="BR89" s="443"/>
      <c r="BS89" s="443"/>
      <c r="BT89" s="466" t="s">
        <v>723</v>
      </c>
      <c r="BU89" s="447">
        <v>2372.09081651</v>
      </c>
      <c r="BV89" s="447">
        <v>-0.86830921000000005</v>
      </c>
      <c r="BW89" s="447">
        <v>2031.05296557</v>
      </c>
      <c r="BX89" s="447">
        <v>2048.8432603299998</v>
      </c>
      <c r="BY89" s="447">
        <v>3.0251157700000002</v>
      </c>
      <c r="BZ89" s="447">
        <v>3.0320174299999998</v>
      </c>
      <c r="CA89" s="447">
        <v>0.18024625999999999</v>
      </c>
      <c r="CB89" s="447">
        <v>3.5974534</v>
      </c>
      <c r="CC89" s="447">
        <v>3.5909807900000001</v>
      </c>
      <c r="CD89" s="447">
        <v>-0.40880297999999998</v>
      </c>
      <c r="CE89" s="447">
        <v>-0.22762618000000001</v>
      </c>
      <c r="CF89" s="447">
        <v>0.63450563999999998</v>
      </c>
      <c r="CG89" s="447"/>
    </row>
    <row r="90" spans="1:85" s="449" customFormat="1" ht="22.5">
      <c r="A90" s="500">
        <v>62006005</v>
      </c>
      <c r="B90" s="491" t="s">
        <v>831</v>
      </c>
      <c r="C90" s="491" t="s">
        <v>696</v>
      </c>
      <c r="D90" s="473" t="s">
        <v>752</v>
      </c>
      <c r="E90" s="448" t="s">
        <v>806</v>
      </c>
      <c r="F90" s="481" t="str">
        <f t="shared" si="23"/>
        <v>06/02/20</v>
      </c>
      <c r="G90" s="466" t="s">
        <v>807</v>
      </c>
      <c r="H90" s="466" t="s">
        <v>708</v>
      </c>
      <c r="I90" s="474"/>
      <c r="J90" s="467">
        <v>34.038026000000002</v>
      </c>
      <c r="K90" s="467">
        <v>47.279877999999997</v>
      </c>
      <c r="L90" s="467">
        <v>29.140882000000001</v>
      </c>
      <c r="M90" s="467">
        <v>39.702038999999999</v>
      </c>
      <c r="N90" s="450">
        <v>4250</v>
      </c>
      <c r="O90" s="450">
        <v>38.71</v>
      </c>
      <c r="P90" s="450">
        <v>3.0499999999999999E-2</v>
      </c>
      <c r="Q90" s="450">
        <v>1.4999999999999999E-2</v>
      </c>
      <c r="R90" s="451">
        <v>3.8634428199999999</v>
      </c>
      <c r="S90" s="451">
        <f t="shared" si="46"/>
        <v>7.46098309</v>
      </c>
      <c r="T90" s="492">
        <v>98.6</v>
      </c>
      <c r="U90" s="492">
        <v>97.6</v>
      </c>
      <c r="V90" s="455">
        <v>864</v>
      </c>
      <c r="W90" s="455">
        <v>1669</v>
      </c>
      <c r="X90" s="455">
        <f t="shared" si="47"/>
        <v>805</v>
      </c>
      <c r="Y90" s="455">
        <f t="shared" si="26"/>
        <v>208.3633788580311</v>
      </c>
      <c r="Z90" s="476">
        <v>866</v>
      </c>
      <c r="AA90" s="455">
        <v>1674</v>
      </c>
      <c r="AB90" s="455">
        <f t="shared" si="48"/>
        <v>808</v>
      </c>
      <c r="AC90" s="475">
        <f t="shared" si="28"/>
        <v>209.13988834445854</v>
      </c>
      <c r="AD90" s="476">
        <v>19</v>
      </c>
      <c r="AE90" s="455">
        <v>39</v>
      </c>
      <c r="AF90" s="455">
        <f t="shared" si="49"/>
        <v>20</v>
      </c>
      <c r="AG90" s="475">
        <f t="shared" si="30"/>
        <v>5.1767299095163004</v>
      </c>
      <c r="AH90" s="476">
        <v>596</v>
      </c>
      <c r="AI90" s="455">
        <v>1088</v>
      </c>
      <c r="AJ90" s="455">
        <f t="shared" si="50"/>
        <v>492</v>
      </c>
      <c r="AK90" s="475">
        <f t="shared" si="32"/>
        <v>127.34755577410098</v>
      </c>
      <c r="AL90" s="476">
        <v>87.3</v>
      </c>
      <c r="AM90" s="455">
        <v>201.500899</v>
      </c>
      <c r="AN90" s="455">
        <f t="shared" si="51"/>
        <v>114.20089900000001</v>
      </c>
      <c r="AO90" s="475">
        <f t="shared" si="34"/>
        <v>29.559360477347511</v>
      </c>
      <c r="AP90" s="476">
        <v>74.710544999999996</v>
      </c>
      <c r="AQ90" s="455">
        <v>173.51008999999999</v>
      </c>
      <c r="AR90" s="455">
        <f t="shared" si="52"/>
        <v>98.799544999999995</v>
      </c>
      <c r="AS90" s="475">
        <f t="shared" si="36"/>
        <v>25.57292798240508</v>
      </c>
      <c r="AT90" s="476">
        <v>12.9</v>
      </c>
      <c r="AU90" s="455">
        <v>76.099999999999994</v>
      </c>
      <c r="AV90" s="455">
        <f t="shared" si="53"/>
        <v>63.199999999999996</v>
      </c>
      <c r="AW90" s="475">
        <f t="shared" si="38"/>
        <v>16.358466514071509</v>
      </c>
      <c r="AX90" s="476">
        <v>169.8</v>
      </c>
      <c r="AY90" s="455">
        <v>313.500899</v>
      </c>
      <c r="AZ90" s="455">
        <f t="shared" si="54"/>
        <v>143.70089899999999</v>
      </c>
      <c r="BA90" s="475">
        <f t="shared" si="40"/>
        <v>37.195037093884046</v>
      </c>
      <c r="BB90" s="476">
        <v>-3.82</v>
      </c>
      <c r="BC90" s="455">
        <v>-5.47</v>
      </c>
      <c r="BD90" s="455">
        <f t="shared" si="55"/>
        <v>-1.65</v>
      </c>
      <c r="BE90" s="455">
        <v>-6.8777629999999998</v>
      </c>
      <c r="BF90" s="475">
        <f t="shared" si="42"/>
        <v>-0.42708021753509473</v>
      </c>
      <c r="BG90" s="443">
        <v>98.6</v>
      </c>
      <c r="BH90" s="443">
        <v>97.6</v>
      </c>
      <c r="BI90" s="443">
        <f t="shared" si="56"/>
        <v>-1</v>
      </c>
      <c r="BJ90" s="495">
        <v>0.7</v>
      </c>
      <c r="BK90" s="495">
        <v>1.6</v>
      </c>
      <c r="BL90" s="495">
        <f t="shared" si="57"/>
        <v>0.90000000000000013</v>
      </c>
      <c r="BM90" s="495">
        <v>0</v>
      </c>
      <c r="BN90" s="495">
        <v>0</v>
      </c>
      <c r="BO90" s="495">
        <f t="shared" si="58"/>
        <v>0</v>
      </c>
      <c r="BP90" s="443"/>
      <c r="BQ90" s="443"/>
      <c r="BR90" s="443"/>
      <c r="BS90" s="443"/>
      <c r="BT90" s="466" t="s">
        <v>723</v>
      </c>
      <c r="BU90" s="447">
        <v>1476.01762014</v>
      </c>
      <c r="BV90" s="447">
        <v>-0.96963387000000001</v>
      </c>
      <c r="BW90" s="447">
        <v>3383.13222752</v>
      </c>
      <c r="BX90" s="447">
        <v>3416.2574166499999</v>
      </c>
      <c r="BY90" s="447">
        <v>2.98234165</v>
      </c>
      <c r="BZ90" s="447">
        <v>2.9954020699999999</v>
      </c>
      <c r="CA90" s="447">
        <v>8.8826160000000001E-2</v>
      </c>
      <c r="CB90" s="447">
        <v>3.8632598499999999</v>
      </c>
      <c r="CC90" s="447">
        <v>3.8598313100000001</v>
      </c>
      <c r="CD90" s="447">
        <v>-0.52714030999999995</v>
      </c>
      <c r="CE90" s="447">
        <v>-0.43601572999999999</v>
      </c>
      <c r="CF90" s="447">
        <v>0.72008229999999995</v>
      </c>
      <c r="CG90" s="447"/>
    </row>
    <row r="91" spans="1:85" s="449" customFormat="1" ht="22.5">
      <c r="A91" s="500">
        <v>62006005</v>
      </c>
      <c r="B91" s="491" t="s">
        <v>830</v>
      </c>
      <c r="C91" s="491" t="s">
        <v>698</v>
      </c>
      <c r="D91" s="473" t="s">
        <v>752</v>
      </c>
      <c r="E91" s="448" t="s">
        <v>806</v>
      </c>
      <c r="F91" s="481" t="str">
        <f t="shared" si="23"/>
        <v>06/02/20</v>
      </c>
      <c r="G91" s="466" t="s">
        <v>807</v>
      </c>
      <c r="H91" s="466" t="s">
        <v>708</v>
      </c>
      <c r="I91" s="474"/>
      <c r="J91" s="468">
        <f>AVERAGE(J89:J90)</f>
        <v>35.045067500000002</v>
      </c>
      <c r="K91" s="468">
        <f>AVERAGE(K89:K90)</f>
        <v>42.569538999999999</v>
      </c>
      <c r="L91" s="468">
        <f>AVERAGE(L89:L90)</f>
        <v>29.144207999999999</v>
      </c>
      <c r="M91" s="468">
        <f>AVERAGE(M89:M90)</f>
        <v>38.622762999999999</v>
      </c>
      <c r="N91" s="452"/>
      <c r="O91" s="450"/>
      <c r="P91" s="470"/>
      <c r="Q91" s="469"/>
      <c r="R91" s="453">
        <f>R90+R89</f>
        <v>7.46098309</v>
      </c>
      <c r="S91" s="453">
        <f>S90</f>
        <v>7.46098309</v>
      </c>
      <c r="T91" s="493">
        <f>T89</f>
        <v>99.5</v>
      </c>
      <c r="U91" s="493">
        <f>U90</f>
        <v>97.6</v>
      </c>
      <c r="V91" s="456">
        <f>V89</f>
        <v>26</v>
      </c>
      <c r="W91" s="456">
        <f>W90</f>
        <v>1669</v>
      </c>
      <c r="X91" s="456">
        <f>SUM(X89:X90)</f>
        <v>1642.063212</v>
      </c>
      <c r="Y91" s="456">
        <f t="shared" ref="Y91:Y113" si="59">X91/$R91</f>
        <v>220.08670870744461</v>
      </c>
      <c r="Z91" s="456">
        <f>Z89</f>
        <v>26</v>
      </c>
      <c r="AA91" s="456">
        <f>AA90</f>
        <v>1674</v>
      </c>
      <c r="AB91" s="456">
        <f>SUM(AB89:AB90)</f>
        <v>1648</v>
      </c>
      <c r="AC91" s="454">
        <f t="shared" ref="AC91:AC113" si="60">AB91/$R91</f>
        <v>220.88241993321552</v>
      </c>
      <c r="AD91" s="456">
        <f>AD89</f>
        <v>0</v>
      </c>
      <c r="AE91" s="456">
        <f>AE90</f>
        <v>39</v>
      </c>
      <c r="AF91" s="456">
        <f>SUM(AF89:AF90)</f>
        <v>39</v>
      </c>
      <c r="AG91" s="454">
        <f t="shared" ref="AG91:AG113" si="61">AF91/$R91</f>
        <v>5.2271931901671147</v>
      </c>
      <c r="AH91" s="456">
        <f>AH89</f>
        <v>0</v>
      </c>
      <c r="AI91" s="456">
        <f>AI90</f>
        <v>1088</v>
      </c>
      <c r="AJ91" s="456">
        <f>SUM(AJ89:AJ90)</f>
        <v>1088</v>
      </c>
      <c r="AK91" s="454">
        <f t="shared" ref="AK91:AK113" si="62">AJ91/$R91</f>
        <v>145.82528694620055</v>
      </c>
      <c r="AL91" s="456">
        <f>AL89</f>
        <v>19.100000000000001</v>
      </c>
      <c r="AM91" s="456">
        <f>AM90</f>
        <v>201.500899</v>
      </c>
      <c r="AN91" s="456">
        <f>SUM(AN89:AN90)</f>
        <v>182.40089899999998</v>
      </c>
      <c r="AO91" s="454">
        <f t="shared" ref="AO91:AO113" si="63">AN91/$R91</f>
        <v>24.447300952132299</v>
      </c>
      <c r="AP91" s="456">
        <f>AP89</f>
        <v>15.540893000000001</v>
      </c>
      <c r="AQ91" s="456">
        <f>AQ90</f>
        <v>173.51008999999999</v>
      </c>
      <c r="AR91" s="456">
        <f>SUM(AR89:AR90)</f>
        <v>157.939921</v>
      </c>
      <c r="AS91" s="454">
        <f t="shared" ref="AS91:AS113" si="64">AR91/$R91</f>
        <v>21.168781525813642</v>
      </c>
      <c r="AT91" s="456">
        <f>AT89</f>
        <v>0.1</v>
      </c>
      <c r="AU91" s="456">
        <f>AU90</f>
        <v>76.099999999999994</v>
      </c>
      <c r="AV91" s="456">
        <f>SUM(AV89:AV90)</f>
        <v>76</v>
      </c>
      <c r="AW91" s="454">
        <f t="shared" ref="AW91:AW113" si="65">AV91/$R91</f>
        <v>10.186325191094891</v>
      </c>
      <c r="AX91" s="456">
        <f>AX89</f>
        <v>13.508929</v>
      </c>
      <c r="AY91" s="456">
        <f>AY90</f>
        <v>313.500899</v>
      </c>
      <c r="AZ91" s="456">
        <f>SUM(AZ89:AZ90)</f>
        <v>299.89197000000001</v>
      </c>
      <c r="BA91" s="454">
        <f t="shared" ref="BA91:BA113" si="66">AZ91/$R91</f>
        <v>40.194699060764123</v>
      </c>
      <c r="BB91" s="456">
        <f>BB89</f>
        <v>-2.0208889999999999</v>
      </c>
      <c r="BC91" s="456">
        <f>BC90</f>
        <v>-5.47</v>
      </c>
      <c r="BD91" s="456">
        <f>SUM(BD89:BD90)</f>
        <v>-3.4491109999999998</v>
      </c>
      <c r="BE91" s="455">
        <f>AVERAGE(BE89:BE90)</f>
        <v>-9.8299279999999989</v>
      </c>
      <c r="BF91" s="454">
        <f t="shared" ref="BF91:BF113" si="67">BD91/$R91</f>
        <v>-0.46228639823924328</v>
      </c>
      <c r="BG91" s="445"/>
      <c r="BH91" s="445"/>
      <c r="BI91" s="445">
        <f>SUM(BI89:BI90)</f>
        <v>-1.9000000000000057</v>
      </c>
      <c r="BJ91" s="496"/>
      <c r="BK91" s="496"/>
      <c r="BL91" s="496">
        <f>SUM(BL89:BL90)</f>
        <v>1.4000000000000001</v>
      </c>
      <c r="BM91" s="496"/>
      <c r="BN91" s="496"/>
      <c r="BO91" s="496">
        <f>SUM(BO89:BO90)</f>
        <v>0</v>
      </c>
      <c r="BP91" s="445"/>
      <c r="BQ91" s="445"/>
      <c r="BR91" s="445"/>
      <c r="BS91" s="445"/>
      <c r="BT91" s="466" t="s">
        <v>723</v>
      </c>
      <c r="BU91" s="447"/>
      <c r="BV91" s="447"/>
      <c r="BW91" s="447"/>
      <c r="BX91" s="447"/>
      <c r="BY91" s="447"/>
      <c r="BZ91" s="447"/>
      <c r="CA91" s="447"/>
      <c r="CB91" s="447"/>
      <c r="CC91" s="447"/>
      <c r="CD91" s="447"/>
      <c r="CE91" s="447"/>
      <c r="CF91" s="447"/>
      <c r="CG91" s="447"/>
    </row>
    <row r="92" spans="1:85" s="449" customFormat="1" ht="22.5">
      <c r="A92" s="500">
        <v>62006005</v>
      </c>
      <c r="B92" s="491" t="s">
        <v>829</v>
      </c>
      <c r="C92" s="491" t="s">
        <v>697</v>
      </c>
      <c r="D92" s="473" t="s">
        <v>752</v>
      </c>
      <c r="E92" s="448" t="s">
        <v>806</v>
      </c>
      <c r="F92" s="481" t="str">
        <f t="shared" si="23"/>
        <v>06/02/20</v>
      </c>
      <c r="G92" s="466" t="s">
        <v>807</v>
      </c>
      <c r="H92" s="466" t="s">
        <v>708</v>
      </c>
      <c r="I92" s="474"/>
      <c r="J92" s="467">
        <v>37.486905</v>
      </c>
      <c r="K92" s="467">
        <v>35.22954</v>
      </c>
      <c r="L92" s="467">
        <v>29.142893000000001</v>
      </c>
      <c r="M92" s="467">
        <v>41.680728999999999</v>
      </c>
      <c r="N92" s="450">
        <v>4250</v>
      </c>
      <c r="O92" s="450">
        <v>38.71</v>
      </c>
      <c r="P92" s="450">
        <v>3.0499999999999999E-2</v>
      </c>
      <c r="Q92" s="450">
        <v>1.4999999999999999E-2</v>
      </c>
      <c r="R92" s="451">
        <v>10.28413085</v>
      </c>
      <c r="S92" s="451">
        <f>R92+R91</f>
        <v>17.74511394</v>
      </c>
      <c r="T92" s="492">
        <v>97.6</v>
      </c>
      <c r="U92" s="492">
        <v>95.4</v>
      </c>
      <c r="V92" s="455">
        <v>1674</v>
      </c>
      <c r="W92" s="455">
        <v>3600</v>
      </c>
      <c r="X92" s="455">
        <f>W92-V92</f>
        <v>1926</v>
      </c>
      <c r="Y92" s="455">
        <f t="shared" si="59"/>
        <v>187.27883066559775</v>
      </c>
      <c r="Z92" s="476">
        <v>1679</v>
      </c>
      <c r="AA92" s="455">
        <v>3606</v>
      </c>
      <c r="AB92" s="455">
        <f>AA92-Z92</f>
        <v>1927</v>
      </c>
      <c r="AC92" s="475">
        <f t="shared" si="60"/>
        <v>187.37606785701291</v>
      </c>
      <c r="AD92" s="476">
        <v>39</v>
      </c>
      <c r="AE92" s="455">
        <v>41</v>
      </c>
      <c r="AF92" s="455">
        <f>AE92-AD92</f>
        <v>2</v>
      </c>
      <c r="AG92" s="475">
        <f t="shared" si="61"/>
        <v>0.19447438283031959</v>
      </c>
      <c r="AH92" s="476">
        <v>1088</v>
      </c>
      <c r="AI92" s="455">
        <v>2752</v>
      </c>
      <c r="AJ92" s="455">
        <f>AI92-AH92</f>
        <v>1664</v>
      </c>
      <c r="AK92" s="475">
        <f t="shared" si="62"/>
        <v>161.80268651482589</v>
      </c>
      <c r="AL92" s="476">
        <v>203.6</v>
      </c>
      <c r="AM92" s="455">
        <v>297.3</v>
      </c>
      <c r="AN92" s="455">
        <f>AM92-AL92</f>
        <v>93.700000000000017</v>
      </c>
      <c r="AO92" s="475">
        <f t="shared" si="63"/>
        <v>9.1111248356004744</v>
      </c>
      <c r="AP92" s="476">
        <v>175.320066</v>
      </c>
      <c r="AQ92" s="455">
        <v>256.59952299999998</v>
      </c>
      <c r="AR92" s="455">
        <f>AQ92-AP92</f>
        <v>81.279456999999979</v>
      </c>
      <c r="AS92" s="475">
        <f t="shared" si="64"/>
        <v>7.9033861184292471</v>
      </c>
      <c r="AT92" s="476">
        <v>77.2</v>
      </c>
      <c r="AU92" s="455">
        <v>140.80000000000001</v>
      </c>
      <c r="AV92" s="455">
        <f>AU92-AT92</f>
        <v>63.600000000000009</v>
      </c>
      <c r="AW92" s="475">
        <f t="shared" si="65"/>
        <v>6.1842853740041637</v>
      </c>
      <c r="AX92" s="476">
        <v>315.89999999999998</v>
      </c>
      <c r="AY92" s="455">
        <v>439.8</v>
      </c>
      <c r="AZ92" s="455">
        <f>AY92-AX92</f>
        <v>123.90000000000003</v>
      </c>
      <c r="BA92" s="475">
        <f t="shared" si="66"/>
        <v>12.047688016338302</v>
      </c>
      <c r="BB92" s="476">
        <v>-5.49</v>
      </c>
      <c r="BC92" s="455">
        <v>-6.28</v>
      </c>
      <c r="BD92" s="455">
        <f>BC92-BB92</f>
        <v>-0.79</v>
      </c>
      <c r="BE92" s="455">
        <v>-3.741803</v>
      </c>
      <c r="BF92" s="475">
        <f t="shared" si="67"/>
        <v>-7.6817381217976238E-2</v>
      </c>
      <c r="BG92" s="443">
        <v>97.6</v>
      </c>
      <c r="BH92" s="443">
        <v>95.4</v>
      </c>
      <c r="BI92" s="443">
        <f>BH92-BG92</f>
        <v>-2.1999999999999886</v>
      </c>
      <c r="BJ92" s="495">
        <v>1.6</v>
      </c>
      <c r="BK92" s="495">
        <v>2.4</v>
      </c>
      <c r="BL92" s="495">
        <f>BK92-BJ92</f>
        <v>0.79999999999999982</v>
      </c>
      <c r="BM92" s="495">
        <v>0</v>
      </c>
      <c r="BN92" s="495">
        <v>0</v>
      </c>
      <c r="BO92" s="495">
        <f>BN92-BM92</f>
        <v>0</v>
      </c>
      <c r="BP92" s="443"/>
      <c r="BQ92" s="443"/>
      <c r="BR92" s="443"/>
      <c r="BS92" s="443"/>
      <c r="BT92" s="466" t="s">
        <v>723</v>
      </c>
      <c r="BU92" s="447">
        <v>1875.5206794999999</v>
      </c>
      <c r="BV92" s="447">
        <v>-0.27491199999999999</v>
      </c>
      <c r="BW92" s="447">
        <v>1303.1832270299999</v>
      </c>
      <c r="BX92" s="447">
        <v>1306.7757103199999</v>
      </c>
      <c r="BY92" s="447">
        <v>6.8014363900000001</v>
      </c>
      <c r="BZ92" s="447">
        <v>6.7904350999999998</v>
      </c>
      <c r="CA92" s="447">
        <v>0.26775221999999999</v>
      </c>
      <c r="CB92" s="447">
        <v>10.284142920000001</v>
      </c>
      <c r="CC92" s="447">
        <v>10.256680429999999</v>
      </c>
      <c r="CD92" s="447">
        <v>-0.1055695</v>
      </c>
      <c r="CE92" s="447">
        <v>0.16201167999999999</v>
      </c>
      <c r="CF92" s="447">
        <v>0.33398591999999999</v>
      </c>
      <c r="CG92" s="447"/>
    </row>
    <row r="93" spans="1:85" s="449" customFormat="1" ht="22.5">
      <c r="A93" s="500">
        <v>62006005</v>
      </c>
      <c r="B93" s="491" t="s">
        <v>828</v>
      </c>
      <c r="C93" s="491" t="s">
        <v>699</v>
      </c>
      <c r="D93" s="473" t="s">
        <v>752</v>
      </c>
      <c r="E93" s="448" t="s">
        <v>806</v>
      </c>
      <c r="F93" s="481" t="str">
        <f t="shared" si="23"/>
        <v>06/02/20</v>
      </c>
      <c r="G93" s="466" t="s">
        <v>807</v>
      </c>
      <c r="H93" s="466" t="s">
        <v>708</v>
      </c>
      <c r="I93" s="474"/>
      <c r="J93" s="467">
        <v>33.466971999999998</v>
      </c>
      <c r="K93" s="467">
        <v>47.363886000000001</v>
      </c>
      <c r="L93" s="467">
        <v>29.132598999999999</v>
      </c>
      <c r="M93" s="467">
        <v>41.922862000000002</v>
      </c>
      <c r="N93" s="450">
        <v>4250</v>
      </c>
      <c r="O93" s="450">
        <v>38.71</v>
      </c>
      <c r="P93" s="450">
        <v>3.0499999999999999E-2</v>
      </c>
      <c r="Q93" s="450">
        <v>1.4999999999999999E-2</v>
      </c>
      <c r="R93" s="451">
        <v>3.5979395200000002</v>
      </c>
      <c r="S93" s="451">
        <f>R93+R92</f>
        <v>13.882070370000001</v>
      </c>
      <c r="T93" s="492">
        <v>95.3</v>
      </c>
      <c r="U93" s="492">
        <v>94.4</v>
      </c>
      <c r="V93" s="455">
        <v>3629</v>
      </c>
      <c r="W93" s="455">
        <v>4354</v>
      </c>
      <c r="X93" s="455">
        <f>W93-V93</f>
        <v>725</v>
      </c>
      <c r="Y93" s="455">
        <f t="shared" si="59"/>
        <v>201.50422094921706</v>
      </c>
      <c r="Z93" s="476">
        <v>3636</v>
      </c>
      <c r="AA93" s="455">
        <v>4363</v>
      </c>
      <c r="AB93" s="455">
        <f>AA93-Z93</f>
        <v>727</v>
      </c>
      <c r="AC93" s="475">
        <f t="shared" si="60"/>
        <v>202.0600946621804</v>
      </c>
      <c r="AD93" s="476">
        <v>40</v>
      </c>
      <c r="AE93" s="455">
        <v>52</v>
      </c>
      <c r="AF93" s="455">
        <f>AE93-AD93</f>
        <v>12</v>
      </c>
      <c r="AG93" s="475">
        <f t="shared" si="61"/>
        <v>3.3352422777801443</v>
      </c>
      <c r="AH93" s="476">
        <v>2751</v>
      </c>
      <c r="AI93" s="455">
        <v>3296</v>
      </c>
      <c r="AJ93" s="455">
        <f>AI93-AH93</f>
        <v>545</v>
      </c>
      <c r="AK93" s="475">
        <f t="shared" si="62"/>
        <v>151.47558678251488</v>
      </c>
      <c r="AL93" s="476">
        <v>340.2</v>
      </c>
      <c r="AM93" s="455">
        <v>404</v>
      </c>
      <c r="AN93" s="455">
        <f>AM93-AL93</f>
        <v>63.800000000000011</v>
      </c>
      <c r="AO93" s="475">
        <f t="shared" si="63"/>
        <v>17.732371443531104</v>
      </c>
      <c r="AP93" s="476">
        <v>291.05943500000001</v>
      </c>
      <c r="AQ93" s="455">
        <v>346.71908300000001</v>
      </c>
      <c r="AR93" s="455">
        <f>AQ93-AP93</f>
        <v>55.659648000000004</v>
      </c>
      <c r="AS93" s="475">
        <f t="shared" si="64"/>
        <v>15.469867597996757</v>
      </c>
      <c r="AT93" s="476">
        <v>142.69999999999999</v>
      </c>
      <c r="AU93" s="455">
        <v>174.1</v>
      </c>
      <c r="AV93" s="455">
        <f>AU93-AT93</f>
        <v>31.400000000000006</v>
      </c>
      <c r="AW93" s="475">
        <f t="shared" si="65"/>
        <v>8.7272172935247134</v>
      </c>
      <c r="AX93" s="476">
        <v>443.7</v>
      </c>
      <c r="AY93" s="455">
        <v>532.4</v>
      </c>
      <c r="AZ93" s="455">
        <f>AY93-AX93</f>
        <v>88.699999999999989</v>
      </c>
      <c r="BA93" s="475">
        <f t="shared" si="66"/>
        <v>24.652999169924897</v>
      </c>
      <c r="BB93" s="476">
        <v>-6.81</v>
      </c>
      <c r="BC93" s="455">
        <v>-7.22</v>
      </c>
      <c r="BD93" s="455">
        <f>BC93-BB93</f>
        <v>-0.41000000000000014</v>
      </c>
      <c r="BE93" s="455">
        <v>-2.8600300000000001</v>
      </c>
      <c r="BF93" s="475">
        <f t="shared" si="67"/>
        <v>-0.11395411115748831</v>
      </c>
      <c r="BG93" s="443">
        <v>95.3</v>
      </c>
      <c r="BH93" s="443">
        <v>94.4</v>
      </c>
      <c r="BI93" s="443">
        <f>BH93-BG93</f>
        <v>-0.89999999999999147</v>
      </c>
      <c r="BJ93" s="495">
        <v>3</v>
      </c>
      <c r="BK93" s="495">
        <v>3.5</v>
      </c>
      <c r="BL93" s="495">
        <f>BK93-BJ93</f>
        <v>0.5</v>
      </c>
      <c r="BM93" s="495">
        <v>0</v>
      </c>
      <c r="BN93" s="495">
        <v>0</v>
      </c>
      <c r="BO93" s="495">
        <f>BN93-BM93</f>
        <v>0</v>
      </c>
      <c r="BP93" s="443"/>
      <c r="BQ93" s="443"/>
      <c r="BR93" s="443"/>
      <c r="BS93" s="443"/>
      <c r="BT93" s="466" t="s">
        <v>723</v>
      </c>
      <c r="BU93" s="447">
        <v>2367.4661447799999</v>
      </c>
      <c r="BV93" s="447">
        <v>-0.90509795000000004</v>
      </c>
      <c r="BW93" s="447">
        <v>2030.25751489</v>
      </c>
      <c r="BX93" s="447">
        <v>2048.8011722000001</v>
      </c>
      <c r="BY93" s="447">
        <v>3.0256084400000001</v>
      </c>
      <c r="BZ93" s="447">
        <v>3.0319634899999999</v>
      </c>
      <c r="CA93" s="447">
        <v>0.19188975</v>
      </c>
      <c r="CB93" s="447">
        <v>3.5978712900000001</v>
      </c>
      <c r="CC93" s="447">
        <v>3.5909805700000001</v>
      </c>
      <c r="CD93" s="447">
        <v>-0.402335</v>
      </c>
      <c r="CE93" s="447">
        <v>-0.20960195000000001</v>
      </c>
      <c r="CF93" s="447">
        <v>0.63449864</v>
      </c>
      <c r="CG93" s="447"/>
    </row>
    <row r="94" spans="1:85" s="449" customFormat="1" ht="22.5">
      <c r="A94" s="500">
        <v>62006005</v>
      </c>
      <c r="B94" s="491" t="s">
        <v>239</v>
      </c>
      <c r="C94" s="491" t="s">
        <v>700</v>
      </c>
      <c r="D94" s="473" t="s">
        <v>752</v>
      </c>
      <c r="E94" s="448" t="s">
        <v>806</v>
      </c>
      <c r="F94" s="481" t="str">
        <f t="shared" si="23"/>
        <v>06/02/20</v>
      </c>
      <c r="G94" s="466" t="s">
        <v>807</v>
      </c>
      <c r="H94" s="466" t="s">
        <v>708</v>
      </c>
      <c r="I94" s="474"/>
      <c r="J94" s="467">
        <v>32.868769</v>
      </c>
      <c r="K94" s="467">
        <v>49.469881000000001</v>
      </c>
      <c r="L94" s="467">
        <v>29.133821000000001</v>
      </c>
      <c r="M94" s="467">
        <v>41.355922</v>
      </c>
      <c r="N94" s="450">
        <v>4250</v>
      </c>
      <c r="O94" s="450">
        <v>38.71</v>
      </c>
      <c r="P94" s="450">
        <v>3.0499999999999999E-2</v>
      </c>
      <c r="Q94" s="450">
        <v>1.4999999999999999E-2</v>
      </c>
      <c r="R94" s="451">
        <v>3.86188259</v>
      </c>
      <c r="S94" s="451">
        <f>R94+R93</f>
        <v>7.4598221100000002</v>
      </c>
      <c r="T94" s="492">
        <v>94.4</v>
      </c>
      <c r="U94" s="492">
        <v>93.5</v>
      </c>
      <c r="V94" s="455">
        <v>4354.9088940000001</v>
      </c>
      <c r="W94" s="455">
        <v>5143</v>
      </c>
      <c r="X94" s="455">
        <f>W94-V94</f>
        <v>788.09110599999985</v>
      </c>
      <c r="Y94" s="455">
        <f t="shared" si="59"/>
        <v>204.06915219035696</v>
      </c>
      <c r="Z94" s="476">
        <v>4363</v>
      </c>
      <c r="AA94" s="455">
        <v>5153</v>
      </c>
      <c r="AB94" s="455">
        <f>AA94-Z94</f>
        <v>790</v>
      </c>
      <c r="AC94" s="475">
        <f t="shared" si="60"/>
        <v>204.56344324025656</v>
      </c>
      <c r="AD94" s="476">
        <v>52</v>
      </c>
      <c r="AE94" s="455">
        <v>77</v>
      </c>
      <c r="AF94" s="455">
        <f>AE94-AD94</f>
        <v>25</v>
      </c>
      <c r="AG94" s="475">
        <f t="shared" si="61"/>
        <v>6.4735266848182453</v>
      </c>
      <c r="AH94" s="476">
        <v>3296</v>
      </c>
      <c r="AI94" s="455">
        <v>3779</v>
      </c>
      <c r="AJ94" s="455">
        <f>AI94-AH94</f>
        <v>483</v>
      </c>
      <c r="AK94" s="475">
        <f t="shared" si="62"/>
        <v>125.06853555068851</v>
      </c>
      <c r="AL94" s="476">
        <v>404</v>
      </c>
      <c r="AM94" s="455">
        <v>513.79999999999995</v>
      </c>
      <c r="AN94" s="455">
        <f>AM94-AL94</f>
        <v>109.79999999999995</v>
      </c>
      <c r="AO94" s="475">
        <f t="shared" si="63"/>
        <v>28.431729199721723</v>
      </c>
      <c r="AP94" s="476">
        <v>346.74818599999998</v>
      </c>
      <c r="AQ94" s="455">
        <v>442.68740400000002</v>
      </c>
      <c r="AR94" s="455">
        <f>AQ94-AP94</f>
        <v>95.939218000000039</v>
      </c>
      <c r="AS94" s="475">
        <f t="shared" si="64"/>
        <v>24.842603513743807</v>
      </c>
      <c r="AT94" s="476">
        <v>174.1</v>
      </c>
      <c r="AU94" s="455">
        <v>248.8</v>
      </c>
      <c r="AV94" s="455">
        <f>AU94-AT94</f>
        <v>74.700000000000017</v>
      </c>
      <c r="AW94" s="475">
        <f t="shared" si="65"/>
        <v>19.342897734236921</v>
      </c>
      <c r="AX94" s="476">
        <v>532.4</v>
      </c>
      <c r="AY94" s="455">
        <v>653.29999999999995</v>
      </c>
      <c r="AZ94" s="455">
        <f>AY94-AX94</f>
        <v>120.89999999999998</v>
      </c>
      <c r="BA94" s="475">
        <f t="shared" si="66"/>
        <v>31.305975047781029</v>
      </c>
      <c r="BB94" s="476">
        <v>-7.22</v>
      </c>
      <c r="BC94" s="455">
        <v>-7.84</v>
      </c>
      <c r="BD94" s="455">
        <f>BC94-BB94</f>
        <v>-0.62000000000000011</v>
      </c>
      <c r="BE94" s="455">
        <v>-2.587345</v>
      </c>
      <c r="BF94" s="475">
        <f t="shared" si="67"/>
        <v>-0.16054346178349252</v>
      </c>
      <c r="BG94" s="443">
        <v>94.4</v>
      </c>
      <c r="BH94" s="443">
        <v>93.5</v>
      </c>
      <c r="BI94" s="443">
        <f>BH94-BG94</f>
        <v>-0.90000000000000568</v>
      </c>
      <c r="BJ94" s="495">
        <v>3.5</v>
      </c>
      <c r="BK94" s="495">
        <v>4.3</v>
      </c>
      <c r="BL94" s="495">
        <f>BK94-BJ94</f>
        <v>0.79999999999999982</v>
      </c>
      <c r="BM94" s="495">
        <v>0</v>
      </c>
      <c r="BN94" s="495">
        <v>0</v>
      </c>
      <c r="BO94" s="495">
        <f>BN94-BM94</f>
        <v>0</v>
      </c>
      <c r="BP94" s="443"/>
      <c r="BQ94" s="443"/>
      <c r="BR94" s="443"/>
      <c r="BS94" s="443"/>
      <c r="BT94" s="466" t="s">
        <v>723</v>
      </c>
      <c r="BU94" s="447">
        <v>1475.9501259799999</v>
      </c>
      <c r="BV94" s="447">
        <v>-1.11834122</v>
      </c>
      <c r="BW94" s="447">
        <v>3378.0005345999998</v>
      </c>
      <c r="BX94" s="447">
        <v>3416.2053675299999</v>
      </c>
      <c r="BY94" s="447">
        <v>2.98338378</v>
      </c>
      <c r="BZ94" s="447">
        <v>2.9953178199999999</v>
      </c>
      <c r="CA94" s="447">
        <v>4.8247640000000001E-2</v>
      </c>
      <c r="CB94" s="447">
        <v>3.8616926999999999</v>
      </c>
      <c r="CC94" s="447">
        <v>3.8598304200000002</v>
      </c>
      <c r="CD94" s="447">
        <v>-0.44845731999999999</v>
      </c>
      <c r="CE94" s="447">
        <v>-0.39842293000000001</v>
      </c>
      <c r="CF94" s="447">
        <v>0.72008877000000004</v>
      </c>
      <c r="CG94" s="447"/>
    </row>
    <row r="95" spans="1:85" s="449" customFormat="1" ht="22.5">
      <c r="A95" s="500">
        <v>62006005</v>
      </c>
      <c r="B95" s="491" t="s">
        <v>833</v>
      </c>
      <c r="C95" s="491" t="s">
        <v>701</v>
      </c>
      <c r="D95" s="473" t="s">
        <v>752</v>
      </c>
      <c r="E95" s="448" t="s">
        <v>806</v>
      </c>
      <c r="F95" s="481" t="str">
        <f t="shared" si="23"/>
        <v>06/02/20</v>
      </c>
      <c r="G95" s="466" t="s">
        <v>807</v>
      </c>
      <c r="H95" s="466" t="s">
        <v>708</v>
      </c>
      <c r="I95" s="474"/>
      <c r="J95" s="468">
        <f>AVERAGE(J93:J94)</f>
        <v>33.167870499999999</v>
      </c>
      <c r="K95" s="468">
        <f>AVERAGE(K93:K94)</f>
        <v>48.416883499999997</v>
      </c>
      <c r="L95" s="468">
        <f>AVERAGE(L93:L94)</f>
        <v>29.133209999999998</v>
      </c>
      <c r="M95" s="468">
        <f>AVERAGE(M93:M94)</f>
        <v>41.639392000000001</v>
      </c>
      <c r="N95" s="452"/>
      <c r="O95" s="450"/>
      <c r="P95" s="470"/>
      <c r="Q95" s="469"/>
      <c r="R95" s="453">
        <f>R94+R93</f>
        <v>7.4598221100000002</v>
      </c>
      <c r="S95" s="453">
        <f>S94</f>
        <v>7.4598221100000002</v>
      </c>
      <c r="T95" s="493">
        <f>T93</f>
        <v>95.3</v>
      </c>
      <c r="U95" s="493">
        <f>U94</f>
        <v>93.5</v>
      </c>
      <c r="V95" s="456">
        <f>V93</f>
        <v>3629</v>
      </c>
      <c r="W95" s="456">
        <f>W94</f>
        <v>5143</v>
      </c>
      <c r="X95" s="456">
        <f>SUM(X93:X94)</f>
        <v>1513.0911059999999</v>
      </c>
      <c r="Y95" s="456">
        <f t="shared" si="59"/>
        <v>202.83206270718966</v>
      </c>
      <c r="Z95" s="456">
        <f>Z93</f>
        <v>3636</v>
      </c>
      <c r="AA95" s="456">
        <f>AA94</f>
        <v>5153</v>
      </c>
      <c r="AB95" s="456">
        <f>SUM(AB93:AB94)</f>
        <v>1517</v>
      </c>
      <c r="AC95" s="454">
        <f t="shared" si="60"/>
        <v>203.35605563119788</v>
      </c>
      <c r="AD95" s="456">
        <f>AD93</f>
        <v>40</v>
      </c>
      <c r="AE95" s="456">
        <f>AE94</f>
        <v>77</v>
      </c>
      <c r="AF95" s="456">
        <f>SUM(AF93:AF94)</f>
        <v>37</v>
      </c>
      <c r="AG95" s="454">
        <f t="shared" si="61"/>
        <v>4.9599037958828749</v>
      </c>
      <c r="AH95" s="456">
        <f>AH93</f>
        <v>2751</v>
      </c>
      <c r="AI95" s="456">
        <f>AI94</f>
        <v>3779</v>
      </c>
      <c r="AJ95" s="456">
        <f>SUM(AJ93:AJ94)</f>
        <v>1028</v>
      </c>
      <c r="AK95" s="454">
        <f t="shared" si="62"/>
        <v>137.80489465317825</v>
      </c>
      <c r="AL95" s="456">
        <f>AL93</f>
        <v>340.2</v>
      </c>
      <c r="AM95" s="456">
        <f>AM94</f>
        <v>513.79999999999995</v>
      </c>
      <c r="AN95" s="456">
        <f>SUM(AN93:AN94)</f>
        <v>173.59999999999997</v>
      </c>
      <c r="AO95" s="454">
        <f t="shared" si="63"/>
        <v>23.271332404466676</v>
      </c>
      <c r="AP95" s="456">
        <f>AP93</f>
        <v>291.05943500000001</v>
      </c>
      <c r="AQ95" s="456">
        <f>AQ94</f>
        <v>442.68740400000002</v>
      </c>
      <c r="AR95" s="456">
        <f>SUM(AR93:AR94)</f>
        <v>151.59886600000004</v>
      </c>
      <c r="AS95" s="454">
        <f t="shared" si="64"/>
        <v>20.322048403376744</v>
      </c>
      <c r="AT95" s="456">
        <f>AT93</f>
        <v>142.69999999999999</v>
      </c>
      <c r="AU95" s="456">
        <f>AU94</f>
        <v>248.8</v>
      </c>
      <c r="AV95" s="456">
        <f>SUM(AV93:AV94)</f>
        <v>106.10000000000002</v>
      </c>
      <c r="AW95" s="454">
        <f t="shared" si="65"/>
        <v>14.222859263329005</v>
      </c>
      <c r="AX95" s="456">
        <f>AX93</f>
        <v>443.7</v>
      </c>
      <c r="AY95" s="456">
        <f>AY94</f>
        <v>653.29999999999995</v>
      </c>
      <c r="AZ95" s="456">
        <f>SUM(AZ93:AZ94)</f>
        <v>209.59999999999997</v>
      </c>
      <c r="BA95" s="454">
        <f t="shared" si="66"/>
        <v>28.097184746406768</v>
      </c>
      <c r="BB95" s="456">
        <f>BB93</f>
        <v>-6.81</v>
      </c>
      <c r="BC95" s="456">
        <f>BC94</f>
        <v>-7.84</v>
      </c>
      <c r="BD95" s="456">
        <f>SUM(BD93:BD94)</f>
        <v>-1.0300000000000002</v>
      </c>
      <c r="BE95" s="455">
        <f>AVERAGE(BE93:BE94)</f>
        <v>-2.7236875</v>
      </c>
      <c r="BF95" s="454">
        <f t="shared" si="67"/>
        <v>-0.13807299756106386</v>
      </c>
      <c r="BG95" s="445"/>
      <c r="BH95" s="445"/>
      <c r="BI95" s="445">
        <f>SUM(BI93:BI94)</f>
        <v>-1.7999999999999972</v>
      </c>
      <c r="BJ95" s="496"/>
      <c r="BK95" s="496"/>
      <c r="BL95" s="496">
        <f>SUM(BL93:BL94)</f>
        <v>1.2999999999999998</v>
      </c>
      <c r="BM95" s="496"/>
      <c r="BN95" s="496"/>
      <c r="BO95" s="496">
        <f>SUM(BO93:BO94)</f>
        <v>0</v>
      </c>
      <c r="BP95" s="445"/>
      <c r="BQ95" s="445"/>
      <c r="BR95" s="445"/>
      <c r="BS95" s="445"/>
      <c r="BT95" s="466" t="s">
        <v>723</v>
      </c>
      <c r="BU95" s="447"/>
      <c r="BV95" s="447"/>
      <c r="BW95" s="447"/>
      <c r="BX95" s="447"/>
      <c r="BY95" s="447"/>
      <c r="BZ95" s="447"/>
      <c r="CA95" s="447"/>
      <c r="CB95" s="447"/>
      <c r="CC95" s="447"/>
      <c r="CD95" s="447"/>
      <c r="CE95" s="447"/>
      <c r="CF95" s="447"/>
      <c r="CG95" s="447"/>
    </row>
    <row r="96" spans="1:85" s="449" customFormat="1" ht="22.5">
      <c r="A96" s="500">
        <v>62006005</v>
      </c>
      <c r="B96" s="491" t="s">
        <v>836</v>
      </c>
      <c r="C96" s="491" t="s">
        <v>770</v>
      </c>
      <c r="D96" s="473" t="s">
        <v>752</v>
      </c>
      <c r="E96" s="448" t="s">
        <v>806</v>
      </c>
      <c r="F96" s="481" t="str">
        <f t="shared" si="23"/>
        <v>06/02/20</v>
      </c>
      <c r="G96" s="466" t="s">
        <v>807</v>
      </c>
      <c r="H96" s="466" t="s">
        <v>708</v>
      </c>
      <c r="I96" s="474"/>
      <c r="J96" s="467">
        <v>35.277704</v>
      </c>
      <c r="K96" s="467">
        <v>38.912255000000002</v>
      </c>
      <c r="L96" s="467">
        <v>29.132128000000002</v>
      </c>
      <c r="M96" s="467">
        <v>42.985683999999999</v>
      </c>
      <c r="N96" s="450">
        <v>4250</v>
      </c>
      <c r="O96" s="450">
        <v>38.71</v>
      </c>
      <c r="P96" s="450">
        <v>3.0499999999999999E-2</v>
      </c>
      <c r="Q96" s="450">
        <v>1.4999999999999999E-2</v>
      </c>
      <c r="R96" s="451">
        <v>1.7772785200000001</v>
      </c>
      <c r="S96" s="451"/>
      <c r="T96" s="492">
        <v>93.5</v>
      </c>
      <c r="U96" s="492">
        <v>91</v>
      </c>
      <c r="V96" s="455">
        <v>5179</v>
      </c>
      <c r="W96" s="455">
        <v>7237</v>
      </c>
      <c r="X96" s="455">
        <f>W96-V96-X97</f>
        <v>554</v>
      </c>
      <c r="Y96" s="455">
        <f t="shared" si="59"/>
        <v>311.71253901161197</v>
      </c>
      <c r="Z96" s="476">
        <v>5189</v>
      </c>
      <c r="AA96" s="455">
        <v>7249</v>
      </c>
      <c r="AB96" s="455">
        <f>AA96-Z96-AB97</f>
        <v>555</v>
      </c>
      <c r="AC96" s="475">
        <f t="shared" si="60"/>
        <v>312.27519702426832</v>
      </c>
      <c r="AD96" s="476">
        <v>82</v>
      </c>
      <c r="AE96" s="455">
        <v>123</v>
      </c>
      <c r="AF96" s="455">
        <f>AE96-AD96-AF97</f>
        <v>24</v>
      </c>
      <c r="AG96" s="475">
        <f t="shared" si="61"/>
        <v>13.503792303752142</v>
      </c>
      <c r="AH96" s="476">
        <v>3780</v>
      </c>
      <c r="AI96" s="455">
        <v>5602</v>
      </c>
      <c r="AJ96" s="455">
        <f>AI96-AH96-AJ97</f>
        <v>452</v>
      </c>
      <c r="AK96" s="475">
        <f t="shared" si="62"/>
        <v>254.32142172066537</v>
      </c>
      <c r="AL96" s="476">
        <v>525.68632500000001</v>
      </c>
      <c r="AM96" s="455">
        <v>601.20000000000005</v>
      </c>
      <c r="AN96" s="455">
        <f>AM96-AL96-AN97</f>
        <v>30.200714000000062</v>
      </c>
      <c r="AO96" s="475">
        <f t="shared" si="63"/>
        <v>16.992673720042518</v>
      </c>
      <c r="AP96" s="476">
        <v>453.048633</v>
      </c>
      <c r="AQ96" s="455">
        <v>518.94833600000004</v>
      </c>
      <c r="AR96" s="455">
        <f>AQ96-AP96-AR97</f>
        <v>26.450065000000052</v>
      </c>
      <c r="AS96" s="475">
        <f t="shared" si="64"/>
        <v>14.882341007531027</v>
      </c>
      <c r="AT96" s="476">
        <v>256.89999999999998</v>
      </c>
      <c r="AU96" s="455">
        <v>313.7</v>
      </c>
      <c r="AV96" s="455">
        <f>AU96-AT96-AV97</f>
        <v>21.916578000000015</v>
      </c>
      <c r="AW96" s="475">
        <f t="shared" si="65"/>
        <v>12.331538221707655</v>
      </c>
      <c r="AX96" s="476">
        <v>666.2</v>
      </c>
      <c r="AY96" s="455">
        <v>746.9</v>
      </c>
      <c r="AZ96" s="455">
        <f>AY96-AX96-AZ97</f>
        <v>31.899999999999977</v>
      </c>
      <c r="BA96" s="475">
        <f t="shared" si="66"/>
        <v>17.948790603737212</v>
      </c>
      <c r="BB96" s="476">
        <v>-7.9</v>
      </c>
      <c r="BC96" s="455">
        <v>-8.2899999999999991</v>
      </c>
      <c r="BD96" s="455">
        <f>BC96-BB96-BD97</f>
        <v>-0.15999999999999837</v>
      </c>
      <c r="BE96" s="455">
        <v>-2.3331590000000002</v>
      </c>
      <c r="BF96" s="475">
        <f t="shared" si="67"/>
        <v>-9.0025282025013365E-2</v>
      </c>
      <c r="BG96" s="443">
        <v>93.5</v>
      </c>
      <c r="BH96" s="443">
        <v>91</v>
      </c>
      <c r="BI96" s="443">
        <f>BH96-BG96-BI97</f>
        <v>-0.70000000000000284</v>
      </c>
      <c r="BJ96" s="495">
        <v>4.4000000000000004</v>
      </c>
      <c r="BK96" s="495">
        <v>5</v>
      </c>
      <c r="BL96" s="495">
        <f>BK96-BJ96-BL97</f>
        <v>0.19999999999999929</v>
      </c>
      <c r="BM96" s="495">
        <v>0</v>
      </c>
      <c r="BN96" s="495">
        <v>0</v>
      </c>
      <c r="BO96" s="495">
        <f>BN96-BM96-BO97</f>
        <v>0</v>
      </c>
      <c r="BP96" s="443"/>
      <c r="BQ96" s="443"/>
      <c r="BR96" s="443"/>
      <c r="BS96" s="443"/>
      <c r="BT96" s="466" t="s">
        <v>723</v>
      </c>
      <c r="BU96" s="447">
        <v>5476.3037555199999</v>
      </c>
      <c r="BV96" s="447">
        <v>-3.9825212099999998</v>
      </c>
      <c r="BW96" s="447">
        <v>2361.4851867799998</v>
      </c>
      <c r="BX96" s="447">
        <v>2459.43261209</v>
      </c>
      <c r="BY96" s="447">
        <v>3.0113436999999998</v>
      </c>
      <c r="BZ96" s="447">
        <v>3.0983414200000001</v>
      </c>
      <c r="CA96" s="447">
        <v>0.28716675000000003</v>
      </c>
      <c r="CB96" s="447">
        <v>1.7771937799999999</v>
      </c>
      <c r="CC96" s="447">
        <v>1.7721048800000001</v>
      </c>
      <c r="CD96" s="447">
        <v>-3.1844631300000001</v>
      </c>
      <c r="CE96" s="447">
        <v>-2.8078804700000002</v>
      </c>
      <c r="CF96" s="447">
        <v>0.84360208999999997</v>
      </c>
      <c r="CG96" s="447"/>
    </row>
    <row r="97" spans="1:85" s="449" customFormat="1" ht="22.5">
      <c r="A97" s="500">
        <v>62006005</v>
      </c>
      <c r="B97" s="491" t="s">
        <v>837</v>
      </c>
      <c r="C97" s="491" t="s">
        <v>705</v>
      </c>
      <c r="D97" s="473" t="s">
        <v>752</v>
      </c>
      <c r="E97" s="448" t="s">
        <v>806</v>
      </c>
      <c r="F97" s="481" t="str">
        <f t="shared" si="23"/>
        <v>06/02/20</v>
      </c>
      <c r="G97" s="466" t="s">
        <v>807</v>
      </c>
      <c r="H97" s="466" t="s">
        <v>708</v>
      </c>
      <c r="I97" s="474"/>
      <c r="J97" s="467">
        <v>38.831121000000003</v>
      </c>
      <c r="K97" s="467">
        <v>30.499955</v>
      </c>
      <c r="L97" s="467">
        <v>29.156302</v>
      </c>
      <c r="M97" s="467">
        <v>42.858701000000003</v>
      </c>
      <c r="N97" s="450">
        <v>4250</v>
      </c>
      <c r="O97" s="450">
        <v>38.71</v>
      </c>
      <c r="P97" s="450">
        <v>3.0499999999999999E-2</v>
      </c>
      <c r="Q97" s="450">
        <v>1.4999999999999999E-2</v>
      </c>
      <c r="R97" s="451">
        <v>6.2521028300000001</v>
      </c>
      <c r="S97" s="451">
        <f>R97+R96</f>
        <v>8.0293813499999995</v>
      </c>
      <c r="T97" s="492">
        <v>93.1</v>
      </c>
      <c r="U97" s="492">
        <v>91.3</v>
      </c>
      <c r="V97" s="455">
        <v>5499</v>
      </c>
      <c r="W97" s="455">
        <v>7003</v>
      </c>
      <c r="X97" s="455">
        <f>W97-V97</f>
        <v>1504</v>
      </c>
      <c r="Y97" s="455">
        <f t="shared" si="59"/>
        <v>240.55906322961101</v>
      </c>
      <c r="Z97" s="476">
        <v>5509</v>
      </c>
      <c r="AA97" s="455">
        <v>7014</v>
      </c>
      <c r="AB97" s="455">
        <f>AA97-Z97</f>
        <v>1505</v>
      </c>
      <c r="AC97" s="475">
        <f t="shared" si="60"/>
        <v>240.719009415269</v>
      </c>
      <c r="AD97" s="476">
        <v>97</v>
      </c>
      <c r="AE97" s="455">
        <v>114</v>
      </c>
      <c r="AF97" s="455">
        <f>AE97-AD97</f>
        <v>17</v>
      </c>
      <c r="AG97" s="475">
        <f t="shared" si="61"/>
        <v>2.7190851561857627</v>
      </c>
      <c r="AH97" s="476">
        <v>4043</v>
      </c>
      <c r="AI97" s="455">
        <v>5413</v>
      </c>
      <c r="AJ97" s="455">
        <f>AI97-AH97</f>
        <v>1370</v>
      </c>
      <c r="AK97" s="475">
        <f t="shared" si="62"/>
        <v>219.12627435144088</v>
      </c>
      <c r="AL97" s="476">
        <v>541.98703899999998</v>
      </c>
      <c r="AM97" s="455">
        <v>587.29999999999995</v>
      </c>
      <c r="AN97" s="455">
        <f>AM97-AL97</f>
        <v>45.312960999999973</v>
      </c>
      <c r="AO97" s="475">
        <f t="shared" si="63"/>
        <v>7.2476352728190765</v>
      </c>
      <c r="AP97" s="476">
        <v>467.26870400000001</v>
      </c>
      <c r="AQ97" s="455">
        <v>506.71834200000001</v>
      </c>
      <c r="AR97" s="455">
        <f>AQ97-AP97</f>
        <v>39.449637999999993</v>
      </c>
      <c r="AS97" s="475">
        <f t="shared" si="64"/>
        <v>6.3098191236883405</v>
      </c>
      <c r="AT97" s="476">
        <v>268.8</v>
      </c>
      <c r="AU97" s="455">
        <v>303.68342200000001</v>
      </c>
      <c r="AV97" s="455">
        <f>AU97-AT97</f>
        <v>34.883421999999996</v>
      </c>
      <c r="AW97" s="475">
        <f t="shared" si="65"/>
        <v>5.5794702915978744</v>
      </c>
      <c r="AX97" s="476">
        <v>683.1</v>
      </c>
      <c r="AY97" s="455">
        <v>731.9</v>
      </c>
      <c r="AZ97" s="455">
        <f>AY97-AX97</f>
        <v>48.799999999999955</v>
      </c>
      <c r="BA97" s="475">
        <f t="shared" si="66"/>
        <v>7.8053738601097118</v>
      </c>
      <c r="BB97" s="476">
        <v>-7.99</v>
      </c>
      <c r="BC97" s="455">
        <v>-8.2200000000000006</v>
      </c>
      <c r="BD97" s="455">
        <f>BC97-BB97</f>
        <v>-0.23000000000000043</v>
      </c>
      <c r="BE97" s="455">
        <v>-2.3585389999999999</v>
      </c>
      <c r="BF97" s="475">
        <f t="shared" si="67"/>
        <v>-3.6787622701336863E-2</v>
      </c>
      <c r="BG97" s="443">
        <v>93.1</v>
      </c>
      <c r="BH97" s="443">
        <v>91.3</v>
      </c>
      <c r="BI97" s="443">
        <f>BH97-BG97</f>
        <v>-1.7999999999999972</v>
      </c>
      <c r="BJ97" s="495">
        <v>4.5</v>
      </c>
      <c r="BK97" s="495">
        <v>4.9000000000000004</v>
      </c>
      <c r="BL97" s="495">
        <f>BK97-BJ97</f>
        <v>0.40000000000000036</v>
      </c>
      <c r="BM97" s="495">
        <v>0</v>
      </c>
      <c r="BN97" s="495">
        <v>0</v>
      </c>
      <c r="BO97" s="495">
        <f>BN97-BM97</f>
        <v>0</v>
      </c>
      <c r="BP97" s="443"/>
      <c r="BQ97" s="443"/>
      <c r="BR97" s="443"/>
      <c r="BS97" s="443"/>
      <c r="BT97" s="466" t="s">
        <v>723</v>
      </c>
      <c r="BU97" s="447">
        <v>11287.75852558</v>
      </c>
      <c r="BV97" s="447">
        <v>6.5971800000000002E-3</v>
      </c>
      <c r="BW97" s="447">
        <v>1138.8372858800001</v>
      </c>
      <c r="BX97" s="447">
        <v>1138.7621597100001</v>
      </c>
      <c r="BY97" s="447">
        <v>5.9070153699999999</v>
      </c>
      <c r="BZ97" s="447">
        <v>5.8926479799999996</v>
      </c>
      <c r="CA97" s="447">
        <v>0.27617529000000002</v>
      </c>
      <c r="CB97" s="447">
        <v>6.2520777599999997</v>
      </c>
      <c r="CC97" s="447">
        <v>6.2348586199999998</v>
      </c>
      <c r="CD97" s="447">
        <v>-3.2277720000000003E-2</v>
      </c>
      <c r="CE97" s="447">
        <v>0.24381887999999999</v>
      </c>
      <c r="CF97" s="447">
        <v>0.41969912999999998</v>
      </c>
      <c r="CG97" s="447"/>
    </row>
    <row r="98" spans="1:85" s="449" customFormat="1" ht="22.5">
      <c r="A98" s="500">
        <v>62006005</v>
      </c>
      <c r="B98" s="491" t="s">
        <v>835</v>
      </c>
      <c r="C98" s="491" t="s">
        <v>703</v>
      </c>
      <c r="D98" s="473" t="s">
        <v>752</v>
      </c>
      <c r="E98" s="448" t="s">
        <v>806</v>
      </c>
      <c r="F98" s="481" t="str">
        <f t="shared" si="23"/>
        <v>06/02/20</v>
      </c>
      <c r="G98" s="466" t="s">
        <v>807</v>
      </c>
      <c r="H98" s="466" t="s">
        <v>708</v>
      </c>
      <c r="I98" s="474"/>
      <c r="J98" s="468">
        <f>AVERAGE(J96:J97)</f>
        <v>37.054412499999998</v>
      </c>
      <c r="K98" s="468">
        <f>AVERAGE(K96:K97)</f>
        <v>34.706105000000001</v>
      </c>
      <c r="L98" s="468">
        <f>AVERAGE(L96:L97)</f>
        <v>29.144215000000003</v>
      </c>
      <c r="M98" s="468">
        <f>AVERAGE(M96:M97)</f>
        <v>42.922192500000001</v>
      </c>
      <c r="N98" s="452"/>
      <c r="O98" s="450"/>
      <c r="P98" s="470"/>
      <c r="Q98" s="469"/>
      <c r="R98" s="453">
        <f>R97+R96</f>
        <v>8.0293813499999995</v>
      </c>
      <c r="S98" s="453">
        <f>S97</f>
        <v>8.0293813499999995</v>
      </c>
      <c r="T98" s="493">
        <f>T96</f>
        <v>93.5</v>
      </c>
      <c r="U98" s="493">
        <f>U97</f>
        <v>91.3</v>
      </c>
      <c r="V98" s="456">
        <f>V96</f>
        <v>5179</v>
      </c>
      <c r="W98" s="456">
        <f>W97</f>
        <v>7003</v>
      </c>
      <c r="X98" s="456">
        <f>SUM(X96:X97)</f>
        <v>2058</v>
      </c>
      <c r="Y98" s="456">
        <f t="shared" si="59"/>
        <v>256.30866318237582</v>
      </c>
      <c r="Z98" s="456">
        <f>Z96</f>
        <v>5189</v>
      </c>
      <c r="AA98" s="456">
        <f>AA97</f>
        <v>7014</v>
      </c>
      <c r="AB98" s="456">
        <f>SUM(AB96:AB97)</f>
        <v>2060</v>
      </c>
      <c r="AC98" s="454">
        <f t="shared" si="60"/>
        <v>256.5577483749729</v>
      </c>
      <c r="AD98" s="456">
        <f>AD96</f>
        <v>82</v>
      </c>
      <c r="AE98" s="456">
        <f>AE97</f>
        <v>114</v>
      </c>
      <c r="AF98" s="456">
        <f>SUM(AF96:AF97)</f>
        <v>41</v>
      </c>
      <c r="AG98" s="454">
        <f t="shared" si="61"/>
        <v>5.1062464482397516</v>
      </c>
      <c r="AH98" s="456">
        <f>AH96</f>
        <v>3780</v>
      </c>
      <c r="AI98" s="456">
        <f>AI97</f>
        <v>5413</v>
      </c>
      <c r="AJ98" s="456">
        <f>SUM(AJ96:AJ97)</f>
        <v>1822</v>
      </c>
      <c r="AK98" s="454">
        <f t="shared" si="62"/>
        <v>226.91661045592264</v>
      </c>
      <c r="AL98" s="456">
        <f>AL96</f>
        <v>525.68632500000001</v>
      </c>
      <c r="AM98" s="456">
        <f>AM97</f>
        <v>587.29999999999995</v>
      </c>
      <c r="AN98" s="456">
        <f>SUM(AN96:AN97)</f>
        <v>75.513675000000035</v>
      </c>
      <c r="AO98" s="454">
        <f t="shared" si="63"/>
        <v>9.4046691405434419</v>
      </c>
      <c r="AP98" s="456">
        <f>AP96</f>
        <v>453.048633</v>
      </c>
      <c r="AQ98" s="456">
        <f>AQ97</f>
        <v>506.71834200000001</v>
      </c>
      <c r="AR98" s="456">
        <f>SUM(AR96:AR97)</f>
        <v>65.899703000000045</v>
      </c>
      <c r="AS98" s="454">
        <f t="shared" si="64"/>
        <v>8.2073201069220669</v>
      </c>
      <c r="AT98" s="456">
        <f>AT96</f>
        <v>256.89999999999998</v>
      </c>
      <c r="AU98" s="456">
        <f>AU97</f>
        <v>303.68342200000001</v>
      </c>
      <c r="AV98" s="456">
        <f>SUM(AV96:AV97)</f>
        <v>56.800000000000011</v>
      </c>
      <c r="AW98" s="454">
        <f t="shared" si="65"/>
        <v>7.0740194697565357</v>
      </c>
      <c r="AX98" s="456">
        <f>AX96</f>
        <v>666.2</v>
      </c>
      <c r="AY98" s="456">
        <f>AY97</f>
        <v>731.9</v>
      </c>
      <c r="AZ98" s="456">
        <f>SUM(AZ96:AZ97)</f>
        <v>80.699999999999932</v>
      </c>
      <c r="BA98" s="454">
        <f t="shared" si="66"/>
        <v>10.050587521291405</v>
      </c>
      <c r="BB98" s="456">
        <f>BB96</f>
        <v>-7.9</v>
      </c>
      <c r="BC98" s="456">
        <f>BC97</f>
        <v>-8.2200000000000006</v>
      </c>
      <c r="BD98" s="456">
        <f>SUM(BD96:BD97)</f>
        <v>-0.38999999999999879</v>
      </c>
      <c r="BE98" s="455">
        <f>AVERAGE(BE96:BE97)</f>
        <v>-2.3458490000000003</v>
      </c>
      <c r="BF98" s="454">
        <f t="shared" si="67"/>
        <v>-4.8571612556426759E-2</v>
      </c>
      <c r="BG98" s="445"/>
      <c r="BH98" s="445"/>
      <c r="BI98" s="445">
        <f>SUM(BI96:BI97)</f>
        <v>-2.5</v>
      </c>
      <c r="BJ98" s="496"/>
      <c r="BK98" s="496"/>
      <c r="BL98" s="496">
        <f>SUM(BL96:BL97)</f>
        <v>0.59999999999999964</v>
      </c>
      <c r="BM98" s="496"/>
      <c r="BN98" s="496"/>
      <c r="BO98" s="496">
        <f>SUM(BO96:BO97)</f>
        <v>0</v>
      </c>
      <c r="BP98" s="445"/>
      <c r="BQ98" s="445"/>
      <c r="BR98" s="445"/>
      <c r="BS98" s="445"/>
      <c r="BT98" s="466" t="s">
        <v>723</v>
      </c>
      <c r="BU98" s="447"/>
      <c r="BV98" s="447"/>
      <c r="BW98" s="447"/>
      <c r="BX98" s="447"/>
      <c r="BY98" s="447"/>
      <c r="BZ98" s="447"/>
      <c r="CA98" s="447"/>
      <c r="CB98" s="447"/>
      <c r="CC98" s="447"/>
      <c r="CD98" s="447"/>
      <c r="CE98" s="447"/>
      <c r="CF98" s="447"/>
      <c r="CG98" s="447"/>
    </row>
    <row r="99" spans="1:85" s="488" customFormat="1" ht="15.75">
      <c r="A99" s="480" t="s">
        <v>1242</v>
      </c>
      <c r="B99" s="483"/>
      <c r="C99" s="483"/>
      <c r="D99" s="484"/>
      <c r="E99" s="483"/>
      <c r="F99" s="483"/>
      <c r="G99" s="484"/>
      <c r="H99" s="484"/>
      <c r="I99" s="484"/>
      <c r="J99" s="484"/>
      <c r="K99" s="484"/>
      <c r="L99" s="484"/>
      <c r="M99" s="484"/>
      <c r="N99" s="484"/>
      <c r="O99" s="484"/>
      <c r="P99" s="485"/>
      <c r="Q99" s="486"/>
      <c r="R99" s="483"/>
      <c r="S99" s="483"/>
      <c r="T99" s="483"/>
      <c r="U99" s="483"/>
      <c r="V99" s="483"/>
      <c r="W99" s="483"/>
      <c r="X99" s="483"/>
      <c r="Y99" s="483"/>
      <c r="Z99" s="483"/>
      <c r="AA99" s="483"/>
      <c r="AB99" s="483"/>
      <c r="AC99" s="483"/>
      <c r="AD99" s="483"/>
      <c r="AE99" s="483"/>
      <c r="AF99" s="483"/>
      <c r="AG99" s="483"/>
      <c r="AH99" s="483"/>
      <c r="AI99" s="483"/>
      <c r="AJ99" s="483"/>
      <c r="AK99" s="483"/>
      <c r="AL99" s="483"/>
      <c r="AM99" s="483"/>
      <c r="AN99" s="483"/>
      <c r="AO99" s="483"/>
      <c r="AP99" s="483"/>
      <c r="AQ99" s="483"/>
      <c r="AR99" s="483"/>
      <c r="AS99" s="483"/>
      <c r="AT99" s="483"/>
      <c r="AU99" s="483"/>
      <c r="AV99" s="483"/>
      <c r="AW99" s="483"/>
      <c r="AX99" s="483"/>
      <c r="AY99" s="483"/>
      <c r="AZ99" s="483"/>
      <c r="BA99" s="483"/>
      <c r="BB99" s="483"/>
      <c r="BC99" s="483"/>
      <c r="BD99" s="483"/>
      <c r="BE99" s="483"/>
      <c r="BF99" s="483"/>
      <c r="BG99" s="483"/>
      <c r="BH99" s="483"/>
      <c r="BI99" s="483"/>
      <c r="BJ99" s="483"/>
      <c r="BK99" s="483"/>
      <c r="BL99" s="483"/>
      <c r="BM99" s="483"/>
      <c r="BN99" s="483"/>
      <c r="BO99" s="483"/>
      <c r="BP99" s="483"/>
      <c r="BQ99" s="483"/>
      <c r="BR99" s="483"/>
      <c r="BS99" s="483"/>
      <c r="BT99" s="483"/>
      <c r="BU99" s="483"/>
      <c r="BV99" s="483"/>
      <c r="BW99" s="483"/>
      <c r="BX99" s="483"/>
      <c r="BY99" s="483"/>
      <c r="BZ99" s="483"/>
      <c r="CA99" s="483"/>
      <c r="CB99" s="483"/>
      <c r="CC99" s="483"/>
      <c r="CD99" s="483"/>
      <c r="CE99" s="483"/>
      <c r="CF99" s="490"/>
      <c r="CG99" s="487"/>
    </row>
    <row r="100" spans="1:85" s="449" customFormat="1" ht="22.5">
      <c r="A100" s="500">
        <v>62006006</v>
      </c>
      <c r="B100" s="491" t="s">
        <v>832</v>
      </c>
      <c r="C100" s="491" t="s">
        <v>695</v>
      </c>
      <c r="D100" s="473" t="s">
        <v>752</v>
      </c>
      <c r="E100" s="448" t="s">
        <v>808</v>
      </c>
      <c r="F100" s="481" t="str">
        <f t="shared" ref="F100:F163" si="68">LEFT(E100,8)</f>
        <v>06/03/20</v>
      </c>
      <c r="G100" s="466" t="s">
        <v>809</v>
      </c>
      <c r="H100" s="466" t="s">
        <v>708</v>
      </c>
      <c r="I100" s="474"/>
      <c r="J100" s="467">
        <v>-6.0696240000000001</v>
      </c>
      <c r="K100" s="467">
        <v>14.762821000000001</v>
      </c>
      <c r="L100" s="467">
        <v>29.149432000000001</v>
      </c>
      <c r="M100" s="467">
        <v>9.6836660000000006</v>
      </c>
      <c r="N100" s="450">
        <v>4250</v>
      </c>
      <c r="O100" s="450">
        <v>38.71</v>
      </c>
      <c r="P100" s="450">
        <v>3.0499999999999999E-2</v>
      </c>
      <c r="Q100" s="450">
        <v>1.4999999999999999E-2</v>
      </c>
      <c r="R100" s="451">
        <v>3.5965361900000001</v>
      </c>
      <c r="S100" s="451">
        <f>R100+R98</f>
        <v>11.62591754</v>
      </c>
      <c r="T100" s="492">
        <v>99.8</v>
      </c>
      <c r="U100" s="492">
        <v>98.3</v>
      </c>
      <c r="V100" s="455">
        <v>28</v>
      </c>
      <c r="W100" s="455">
        <v>1344</v>
      </c>
      <c r="X100" s="455">
        <f>W100-V100</f>
        <v>1316</v>
      </c>
      <c r="Y100" s="455">
        <f t="shared" si="59"/>
        <v>365.9076206876706</v>
      </c>
      <c r="Z100" s="476">
        <v>31</v>
      </c>
      <c r="AA100" s="455">
        <v>1353</v>
      </c>
      <c r="AB100" s="455">
        <f>AA100-Z100</f>
        <v>1322</v>
      </c>
      <c r="AC100" s="475">
        <f t="shared" si="60"/>
        <v>367.57589251451407</v>
      </c>
      <c r="AD100" s="476">
        <v>0</v>
      </c>
      <c r="AE100" s="455">
        <v>23</v>
      </c>
      <c r="AF100" s="455">
        <f>AE100-AD100</f>
        <v>23</v>
      </c>
      <c r="AG100" s="475">
        <f t="shared" si="61"/>
        <v>6.3950420029000181</v>
      </c>
      <c r="AH100" s="476">
        <v>1</v>
      </c>
      <c r="AI100" s="455">
        <v>840</v>
      </c>
      <c r="AJ100" s="455">
        <f>AI100-AH100</f>
        <v>839</v>
      </c>
      <c r="AK100" s="475">
        <f t="shared" si="62"/>
        <v>233.2800104536137</v>
      </c>
      <c r="AL100" s="476">
        <v>27.5</v>
      </c>
      <c r="AM100" s="455">
        <v>90.6</v>
      </c>
      <c r="AN100" s="455">
        <f>AM100-AL100</f>
        <v>63.099999999999994</v>
      </c>
      <c r="AO100" s="475">
        <f t="shared" si="63"/>
        <v>17.54465871230396</v>
      </c>
      <c r="AP100" s="476">
        <v>20.896808</v>
      </c>
      <c r="AQ100" s="455">
        <v>72.516563000000005</v>
      </c>
      <c r="AR100" s="455">
        <f>AQ100-AP100</f>
        <v>51.619755000000005</v>
      </c>
      <c r="AS100" s="475">
        <f t="shared" si="64"/>
        <v>14.352630495843837</v>
      </c>
      <c r="AT100" s="476">
        <v>0.1</v>
      </c>
      <c r="AU100" s="455">
        <v>391.46563300000003</v>
      </c>
      <c r="AV100" s="455">
        <f>AU100-AT100</f>
        <v>391.365633</v>
      </c>
      <c r="AW100" s="475">
        <f t="shared" si="65"/>
        <v>108.81737658811102</v>
      </c>
      <c r="AX100" s="476">
        <v>0.4</v>
      </c>
      <c r="AY100" s="455">
        <v>1.1000000000000001</v>
      </c>
      <c r="AZ100" s="455">
        <f>AY100-AX100</f>
        <v>0.70000000000000007</v>
      </c>
      <c r="BA100" s="475">
        <f t="shared" si="66"/>
        <v>0.19463171313173969</v>
      </c>
      <c r="BB100" s="476">
        <v>-2.16</v>
      </c>
      <c r="BC100" s="455">
        <v>-3.56</v>
      </c>
      <c r="BD100" s="455">
        <f>BC100-BB100</f>
        <v>-1.4</v>
      </c>
      <c r="BE100" s="455">
        <v>-9.9574470000000002</v>
      </c>
      <c r="BF100" s="475">
        <f t="shared" si="67"/>
        <v>-0.38926342626347932</v>
      </c>
      <c r="BG100" s="443">
        <v>99.8</v>
      </c>
      <c r="BH100" s="443">
        <v>98.3</v>
      </c>
      <c r="BI100" s="443">
        <f>BH100-BG100</f>
        <v>-1.5</v>
      </c>
      <c r="BJ100" s="495">
        <v>5.5</v>
      </c>
      <c r="BK100" s="495">
        <v>6</v>
      </c>
      <c r="BL100" s="495">
        <f>BK100-BJ100</f>
        <v>0.5</v>
      </c>
      <c r="BM100" s="495">
        <v>0</v>
      </c>
      <c r="BN100" s="495">
        <v>0</v>
      </c>
      <c r="BO100" s="495">
        <f>BN100-BM100</f>
        <v>0</v>
      </c>
      <c r="BP100" s="443"/>
      <c r="BQ100" s="443"/>
      <c r="BR100" s="443"/>
      <c r="BS100" s="443"/>
      <c r="BT100" s="466" t="s">
        <v>723</v>
      </c>
      <c r="BU100" s="447">
        <v>2372.5291454100002</v>
      </c>
      <c r="BV100" s="447">
        <v>-1.433117</v>
      </c>
      <c r="BW100" s="447">
        <v>2019.4899458899999</v>
      </c>
      <c r="BX100" s="447">
        <v>2048.8523979299998</v>
      </c>
      <c r="BY100" s="447">
        <v>3.0147044900000002</v>
      </c>
      <c r="BZ100" s="447">
        <v>3.0320350500000002</v>
      </c>
      <c r="CA100" s="447">
        <v>0.15446605999999999</v>
      </c>
      <c r="CB100" s="447">
        <v>3.5965273400000002</v>
      </c>
      <c r="CC100" s="447">
        <v>3.5909804900000002</v>
      </c>
      <c r="CD100" s="447">
        <v>-0.73022191000000003</v>
      </c>
      <c r="CE100" s="447">
        <v>-0.57158202999999996</v>
      </c>
      <c r="CF100" s="447">
        <v>0.63450556999999996</v>
      </c>
      <c r="CG100" s="447"/>
    </row>
    <row r="101" spans="1:85" s="449" customFormat="1" ht="22.5">
      <c r="A101" s="500">
        <v>62006006</v>
      </c>
      <c r="B101" s="491" t="s">
        <v>831</v>
      </c>
      <c r="C101" s="491" t="s">
        <v>696</v>
      </c>
      <c r="D101" s="473" t="s">
        <v>752</v>
      </c>
      <c r="E101" s="448" t="s">
        <v>808</v>
      </c>
      <c r="F101" s="481" t="str">
        <f t="shared" si="68"/>
        <v>06/03/20</v>
      </c>
      <c r="G101" s="466" t="s">
        <v>809</v>
      </c>
      <c r="H101" s="466" t="s">
        <v>708</v>
      </c>
      <c r="I101" s="474"/>
      <c r="J101" s="467">
        <v>-7.2647690000000003</v>
      </c>
      <c r="K101" s="467">
        <v>14.996848</v>
      </c>
      <c r="L101" s="467">
        <v>29.148817999999999</v>
      </c>
      <c r="M101" s="467">
        <v>12.961677999999999</v>
      </c>
      <c r="N101" s="450">
        <v>4250</v>
      </c>
      <c r="O101" s="450">
        <v>38.71</v>
      </c>
      <c r="P101" s="450">
        <v>3.0499999999999999E-2</v>
      </c>
      <c r="Q101" s="450">
        <v>1.4999999999999999E-2</v>
      </c>
      <c r="R101" s="451">
        <v>3.8625505599999999</v>
      </c>
      <c r="S101" s="451">
        <f>R101+R100</f>
        <v>7.45908675</v>
      </c>
      <c r="T101" s="492">
        <v>98.3</v>
      </c>
      <c r="U101" s="492">
        <v>96.9</v>
      </c>
      <c r="V101" s="455">
        <v>1344</v>
      </c>
      <c r="W101" s="455">
        <v>2508</v>
      </c>
      <c r="X101" s="455">
        <f>W101-V101</f>
        <v>1164</v>
      </c>
      <c r="Y101" s="455">
        <f t="shared" si="59"/>
        <v>301.35527857012698</v>
      </c>
      <c r="Z101" s="476">
        <v>1353</v>
      </c>
      <c r="AA101" s="455">
        <v>2528</v>
      </c>
      <c r="AB101" s="455">
        <f>AA101-Z101</f>
        <v>1175</v>
      </c>
      <c r="AC101" s="475">
        <f t="shared" si="60"/>
        <v>304.20313773187218</v>
      </c>
      <c r="AD101" s="476">
        <v>23</v>
      </c>
      <c r="AE101" s="455">
        <v>42</v>
      </c>
      <c r="AF101" s="455">
        <f>AE101-AD101</f>
        <v>19</v>
      </c>
      <c r="AG101" s="475">
        <f t="shared" si="61"/>
        <v>4.9190294611962315</v>
      </c>
      <c r="AH101" s="476">
        <v>840</v>
      </c>
      <c r="AI101" s="455">
        <v>1509</v>
      </c>
      <c r="AJ101" s="455">
        <f>AI101-AH101</f>
        <v>669</v>
      </c>
      <c r="AK101" s="475">
        <f t="shared" si="62"/>
        <v>173.20161629159361</v>
      </c>
      <c r="AL101" s="476">
        <v>90.6</v>
      </c>
      <c r="AM101" s="455">
        <v>191.9</v>
      </c>
      <c r="AN101" s="455">
        <f>AM101-AL101</f>
        <v>101.30000000000001</v>
      </c>
      <c r="AO101" s="475">
        <f t="shared" si="63"/>
        <v>26.226193916798856</v>
      </c>
      <c r="AP101" s="476">
        <v>72.536500000000004</v>
      </c>
      <c r="AQ101" s="455">
        <v>154.82611499999999</v>
      </c>
      <c r="AR101" s="455">
        <f>AQ101-AP101</f>
        <v>82.289614999999984</v>
      </c>
      <c r="AS101" s="475">
        <f t="shared" si="64"/>
        <v>21.304475817657643</v>
      </c>
      <c r="AT101" s="476">
        <v>391.565</v>
      </c>
      <c r="AU101" s="455">
        <v>764.5</v>
      </c>
      <c r="AV101" s="455">
        <f>AU101-AT101</f>
        <v>372.935</v>
      </c>
      <c r="AW101" s="475">
        <f t="shared" si="65"/>
        <v>96.551486953221925</v>
      </c>
      <c r="AX101" s="476">
        <v>1.1000000000000001</v>
      </c>
      <c r="AY101" s="455">
        <v>2.2999999999999998</v>
      </c>
      <c r="AZ101" s="455">
        <f>AY101-AX101</f>
        <v>1.1999999999999997</v>
      </c>
      <c r="BA101" s="475">
        <f t="shared" si="66"/>
        <v>0.31067554491765664</v>
      </c>
      <c r="BB101" s="476">
        <v>-3.56</v>
      </c>
      <c r="BC101" s="455">
        <v>-4.91</v>
      </c>
      <c r="BD101" s="455">
        <f>BC101-BB101</f>
        <v>-1.35</v>
      </c>
      <c r="BE101" s="455">
        <v>-5.656371</v>
      </c>
      <c r="BF101" s="475">
        <f t="shared" si="67"/>
        <v>-0.34950998803236383</v>
      </c>
      <c r="BG101" s="443">
        <v>98.3</v>
      </c>
      <c r="BH101" s="443">
        <v>96.9</v>
      </c>
      <c r="BI101" s="443">
        <f>BH101-BG101</f>
        <v>-1.3999999999999915</v>
      </c>
      <c r="BJ101" s="495">
        <v>6</v>
      </c>
      <c r="BK101" s="495">
        <v>6.9</v>
      </c>
      <c r="BL101" s="495">
        <f>BK101-BJ101</f>
        <v>0.90000000000000036</v>
      </c>
      <c r="BM101" s="495">
        <v>0</v>
      </c>
      <c r="BN101" s="495">
        <v>0</v>
      </c>
      <c r="BO101" s="495">
        <f>BN101-BM101</f>
        <v>0</v>
      </c>
      <c r="BP101" s="443"/>
      <c r="BQ101" s="443"/>
      <c r="BR101" s="443"/>
      <c r="BS101" s="443"/>
      <c r="BT101" s="466" t="s">
        <v>723</v>
      </c>
      <c r="BU101" s="447">
        <v>1476.3106469100001</v>
      </c>
      <c r="BV101" s="447">
        <v>-1.2935590400000001</v>
      </c>
      <c r="BW101" s="447">
        <v>3372.0821506399998</v>
      </c>
      <c r="BX101" s="447">
        <v>3416.2736676099998</v>
      </c>
      <c r="BY101" s="447">
        <v>2.9783992700000002</v>
      </c>
      <c r="BZ101" s="447">
        <v>2.9954043399999999</v>
      </c>
      <c r="CA101" s="447">
        <v>6.8211540000000001E-2</v>
      </c>
      <c r="CB101" s="447">
        <v>3.8624632000000001</v>
      </c>
      <c r="CC101" s="447">
        <v>3.8598303600000001</v>
      </c>
      <c r="CD101" s="447">
        <v>-0.63954772000000004</v>
      </c>
      <c r="CE101" s="447">
        <v>-0.56770544000000001</v>
      </c>
      <c r="CF101" s="447">
        <v>0.72008561000000004</v>
      </c>
      <c r="CG101" s="447"/>
    </row>
    <row r="102" spans="1:85" s="449" customFormat="1" ht="22.5">
      <c r="A102" s="500">
        <v>62006006</v>
      </c>
      <c r="B102" s="491" t="s">
        <v>830</v>
      </c>
      <c r="C102" s="491" t="s">
        <v>698</v>
      </c>
      <c r="D102" s="473" t="s">
        <v>752</v>
      </c>
      <c r="E102" s="448" t="s">
        <v>808</v>
      </c>
      <c r="F102" s="481" t="str">
        <f t="shared" si="68"/>
        <v>06/03/20</v>
      </c>
      <c r="G102" s="466" t="s">
        <v>809</v>
      </c>
      <c r="H102" s="466" t="s">
        <v>708</v>
      </c>
      <c r="I102" s="474"/>
      <c r="J102" s="468">
        <f>AVERAGE(J100:J101)</f>
        <v>-6.6671965000000002</v>
      </c>
      <c r="K102" s="468">
        <f>AVERAGE(K100:K101)</f>
        <v>14.879834500000001</v>
      </c>
      <c r="L102" s="468">
        <f>AVERAGE(L100:L101)</f>
        <v>29.149124999999998</v>
      </c>
      <c r="M102" s="468">
        <f>AVERAGE(M100:M101)</f>
        <v>11.322672000000001</v>
      </c>
      <c r="N102" s="452"/>
      <c r="O102" s="450"/>
      <c r="P102" s="470"/>
      <c r="Q102" s="469"/>
      <c r="R102" s="453">
        <f>R101+R100</f>
        <v>7.45908675</v>
      </c>
      <c r="S102" s="453">
        <f>S101</f>
        <v>7.45908675</v>
      </c>
      <c r="T102" s="493">
        <f>T100</f>
        <v>99.8</v>
      </c>
      <c r="U102" s="493">
        <f>U101</f>
        <v>96.9</v>
      </c>
      <c r="V102" s="456">
        <f>V100</f>
        <v>28</v>
      </c>
      <c r="W102" s="456">
        <f>W101</f>
        <v>2508</v>
      </c>
      <c r="X102" s="456">
        <f>SUM(X100:X101)</f>
        <v>2480</v>
      </c>
      <c r="Y102" s="456">
        <f t="shared" si="59"/>
        <v>332.48038038973067</v>
      </c>
      <c r="Z102" s="456">
        <f>Z100</f>
        <v>31</v>
      </c>
      <c r="AA102" s="456">
        <f>AA101</f>
        <v>2528</v>
      </c>
      <c r="AB102" s="456">
        <f>SUM(AB100:AB101)</f>
        <v>2497</v>
      </c>
      <c r="AC102" s="454">
        <f t="shared" si="60"/>
        <v>334.75947977143448</v>
      </c>
      <c r="AD102" s="456">
        <f>AD100</f>
        <v>0</v>
      </c>
      <c r="AE102" s="456">
        <f>AE101</f>
        <v>42</v>
      </c>
      <c r="AF102" s="456">
        <f>SUM(AF100:AF101)</f>
        <v>42</v>
      </c>
      <c r="AG102" s="454">
        <f t="shared" si="61"/>
        <v>5.6307161195035036</v>
      </c>
      <c r="AH102" s="456">
        <f>AH100</f>
        <v>1</v>
      </c>
      <c r="AI102" s="456">
        <f>AI101</f>
        <v>1509</v>
      </c>
      <c r="AJ102" s="456">
        <f>SUM(AJ100:AJ101)</f>
        <v>1508</v>
      </c>
      <c r="AK102" s="454">
        <f t="shared" si="62"/>
        <v>202.16952162407819</v>
      </c>
      <c r="AL102" s="456">
        <f>AL100</f>
        <v>27.5</v>
      </c>
      <c r="AM102" s="456">
        <f>AM101</f>
        <v>191.9</v>
      </c>
      <c r="AN102" s="456">
        <f>SUM(AN100:AN101)</f>
        <v>164.4</v>
      </c>
      <c r="AO102" s="454">
        <f t="shared" si="63"/>
        <v>22.040231667770858</v>
      </c>
      <c r="AP102" s="456">
        <f>AP100</f>
        <v>20.896808</v>
      </c>
      <c r="AQ102" s="456">
        <f>AQ101</f>
        <v>154.82611499999999</v>
      </c>
      <c r="AR102" s="456">
        <f>SUM(AR100:AR101)</f>
        <v>133.90937</v>
      </c>
      <c r="AS102" s="454">
        <f t="shared" si="64"/>
        <v>17.952515433608543</v>
      </c>
      <c r="AT102" s="456">
        <f>AT100</f>
        <v>0.1</v>
      </c>
      <c r="AU102" s="456">
        <f>AU101</f>
        <v>764.5</v>
      </c>
      <c r="AV102" s="456">
        <f>SUM(AV100:AV101)</f>
        <v>764.30063300000006</v>
      </c>
      <c r="AW102" s="454">
        <f t="shared" si="65"/>
        <v>102.46571177094837</v>
      </c>
      <c r="AX102" s="456">
        <f>AX100</f>
        <v>0.4</v>
      </c>
      <c r="AY102" s="456">
        <f>AY101</f>
        <v>2.2999999999999998</v>
      </c>
      <c r="AZ102" s="456">
        <f>SUM(AZ100:AZ101)</f>
        <v>1.9</v>
      </c>
      <c r="BA102" s="454">
        <f t="shared" si="66"/>
        <v>0.25472287207277755</v>
      </c>
      <c r="BB102" s="456">
        <f>BB100</f>
        <v>-2.16</v>
      </c>
      <c r="BC102" s="456">
        <f>BC101</f>
        <v>-4.91</v>
      </c>
      <c r="BD102" s="456">
        <f>SUM(BD100:BD101)</f>
        <v>-2.75</v>
      </c>
      <c r="BE102" s="455">
        <f>AVERAGE(BE100:BE101)</f>
        <v>-7.8069090000000001</v>
      </c>
      <c r="BF102" s="454">
        <f t="shared" si="67"/>
        <v>-0.36867784115796748</v>
      </c>
      <c r="BG102" s="445"/>
      <c r="BH102" s="445"/>
      <c r="BI102" s="445">
        <f>SUM(BI100:BI101)</f>
        <v>-2.8999999999999915</v>
      </c>
      <c r="BJ102" s="496"/>
      <c r="BK102" s="496"/>
      <c r="BL102" s="496">
        <f>SUM(BL100:BL101)</f>
        <v>1.4000000000000004</v>
      </c>
      <c r="BM102" s="496"/>
      <c r="BN102" s="496"/>
      <c r="BO102" s="496">
        <f>SUM(BO100:BO101)</f>
        <v>0</v>
      </c>
      <c r="BP102" s="445"/>
      <c r="BQ102" s="445"/>
      <c r="BR102" s="445"/>
      <c r="BS102" s="445"/>
      <c r="BT102" s="466" t="s">
        <v>723</v>
      </c>
      <c r="BU102" s="447"/>
      <c r="BV102" s="447"/>
      <c r="BW102" s="447"/>
      <c r="BX102" s="447"/>
      <c r="BY102" s="447"/>
      <c r="BZ102" s="447"/>
      <c r="CA102" s="447"/>
      <c r="CB102" s="447"/>
      <c r="CC102" s="447"/>
      <c r="CD102" s="447"/>
      <c r="CE102" s="447"/>
      <c r="CF102" s="447"/>
      <c r="CG102" s="447"/>
    </row>
    <row r="103" spans="1:85" s="449" customFormat="1" ht="22.5">
      <c r="A103" s="500">
        <v>62006006</v>
      </c>
      <c r="B103" s="491" t="s">
        <v>829</v>
      </c>
      <c r="C103" s="491" t="s">
        <v>697</v>
      </c>
      <c r="D103" s="473" t="s">
        <v>752</v>
      </c>
      <c r="E103" s="448" t="s">
        <v>808</v>
      </c>
      <c r="F103" s="481" t="str">
        <f t="shared" si="68"/>
        <v>06/03/20</v>
      </c>
      <c r="G103" s="466" t="s">
        <v>809</v>
      </c>
      <c r="H103" s="466" t="s">
        <v>708</v>
      </c>
      <c r="I103" s="474"/>
      <c r="J103" s="467">
        <v>-4.3586600000000004</v>
      </c>
      <c r="K103" s="467">
        <v>11.999354</v>
      </c>
      <c r="L103" s="467">
        <v>29.147113999999998</v>
      </c>
      <c r="M103" s="467">
        <v>12.796614</v>
      </c>
      <c r="N103" s="450">
        <v>4250</v>
      </c>
      <c r="O103" s="450">
        <v>38.71</v>
      </c>
      <c r="P103" s="450">
        <v>3.0499999999999999E-2</v>
      </c>
      <c r="Q103" s="450">
        <v>1.4999999999999999E-2</v>
      </c>
      <c r="R103" s="451">
        <v>10.284562859999999</v>
      </c>
      <c r="S103" s="451">
        <f>R103+R102</f>
        <v>17.743649609999999</v>
      </c>
      <c r="T103" s="492">
        <v>96.9</v>
      </c>
      <c r="U103" s="492">
        <v>94</v>
      </c>
      <c r="V103" s="455">
        <v>2515.5667279999998</v>
      </c>
      <c r="W103" s="455">
        <v>5075</v>
      </c>
      <c r="X103" s="455">
        <f>W103-V103</f>
        <v>2559.4332720000002</v>
      </c>
      <c r="Y103" s="455">
        <f t="shared" si="59"/>
        <v>248.8616489432396</v>
      </c>
      <c r="Z103" s="476">
        <v>2536</v>
      </c>
      <c r="AA103" s="455">
        <v>5107</v>
      </c>
      <c r="AB103" s="455">
        <f>AA103-Z103</f>
        <v>2571</v>
      </c>
      <c r="AC103" s="475">
        <f t="shared" si="60"/>
        <v>249.9863178433624</v>
      </c>
      <c r="AD103" s="476">
        <v>42</v>
      </c>
      <c r="AE103" s="455">
        <v>44</v>
      </c>
      <c r="AF103" s="455">
        <f>AE103-AD103</f>
        <v>2</v>
      </c>
      <c r="AG103" s="475">
        <f t="shared" si="61"/>
        <v>0.19446621380269341</v>
      </c>
      <c r="AH103" s="476">
        <v>1509</v>
      </c>
      <c r="AI103" s="455">
        <v>3687</v>
      </c>
      <c r="AJ103" s="455">
        <f>AI103-AH103</f>
        <v>2178</v>
      </c>
      <c r="AK103" s="475">
        <f t="shared" si="62"/>
        <v>211.77370683113313</v>
      </c>
      <c r="AL103" s="476">
        <v>193.8</v>
      </c>
      <c r="AM103" s="455">
        <v>284.10000000000002</v>
      </c>
      <c r="AN103" s="455">
        <f>AM103-AL103</f>
        <v>90.300000000000011</v>
      </c>
      <c r="AO103" s="475">
        <f t="shared" si="63"/>
        <v>8.7801495531916096</v>
      </c>
      <c r="AP103" s="476">
        <v>156.346114</v>
      </c>
      <c r="AQ103" s="455">
        <v>230.80129299999999</v>
      </c>
      <c r="AR103" s="455">
        <f>AQ103-AP103</f>
        <v>74.455178999999987</v>
      </c>
      <c r="AS103" s="475">
        <f t="shared" si="64"/>
        <v>7.2395083790659029</v>
      </c>
      <c r="AT103" s="476">
        <v>770.4</v>
      </c>
      <c r="AU103" s="455">
        <v>1058.3</v>
      </c>
      <c r="AV103" s="455">
        <f>AU103-AT103</f>
        <v>287.89999999999998</v>
      </c>
      <c r="AW103" s="475">
        <f t="shared" si="65"/>
        <v>27.993411476897716</v>
      </c>
      <c r="AX103" s="476">
        <v>2.2999999999999998</v>
      </c>
      <c r="AY103" s="455">
        <v>3.4</v>
      </c>
      <c r="AZ103" s="455">
        <f>AY103-AX103</f>
        <v>1.1000000000000001</v>
      </c>
      <c r="BA103" s="475">
        <f t="shared" si="66"/>
        <v>0.10695641759148139</v>
      </c>
      <c r="BB103" s="476">
        <v>-4.93</v>
      </c>
      <c r="BC103" s="455">
        <v>-5.61</v>
      </c>
      <c r="BD103" s="455">
        <f>BC103-BB103</f>
        <v>-0.6800000000000006</v>
      </c>
      <c r="BE103" s="455">
        <v>-3.235563</v>
      </c>
      <c r="BF103" s="475">
        <f t="shared" si="67"/>
        <v>-6.6118512692915826E-2</v>
      </c>
      <c r="BG103" s="443">
        <v>96.9</v>
      </c>
      <c r="BH103" s="443">
        <v>94</v>
      </c>
      <c r="BI103" s="443">
        <f>BH103-BG103</f>
        <v>-2.9000000000000057</v>
      </c>
      <c r="BJ103" s="495">
        <v>6.9</v>
      </c>
      <c r="BK103" s="495">
        <v>7.6</v>
      </c>
      <c r="BL103" s="495">
        <f>BK103-BJ103</f>
        <v>0.69999999999999929</v>
      </c>
      <c r="BM103" s="495">
        <v>0</v>
      </c>
      <c r="BN103" s="495">
        <v>0</v>
      </c>
      <c r="BO103" s="495">
        <f>BN103-BM103</f>
        <v>0</v>
      </c>
      <c r="BP103" s="443"/>
      <c r="BQ103" s="443"/>
      <c r="BR103" s="443"/>
      <c r="BS103" s="443"/>
      <c r="BT103" s="466" t="s">
        <v>723</v>
      </c>
      <c r="BU103" s="447">
        <v>1875.6765980499999</v>
      </c>
      <c r="BV103" s="447">
        <v>-0.40601368999999998</v>
      </c>
      <c r="BW103" s="447">
        <v>1301.4742136</v>
      </c>
      <c r="BX103" s="447">
        <v>1306.77991896</v>
      </c>
      <c r="BY103" s="447">
        <v>6.8098372100000004</v>
      </c>
      <c r="BZ103" s="447">
        <v>6.7904527400000001</v>
      </c>
      <c r="CA103" s="447">
        <v>0.27202504</v>
      </c>
      <c r="CB103" s="447">
        <v>10.28458101</v>
      </c>
      <c r="CC103" s="447">
        <v>10.25668027</v>
      </c>
      <c r="CD103" s="447">
        <v>1.340322E-2</v>
      </c>
      <c r="CE103" s="447">
        <v>0.28546653</v>
      </c>
      <c r="CF103" s="447">
        <v>0.33398605999999997</v>
      </c>
      <c r="CG103" s="447"/>
    </row>
    <row r="104" spans="1:85" s="449" customFormat="1" ht="22.5">
      <c r="A104" s="500">
        <v>62006006</v>
      </c>
      <c r="B104" s="491" t="s">
        <v>828</v>
      </c>
      <c r="C104" s="491" t="s">
        <v>699</v>
      </c>
      <c r="D104" s="473" t="s">
        <v>752</v>
      </c>
      <c r="E104" s="448" t="s">
        <v>808</v>
      </c>
      <c r="F104" s="481" t="str">
        <f t="shared" si="68"/>
        <v>06/03/20</v>
      </c>
      <c r="G104" s="466" t="s">
        <v>809</v>
      </c>
      <c r="H104" s="466" t="s">
        <v>708</v>
      </c>
      <c r="I104" s="474"/>
      <c r="J104" s="467">
        <v>-7.0795539999999999</v>
      </c>
      <c r="K104" s="467">
        <v>13.975158</v>
      </c>
      <c r="L104" s="467">
        <v>29.133617999999998</v>
      </c>
      <c r="M104" s="467">
        <v>11.885832000000001</v>
      </c>
      <c r="N104" s="450">
        <v>4250</v>
      </c>
      <c r="O104" s="450">
        <v>38.71</v>
      </c>
      <c r="P104" s="450">
        <v>3.0499999999999999E-2</v>
      </c>
      <c r="Q104" s="450">
        <v>1.4999999999999999E-2</v>
      </c>
      <c r="R104" s="451">
        <v>3.5974940700000002</v>
      </c>
      <c r="S104" s="451">
        <f>R104+R103</f>
        <v>13.882056929999999</v>
      </c>
      <c r="T104" s="492">
        <v>93.9</v>
      </c>
      <c r="U104" s="492">
        <v>92.7</v>
      </c>
      <c r="V104" s="455">
        <v>5119</v>
      </c>
      <c r="W104" s="455">
        <v>6199</v>
      </c>
      <c r="X104" s="455">
        <f>W104-V104</f>
        <v>1080</v>
      </c>
      <c r="Y104" s="455">
        <f t="shared" si="59"/>
        <v>300.20897296433901</v>
      </c>
      <c r="Z104" s="476">
        <v>5159</v>
      </c>
      <c r="AA104" s="455">
        <v>6246</v>
      </c>
      <c r="AB104" s="455">
        <f>AA104-Z104</f>
        <v>1087</v>
      </c>
      <c r="AC104" s="475">
        <f t="shared" si="60"/>
        <v>302.15477186318196</v>
      </c>
      <c r="AD104" s="476">
        <v>43</v>
      </c>
      <c r="AE104" s="455">
        <v>49</v>
      </c>
      <c r="AF104" s="455">
        <f>AE104-AD104</f>
        <v>6</v>
      </c>
      <c r="AG104" s="475">
        <f t="shared" si="61"/>
        <v>1.6678276275796613</v>
      </c>
      <c r="AH104" s="476">
        <v>3689</v>
      </c>
      <c r="AI104" s="455">
        <v>4426</v>
      </c>
      <c r="AJ104" s="455">
        <f>AI104-AH104</f>
        <v>737</v>
      </c>
      <c r="AK104" s="475">
        <f t="shared" si="62"/>
        <v>204.86482692103505</v>
      </c>
      <c r="AL104" s="476">
        <v>325.39999999999998</v>
      </c>
      <c r="AM104" s="455">
        <v>383.4</v>
      </c>
      <c r="AN104" s="455">
        <f>AM104-AL104</f>
        <v>58</v>
      </c>
      <c r="AO104" s="475">
        <f t="shared" si="63"/>
        <v>16.122333733270057</v>
      </c>
      <c r="AP104" s="476">
        <v>261.31532299999998</v>
      </c>
      <c r="AQ104" s="455">
        <v>308.87507199999999</v>
      </c>
      <c r="AR104" s="455">
        <f>AQ104-AP104</f>
        <v>47.559749000000011</v>
      </c>
      <c r="AS104" s="475">
        <f t="shared" si="64"/>
        <v>13.220243890492364</v>
      </c>
      <c r="AT104" s="476">
        <v>1060.7</v>
      </c>
      <c r="AU104" s="455">
        <v>1339.4507249999999</v>
      </c>
      <c r="AV104" s="455">
        <f>AU104-AT104</f>
        <v>278.75072499999987</v>
      </c>
      <c r="AW104" s="475">
        <f t="shared" si="65"/>
        <v>77.484693393810062</v>
      </c>
      <c r="AX104" s="476">
        <v>4.3</v>
      </c>
      <c r="AY104" s="455">
        <v>5.0999999999999996</v>
      </c>
      <c r="AZ104" s="455">
        <f>AY104-AX104</f>
        <v>0.79999999999999982</v>
      </c>
      <c r="BA104" s="475">
        <f t="shared" si="66"/>
        <v>0.22237701701062146</v>
      </c>
      <c r="BB104" s="476">
        <v>-6.04</v>
      </c>
      <c r="BC104" s="455">
        <v>-6.37</v>
      </c>
      <c r="BD104" s="455">
        <f>BC104-BB104</f>
        <v>-0.33000000000000007</v>
      </c>
      <c r="BE104" s="455">
        <v>-2.337545</v>
      </c>
      <c r="BF104" s="475">
        <f t="shared" si="67"/>
        <v>-9.1730519516881381E-2</v>
      </c>
      <c r="BG104" s="443">
        <v>93.9</v>
      </c>
      <c r="BH104" s="443">
        <v>92.7</v>
      </c>
      <c r="BI104" s="443">
        <f>BH104-BG104</f>
        <v>-1.2000000000000028</v>
      </c>
      <c r="BJ104" s="495">
        <v>8.1999999999999993</v>
      </c>
      <c r="BK104" s="495">
        <v>8.6999999999999993</v>
      </c>
      <c r="BL104" s="495">
        <f>BK104-BJ104</f>
        <v>0.5</v>
      </c>
      <c r="BM104" s="495">
        <v>0</v>
      </c>
      <c r="BN104" s="495">
        <v>0</v>
      </c>
      <c r="BO104" s="495">
        <f>BN104-BM104</f>
        <v>0</v>
      </c>
      <c r="BP104" s="443"/>
      <c r="BQ104" s="443"/>
      <c r="BR104" s="443"/>
      <c r="BS104" s="443"/>
      <c r="BT104" s="466" t="s">
        <v>723</v>
      </c>
      <c r="BU104" s="447">
        <v>2367.6276042200002</v>
      </c>
      <c r="BV104" s="447">
        <v>-1.09552016</v>
      </c>
      <c r="BW104" s="447">
        <v>2026.37147676</v>
      </c>
      <c r="BX104" s="447">
        <v>2048.8166764500002</v>
      </c>
      <c r="BY104" s="447">
        <v>3.02408638</v>
      </c>
      <c r="BZ104" s="447">
        <v>3.0319767999999998</v>
      </c>
      <c r="CA104" s="447">
        <v>0.18069718000000001</v>
      </c>
      <c r="CB104" s="447">
        <v>3.5974690699999998</v>
      </c>
      <c r="CC104" s="447">
        <v>3.5909802700000002</v>
      </c>
      <c r="CD104" s="447">
        <v>-0.44208761000000002</v>
      </c>
      <c r="CE104" s="447">
        <v>-0.26023994</v>
      </c>
      <c r="CF104" s="447">
        <v>0.63450112000000003</v>
      </c>
      <c r="CG104" s="447"/>
    </row>
    <row r="105" spans="1:85" s="449" customFormat="1" ht="22.5">
      <c r="A105" s="500">
        <v>62006006</v>
      </c>
      <c r="B105" s="491" t="s">
        <v>239</v>
      </c>
      <c r="C105" s="491" t="s">
        <v>700</v>
      </c>
      <c r="D105" s="473" t="s">
        <v>752</v>
      </c>
      <c r="E105" s="448" t="s">
        <v>808</v>
      </c>
      <c r="F105" s="481" t="str">
        <f t="shared" si="68"/>
        <v>06/03/20</v>
      </c>
      <c r="G105" s="466" t="s">
        <v>809</v>
      </c>
      <c r="H105" s="466" t="s">
        <v>708</v>
      </c>
      <c r="I105" s="474"/>
      <c r="J105" s="467">
        <v>-7.2287359999999996</v>
      </c>
      <c r="K105" s="467">
        <v>13.280696000000001</v>
      </c>
      <c r="L105" s="467">
        <v>29.127987999999998</v>
      </c>
      <c r="M105" s="467">
        <v>12.124025</v>
      </c>
      <c r="N105" s="450">
        <v>4250</v>
      </c>
      <c r="O105" s="450">
        <v>38.71</v>
      </c>
      <c r="P105" s="450">
        <v>3.0499999999999999E-2</v>
      </c>
      <c r="Q105" s="450">
        <v>1.4999999999999999E-2</v>
      </c>
      <c r="R105" s="451">
        <v>3.8637061300000002</v>
      </c>
      <c r="S105" s="451">
        <f>R105+R104</f>
        <v>7.4612002000000004</v>
      </c>
      <c r="T105" s="492">
        <v>92.7</v>
      </c>
      <c r="U105" s="492">
        <v>91.4</v>
      </c>
      <c r="V105" s="455">
        <v>6199</v>
      </c>
      <c r="W105" s="455">
        <v>7297</v>
      </c>
      <c r="X105" s="455">
        <f>W105-V105</f>
        <v>1098</v>
      </c>
      <c r="Y105" s="455">
        <f t="shared" si="59"/>
        <v>284.18310374966325</v>
      </c>
      <c r="Z105" s="476">
        <v>6246</v>
      </c>
      <c r="AA105" s="455">
        <v>7355</v>
      </c>
      <c r="AB105" s="455">
        <f>AA105-Z105</f>
        <v>1109</v>
      </c>
      <c r="AC105" s="475">
        <f t="shared" si="60"/>
        <v>287.0301111642774</v>
      </c>
      <c r="AD105" s="476">
        <v>49</v>
      </c>
      <c r="AE105" s="455">
        <v>66</v>
      </c>
      <c r="AF105" s="455">
        <f>AE105-AD105</f>
        <v>17</v>
      </c>
      <c r="AG105" s="475">
        <f t="shared" si="61"/>
        <v>4.3999205498581748</v>
      </c>
      <c r="AH105" s="476">
        <v>4426</v>
      </c>
      <c r="AI105" s="455">
        <v>5087</v>
      </c>
      <c r="AJ105" s="455">
        <f>AI105-AH105</f>
        <v>661</v>
      </c>
      <c r="AK105" s="475">
        <f t="shared" si="62"/>
        <v>171.07926373272079</v>
      </c>
      <c r="AL105" s="476">
        <v>383.4</v>
      </c>
      <c r="AM105" s="455">
        <v>480.9</v>
      </c>
      <c r="AN105" s="455">
        <f>AM105-AL105</f>
        <v>97.5</v>
      </c>
      <c r="AO105" s="475">
        <f t="shared" si="63"/>
        <v>25.234838447716001</v>
      </c>
      <c r="AP105" s="476">
        <v>308.88512200000002</v>
      </c>
      <c r="AQ105" s="455">
        <v>388.584677</v>
      </c>
      <c r="AR105" s="455">
        <f>AQ105-AP105</f>
        <v>79.699554999999975</v>
      </c>
      <c r="AS105" s="475">
        <f t="shared" si="64"/>
        <v>20.627747638767747</v>
      </c>
      <c r="AT105" s="476">
        <v>1339.551217</v>
      </c>
      <c r="AU105" s="455">
        <v>1662.4</v>
      </c>
      <c r="AV105" s="455">
        <f>AU105-AT105</f>
        <v>322.84878300000014</v>
      </c>
      <c r="AW105" s="475">
        <f t="shared" si="65"/>
        <v>83.559352636376644</v>
      </c>
      <c r="AX105" s="476">
        <v>5.0999999999999996</v>
      </c>
      <c r="AY105" s="455">
        <v>6.3</v>
      </c>
      <c r="AZ105" s="455">
        <f>AY105-AX105</f>
        <v>1.2000000000000002</v>
      </c>
      <c r="BA105" s="475">
        <f t="shared" si="66"/>
        <v>0.31058262704881234</v>
      </c>
      <c r="BB105" s="476">
        <v>-6.37</v>
      </c>
      <c r="BC105" s="455">
        <v>-6.87</v>
      </c>
      <c r="BD105" s="455">
        <f>BC105-BB105</f>
        <v>-0.5</v>
      </c>
      <c r="BE105" s="455">
        <v>-2.0754649999999999</v>
      </c>
      <c r="BF105" s="475">
        <f t="shared" si="67"/>
        <v>-0.12940942793700513</v>
      </c>
      <c r="BG105" s="443">
        <v>92.7</v>
      </c>
      <c r="BH105" s="443">
        <v>91.4</v>
      </c>
      <c r="BI105" s="443">
        <f>BH105-BG105</f>
        <v>-1.2999999999999972</v>
      </c>
      <c r="BJ105" s="495">
        <v>8.6999999999999993</v>
      </c>
      <c r="BK105" s="495">
        <v>9.6</v>
      </c>
      <c r="BL105" s="495">
        <f>BK105-BJ105</f>
        <v>0.90000000000000036</v>
      </c>
      <c r="BM105" s="495">
        <v>0</v>
      </c>
      <c r="BN105" s="495">
        <v>0</v>
      </c>
      <c r="BO105" s="495">
        <f>BN105-BM105</f>
        <v>0</v>
      </c>
      <c r="BP105" s="443"/>
      <c r="BQ105" s="443"/>
      <c r="BR105" s="443"/>
      <c r="BS105" s="443"/>
      <c r="BT105" s="466" t="s">
        <v>723</v>
      </c>
      <c r="BU105" s="447">
        <v>1476.21895804</v>
      </c>
      <c r="BV105" s="447">
        <v>-1.21126216</v>
      </c>
      <c r="BW105" s="447">
        <v>3374.8522082300001</v>
      </c>
      <c r="BX105" s="447">
        <v>3416.2317303499999</v>
      </c>
      <c r="BY105" s="447">
        <v>2.9873064999999999</v>
      </c>
      <c r="BZ105" s="447">
        <v>2.9953437900000002</v>
      </c>
      <c r="CA105" s="447">
        <v>9.7607780000000005E-2</v>
      </c>
      <c r="CB105" s="447">
        <v>3.86359802</v>
      </c>
      <c r="CC105" s="447">
        <v>3.85983052</v>
      </c>
      <c r="CD105" s="447">
        <v>-0.36691859999999998</v>
      </c>
      <c r="CE105" s="447">
        <v>-0.26832627999999997</v>
      </c>
      <c r="CF105" s="447">
        <v>0.72009005000000004</v>
      </c>
      <c r="CG105" s="447"/>
    </row>
    <row r="106" spans="1:85" s="449" customFormat="1" ht="22.5">
      <c r="A106" s="500">
        <v>62006006</v>
      </c>
      <c r="B106" s="491" t="s">
        <v>833</v>
      </c>
      <c r="C106" s="491" t="s">
        <v>701</v>
      </c>
      <c r="D106" s="473" t="s">
        <v>752</v>
      </c>
      <c r="E106" s="448" t="s">
        <v>808</v>
      </c>
      <c r="F106" s="481" t="str">
        <f t="shared" si="68"/>
        <v>06/03/20</v>
      </c>
      <c r="G106" s="466" t="s">
        <v>809</v>
      </c>
      <c r="H106" s="466" t="s">
        <v>708</v>
      </c>
      <c r="I106" s="474"/>
      <c r="J106" s="468">
        <f>AVERAGE(J104:J105)</f>
        <v>-7.1541449999999998</v>
      </c>
      <c r="K106" s="468">
        <f>AVERAGE(K104:K105)</f>
        <v>13.627927</v>
      </c>
      <c r="L106" s="468">
        <f>AVERAGE(L104:L105)</f>
        <v>29.130803</v>
      </c>
      <c r="M106" s="468">
        <f>AVERAGE(M104:M105)</f>
        <v>12.0049285</v>
      </c>
      <c r="N106" s="452"/>
      <c r="O106" s="450"/>
      <c r="P106" s="470"/>
      <c r="Q106" s="469"/>
      <c r="R106" s="453">
        <f>R105+R104</f>
        <v>7.4612002000000004</v>
      </c>
      <c r="S106" s="453">
        <f>S105</f>
        <v>7.4612002000000004</v>
      </c>
      <c r="T106" s="493">
        <f>T104</f>
        <v>93.9</v>
      </c>
      <c r="U106" s="493">
        <f>U105</f>
        <v>91.4</v>
      </c>
      <c r="V106" s="456">
        <f>V104</f>
        <v>5119</v>
      </c>
      <c r="W106" s="456">
        <f>W105</f>
        <v>7297</v>
      </c>
      <c r="X106" s="456">
        <f>SUM(X104:X105)</f>
        <v>2178</v>
      </c>
      <c r="Y106" s="456">
        <f t="shared" si="59"/>
        <v>291.91014067683102</v>
      </c>
      <c r="Z106" s="456">
        <f>Z104</f>
        <v>5159</v>
      </c>
      <c r="AA106" s="456">
        <f>AA105</f>
        <v>7355</v>
      </c>
      <c r="AB106" s="456">
        <f>SUM(AB104:AB105)</f>
        <v>2196</v>
      </c>
      <c r="AC106" s="454">
        <f t="shared" si="60"/>
        <v>294.32262117829248</v>
      </c>
      <c r="AD106" s="456">
        <f>AD104</f>
        <v>43</v>
      </c>
      <c r="AE106" s="456">
        <f>AE105</f>
        <v>66</v>
      </c>
      <c r="AF106" s="456">
        <f>SUM(AF104:AF105)</f>
        <v>23</v>
      </c>
      <c r="AG106" s="454">
        <f t="shared" si="61"/>
        <v>3.0826139740895839</v>
      </c>
      <c r="AH106" s="456">
        <f>AH104</f>
        <v>3689</v>
      </c>
      <c r="AI106" s="456">
        <f>AI105</f>
        <v>5087</v>
      </c>
      <c r="AJ106" s="456">
        <f>SUM(AJ104:AJ105)</f>
        <v>1398</v>
      </c>
      <c r="AK106" s="454">
        <f t="shared" si="62"/>
        <v>187.36931894683644</v>
      </c>
      <c r="AL106" s="456">
        <f>AL104</f>
        <v>325.39999999999998</v>
      </c>
      <c r="AM106" s="456">
        <f>AM105</f>
        <v>480.9</v>
      </c>
      <c r="AN106" s="456">
        <f>SUM(AN104:AN105)</f>
        <v>155.5</v>
      </c>
      <c r="AO106" s="454">
        <f t="shared" si="63"/>
        <v>20.841150998736101</v>
      </c>
      <c r="AP106" s="456">
        <f>AP104</f>
        <v>261.31532299999998</v>
      </c>
      <c r="AQ106" s="456">
        <f>AQ105</f>
        <v>388.584677</v>
      </c>
      <c r="AR106" s="456">
        <f>SUM(AR104:AR105)</f>
        <v>127.25930399999999</v>
      </c>
      <c r="AS106" s="454">
        <f t="shared" si="64"/>
        <v>17.056143862752801</v>
      </c>
      <c r="AT106" s="456">
        <f>AT104</f>
        <v>1060.7</v>
      </c>
      <c r="AU106" s="456">
        <f>AU105</f>
        <v>1662.4</v>
      </c>
      <c r="AV106" s="456">
        <f>SUM(AV104:AV105)</f>
        <v>601.59950800000001</v>
      </c>
      <c r="AW106" s="454">
        <f t="shared" si="65"/>
        <v>80.630393485487758</v>
      </c>
      <c r="AX106" s="456">
        <f>AX104</f>
        <v>4.3</v>
      </c>
      <c r="AY106" s="456">
        <f>AY105</f>
        <v>6.3</v>
      </c>
      <c r="AZ106" s="456">
        <f>SUM(AZ104:AZ105)</f>
        <v>2</v>
      </c>
      <c r="BA106" s="454">
        <f t="shared" si="66"/>
        <v>0.26805338905126819</v>
      </c>
      <c r="BB106" s="456">
        <f>BB104</f>
        <v>-6.04</v>
      </c>
      <c r="BC106" s="456">
        <f>BC105</f>
        <v>-6.87</v>
      </c>
      <c r="BD106" s="456">
        <f>SUM(BD104:BD105)</f>
        <v>-0.83000000000000007</v>
      </c>
      <c r="BE106" s="455">
        <f>AVERAGE(BE104:BE105)</f>
        <v>-2.2065049999999999</v>
      </c>
      <c r="BF106" s="454">
        <f t="shared" si="67"/>
        <v>-0.1112421564562763</v>
      </c>
      <c r="BG106" s="445"/>
      <c r="BH106" s="445"/>
      <c r="BI106" s="445">
        <f>SUM(BI104:BI105)</f>
        <v>-2.5</v>
      </c>
      <c r="BJ106" s="496"/>
      <c r="BK106" s="496"/>
      <c r="BL106" s="496">
        <f>SUM(BL104:BL105)</f>
        <v>1.4000000000000004</v>
      </c>
      <c r="BM106" s="496"/>
      <c r="BN106" s="496"/>
      <c r="BO106" s="496">
        <f>SUM(BO104:BO105)</f>
        <v>0</v>
      </c>
      <c r="BP106" s="445"/>
      <c r="BQ106" s="445"/>
      <c r="BR106" s="445"/>
      <c r="BS106" s="445"/>
      <c r="BT106" s="466" t="s">
        <v>723</v>
      </c>
      <c r="BU106" s="447"/>
      <c r="BV106" s="447"/>
      <c r="BW106" s="447"/>
      <c r="BX106" s="447"/>
      <c r="BY106" s="447"/>
      <c r="BZ106" s="447"/>
      <c r="CA106" s="447"/>
      <c r="CB106" s="447"/>
      <c r="CC106" s="447"/>
      <c r="CD106" s="447"/>
      <c r="CE106" s="447"/>
      <c r="CF106" s="447"/>
      <c r="CG106" s="447"/>
    </row>
    <row r="107" spans="1:85" s="449" customFormat="1" ht="22.5">
      <c r="A107" s="500">
        <v>62006006</v>
      </c>
      <c r="B107" s="491" t="s">
        <v>836</v>
      </c>
      <c r="C107" s="491" t="s">
        <v>770</v>
      </c>
      <c r="D107" s="473" t="s">
        <v>752</v>
      </c>
      <c r="E107" s="448" t="s">
        <v>808</v>
      </c>
      <c r="F107" s="481" t="str">
        <f t="shared" si="68"/>
        <v>06/03/20</v>
      </c>
      <c r="G107" s="466" t="s">
        <v>809</v>
      </c>
      <c r="H107" s="466" t="s">
        <v>708</v>
      </c>
      <c r="I107" s="474"/>
      <c r="J107" s="467">
        <v>-5.4039080000000004</v>
      </c>
      <c r="K107" s="467">
        <v>11.665568</v>
      </c>
      <c r="L107" s="467">
        <v>29.124369999999999</v>
      </c>
      <c r="M107" s="467">
        <v>13.136846999999999</v>
      </c>
      <c r="N107" s="450">
        <v>4250</v>
      </c>
      <c r="O107" s="450">
        <v>38.71</v>
      </c>
      <c r="P107" s="450">
        <v>3.0499999999999999E-2</v>
      </c>
      <c r="Q107" s="450">
        <v>1.4999999999999999E-2</v>
      </c>
      <c r="R107" s="451">
        <v>1.7746566800000001</v>
      </c>
      <c r="S107" s="451"/>
      <c r="T107" s="492">
        <v>91.3</v>
      </c>
      <c r="U107" s="492">
        <v>88.4</v>
      </c>
      <c r="V107" s="455">
        <v>7338</v>
      </c>
      <c r="W107" s="455">
        <v>9822</v>
      </c>
      <c r="X107" s="455">
        <f>W107-V107-X108</f>
        <v>609</v>
      </c>
      <c r="Y107" s="455">
        <f t="shared" si="59"/>
        <v>343.16496642043461</v>
      </c>
      <c r="Z107" s="476">
        <v>7397</v>
      </c>
      <c r="AA107" s="455">
        <v>9892</v>
      </c>
      <c r="AB107" s="455">
        <f>AA107-Z107-AB108</f>
        <v>614</v>
      </c>
      <c r="AC107" s="475">
        <f t="shared" si="60"/>
        <v>345.98241277856624</v>
      </c>
      <c r="AD107" s="476">
        <v>65</v>
      </c>
      <c r="AE107" s="455">
        <v>126</v>
      </c>
      <c r="AF107" s="455">
        <f>AE107-AD107-AF108</f>
        <v>43</v>
      </c>
      <c r="AG107" s="475">
        <f t="shared" si="61"/>
        <v>24.230038679932164</v>
      </c>
      <c r="AH107" s="476">
        <v>5088</v>
      </c>
      <c r="AI107" s="455">
        <v>7234</v>
      </c>
      <c r="AJ107" s="455">
        <f>AI107-AH107-AJ108</f>
        <v>460</v>
      </c>
      <c r="AK107" s="475">
        <f t="shared" si="62"/>
        <v>259.2050649481115</v>
      </c>
      <c r="AL107" s="476">
        <v>491.3</v>
      </c>
      <c r="AM107" s="455">
        <v>560.6</v>
      </c>
      <c r="AN107" s="455">
        <f>AM107-AL107-AN108</f>
        <v>27.457444000000066</v>
      </c>
      <c r="AO107" s="475">
        <f t="shared" si="63"/>
        <v>15.471975120280765</v>
      </c>
      <c r="AP107" s="476">
        <v>397.12454500000001</v>
      </c>
      <c r="AQ107" s="455">
        <v>454.07835</v>
      </c>
      <c r="AR107" s="455">
        <f>AQ107-AP107-AR108</f>
        <v>22.559714999999983</v>
      </c>
      <c r="AS107" s="475">
        <f t="shared" si="64"/>
        <v>12.712157373447567</v>
      </c>
      <c r="AT107" s="476">
        <v>1692.1454510000001</v>
      </c>
      <c r="AU107" s="455">
        <v>1899.3</v>
      </c>
      <c r="AV107" s="455">
        <f>AU107-AT107-AV108</f>
        <v>80.126728999999841</v>
      </c>
      <c r="AW107" s="475">
        <f t="shared" si="65"/>
        <v>45.150552162010193</v>
      </c>
      <c r="AX107" s="476">
        <v>6.5</v>
      </c>
      <c r="AY107" s="455">
        <v>7.4</v>
      </c>
      <c r="AZ107" s="455">
        <f>AY107-AX107-AZ108</f>
        <v>0.40000000000000036</v>
      </c>
      <c r="BA107" s="475">
        <f t="shared" si="66"/>
        <v>0.22539570865053196</v>
      </c>
      <c r="BB107" s="476">
        <v>-6.92</v>
      </c>
      <c r="BC107" s="455">
        <v>-7.23</v>
      </c>
      <c r="BD107" s="455">
        <f>BC107-BB107-BD108</f>
        <v>-0.12000000000000099</v>
      </c>
      <c r="BE107" s="455">
        <v>-1.8764209999999999</v>
      </c>
      <c r="BF107" s="475">
        <f t="shared" si="67"/>
        <v>-6.7618712595160085E-2</v>
      </c>
      <c r="BG107" s="443">
        <v>91.3</v>
      </c>
      <c r="BH107" s="443">
        <v>88.4</v>
      </c>
      <c r="BI107" s="443">
        <f>BH107-BG107-BI108</f>
        <v>-0.69999999999998863</v>
      </c>
      <c r="BJ107" s="495">
        <v>9.6</v>
      </c>
      <c r="BK107" s="495">
        <v>10.199999999999999</v>
      </c>
      <c r="BL107" s="495">
        <f>BK107-BJ107-BL108</f>
        <v>0.30000000000000071</v>
      </c>
      <c r="BM107" s="495">
        <v>0</v>
      </c>
      <c r="BN107" s="495">
        <v>0</v>
      </c>
      <c r="BO107" s="495">
        <f>BN107-BM107-BO108</f>
        <v>0</v>
      </c>
      <c r="BP107" s="443"/>
      <c r="BQ107" s="443"/>
      <c r="BR107" s="443"/>
      <c r="BS107" s="443"/>
      <c r="BT107" s="466" t="s">
        <v>723</v>
      </c>
      <c r="BU107" s="447">
        <v>5477.0496132199996</v>
      </c>
      <c r="BV107" s="447">
        <v>-4.43860017</v>
      </c>
      <c r="BW107" s="447">
        <v>2350.26491485</v>
      </c>
      <c r="BX107" s="447">
        <v>2459.4291410000001</v>
      </c>
      <c r="BY107" s="447">
        <v>3.01004125</v>
      </c>
      <c r="BZ107" s="447">
        <v>3.0983537600000002</v>
      </c>
      <c r="CA107" s="447">
        <v>0.14346724</v>
      </c>
      <c r="CB107" s="447">
        <v>1.7746476499999999</v>
      </c>
      <c r="CC107" s="447">
        <v>1.77210526</v>
      </c>
      <c r="CD107" s="447">
        <v>-3.0816067500000002</v>
      </c>
      <c r="CE107" s="447">
        <v>-2.8503043400000001</v>
      </c>
      <c r="CF107" s="447">
        <v>0.84360230999999997</v>
      </c>
      <c r="CG107" s="447"/>
    </row>
    <row r="108" spans="1:85" s="449" customFormat="1" ht="22.5">
      <c r="A108" s="500">
        <v>62006006</v>
      </c>
      <c r="B108" s="491" t="s">
        <v>837</v>
      </c>
      <c r="C108" s="491" t="s">
        <v>705</v>
      </c>
      <c r="D108" s="473" t="s">
        <v>752</v>
      </c>
      <c r="E108" s="448" t="s">
        <v>808</v>
      </c>
      <c r="F108" s="481" t="str">
        <f t="shared" si="68"/>
        <v>06/03/20</v>
      </c>
      <c r="G108" s="466" t="s">
        <v>809</v>
      </c>
      <c r="H108" s="466" t="s">
        <v>708</v>
      </c>
      <c r="I108" s="474"/>
      <c r="J108" s="467">
        <v>-1.601431</v>
      </c>
      <c r="K108" s="467">
        <v>9.1319940000000006</v>
      </c>
      <c r="L108" s="467">
        <v>29.122405000000001</v>
      </c>
      <c r="M108" s="467">
        <v>12.404661000000001</v>
      </c>
      <c r="N108" s="450">
        <v>4250</v>
      </c>
      <c r="O108" s="450">
        <v>38.71</v>
      </c>
      <c r="P108" s="450">
        <v>3.0499999999999999E-2</v>
      </c>
      <c r="Q108" s="450">
        <v>1.4999999999999999E-2</v>
      </c>
      <c r="R108" s="451">
        <v>6.2499930800000003</v>
      </c>
      <c r="S108" s="451">
        <f>R108+R107</f>
        <v>8.0246497600000009</v>
      </c>
      <c r="T108" s="492">
        <v>90.8</v>
      </c>
      <c r="U108" s="492">
        <v>88.6</v>
      </c>
      <c r="V108" s="455">
        <v>7748</v>
      </c>
      <c r="W108" s="455">
        <v>9623</v>
      </c>
      <c r="X108" s="455">
        <f>W108-V108</f>
        <v>1875</v>
      </c>
      <c r="Y108" s="455">
        <f t="shared" si="59"/>
        <v>300.00033216036775</v>
      </c>
      <c r="Z108" s="476">
        <v>7810</v>
      </c>
      <c r="AA108" s="455">
        <v>9691</v>
      </c>
      <c r="AB108" s="455">
        <f>AA108-Z108</f>
        <v>1881</v>
      </c>
      <c r="AC108" s="475">
        <f t="shared" si="60"/>
        <v>300.96033322328094</v>
      </c>
      <c r="AD108" s="476">
        <v>82</v>
      </c>
      <c r="AE108" s="455">
        <v>100</v>
      </c>
      <c r="AF108" s="455">
        <f>AE108-AD108</f>
        <v>18</v>
      </c>
      <c r="AG108" s="475">
        <f t="shared" si="61"/>
        <v>2.8800031887395305</v>
      </c>
      <c r="AH108" s="476">
        <v>5423</v>
      </c>
      <c r="AI108" s="455">
        <v>7109</v>
      </c>
      <c r="AJ108" s="455">
        <f>AI108-AH108</f>
        <v>1686</v>
      </c>
      <c r="AK108" s="475">
        <f t="shared" si="62"/>
        <v>269.76029867860268</v>
      </c>
      <c r="AL108" s="476">
        <v>506</v>
      </c>
      <c r="AM108" s="455">
        <v>547.84255599999995</v>
      </c>
      <c r="AN108" s="455">
        <f>AM108-AL108</f>
        <v>41.842555999999945</v>
      </c>
      <c r="AO108" s="475">
        <f t="shared" si="63"/>
        <v>6.6948163725006786</v>
      </c>
      <c r="AP108" s="476">
        <v>409.14442100000002</v>
      </c>
      <c r="AQ108" s="455">
        <v>443.53851100000003</v>
      </c>
      <c r="AR108" s="455">
        <f>AQ108-AP108</f>
        <v>34.394090000000006</v>
      </c>
      <c r="AS108" s="475">
        <f t="shared" si="64"/>
        <v>5.5030604929885785</v>
      </c>
      <c r="AT108" s="476">
        <v>1736.7147359999999</v>
      </c>
      <c r="AU108" s="455">
        <v>1863.7425559999999</v>
      </c>
      <c r="AV108" s="455">
        <f>AU108-AT108</f>
        <v>127.02782000000002</v>
      </c>
      <c r="AW108" s="475">
        <f t="shared" si="65"/>
        <v>20.324473703257286</v>
      </c>
      <c r="AX108" s="476">
        <v>6.7</v>
      </c>
      <c r="AY108" s="455">
        <v>7.2</v>
      </c>
      <c r="AZ108" s="455">
        <f>AY108-AX108</f>
        <v>0.5</v>
      </c>
      <c r="BA108" s="475">
        <f t="shared" si="66"/>
        <v>8.0000088576098069E-2</v>
      </c>
      <c r="BB108" s="476">
        <v>-6.99</v>
      </c>
      <c r="BC108" s="455">
        <v>-7.18</v>
      </c>
      <c r="BD108" s="455">
        <f>BC108-BB108</f>
        <v>-0.1899999999999995</v>
      </c>
      <c r="BE108" s="455">
        <v>-1.838681</v>
      </c>
      <c r="BF108" s="475">
        <f t="shared" si="67"/>
        <v>-3.0400033658917185E-2</v>
      </c>
      <c r="BG108" s="443">
        <v>90.8</v>
      </c>
      <c r="BH108" s="443">
        <v>88.6</v>
      </c>
      <c r="BI108" s="443">
        <f>BH108-BG108</f>
        <v>-2.2000000000000028</v>
      </c>
      <c r="BJ108" s="495">
        <v>9.8000000000000007</v>
      </c>
      <c r="BK108" s="495">
        <v>10.1</v>
      </c>
      <c r="BL108" s="495">
        <f>BK108-BJ108</f>
        <v>0.29999999999999893</v>
      </c>
      <c r="BM108" s="495">
        <v>0</v>
      </c>
      <c r="BN108" s="495">
        <v>0</v>
      </c>
      <c r="BO108" s="495">
        <f>BN108-BM108</f>
        <v>0</v>
      </c>
      <c r="BP108" s="443"/>
      <c r="BQ108" s="443"/>
      <c r="BR108" s="443"/>
      <c r="BS108" s="443"/>
      <c r="BT108" s="466" t="s">
        <v>723</v>
      </c>
      <c r="BU108" s="447">
        <v>11293.06792825</v>
      </c>
      <c r="BV108" s="447">
        <v>-4.9704650000000003E-2</v>
      </c>
      <c r="BW108" s="447">
        <v>1138.3132199300001</v>
      </c>
      <c r="BX108" s="447">
        <v>1138.8792959100001</v>
      </c>
      <c r="BY108" s="447">
        <v>5.8907827900000003</v>
      </c>
      <c r="BZ108" s="447">
        <v>5.8928640799999998</v>
      </c>
      <c r="CA108" s="447">
        <v>0.24419109999999999</v>
      </c>
      <c r="CB108" s="447">
        <v>6.2500827900000004</v>
      </c>
      <c r="CC108" s="447">
        <v>6.2348578200000002</v>
      </c>
      <c r="CD108" s="447">
        <v>-0.27960875000000002</v>
      </c>
      <c r="CE108" s="447">
        <v>-3.53189E-2</v>
      </c>
      <c r="CF108" s="447">
        <v>0.41973869000000003</v>
      </c>
      <c r="CG108" s="447"/>
    </row>
    <row r="109" spans="1:85" s="449" customFormat="1" ht="22.5">
      <c r="A109" s="500">
        <v>62006006</v>
      </c>
      <c r="B109" s="491" t="s">
        <v>835</v>
      </c>
      <c r="C109" s="491" t="s">
        <v>703</v>
      </c>
      <c r="D109" s="473" t="s">
        <v>752</v>
      </c>
      <c r="E109" s="448" t="s">
        <v>808</v>
      </c>
      <c r="F109" s="481" t="str">
        <f t="shared" si="68"/>
        <v>06/03/20</v>
      </c>
      <c r="G109" s="466" t="s">
        <v>809</v>
      </c>
      <c r="H109" s="466" t="s">
        <v>708</v>
      </c>
      <c r="I109" s="474"/>
      <c r="J109" s="468">
        <f>AVERAGE(J107:J108)</f>
        <v>-3.5026695000000001</v>
      </c>
      <c r="K109" s="468">
        <f>AVERAGE(K107:K108)</f>
        <v>10.398781</v>
      </c>
      <c r="L109" s="468">
        <f>AVERAGE(L107:L108)</f>
        <v>29.1233875</v>
      </c>
      <c r="M109" s="468">
        <f>AVERAGE(M107:M108)</f>
        <v>12.770754</v>
      </c>
      <c r="N109" s="452"/>
      <c r="O109" s="450"/>
      <c r="P109" s="470"/>
      <c r="Q109" s="469"/>
      <c r="R109" s="453">
        <f>R108+R107</f>
        <v>8.0246497600000009</v>
      </c>
      <c r="S109" s="453">
        <f>S108</f>
        <v>8.0246497600000009</v>
      </c>
      <c r="T109" s="493">
        <f>T107</f>
        <v>91.3</v>
      </c>
      <c r="U109" s="493">
        <f>U108</f>
        <v>88.6</v>
      </c>
      <c r="V109" s="456">
        <f>V107</f>
        <v>7338</v>
      </c>
      <c r="W109" s="456">
        <f>W108</f>
        <v>9623</v>
      </c>
      <c r="X109" s="456">
        <f>SUM(X107:X108)</f>
        <v>2484</v>
      </c>
      <c r="Y109" s="456">
        <f t="shared" si="59"/>
        <v>309.54621999602381</v>
      </c>
      <c r="Z109" s="456">
        <f>Z107</f>
        <v>7397</v>
      </c>
      <c r="AA109" s="456">
        <f>AA108</f>
        <v>9691</v>
      </c>
      <c r="AB109" s="456">
        <f>SUM(AB107:AB108)</f>
        <v>2495</v>
      </c>
      <c r="AC109" s="454">
        <f t="shared" si="60"/>
        <v>310.91699633256013</v>
      </c>
      <c r="AD109" s="456">
        <f>AD107</f>
        <v>65</v>
      </c>
      <c r="AE109" s="456">
        <f>AE108</f>
        <v>100</v>
      </c>
      <c r="AF109" s="456">
        <f>SUM(AF107:AF108)</f>
        <v>61</v>
      </c>
      <c r="AG109" s="454">
        <f t="shared" si="61"/>
        <v>7.601577866246962</v>
      </c>
      <c r="AH109" s="456">
        <f>AH107</f>
        <v>5088</v>
      </c>
      <c r="AI109" s="456">
        <f>AI108</f>
        <v>7109</v>
      </c>
      <c r="AJ109" s="456">
        <f>SUM(AJ107:AJ108)</f>
        <v>2146</v>
      </c>
      <c r="AK109" s="454">
        <f t="shared" si="62"/>
        <v>267.42600165518002</v>
      </c>
      <c r="AL109" s="456">
        <f>AL107</f>
        <v>491.3</v>
      </c>
      <c r="AM109" s="456">
        <f>AM108</f>
        <v>547.84255599999995</v>
      </c>
      <c r="AN109" s="456">
        <f>SUM(AN107:AN108)</f>
        <v>69.300000000000011</v>
      </c>
      <c r="AO109" s="454">
        <f t="shared" si="63"/>
        <v>8.6358909201789267</v>
      </c>
      <c r="AP109" s="456">
        <f>AP107</f>
        <v>397.12454500000001</v>
      </c>
      <c r="AQ109" s="456">
        <f>AQ108</f>
        <v>443.53851100000003</v>
      </c>
      <c r="AR109" s="456">
        <f>SUM(AR107:AR108)</f>
        <v>56.953804999999988</v>
      </c>
      <c r="AS109" s="454">
        <f t="shared" si="64"/>
        <v>7.0973571063368111</v>
      </c>
      <c r="AT109" s="456">
        <f>AT107</f>
        <v>1692.1454510000001</v>
      </c>
      <c r="AU109" s="456">
        <f>AU108</f>
        <v>1863.7425559999999</v>
      </c>
      <c r="AV109" s="456">
        <f>SUM(AV107:AV108)</f>
        <v>207.15454899999986</v>
      </c>
      <c r="AW109" s="454">
        <f t="shared" si="65"/>
        <v>25.814777615914274</v>
      </c>
      <c r="AX109" s="456">
        <f>AX107</f>
        <v>6.5</v>
      </c>
      <c r="AY109" s="456">
        <f>AY108</f>
        <v>7.2</v>
      </c>
      <c r="AZ109" s="456">
        <f>SUM(AZ107:AZ108)</f>
        <v>0.90000000000000036</v>
      </c>
      <c r="BA109" s="454">
        <f t="shared" si="66"/>
        <v>0.11215442753479128</v>
      </c>
      <c r="BB109" s="456">
        <f>BB107</f>
        <v>-6.92</v>
      </c>
      <c r="BC109" s="456">
        <f>BC108</f>
        <v>-7.18</v>
      </c>
      <c r="BD109" s="456">
        <f>SUM(BD107:BD108)</f>
        <v>-0.3100000000000005</v>
      </c>
      <c r="BE109" s="455">
        <f>AVERAGE(BE107:BE108)</f>
        <v>-1.857551</v>
      </c>
      <c r="BF109" s="454">
        <f t="shared" si="67"/>
        <v>-3.8630969484205933E-2</v>
      </c>
      <c r="BG109" s="445"/>
      <c r="BH109" s="445"/>
      <c r="BI109" s="445">
        <f>SUM(BI107:BI108)</f>
        <v>-2.8999999999999915</v>
      </c>
      <c r="BJ109" s="496"/>
      <c r="BK109" s="496"/>
      <c r="BL109" s="496">
        <f>SUM(BL107:BL108)</f>
        <v>0.59999999999999964</v>
      </c>
      <c r="BM109" s="496"/>
      <c r="BN109" s="496"/>
      <c r="BO109" s="496">
        <f>SUM(BO107:BO108)</f>
        <v>0</v>
      </c>
      <c r="BP109" s="445"/>
      <c r="BQ109" s="445"/>
      <c r="BR109" s="445"/>
      <c r="BS109" s="445"/>
      <c r="BT109" s="466" t="s">
        <v>723</v>
      </c>
      <c r="BU109" s="447"/>
      <c r="BV109" s="447"/>
      <c r="BW109" s="447"/>
      <c r="BX109" s="447"/>
      <c r="BY109" s="447"/>
      <c r="BZ109" s="447"/>
      <c r="CA109" s="447"/>
      <c r="CB109" s="447"/>
      <c r="CC109" s="447"/>
      <c r="CD109" s="447"/>
      <c r="CE109" s="447"/>
      <c r="CF109" s="447"/>
      <c r="CG109" s="447"/>
    </row>
    <row r="110" spans="1:85" s="449" customFormat="1" ht="22.5">
      <c r="A110" s="500">
        <v>62006007</v>
      </c>
      <c r="B110" s="491" t="s">
        <v>864</v>
      </c>
      <c r="C110" s="500" t="s">
        <v>695</v>
      </c>
      <c r="D110" s="473" t="s">
        <v>810</v>
      </c>
      <c r="E110" s="448" t="s">
        <v>811</v>
      </c>
      <c r="F110" s="481" t="str">
        <f t="shared" si="68"/>
        <v>06/03/20</v>
      </c>
      <c r="G110" s="466" t="s">
        <v>812</v>
      </c>
      <c r="H110" s="466" t="s">
        <v>708</v>
      </c>
      <c r="I110" s="474"/>
      <c r="J110" s="467">
        <v>0.32076300000000002</v>
      </c>
      <c r="K110" s="467">
        <v>8.2766640000000002</v>
      </c>
      <c r="L110" s="467">
        <v>29.119838999999999</v>
      </c>
      <c r="M110" s="467">
        <v>12.237956000000001</v>
      </c>
      <c r="N110" s="450">
        <v>4250</v>
      </c>
      <c r="O110" s="450">
        <v>38.71</v>
      </c>
      <c r="P110" s="450">
        <v>3.0499999999999999E-2</v>
      </c>
      <c r="Q110" s="450">
        <v>1.4999999999999999E-2</v>
      </c>
      <c r="R110" s="451">
        <v>5.4506524699999996</v>
      </c>
      <c r="S110" s="451">
        <f>R110+R109</f>
        <v>13.47530223</v>
      </c>
      <c r="T110" s="492">
        <v>87.7</v>
      </c>
      <c r="U110" s="492">
        <v>85.8</v>
      </c>
      <c r="V110" s="455">
        <v>10426.450795999999</v>
      </c>
      <c r="W110" s="455">
        <v>12010</v>
      </c>
      <c r="X110" s="455">
        <f>W110-V110</f>
        <v>1583.5492040000008</v>
      </c>
      <c r="Y110" s="455">
        <f t="shared" si="59"/>
        <v>290.52470556795578</v>
      </c>
      <c r="Z110" s="476">
        <v>10504</v>
      </c>
      <c r="AA110" s="455">
        <v>12092</v>
      </c>
      <c r="AB110" s="455">
        <f>AA110-Z110</f>
        <v>1588</v>
      </c>
      <c r="AC110" s="475">
        <f t="shared" si="60"/>
        <v>291.34126762625908</v>
      </c>
      <c r="AD110" s="476">
        <v>126</v>
      </c>
      <c r="AE110" s="455">
        <v>126</v>
      </c>
      <c r="AF110" s="455">
        <f>AE110-AD110</f>
        <v>0</v>
      </c>
      <c r="AG110" s="475">
        <f t="shared" si="61"/>
        <v>0</v>
      </c>
      <c r="AH110" s="476">
        <v>7590.4507960000001</v>
      </c>
      <c r="AI110" s="455">
        <v>9011.4350180000001</v>
      </c>
      <c r="AJ110" s="455">
        <f>AI110-AH110</f>
        <v>1420.984222</v>
      </c>
      <c r="AK110" s="475">
        <f t="shared" si="62"/>
        <v>260.69983911485741</v>
      </c>
      <c r="AL110" s="476">
        <v>626.6</v>
      </c>
      <c r="AM110" s="455">
        <v>660.2</v>
      </c>
      <c r="AN110" s="455">
        <f>AM110-AL110</f>
        <v>33.600000000000023</v>
      </c>
      <c r="AO110" s="475">
        <f t="shared" si="63"/>
        <v>6.1643996172810525</v>
      </c>
      <c r="AP110" s="476">
        <v>508.064504</v>
      </c>
      <c r="AQ110" s="455">
        <v>535.544352</v>
      </c>
      <c r="AR110" s="455">
        <f>AQ110-AP110</f>
        <v>27.479848000000004</v>
      </c>
      <c r="AS110" s="475">
        <f t="shared" si="64"/>
        <v>5.0415703718494465</v>
      </c>
      <c r="AT110" s="476">
        <v>2080.4</v>
      </c>
      <c r="AU110" s="455">
        <v>2208.6435240000001</v>
      </c>
      <c r="AV110" s="455">
        <f>AU110-AT110</f>
        <v>128.24352399999998</v>
      </c>
      <c r="AW110" s="475">
        <f t="shared" si="65"/>
        <v>23.528105067392048</v>
      </c>
      <c r="AX110" s="476">
        <v>8.3000000000000007</v>
      </c>
      <c r="AY110" s="455">
        <v>8.6999999999999993</v>
      </c>
      <c r="AZ110" s="455">
        <f>AY110-AX110</f>
        <v>0.39999999999999858</v>
      </c>
      <c r="BA110" s="475">
        <f t="shared" si="66"/>
        <v>7.3385709729536036E-2</v>
      </c>
      <c r="BB110" s="476">
        <v>-7.51</v>
      </c>
      <c r="BC110" s="455">
        <v>-7.6443490000000001</v>
      </c>
      <c r="BD110" s="455">
        <f>BC110-BB110</f>
        <v>-0.13434900000000027</v>
      </c>
      <c r="BE110" s="455">
        <v>-1.637672</v>
      </c>
      <c r="BF110" s="475">
        <f t="shared" si="67"/>
        <v>-2.4648241791133729E-2</v>
      </c>
      <c r="BG110" s="443">
        <v>87.7</v>
      </c>
      <c r="BH110" s="443">
        <v>85.8</v>
      </c>
      <c r="BI110" s="443">
        <f>BH110-BG110</f>
        <v>-1.9000000000000057</v>
      </c>
      <c r="BJ110" s="495">
        <v>10.8</v>
      </c>
      <c r="BK110" s="495">
        <v>11.1</v>
      </c>
      <c r="BL110" s="495">
        <f>BK110-BJ110</f>
        <v>0.29999999999999893</v>
      </c>
      <c r="BM110" s="495">
        <v>0</v>
      </c>
      <c r="BN110" s="495">
        <v>0</v>
      </c>
      <c r="BO110" s="495">
        <f>BN110-BM110</f>
        <v>0</v>
      </c>
      <c r="BP110" s="443"/>
      <c r="BQ110" s="443"/>
      <c r="BR110" s="443"/>
      <c r="BS110" s="443"/>
      <c r="BT110" s="466" t="s">
        <v>723</v>
      </c>
      <c r="BU110" s="447">
        <v>21933.743792149999</v>
      </c>
      <c r="BV110" s="447">
        <v>2.6026186099999999</v>
      </c>
      <c r="BW110" s="447">
        <v>596.27717008000002</v>
      </c>
      <c r="BX110" s="447">
        <v>581.15200000000004</v>
      </c>
      <c r="BY110" s="447">
        <v>4.8974611899999996</v>
      </c>
      <c r="BZ110" s="447">
        <v>4.8660465899999998</v>
      </c>
      <c r="CA110" s="447">
        <v>0.29353558000000002</v>
      </c>
      <c r="CB110" s="447">
        <v>5.4477776999999996</v>
      </c>
      <c r="CC110" s="447">
        <v>5.4318333299999999</v>
      </c>
      <c r="CD110" s="447">
        <v>0.34979386000000001</v>
      </c>
      <c r="CE110" s="447">
        <v>0.64558766999999995</v>
      </c>
      <c r="CF110" s="447">
        <v>0.1697623</v>
      </c>
      <c r="CG110" s="447"/>
    </row>
    <row r="111" spans="1:85" s="449" customFormat="1" ht="22.5">
      <c r="A111" s="500">
        <v>62006007</v>
      </c>
      <c r="B111" s="491" t="s">
        <v>865</v>
      </c>
      <c r="C111" s="500" t="s">
        <v>696</v>
      </c>
      <c r="D111" s="473" t="s">
        <v>810</v>
      </c>
      <c r="E111" s="448" t="s">
        <v>811</v>
      </c>
      <c r="F111" s="481" t="str">
        <f t="shared" si="68"/>
        <v>06/03/20</v>
      </c>
      <c r="G111" s="466" t="s">
        <v>812</v>
      </c>
      <c r="H111" s="466" t="s">
        <v>708</v>
      </c>
      <c r="I111" s="474"/>
      <c r="J111" s="467">
        <v>0.37922899999999998</v>
      </c>
      <c r="K111" s="467">
        <v>8.0402719999999999</v>
      </c>
      <c r="L111" s="467">
        <v>29.117139999999999</v>
      </c>
      <c r="M111" s="467">
        <v>14.340873999999999</v>
      </c>
      <c r="N111" s="450">
        <v>4250</v>
      </c>
      <c r="O111" s="450">
        <v>38.71</v>
      </c>
      <c r="P111" s="450">
        <v>3.0499999999999999E-2</v>
      </c>
      <c r="Q111" s="450">
        <v>1.4999999999999999E-2</v>
      </c>
      <c r="R111" s="451">
        <v>5.4506141100000001</v>
      </c>
      <c r="S111" s="451">
        <f>R111+R110</f>
        <v>10.90126658</v>
      </c>
      <c r="T111" s="492">
        <v>85.8</v>
      </c>
      <c r="U111" s="492">
        <v>84</v>
      </c>
      <c r="V111" s="455">
        <v>12011</v>
      </c>
      <c r="W111" s="455">
        <v>13547</v>
      </c>
      <c r="X111" s="455">
        <f>W111-V111</f>
        <v>1536</v>
      </c>
      <c r="Y111" s="455">
        <f t="shared" si="59"/>
        <v>281.80310860421559</v>
      </c>
      <c r="Z111" s="476">
        <v>12093</v>
      </c>
      <c r="AA111" s="455">
        <v>13633.416635</v>
      </c>
      <c r="AB111" s="455">
        <f>AA111-Z111</f>
        <v>1540.4166349999996</v>
      </c>
      <c r="AC111" s="475">
        <f t="shared" si="60"/>
        <v>282.61340904208674</v>
      </c>
      <c r="AD111" s="476">
        <v>126</v>
      </c>
      <c r="AE111" s="455">
        <v>126</v>
      </c>
      <c r="AF111" s="455">
        <f>AE111-AD111</f>
        <v>0</v>
      </c>
      <c r="AG111" s="475">
        <f t="shared" si="61"/>
        <v>0</v>
      </c>
      <c r="AH111" s="476">
        <v>9012</v>
      </c>
      <c r="AI111" s="455">
        <v>10385</v>
      </c>
      <c r="AJ111" s="455">
        <f>AI111-AH111</f>
        <v>1373</v>
      </c>
      <c r="AK111" s="475">
        <f t="shared" si="62"/>
        <v>251.89822142811721</v>
      </c>
      <c r="AL111" s="476">
        <v>660.2</v>
      </c>
      <c r="AM111" s="455">
        <v>694.9</v>
      </c>
      <c r="AN111" s="455">
        <f>AM111-AL111</f>
        <v>34.699999999999932</v>
      </c>
      <c r="AO111" s="475">
        <f t="shared" si="63"/>
        <v>6.3662551227644935</v>
      </c>
      <c r="AP111" s="476">
        <v>535.56573800000001</v>
      </c>
      <c r="AQ111" s="455">
        <v>564.12416900000005</v>
      </c>
      <c r="AR111" s="455">
        <f>AQ111-AP111</f>
        <v>28.558431000000041</v>
      </c>
      <c r="AS111" s="475">
        <f t="shared" si="64"/>
        <v>5.2394886931373756</v>
      </c>
      <c r="AT111" s="476">
        <v>2208.728689</v>
      </c>
      <c r="AU111" s="455">
        <v>2337.1999999999998</v>
      </c>
      <c r="AV111" s="455">
        <f>AU111-AT111</f>
        <v>128.47131099999979</v>
      </c>
      <c r="AW111" s="475">
        <f t="shared" si="65"/>
        <v>23.570061722824803</v>
      </c>
      <c r="AX111" s="476">
        <v>8.6999999999999993</v>
      </c>
      <c r="AY111" s="455">
        <v>9.1999999999999993</v>
      </c>
      <c r="AZ111" s="455">
        <f>AY111-AX111</f>
        <v>0.5</v>
      </c>
      <c r="BA111" s="475">
        <f t="shared" si="66"/>
        <v>9.1732782748768102E-2</v>
      </c>
      <c r="BB111" s="476">
        <v>-7.65</v>
      </c>
      <c r="BC111" s="455">
        <v>-7.78</v>
      </c>
      <c r="BD111" s="455">
        <f>BC111-BB111</f>
        <v>-0.12999999999999989</v>
      </c>
      <c r="BE111" s="455">
        <v>-1.6237969999999999</v>
      </c>
      <c r="BF111" s="475">
        <f t="shared" si="67"/>
        <v>-2.3850523514679686E-2</v>
      </c>
      <c r="BG111" s="443">
        <v>85.8</v>
      </c>
      <c r="BH111" s="443">
        <v>84</v>
      </c>
      <c r="BI111" s="443">
        <f>BH111-BG111</f>
        <v>-1.7999999999999972</v>
      </c>
      <c r="BJ111" s="495">
        <v>11.1</v>
      </c>
      <c r="BK111" s="495">
        <v>11.4</v>
      </c>
      <c r="BL111" s="495">
        <f>BK111-BJ111</f>
        <v>0.30000000000000071</v>
      </c>
      <c r="BM111" s="495">
        <v>0</v>
      </c>
      <c r="BN111" s="495">
        <v>0</v>
      </c>
      <c r="BO111" s="495">
        <f>BN111-BM111</f>
        <v>0</v>
      </c>
      <c r="BP111" s="443"/>
      <c r="BQ111" s="443"/>
      <c r="BR111" s="443"/>
      <c r="BS111" s="443"/>
      <c r="BT111" s="466" t="s">
        <v>723</v>
      </c>
      <c r="BU111" s="447">
        <v>21933.743792149999</v>
      </c>
      <c r="BV111" s="447">
        <v>2.6162123199999998</v>
      </c>
      <c r="BW111" s="447">
        <v>596.35617022999998</v>
      </c>
      <c r="BX111" s="447">
        <v>581.15200000000004</v>
      </c>
      <c r="BY111" s="447">
        <v>4.8974853999999999</v>
      </c>
      <c r="BZ111" s="447">
        <v>4.8660465899999998</v>
      </c>
      <c r="CA111" s="447">
        <v>0.29254806999999999</v>
      </c>
      <c r="CB111" s="447">
        <v>5.4477240599999996</v>
      </c>
      <c r="CC111" s="447">
        <v>5.4318333299999999</v>
      </c>
      <c r="CD111" s="447">
        <v>0.35126781000000001</v>
      </c>
      <c r="CE111" s="447">
        <v>0.64608536999999999</v>
      </c>
      <c r="CF111" s="447">
        <v>0.1697623</v>
      </c>
      <c r="CG111" s="447"/>
    </row>
    <row r="112" spans="1:85" s="449" customFormat="1" ht="22.5">
      <c r="A112" s="500">
        <v>62006007</v>
      </c>
      <c r="B112" s="491" t="s">
        <v>863</v>
      </c>
      <c r="C112" s="472" t="s">
        <v>697</v>
      </c>
      <c r="D112" s="473" t="s">
        <v>810</v>
      </c>
      <c r="E112" s="448" t="s">
        <v>811</v>
      </c>
      <c r="F112" s="481" t="str">
        <f t="shared" si="68"/>
        <v>06/03/20</v>
      </c>
      <c r="G112" s="466" t="s">
        <v>812</v>
      </c>
      <c r="H112" s="466" t="s">
        <v>708</v>
      </c>
      <c r="I112" s="474"/>
      <c r="J112" s="467">
        <v>-1.9368430000000001</v>
      </c>
      <c r="K112" s="467">
        <v>8.8325499999999995</v>
      </c>
      <c r="L112" s="467">
        <v>29.116250999999998</v>
      </c>
      <c r="M112" s="467">
        <v>15.766387999999999</v>
      </c>
      <c r="N112" s="450">
        <v>4250</v>
      </c>
      <c r="O112" s="450">
        <v>38.71</v>
      </c>
      <c r="P112" s="450">
        <v>3.0499999999999999E-2</v>
      </c>
      <c r="Q112" s="450">
        <v>1.4999999999999999E-2</v>
      </c>
      <c r="R112" s="451">
        <v>0.24489452</v>
      </c>
      <c r="S112" s="451"/>
      <c r="T112" s="492">
        <v>84</v>
      </c>
      <c r="U112" s="492">
        <v>84.2</v>
      </c>
      <c r="V112" s="455">
        <v>13548</v>
      </c>
      <c r="W112" s="455">
        <v>13399</v>
      </c>
      <c r="X112" s="455">
        <f>W112-V112</f>
        <v>-149</v>
      </c>
      <c r="Y112" s="455">
        <f t="shared" si="59"/>
        <v>-608.42521098471286</v>
      </c>
      <c r="Z112" s="476">
        <v>13634.410750999999</v>
      </c>
      <c r="AA112" s="455">
        <v>13486</v>
      </c>
      <c r="AB112" s="455">
        <f>AA112-Z112</f>
        <v>-148.41075099999944</v>
      </c>
      <c r="AC112" s="475">
        <f t="shared" si="60"/>
        <v>-606.01907711123727</v>
      </c>
      <c r="AD112" s="476">
        <v>126</v>
      </c>
      <c r="AE112" s="455">
        <v>129</v>
      </c>
      <c r="AF112" s="455">
        <f>AE112-AD112</f>
        <v>3</v>
      </c>
      <c r="AG112" s="475">
        <f t="shared" si="61"/>
        <v>12.250172033249253</v>
      </c>
      <c r="AH112" s="476">
        <v>10386</v>
      </c>
      <c r="AI112" s="455">
        <v>10217</v>
      </c>
      <c r="AJ112" s="455">
        <f>AI112-AH112</f>
        <v>-169</v>
      </c>
      <c r="AK112" s="475">
        <f t="shared" si="62"/>
        <v>-690.09302453970793</v>
      </c>
      <c r="AL112" s="476">
        <v>694.94111199999998</v>
      </c>
      <c r="AM112" s="455">
        <v>698.6</v>
      </c>
      <c r="AN112" s="455">
        <f>AM112-AL112</f>
        <v>3.6588880000000472</v>
      </c>
      <c r="AO112" s="475">
        <f t="shared" si="63"/>
        <v>14.940669150130624</v>
      </c>
      <c r="AP112" s="476">
        <v>564.14411099999995</v>
      </c>
      <c r="AQ112" s="455">
        <v>567.16</v>
      </c>
      <c r="AR112" s="455">
        <f>AQ112-AP112</f>
        <v>3.0158890000000156</v>
      </c>
      <c r="AS112" s="475">
        <f t="shared" si="64"/>
        <v>12.315053027728084</v>
      </c>
      <c r="AT112" s="476">
        <v>2337.3000000000002</v>
      </c>
      <c r="AU112" s="455">
        <v>2350.1</v>
      </c>
      <c r="AV112" s="455">
        <f>AU112-AT112</f>
        <v>12.799999999999727</v>
      </c>
      <c r="AW112" s="475">
        <f t="shared" si="65"/>
        <v>52.267400675195702</v>
      </c>
      <c r="AX112" s="476">
        <v>9.1999999999999993</v>
      </c>
      <c r="AY112" s="455">
        <v>9.1999999999999993</v>
      </c>
      <c r="AZ112" s="455">
        <f>AY112-AX112</f>
        <v>0</v>
      </c>
      <c r="BA112" s="475">
        <f t="shared" si="66"/>
        <v>0</v>
      </c>
      <c r="BB112" s="476">
        <v>-7.78</v>
      </c>
      <c r="BC112" s="455">
        <v>-7.79</v>
      </c>
      <c r="BD112" s="455">
        <f>BC112-BB112</f>
        <v>-9.9999999999997868E-3</v>
      </c>
      <c r="BE112" s="455">
        <v>-1.4824900000000001</v>
      </c>
      <c r="BF112" s="475">
        <f t="shared" si="67"/>
        <v>-4.083390677749664E-2</v>
      </c>
      <c r="BG112" s="443">
        <v>84</v>
      </c>
      <c r="BH112" s="443">
        <v>84.2</v>
      </c>
      <c r="BI112" s="443">
        <f>BH112-BG112</f>
        <v>0.20000000000000284</v>
      </c>
      <c r="BJ112" s="495">
        <v>11.4</v>
      </c>
      <c r="BK112" s="495">
        <v>11.4</v>
      </c>
      <c r="BL112" s="495">
        <f>BK112-BJ112</f>
        <v>0</v>
      </c>
      <c r="BM112" s="495">
        <v>0</v>
      </c>
      <c r="BN112" s="495">
        <v>0</v>
      </c>
      <c r="BO112" s="495">
        <f>BN112-BM112</f>
        <v>0</v>
      </c>
      <c r="BP112" s="443"/>
      <c r="BQ112" s="443"/>
      <c r="BR112" s="443"/>
      <c r="BS112" s="443"/>
      <c r="BT112" s="466" t="s">
        <v>723</v>
      </c>
      <c r="BU112" s="447">
        <v>132435.94501699999</v>
      </c>
      <c r="BV112" s="447">
        <v>0.30014067</v>
      </c>
      <c r="BW112" s="447">
        <v>582.89627353000003</v>
      </c>
      <c r="BX112" s="447">
        <v>581.15200000000004</v>
      </c>
      <c r="BY112" s="447">
        <v>0.85564823999999995</v>
      </c>
      <c r="BZ112" s="447">
        <v>1.4771838500000001</v>
      </c>
      <c r="CA112" s="447">
        <v>-72.613919480000007</v>
      </c>
      <c r="CB112" s="447">
        <v>0.24199406000000001</v>
      </c>
      <c r="CC112" s="447">
        <v>0.88363888999999995</v>
      </c>
      <c r="CD112" s="447">
        <v>52.720903370000002</v>
      </c>
      <c r="CE112" s="447">
        <v>-42.075711099999999</v>
      </c>
      <c r="CF112" s="447">
        <v>0.55922033000000004</v>
      </c>
      <c r="CG112" s="447"/>
    </row>
    <row r="113" spans="1:85" s="449" customFormat="1">
      <c r="A113" s="500">
        <v>62006008</v>
      </c>
      <c r="B113" s="491" t="s">
        <v>906</v>
      </c>
      <c r="C113" s="472" t="s">
        <v>695</v>
      </c>
      <c r="D113" s="473" t="s">
        <v>813</v>
      </c>
      <c r="E113" s="448" t="s">
        <v>814</v>
      </c>
      <c r="F113" s="481" t="str">
        <f t="shared" si="68"/>
        <v>06/03/20</v>
      </c>
      <c r="G113" s="466" t="s">
        <v>815</v>
      </c>
      <c r="H113" s="466" t="s">
        <v>708</v>
      </c>
      <c r="I113" s="474"/>
      <c r="J113" s="467">
        <v>-120.11135400000001</v>
      </c>
      <c r="K113" s="467">
        <v>208.59554900000001</v>
      </c>
      <c r="L113" s="467">
        <v>511.95672100000002</v>
      </c>
      <c r="M113" s="467">
        <v>-51.895884000000002</v>
      </c>
      <c r="N113" s="450">
        <v>4250</v>
      </c>
      <c r="O113" s="450">
        <v>38.71</v>
      </c>
      <c r="P113" s="450">
        <v>3.0499999999999999E-2</v>
      </c>
      <c r="Q113" s="450">
        <v>1.4999999999999999E-2</v>
      </c>
      <c r="R113" s="451">
        <v>2.0510999999999999E-4</v>
      </c>
      <c r="S113" s="451">
        <f>R113+R112</f>
        <v>0.24509963000000001</v>
      </c>
      <c r="T113" s="492">
        <v>84.2</v>
      </c>
      <c r="U113" s="492">
        <v>99.9</v>
      </c>
      <c r="V113" s="455">
        <v>13432</v>
      </c>
      <c r="W113" s="455">
        <v>-512</v>
      </c>
      <c r="X113" s="455">
        <f>W113-V113</f>
        <v>-13944</v>
      </c>
      <c r="Y113" s="455">
        <f t="shared" si="59"/>
        <v>-67983033.494222611</v>
      </c>
      <c r="Z113" s="476">
        <v>13522</v>
      </c>
      <c r="AA113" s="455">
        <v>-335</v>
      </c>
      <c r="AB113" s="455">
        <f>AA113-Z113</f>
        <v>-13857</v>
      </c>
      <c r="AC113" s="475">
        <f t="shared" si="60"/>
        <v>-67558870.849787921</v>
      </c>
      <c r="AD113" s="476">
        <v>128</v>
      </c>
      <c r="AE113" s="455">
        <v>118</v>
      </c>
      <c r="AF113" s="455">
        <f>AE113-AD113</f>
        <v>-10</v>
      </c>
      <c r="AG113" s="475">
        <f t="shared" si="61"/>
        <v>-48754.326946516507</v>
      </c>
      <c r="AH113" s="476">
        <v>10218</v>
      </c>
      <c r="AI113" s="455">
        <v>10239</v>
      </c>
      <c r="AJ113" s="455">
        <f>AI113-AH113</f>
        <v>21</v>
      </c>
      <c r="AK113" s="475">
        <f t="shared" si="62"/>
        <v>102384.08658768467</v>
      </c>
      <c r="AL113" s="476">
        <v>716.6</v>
      </c>
      <c r="AM113" s="455">
        <v>-13238.6</v>
      </c>
      <c r="AN113" s="455">
        <f>AM113-AL113</f>
        <v>-13955.2</v>
      </c>
      <c r="AO113" s="475">
        <f t="shared" si="63"/>
        <v>-68037638.340402722</v>
      </c>
      <c r="AP113" s="476">
        <v>580.49</v>
      </c>
      <c r="AQ113" s="455">
        <v>732.67</v>
      </c>
      <c r="AR113" s="455">
        <f>AQ113-AP113</f>
        <v>152.17999999999995</v>
      </c>
      <c r="AS113" s="475">
        <f t="shared" si="64"/>
        <v>741943.34747208795</v>
      </c>
      <c r="AT113" s="476">
        <v>2364.6999999999998</v>
      </c>
      <c r="AU113" s="455">
        <v>2368.1</v>
      </c>
      <c r="AV113" s="455">
        <f>AU113-AT113</f>
        <v>3.4000000000000909</v>
      </c>
      <c r="AW113" s="475">
        <f t="shared" si="65"/>
        <v>16576.471161816055</v>
      </c>
      <c r="AX113" s="476">
        <v>9.6</v>
      </c>
      <c r="AY113" s="455">
        <v>19.100000000000001</v>
      </c>
      <c r="AZ113" s="455">
        <f>AY113-AX113</f>
        <v>9.5000000000000018</v>
      </c>
      <c r="BA113" s="475">
        <f t="shared" si="66"/>
        <v>46316.610599190688</v>
      </c>
      <c r="BB113" s="476">
        <v>-7.9</v>
      </c>
      <c r="BC113" s="455">
        <v>-10.43</v>
      </c>
      <c r="BD113" s="455">
        <f>BC113-BB113</f>
        <v>-2.5299999999999994</v>
      </c>
      <c r="BE113" s="455">
        <v>-23.360800999999999</v>
      </c>
      <c r="BF113" s="475">
        <f t="shared" si="67"/>
        <v>-12334.844717468673</v>
      </c>
      <c r="BG113" s="443">
        <v>84.2</v>
      </c>
      <c r="BH113" s="443">
        <v>99.9</v>
      </c>
      <c r="BI113" s="443">
        <f>BH113-BG113</f>
        <v>15.700000000000003</v>
      </c>
      <c r="BJ113" s="495">
        <v>11.6</v>
      </c>
      <c r="BK113" s="495">
        <v>15104.3</v>
      </c>
      <c r="BL113" s="495">
        <f>BK113-BJ113</f>
        <v>15092.699999999999</v>
      </c>
      <c r="BM113" s="495">
        <v>0</v>
      </c>
      <c r="BN113" s="495">
        <v>-15054.8</v>
      </c>
      <c r="BO113" s="495">
        <f>BN113-BM113</f>
        <v>-15054.8</v>
      </c>
      <c r="BP113" s="443"/>
      <c r="BQ113" s="443">
        <f>X113/BO113</f>
        <v>0.92621622339718901</v>
      </c>
      <c r="BR113" s="443"/>
      <c r="BS113" s="443"/>
      <c r="BT113" s="466"/>
      <c r="BU113" s="447"/>
      <c r="BV113" s="447"/>
      <c r="BW113" s="447"/>
      <c r="BX113" s="447"/>
      <c r="BY113" s="447"/>
      <c r="BZ113" s="447"/>
      <c r="CA113" s="447"/>
      <c r="CB113" s="447"/>
      <c r="CC113" s="447"/>
      <c r="CD113" s="447"/>
      <c r="CE113" s="447"/>
      <c r="CF113" s="447"/>
      <c r="CG113" s="447"/>
    </row>
    <row r="114" spans="1:85" s="488" customFormat="1" ht="15.75">
      <c r="A114" s="480" t="s">
        <v>1243</v>
      </c>
      <c r="B114" s="483"/>
      <c r="C114" s="483"/>
      <c r="D114" s="484"/>
      <c r="E114" s="483"/>
      <c r="F114" s="483"/>
      <c r="G114" s="484"/>
      <c r="H114" s="484"/>
      <c r="I114" s="484"/>
      <c r="J114" s="484"/>
      <c r="K114" s="484"/>
      <c r="L114" s="484"/>
      <c r="M114" s="484"/>
      <c r="N114" s="484"/>
      <c r="O114" s="484"/>
      <c r="P114" s="485"/>
      <c r="Q114" s="486"/>
      <c r="R114" s="483"/>
      <c r="S114" s="483"/>
      <c r="T114" s="483"/>
      <c r="U114" s="483"/>
      <c r="V114" s="483"/>
      <c r="W114" s="483"/>
      <c r="X114" s="483"/>
      <c r="Y114" s="483"/>
      <c r="Z114" s="483"/>
      <c r="AA114" s="483"/>
      <c r="AB114" s="483"/>
      <c r="AC114" s="483"/>
      <c r="AD114" s="483"/>
      <c r="AE114" s="483"/>
      <c r="AF114" s="483"/>
      <c r="AG114" s="483"/>
      <c r="AH114" s="483"/>
      <c r="AI114" s="483"/>
      <c r="AJ114" s="483"/>
      <c r="AK114" s="483"/>
      <c r="AL114" s="483"/>
      <c r="AM114" s="483"/>
      <c r="AN114" s="483"/>
      <c r="AO114" s="483"/>
      <c r="AP114" s="483"/>
      <c r="AQ114" s="483"/>
      <c r="AR114" s="483"/>
      <c r="AS114" s="483"/>
      <c r="AT114" s="483"/>
      <c r="AU114" s="483"/>
      <c r="AV114" s="483"/>
      <c r="AW114" s="483"/>
      <c r="AX114" s="483"/>
      <c r="AY114" s="483"/>
      <c r="AZ114" s="483"/>
      <c r="BA114" s="483"/>
      <c r="BB114" s="483"/>
      <c r="BC114" s="483"/>
      <c r="BD114" s="483"/>
      <c r="BE114" s="483"/>
      <c r="BF114" s="483"/>
      <c r="BG114" s="483"/>
      <c r="BH114" s="483"/>
      <c r="BI114" s="483"/>
      <c r="BJ114" s="483"/>
      <c r="BK114" s="483"/>
      <c r="BL114" s="483"/>
      <c r="BM114" s="483"/>
      <c r="BN114" s="483"/>
      <c r="BO114" s="483"/>
      <c r="BP114" s="483"/>
      <c r="BQ114" s="483"/>
      <c r="BR114" s="483"/>
      <c r="BS114" s="483"/>
      <c r="BT114" s="483"/>
      <c r="BU114" s="483"/>
      <c r="BV114" s="483"/>
      <c r="BW114" s="483"/>
      <c r="BX114" s="483"/>
      <c r="BY114" s="483"/>
      <c r="BZ114" s="483"/>
      <c r="CA114" s="483"/>
      <c r="CB114" s="483"/>
      <c r="CC114" s="483"/>
      <c r="CD114" s="483"/>
      <c r="CE114" s="483"/>
      <c r="CF114" s="490"/>
      <c r="CG114" s="487"/>
    </row>
    <row r="115" spans="1:85" s="449" customFormat="1" ht="22.5">
      <c r="A115" s="500">
        <v>62006009</v>
      </c>
      <c r="B115" s="491" t="s">
        <v>832</v>
      </c>
      <c r="C115" s="491" t="s">
        <v>695</v>
      </c>
      <c r="D115" s="473" t="s">
        <v>752</v>
      </c>
      <c r="E115" s="448" t="s">
        <v>816</v>
      </c>
      <c r="F115" s="481" t="str">
        <f t="shared" si="68"/>
        <v>06/04/20</v>
      </c>
      <c r="G115" s="466" t="s">
        <v>817</v>
      </c>
      <c r="H115" s="466" t="s">
        <v>708</v>
      </c>
      <c r="I115" s="474"/>
      <c r="J115" s="467">
        <v>-5.4976099999999999</v>
      </c>
      <c r="K115" s="467">
        <v>8.5519459999999992</v>
      </c>
      <c r="L115" s="467">
        <v>29.069949999999999</v>
      </c>
      <c r="M115" s="467">
        <v>3.0688610000000001</v>
      </c>
      <c r="N115" s="450">
        <v>4250</v>
      </c>
      <c r="O115" s="450">
        <v>38.71</v>
      </c>
      <c r="P115" s="450">
        <v>3.0499999999999999E-2</v>
      </c>
      <c r="Q115" s="450">
        <v>1.4999999999999999E-2</v>
      </c>
      <c r="R115" s="451">
        <v>3.5971224199999998</v>
      </c>
      <c r="S115" s="451">
        <f>R115+R114</f>
        <v>3.5971224199999998</v>
      </c>
      <c r="T115" s="492">
        <v>99.7</v>
      </c>
      <c r="U115" s="492">
        <v>97.5</v>
      </c>
      <c r="V115" s="455">
        <v>23</v>
      </c>
      <c r="W115" s="455">
        <v>1848.781843</v>
      </c>
      <c r="X115" s="455">
        <f>W115-V115</f>
        <v>1825.781843</v>
      </c>
      <c r="Y115" s="455">
        <f t="shared" ref="Y115:Y137" si="69">X115/$R115</f>
        <v>507.56733572609409</v>
      </c>
      <c r="Z115" s="476">
        <v>24</v>
      </c>
      <c r="AA115" s="455">
        <v>1853</v>
      </c>
      <c r="AB115" s="455">
        <f>AA115-Z115</f>
        <v>1829</v>
      </c>
      <c r="AC115" s="475">
        <f t="shared" ref="AC115:AC137" si="70">AB115/$R115</f>
        <v>508.46198334278546</v>
      </c>
      <c r="AD115" s="476">
        <v>0</v>
      </c>
      <c r="AE115" s="455">
        <v>50</v>
      </c>
      <c r="AF115" s="455">
        <f>AE115-AD115</f>
        <v>50</v>
      </c>
      <c r="AG115" s="475">
        <f t="shared" ref="AG115:AG137" si="71">AF115/$R115</f>
        <v>13.899999544636016</v>
      </c>
      <c r="AH115" s="476">
        <v>0</v>
      </c>
      <c r="AI115" s="455">
        <v>1071</v>
      </c>
      <c r="AJ115" s="455">
        <f>AI115-AH115</f>
        <v>1071</v>
      </c>
      <c r="AK115" s="475">
        <f t="shared" ref="AK115:AK137" si="72">AJ115/$R115</f>
        <v>297.73799024610344</v>
      </c>
      <c r="AL115" s="476">
        <v>22.4</v>
      </c>
      <c r="AM115" s="455">
        <v>105.5</v>
      </c>
      <c r="AN115" s="455">
        <f>AM115-AL115</f>
        <v>83.1</v>
      </c>
      <c r="AO115" s="475">
        <f t="shared" ref="AO115:AO137" si="73">AN115/$R115</f>
        <v>23.101799243185056</v>
      </c>
      <c r="AP115" s="476">
        <v>16.966132999999999</v>
      </c>
      <c r="AQ115" s="455">
        <v>89.055632000000003</v>
      </c>
      <c r="AR115" s="455">
        <f>AQ115-AP115</f>
        <v>72.089499000000004</v>
      </c>
      <c r="AS115" s="475">
        <f t="shared" ref="AS115:AS137" si="74">AR115/$R115</f>
        <v>20.040880065460772</v>
      </c>
      <c r="AT115" s="476">
        <v>0</v>
      </c>
      <c r="AU115" s="455">
        <v>619.47815800000001</v>
      </c>
      <c r="AV115" s="455">
        <f>AU115-AT115</f>
        <v>619.47815800000001</v>
      </c>
      <c r="AW115" s="475">
        <f t="shared" ref="AW115:AW137" si="75">AV115/$R115</f>
        <v>172.21492228223914</v>
      </c>
      <c r="AX115" s="476">
        <v>0.2</v>
      </c>
      <c r="AY115" s="455">
        <v>0.5</v>
      </c>
      <c r="AZ115" s="455">
        <f>AY115-AX115</f>
        <v>0.3</v>
      </c>
      <c r="BA115" s="475">
        <f t="shared" ref="BA115:BA137" si="76">AZ115/$R115</f>
        <v>8.3399997267816092E-2</v>
      </c>
      <c r="BB115" s="476">
        <v>-1.1000000000000001</v>
      </c>
      <c r="BC115" s="455">
        <v>-2.5299999999999998</v>
      </c>
      <c r="BD115" s="455">
        <f>BC115-BB115</f>
        <v>-1.4299999999999997</v>
      </c>
      <c r="BE115" s="455">
        <v>-10.169449999999999</v>
      </c>
      <c r="BF115" s="475">
        <f t="shared" ref="BF115:BF137" si="77">BD115/$R115</f>
        <v>-0.39753998697658999</v>
      </c>
      <c r="BG115" s="443">
        <v>99.7</v>
      </c>
      <c r="BH115" s="443">
        <v>97.5</v>
      </c>
      <c r="BI115" s="443">
        <f>BH115-BG115</f>
        <v>-2.2000000000000028</v>
      </c>
      <c r="BJ115" s="495">
        <v>0.3</v>
      </c>
      <c r="BK115" s="495">
        <v>0.8</v>
      </c>
      <c r="BL115" s="495">
        <f>BK115-BJ115</f>
        <v>0.5</v>
      </c>
      <c r="BM115" s="495">
        <v>0</v>
      </c>
      <c r="BN115" s="495">
        <v>0</v>
      </c>
      <c r="BO115" s="495">
        <f>BN115-BM115</f>
        <v>0</v>
      </c>
      <c r="BP115" s="443"/>
      <c r="BQ115" s="443"/>
      <c r="BR115" s="443"/>
      <c r="BS115" s="443"/>
      <c r="BT115" s="466" t="s">
        <v>723</v>
      </c>
      <c r="BU115" s="447">
        <v>2373.5397017999999</v>
      </c>
      <c r="BV115" s="447">
        <v>-0.50378020999999995</v>
      </c>
      <c r="BW115" s="447">
        <v>2038.5718130499999</v>
      </c>
      <c r="BX115" s="447">
        <v>2048.8937341300002</v>
      </c>
      <c r="BY115" s="447">
        <v>3.0271073400000001</v>
      </c>
      <c r="BZ115" s="447">
        <v>3.0320813499999999</v>
      </c>
      <c r="CA115" s="447">
        <v>0.16981816999999999</v>
      </c>
      <c r="CB115" s="447">
        <v>3.5970783499999999</v>
      </c>
      <c r="CC115" s="447">
        <v>3.5909802200000001</v>
      </c>
      <c r="CD115" s="447">
        <v>-0.33441271</v>
      </c>
      <c r="CE115" s="447">
        <v>-0.16404595</v>
      </c>
      <c r="CF115" s="447">
        <v>0.63451546000000003</v>
      </c>
      <c r="CG115" s="447"/>
    </row>
    <row r="116" spans="1:85" s="449" customFormat="1" ht="22.5">
      <c r="A116" s="500">
        <v>62006009</v>
      </c>
      <c r="B116" s="491" t="s">
        <v>831</v>
      </c>
      <c r="C116" s="491" t="s">
        <v>696</v>
      </c>
      <c r="D116" s="473" t="s">
        <v>752</v>
      </c>
      <c r="E116" s="448" t="s">
        <v>816</v>
      </c>
      <c r="F116" s="481" t="str">
        <f t="shared" si="68"/>
        <v>06/04/20</v>
      </c>
      <c r="G116" s="466" t="s">
        <v>817</v>
      </c>
      <c r="H116" s="466" t="s">
        <v>708</v>
      </c>
      <c r="I116" s="474"/>
      <c r="J116" s="467">
        <v>-6.2485590000000002</v>
      </c>
      <c r="K116" s="467">
        <v>8.6675280000000008</v>
      </c>
      <c r="L116" s="467">
        <v>29.075455000000002</v>
      </c>
      <c r="M116" s="467">
        <v>7.6412040000000001</v>
      </c>
      <c r="N116" s="450">
        <v>4250</v>
      </c>
      <c r="O116" s="450">
        <v>38.71</v>
      </c>
      <c r="P116" s="450">
        <v>3.0499999999999999E-2</v>
      </c>
      <c r="Q116" s="450">
        <v>1.4999999999999999E-2</v>
      </c>
      <c r="R116" s="451">
        <v>3.86356381</v>
      </c>
      <c r="S116" s="451">
        <f>R116+R115</f>
        <v>7.4606862300000003</v>
      </c>
      <c r="T116" s="492">
        <v>97.5</v>
      </c>
      <c r="U116" s="492">
        <v>95.6</v>
      </c>
      <c r="V116" s="455">
        <v>1849</v>
      </c>
      <c r="W116" s="455">
        <v>3523</v>
      </c>
      <c r="X116" s="455">
        <f>W116-V116</f>
        <v>1674</v>
      </c>
      <c r="Y116" s="455">
        <f t="shared" si="69"/>
        <v>433.27872459805445</v>
      </c>
      <c r="Z116" s="476">
        <v>1853</v>
      </c>
      <c r="AA116" s="455">
        <v>3532</v>
      </c>
      <c r="AB116" s="455">
        <f>AA116-Z116</f>
        <v>1679</v>
      </c>
      <c r="AC116" s="475">
        <f t="shared" si="70"/>
        <v>434.57286654727204</v>
      </c>
      <c r="AD116" s="476">
        <v>50</v>
      </c>
      <c r="AE116" s="455">
        <v>137</v>
      </c>
      <c r="AF116" s="455">
        <f>AE116-AD116</f>
        <v>87</v>
      </c>
      <c r="AG116" s="475">
        <f t="shared" si="71"/>
        <v>22.518069916386342</v>
      </c>
      <c r="AH116" s="476">
        <v>1071</v>
      </c>
      <c r="AI116" s="455">
        <v>1993</v>
      </c>
      <c r="AJ116" s="455">
        <f>AI116-AH116</f>
        <v>922</v>
      </c>
      <c r="AK116" s="475">
        <f t="shared" si="72"/>
        <v>238.63977543572653</v>
      </c>
      <c r="AL116" s="476">
        <v>105.578148</v>
      </c>
      <c r="AM116" s="455">
        <v>235.2</v>
      </c>
      <c r="AN116" s="455">
        <f>AM116-AL116</f>
        <v>129.62185199999999</v>
      </c>
      <c r="AO116" s="475">
        <f t="shared" si="73"/>
        <v>33.5498152416952</v>
      </c>
      <c r="AP116" s="476">
        <v>89.085629999999995</v>
      </c>
      <c r="AQ116" s="455">
        <v>199.29728600000001</v>
      </c>
      <c r="AR116" s="455">
        <f>AQ116-AP116</f>
        <v>110.21165600000002</v>
      </c>
      <c r="AS116" s="475">
        <f t="shared" si="74"/>
        <v>28.525905464468053</v>
      </c>
      <c r="AT116" s="476">
        <v>619.67814799999996</v>
      </c>
      <c r="AU116" s="455">
        <v>1152</v>
      </c>
      <c r="AV116" s="455">
        <f>AU116-AT116</f>
        <v>532.32185200000004</v>
      </c>
      <c r="AW116" s="475">
        <f t="shared" si="75"/>
        <v>137.78000783168119</v>
      </c>
      <c r="AX116" s="476">
        <v>0.5</v>
      </c>
      <c r="AY116" s="455">
        <v>1.1000000000000001</v>
      </c>
      <c r="AZ116" s="455">
        <f>AY116-AX116</f>
        <v>0.60000000000000009</v>
      </c>
      <c r="BA116" s="475">
        <f t="shared" si="76"/>
        <v>0.15529703390611274</v>
      </c>
      <c r="BB116" s="476">
        <v>-2.5299999999999998</v>
      </c>
      <c r="BC116" s="455">
        <v>-4.3600000000000003</v>
      </c>
      <c r="BD116" s="455">
        <f>BC116-BB116</f>
        <v>-1.8300000000000005</v>
      </c>
      <c r="BE116" s="455">
        <v>-7.5706550000000004</v>
      </c>
      <c r="BF116" s="475">
        <f t="shared" si="77"/>
        <v>-0.47365595341364392</v>
      </c>
      <c r="BG116" s="443">
        <v>97.5</v>
      </c>
      <c r="BH116" s="443">
        <v>95.6</v>
      </c>
      <c r="BI116" s="443">
        <f>BH116-BG116</f>
        <v>-1.9000000000000057</v>
      </c>
      <c r="BJ116" s="495">
        <v>0.8</v>
      </c>
      <c r="BK116" s="495">
        <v>1.7</v>
      </c>
      <c r="BL116" s="495">
        <f>BK116-BJ116</f>
        <v>0.89999999999999991</v>
      </c>
      <c r="BM116" s="495">
        <v>0</v>
      </c>
      <c r="BN116" s="495">
        <v>0</v>
      </c>
      <c r="BO116" s="495">
        <f>BN116-BM116</f>
        <v>0</v>
      </c>
      <c r="BP116" s="443"/>
      <c r="BQ116" s="443"/>
      <c r="BR116" s="443"/>
      <c r="BS116" s="443"/>
      <c r="BT116" s="466" t="s">
        <v>723</v>
      </c>
      <c r="BU116" s="447">
        <v>1477.4567612799999</v>
      </c>
      <c r="BV116" s="447">
        <v>-0.40370020000000001</v>
      </c>
      <c r="BW116" s="447">
        <v>3402.5596179099998</v>
      </c>
      <c r="BX116" s="447">
        <v>3416.35143552</v>
      </c>
      <c r="BY116" s="447">
        <v>2.9939713100000001</v>
      </c>
      <c r="BZ116" s="447">
        <v>2.99551211</v>
      </c>
      <c r="CA116" s="447">
        <v>9.1482220000000003E-2</v>
      </c>
      <c r="CB116" s="447">
        <v>3.8633617400000002</v>
      </c>
      <c r="CC116" s="447">
        <v>3.85983068</v>
      </c>
      <c r="CD116" s="447">
        <v>-0.14299271</v>
      </c>
      <c r="CE116" s="447">
        <v>-5.143694E-2</v>
      </c>
      <c r="CF116" s="447">
        <v>0.72008360999999999</v>
      </c>
      <c r="CG116" s="447"/>
    </row>
    <row r="117" spans="1:85" s="449" customFormat="1" ht="22.5">
      <c r="A117" s="500">
        <v>62006009</v>
      </c>
      <c r="B117" s="491" t="s">
        <v>830</v>
      </c>
      <c r="C117" s="491" t="s">
        <v>698</v>
      </c>
      <c r="D117" s="473" t="s">
        <v>752</v>
      </c>
      <c r="E117" s="448" t="s">
        <v>816</v>
      </c>
      <c r="F117" s="481" t="str">
        <f t="shared" si="68"/>
        <v>06/04/20</v>
      </c>
      <c r="G117" s="466" t="s">
        <v>817</v>
      </c>
      <c r="H117" s="466" t="s">
        <v>708</v>
      </c>
      <c r="I117" s="474"/>
      <c r="J117" s="468">
        <f>AVERAGE(J115:J116)</f>
        <v>-5.8730845</v>
      </c>
      <c r="K117" s="468">
        <f>AVERAGE(K115:K116)</f>
        <v>8.6097369999999991</v>
      </c>
      <c r="L117" s="468">
        <f>AVERAGE(L115:L116)</f>
        <v>29.072702499999998</v>
      </c>
      <c r="M117" s="468">
        <f>AVERAGE(M115:M116)</f>
        <v>5.3550325000000001</v>
      </c>
      <c r="N117" s="452"/>
      <c r="O117" s="450"/>
      <c r="P117" s="470"/>
      <c r="Q117" s="469"/>
      <c r="R117" s="453">
        <f>R116+R115</f>
        <v>7.4606862300000003</v>
      </c>
      <c r="S117" s="453">
        <f>S116</f>
        <v>7.4606862300000003</v>
      </c>
      <c r="T117" s="493">
        <f>T115</f>
        <v>99.7</v>
      </c>
      <c r="U117" s="493">
        <f>U116</f>
        <v>95.6</v>
      </c>
      <c r="V117" s="456">
        <f>V115</f>
        <v>23</v>
      </c>
      <c r="W117" s="456">
        <f>W116</f>
        <v>3523</v>
      </c>
      <c r="X117" s="456">
        <f>SUM(X115:X116)</f>
        <v>3499.7818429999998</v>
      </c>
      <c r="Y117" s="456">
        <f t="shared" si="69"/>
        <v>469.0965060193933</v>
      </c>
      <c r="Z117" s="456">
        <f>Z115</f>
        <v>24</v>
      </c>
      <c r="AA117" s="456">
        <f>AA116</f>
        <v>3532</v>
      </c>
      <c r="AB117" s="456">
        <f>SUM(AB115:AB116)</f>
        <v>3508</v>
      </c>
      <c r="AC117" s="454">
        <f t="shared" si="70"/>
        <v>470.19803431674404</v>
      </c>
      <c r="AD117" s="456">
        <f>AD115</f>
        <v>0</v>
      </c>
      <c r="AE117" s="456">
        <f>AE116</f>
        <v>137</v>
      </c>
      <c r="AF117" s="456">
        <f>SUM(AF115:AF116)</f>
        <v>137</v>
      </c>
      <c r="AG117" s="454">
        <f t="shared" si="71"/>
        <v>18.362922092757678</v>
      </c>
      <c r="AH117" s="456">
        <f>AH115</f>
        <v>0</v>
      </c>
      <c r="AI117" s="456">
        <f>AI116</f>
        <v>1993</v>
      </c>
      <c r="AJ117" s="456">
        <f>SUM(AJ115:AJ116)</f>
        <v>1993</v>
      </c>
      <c r="AK117" s="454">
        <f t="shared" si="72"/>
        <v>267.13360387493469</v>
      </c>
      <c r="AL117" s="456">
        <f>AL115</f>
        <v>22.4</v>
      </c>
      <c r="AM117" s="456">
        <v>235.2</v>
      </c>
      <c r="AN117" s="456">
        <f>SUM(AN115:AN116)</f>
        <v>212.72185199999998</v>
      </c>
      <c r="AO117" s="454">
        <f t="shared" si="73"/>
        <v>28.512370771555684</v>
      </c>
      <c r="AP117" s="456">
        <f>AP115</f>
        <v>16.966132999999999</v>
      </c>
      <c r="AQ117" s="456">
        <f>AQ116</f>
        <v>199.29728600000001</v>
      </c>
      <c r="AR117" s="456">
        <f>SUM(AR115:AR116)</f>
        <v>182.30115500000002</v>
      </c>
      <c r="AS117" s="454">
        <f t="shared" si="74"/>
        <v>24.434904428355782</v>
      </c>
      <c r="AT117" s="456">
        <f>AT115</f>
        <v>0</v>
      </c>
      <c r="AU117" s="456">
        <f>AU116</f>
        <v>1152</v>
      </c>
      <c r="AV117" s="456">
        <f>SUM(AV115:AV116)</f>
        <v>1151.8000099999999</v>
      </c>
      <c r="AW117" s="454">
        <f t="shared" si="75"/>
        <v>154.38258284720814</v>
      </c>
      <c r="AX117" s="456">
        <f>AX115</f>
        <v>0.2</v>
      </c>
      <c r="AY117" s="456">
        <f>AY116</f>
        <v>1.1000000000000001</v>
      </c>
      <c r="AZ117" s="456">
        <f>SUM(AZ115:AZ116)</f>
        <v>0.90000000000000013</v>
      </c>
      <c r="BA117" s="454">
        <f t="shared" si="76"/>
        <v>0.12063233491592637</v>
      </c>
      <c r="BB117" s="456">
        <f>BB115</f>
        <v>-1.1000000000000001</v>
      </c>
      <c r="BC117" s="456">
        <f>BC116</f>
        <v>-4.3600000000000003</v>
      </c>
      <c r="BD117" s="456">
        <f>SUM(BD115:BD116)</f>
        <v>-3.2600000000000002</v>
      </c>
      <c r="BE117" s="455">
        <f>AVERAGE(BE115:BE116)</f>
        <v>-8.8700524999999999</v>
      </c>
      <c r="BF117" s="454">
        <f t="shared" si="77"/>
        <v>-0.43695712425102218</v>
      </c>
      <c r="BG117" s="445" t="s">
        <v>1095</v>
      </c>
      <c r="BH117" s="445" t="s">
        <v>1096</v>
      </c>
      <c r="BI117" s="445">
        <f>SUM(BI115:BI116)</f>
        <v>-4.1000000000000085</v>
      </c>
      <c r="BJ117" s="496" t="s">
        <v>1097</v>
      </c>
      <c r="BK117" s="496" t="s">
        <v>1098</v>
      </c>
      <c r="BL117" s="496">
        <f>SUM(BL115:BL116)</f>
        <v>1.4</v>
      </c>
      <c r="BM117" s="496" t="s">
        <v>1099</v>
      </c>
      <c r="BN117" s="496" t="s">
        <v>1100</v>
      </c>
      <c r="BO117" s="496">
        <f>SUM(BO115:BO116)</f>
        <v>0</v>
      </c>
      <c r="BP117" s="445"/>
      <c r="BQ117" s="445"/>
      <c r="BR117" s="445"/>
      <c r="BS117" s="445"/>
      <c r="BT117" s="466" t="s">
        <v>723</v>
      </c>
      <c r="BU117" s="447"/>
      <c r="BV117" s="447"/>
      <c r="BW117" s="447"/>
      <c r="BX117" s="447"/>
      <c r="BY117" s="447"/>
      <c r="BZ117" s="447"/>
      <c r="CA117" s="447"/>
      <c r="CB117" s="447"/>
      <c r="CC117" s="447"/>
      <c r="CD117" s="447"/>
      <c r="CE117" s="447"/>
      <c r="CF117" s="447"/>
      <c r="CG117" s="447"/>
    </row>
    <row r="118" spans="1:85" s="449" customFormat="1" ht="22.5">
      <c r="A118" s="500">
        <v>62006009</v>
      </c>
      <c r="B118" s="491" t="s">
        <v>829</v>
      </c>
      <c r="C118" s="491" t="s">
        <v>697</v>
      </c>
      <c r="D118" s="473" t="s">
        <v>752</v>
      </c>
      <c r="E118" s="448" t="s">
        <v>816</v>
      </c>
      <c r="F118" s="481" t="str">
        <f t="shared" si="68"/>
        <v>06/04/20</v>
      </c>
      <c r="G118" s="466" t="s">
        <v>817</v>
      </c>
      <c r="H118" s="466" t="s">
        <v>708</v>
      </c>
      <c r="I118" s="474"/>
      <c r="J118" s="467">
        <v>-4.2884739999999999</v>
      </c>
      <c r="K118" s="467">
        <v>7.8702899999999998</v>
      </c>
      <c r="L118" s="467">
        <v>29.077041999999999</v>
      </c>
      <c r="M118" s="467">
        <v>9.3356119999999994</v>
      </c>
      <c r="N118" s="450">
        <v>4250</v>
      </c>
      <c r="O118" s="450">
        <v>38.71</v>
      </c>
      <c r="P118" s="450">
        <v>3.0499999999999999E-2</v>
      </c>
      <c r="Q118" s="450">
        <v>1.4999999999999999E-2</v>
      </c>
      <c r="R118" s="451">
        <v>10.280404389999999</v>
      </c>
      <c r="S118" s="451">
        <f>R118+R117</f>
        <v>17.741090620000001</v>
      </c>
      <c r="T118" s="492">
        <v>95.6</v>
      </c>
      <c r="U118" s="492">
        <v>92.2</v>
      </c>
      <c r="V118" s="455">
        <v>3534</v>
      </c>
      <c r="W118" s="455">
        <v>6393</v>
      </c>
      <c r="X118" s="455">
        <f>W118-V118</f>
        <v>2859</v>
      </c>
      <c r="Y118" s="455">
        <f t="shared" si="69"/>
        <v>278.10190061988408</v>
      </c>
      <c r="Z118" s="476">
        <v>3543</v>
      </c>
      <c r="AA118" s="455">
        <v>6407</v>
      </c>
      <c r="AB118" s="455">
        <f>AA118-Z118</f>
        <v>2864</v>
      </c>
      <c r="AC118" s="475">
        <f t="shared" si="70"/>
        <v>278.58826281054496</v>
      </c>
      <c r="AD118" s="476">
        <v>137</v>
      </c>
      <c r="AE118" s="455">
        <v>151</v>
      </c>
      <c r="AF118" s="455">
        <f>AE118-AD118</f>
        <v>14</v>
      </c>
      <c r="AG118" s="475">
        <f t="shared" si="71"/>
        <v>1.3618141338504293</v>
      </c>
      <c r="AH118" s="476">
        <v>1993</v>
      </c>
      <c r="AI118" s="455">
        <v>4338</v>
      </c>
      <c r="AJ118" s="455">
        <f>AI118-AH118</f>
        <v>2345</v>
      </c>
      <c r="AK118" s="475">
        <f t="shared" si="72"/>
        <v>228.10386741994691</v>
      </c>
      <c r="AL118" s="476">
        <v>237.7</v>
      </c>
      <c r="AM118" s="455">
        <v>355.1</v>
      </c>
      <c r="AN118" s="455">
        <f>AM118-AL118</f>
        <v>117.40000000000003</v>
      </c>
      <c r="AO118" s="475">
        <f t="shared" si="73"/>
        <v>11.419784236717176</v>
      </c>
      <c r="AP118" s="476">
        <v>201.41542200000001</v>
      </c>
      <c r="AQ118" s="455">
        <v>301.84682400000003</v>
      </c>
      <c r="AR118" s="455">
        <f>AQ118-AP118</f>
        <v>100.43140200000002</v>
      </c>
      <c r="AS118" s="475">
        <f t="shared" si="74"/>
        <v>9.7692073375724497</v>
      </c>
      <c r="AT118" s="476">
        <v>1160.0771119999999</v>
      </c>
      <c r="AU118" s="455">
        <v>1539</v>
      </c>
      <c r="AV118" s="455">
        <f>AU118-AT118</f>
        <v>378.92288800000006</v>
      </c>
      <c r="AW118" s="475">
        <f t="shared" si="75"/>
        <v>36.85875317984452</v>
      </c>
      <c r="AX118" s="476">
        <v>1.1000000000000001</v>
      </c>
      <c r="AY118" s="455">
        <v>1.7</v>
      </c>
      <c r="AZ118" s="455">
        <f>AY118-AX118</f>
        <v>0.59999999999999987</v>
      </c>
      <c r="BA118" s="475">
        <f t="shared" si="76"/>
        <v>5.83634628793041E-2</v>
      </c>
      <c r="BB118" s="476">
        <v>-4.4000000000000004</v>
      </c>
      <c r="BC118" s="455">
        <v>-5.8</v>
      </c>
      <c r="BD118" s="455">
        <f>BC118-BB118</f>
        <v>-1.3999999999999995</v>
      </c>
      <c r="BE118" s="455">
        <v>-6.6159689999999998</v>
      </c>
      <c r="BF118" s="475">
        <f t="shared" si="77"/>
        <v>-0.13618141338504289</v>
      </c>
      <c r="BG118" s="443">
        <v>95.6</v>
      </c>
      <c r="BH118" s="443">
        <v>92.2</v>
      </c>
      <c r="BI118" s="443">
        <f>BH118-BG118</f>
        <v>-3.3999999999999915</v>
      </c>
      <c r="BJ118" s="495">
        <v>1.7</v>
      </c>
      <c r="BK118" s="495">
        <v>2.4</v>
      </c>
      <c r="BL118" s="495">
        <f>BK118-BJ118</f>
        <v>0.7</v>
      </c>
      <c r="BM118" s="495">
        <v>0</v>
      </c>
      <c r="BN118" s="495">
        <v>0</v>
      </c>
      <c r="BO118" s="495">
        <f>BN118-BM118</f>
        <v>0</v>
      </c>
      <c r="BP118" s="443"/>
      <c r="BQ118" s="443"/>
      <c r="BR118" s="443"/>
      <c r="BS118" s="443"/>
      <c r="BT118" s="466" t="s">
        <v>723</v>
      </c>
      <c r="BU118" s="447">
        <v>1875.9379923399999</v>
      </c>
      <c r="BV118" s="447">
        <v>3.50405107</v>
      </c>
      <c r="BW118" s="447">
        <v>1352.5957232200001</v>
      </c>
      <c r="BX118" s="447">
        <v>1306.80462184</v>
      </c>
      <c r="BY118" s="447">
        <v>6.8772348000000001</v>
      </c>
      <c r="BZ118" s="447">
        <v>6.7905112900000004</v>
      </c>
      <c r="CA118" s="447">
        <v>0.23121886999999999</v>
      </c>
      <c r="CB118" s="447">
        <v>10.28039596</v>
      </c>
      <c r="CC118" s="447">
        <v>10.256680579999999</v>
      </c>
      <c r="CD118" s="447">
        <v>1.0327197299999999</v>
      </c>
      <c r="CE118" s="447">
        <v>1.2771277599999999</v>
      </c>
      <c r="CF118" s="447">
        <v>0.33399078999999998</v>
      </c>
      <c r="CG118" s="447"/>
    </row>
    <row r="119" spans="1:85" s="449" customFormat="1" ht="22.5">
      <c r="A119" s="500">
        <v>62006009</v>
      </c>
      <c r="B119" s="491" t="s">
        <v>828</v>
      </c>
      <c r="C119" s="491" t="s">
        <v>699</v>
      </c>
      <c r="D119" s="473" t="s">
        <v>752</v>
      </c>
      <c r="E119" s="448" t="s">
        <v>816</v>
      </c>
      <c r="F119" s="481" t="str">
        <f t="shared" si="68"/>
        <v>06/04/20</v>
      </c>
      <c r="G119" s="466" t="s">
        <v>817</v>
      </c>
      <c r="H119" s="466" t="s">
        <v>708</v>
      </c>
      <c r="I119" s="474"/>
      <c r="J119" s="467">
        <v>-6.3195509999999997</v>
      </c>
      <c r="K119" s="467">
        <v>9.2598409999999998</v>
      </c>
      <c r="L119" s="467">
        <v>29.076284999999999</v>
      </c>
      <c r="M119" s="467">
        <v>9.0930339999999994</v>
      </c>
      <c r="N119" s="450">
        <v>4250</v>
      </c>
      <c r="O119" s="450">
        <v>38.71</v>
      </c>
      <c r="P119" s="450">
        <v>3.0499999999999999E-2</v>
      </c>
      <c r="Q119" s="450">
        <v>1.4999999999999999E-2</v>
      </c>
      <c r="R119" s="451">
        <v>3.5967451800000001</v>
      </c>
      <c r="S119" s="451">
        <f>R119+R118</f>
        <v>13.87714957</v>
      </c>
      <c r="T119" s="492">
        <v>92.1</v>
      </c>
      <c r="U119" s="492">
        <v>90.7</v>
      </c>
      <c r="V119" s="455">
        <v>6444</v>
      </c>
      <c r="W119" s="455">
        <v>7670</v>
      </c>
      <c r="X119" s="455">
        <f>W119-V119</f>
        <v>1226</v>
      </c>
      <c r="Y119" s="455">
        <f t="shared" si="69"/>
        <v>340.86373614046244</v>
      </c>
      <c r="Z119" s="476">
        <v>6461</v>
      </c>
      <c r="AA119" s="455">
        <v>7691</v>
      </c>
      <c r="AB119" s="455">
        <f>AA119-Z119</f>
        <v>1230</v>
      </c>
      <c r="AC119" s="475">
        <f t="shared" si="70"/>
        <v>341.97585273472168</v>
      </c>
      <c r="AD119" s="476">
        <v>151</v>
      </c>
      <c r="AE119" s="455">
        <v>172</v>
      </c>
      <c r="AF119" s="455">
        <f>AE119-AD119</f>
        <v>21</v>
      </c>
      <c r="AG119" s="475">
        <f t="shared" si="71"/>
        <v>5.8386121198611018</v>
      </c>
      <c r="AH119" s="476">
        <v>4338</v>
      </c>
      <c r="AI119" s="455">
        <v>5132</v>
      </c>
      <c r="AJ119" s="455">
        <f>AI119-AH119</f>
        <v>794</v>
      </c>
      <c r="AK119" s="475">
        <f t="shared" si="72"/>
        <v>220.75514396046259</v>
      </c>
      <c r="AL119" s="476">
        <v>400.5</v>
      </c>
      <c r="AM119" s="455">
        <v>464.5</v>
      </c>
      <c r="AN119" s="455">
        <f>AM119-AL119</f>
        <v>64</v>
      </c>
      <c r="AO119" s="475">
        <f t="shared" si="73"/>
        <v>17.793865508148119</v>
      </c>
      <c r="AP119" s="476">
        <v>335.67665099999999</v>
      </c>
      <c r="AQ119" s="455">
        <v>388.44638400000002</v>
      </c>
      <c r="AR119" s="455">
        <f>AQ119-AP119</f>
        <v>52.769733000000031</v>
      </c>
      <c r="AS119" s="475">
        <f t="shared" si="74"/>
        <v>14.671523935982595</v>
      </c>
      <c r="AT119" s="476">
        <v>1543.4</v>
      </c>
      <c r="AU119" s="455">
        <v>1888.3638350000001</v>
      </c>
      <c r="AV119" s="455">
        <f>AU119-AT119</f>
        <v>344.96383500000002</v>
      </c>
      <c r="AW119" s="475">
        <f t="shared" si="75"/>
        <v>95.910001330703111</v>
      </c>
      <c r="AX119" s="476">
        <v>2.1</v>
      </c>
      <c r="AY119" s="455">
        <v>2.4</v>
      </c>
      <c r="AZ119" s="455">
        <f>AY119-AX119</f>
        <v>0.29999999999999982</v>
      </c>
      <c r="BA119" s="475">
        <f t="shared" si="76"/>
        <v>8.3408744569444263E-2</v>
      </c>
      <c r="BB119" s="476">
        <v>-6.84</v>
      </c>
      <c r="BC119" s="455">
        <v>-7.68</v>
      </c>
      <c r="BD119" s="455">
        <f>BC119-BB119</f>
        <v>-0.83999999999999986</v>
      </c>
      <c r="BE119" s="455">
        <v>-5.9996239999999998</v>
      </c>
      <c r="BF119" s="475">
        <f t="shared" si="77"/>
        <v>-0.23354448479444403</v>
      </c>
      <c r="BG119" s="443">
        <v>92.1</v>
      </c>
      <c r="BH119" s="443">
        <v>90.7</v>
      </c>
      <c r="BI119" s="443">
        <f>BH119-BG119</f>
        <v>-1.3999999999999915</v>
      </c>
      <c r="BJ119" s="495">
        <v>3</v>
      </c>
      <c r="BK119" s="495">
        <v>3.5</v>
      </c>
      <c r="BL119" s="495">
        <f>BK119-BJ119</f>
        <v>0.5</v>
      </c>
      <c r="BM119" s="495">
        <v>0</v>
      </c>
      <c r="BN119" s="495">
        <v>0</v>
      </c>
      <c r="BO119" s="495">
        <f>BN119-BM119</f>
        <v>0</v>
      </c>
      <c r="BP119" s="443"/>
      <c r="BQ119" s="443"/>
      <c r="BR119" s="443"/>
      <c r="BS119" s="443"/>
      <c r="BT119" s="466" t="s">
        <v>723</v>
      </c>
      <c r="BU119" s="447">
        <v>2369.0387258199999</v>
      </c>
      <c r="BV119" s="447">
        <v>-1.0641646499999999</v>
      </c>
      <c r="BW119" s="447">
        <v>2027.06114245</v>
      </c>
      <c r="BX119" s="447">
        <v>2048.8644335600002</v>
      </c>
      <c r="BY119" s="447">
        <v>3.0215548000000001</v>
      </c>
      <c r="BZ119" s="447">
        <v>3.0320460499999999</v>
      </c>
      <c r="CA119" s="447">
        <v>0.1581834</v>
      </c>
      <c r="CB119" s="447">
        <v>3.5966608299999998</v>
      </c>
      <c r="CC119" s="447">
        <v>3.5909805000000001</v>
      </c>
      <c r="CD119" s="447">
        <v>-0.50594651999999996</v>
      </c>
      <c r="CE119" s="447">
        <v>-0.34601249000000001</v>
      </c>
      <c r="CF119" s="447">
        <v>0.63450872999999997</v>
      </c>
      <c r="CG119" s="447"/>
    </row>
    <row r="120" spans="1:85" s="449" customFormat="1" ht="22.5">
      <c r="A120" s="500">
        <v>62006009</v>
      </c>
      <c r="B120" s="491" t="s">
        <v>239</v>
      </c>
      <c r="C120" s="491" t="s">
        <v>700</v>
      </c>
      <c r="D120" s="473" t="s">
        <v>752</v>
      </c>
      <c r="E120" s="448" t="s">
        <v>816</v>
      </c>
      <c r="F120" s="481" t="str">
        <f t="shared" si="68"/>
        <v>06/04/20</v>
      </c>
      <c r="G120" s="466" t="s">
        <v>817</v>
      </c>
      <c r="H120" s="466" t="s">
        <v>708</v>
      </c>
      <c r="I120" s="474"/>
      <c r="J120" s="467">
        <v>-7.1682980000000001</v>
      </c>
      <c r="K120" s="467">
        <v>9.4090539999999994</v>
      </c>
      <c r="L120" s="467">
        <v>29.079315999999999</v>
      </c>
      <c r="M120" s="467">
        <v>9.186083</v>
      </c>
      <c r="N120" s="450">
        <v>4250</v>
      </c>
      <c r="O120" s="450">
        <v>38.71</v>
      </c>
      <c r="P120" s="450">
        <v>3.0499999999999999E-2</v>
      </c>
      <c r="Q120" s="450">
        <v>1.4999999999999999E-2</v>
      </c>
      <c r="R120" s="451">
        <v>3.8620226500000001</v>
      </c>
      <c r="S120" s="451">
        <f>R120+R119</f>
        <v>7.4587678300000002</v>
      </c>
      <c r="T120" s="492">
        <v>90.7</v>
      </c>
      <c r="U120" s="492">
        <v>89.2</v>
      </c>
      <c r="V120" s="455">
        <v>7670</v>
      </c>
      <c r="W120" s="455">
        <v>8896</v>
      </c>
      <c r="X120" s="455">
        <f>W120-V120</f>
        <v>1226</v>
      </c>
      <c r="Y120" s="455">
        <f t="shared" si="69"/>
        <v>317.4502355650348</v>
      </c>
      <c r="Z120" s="476">
        <v>7691</v>
      </c>
      <c r="AA120" s="455">
        <v>8922</v>
      </c>
      <c r="AB120" s="455">
        <f>AA120-Z120</f>
        <v>1231</v>
      </c>
      <c r="AC120" s="475">
        <f t="shared" si="70"/>
        <v>318.74489394825275</v>
      </c>
      <c r="AD120" s="476">
        <v>172</v>
      </c>
      <c r="AE120" s="455">
        <v>196</v>
      </c>
      <c r="AF120" s="455">
        <f>AE120-AD120</f>
        <v>24</v>
      </c>
      <c r="AG120" s="475">
        <f t="shared" si="71"/>
        <v>6.214360239446032</v>
      </c>
      <c r="AH120" s="476">
        <v>5132</v>
      </c>
      <c r="AI120" s="455">
        <v>5832</v>
      </c>
      <c r="AJ120" s="455">
        <f>AI120-AH120</f>
        <v>700</v>
      </c>
      <c r="AK120" s="475">
        <f t="shared" si="72"/>
        <v>181.25217365050926</v>
      </c>
      <c r="AL120" s="476">
        <v>464.5</v>
      </c>
      <c r="AM120" s="455">
        <v>571</v>
      </c>
      <c r="AN120" s="455">
        <f>AM120-AL120</f>
        <v>106.5</v>
      </c>
      <c r="AO120" s="475">
        <f t="shared" si="73"/>
        <v>27.576223562541767</v>
      </c>
      <c r="AP120" s="476">
        <v>388.476382</v>
      </c>
      <c r="AQ120" s="455">
        <v>475.815878</v>
      </c>
      <c r="AR120" s="455">
        <f>AQ120-AP120</f>
        <v>87.339495999999997</v>
      </c>
      <c r="AS120" s="475">
        <f t="shared" si="74"/>
        <v>22.614962136485655</v>
      </c>
      <c r="AT120" s="476">
        <v>1888.4638179999999</v>
      </c>
      <c r="AU120" s="455">
        <v>2281.6999999999998</v>
      </c>
      <c r="AV120" s="455">
        <f>AU120-AT120</f>
        <v>393.23618199999987</v>
      </c>
      <c r="AW120" s="475">
        <f t="shared" si="75"/>
        <v>101.82130392218178</v>
      </c>
      <c r="AX120" s="476">
        <v>2.4</v>
      </c>
      <c r="AY120" s="455">
        <v>2.9</v>
      </c>
      <c r="AZ120" s="455">
        <f>AY120-AX120</f>
        <v>0.5</v>
      </c>
      <c r="BA120" s="475">
        <f t="shared" si="76"/>
        <v>0.12946583832179234</v>
      </c>
      <c r="BB120" s="476">
        <v>-7.68</v>
      </c>
      <c r="BC120" s="455">
        <v>-9.0558739999999993</v>
      </c>
      <c r="BD120" s="455">
        <f>BC120-BB120</f>
        <v>-1.3758739999999996</v>
      </c>
      <c r="BE120" s="455">
        <v>-5.7249359999999996</v>
      </c>
      <c r="BF120" s="475">
        <f t="shared" si="77"/>
        <v>-0.3562573616703153</v>
      </c>
      <c r="BG120" s="443">
        <v>90.7</v>
      </c>
      <c r="BH120" s="443">
        <v>89.2</v>
      </c>
      <c r="BI120" s="443">
        <f>BH120-BG120</f>
        <v>-1.5</v>
      </c>
      <c r="BJ120" s="495">
        <v>3.5</v>
      </c>
      <c r="BK120" s="495">
        <v>4.4000000000000004</v>
      </c>
      <c r="BL120" s="495">
        <f>BK120-BJ120</f>
        <v>0.90000000000000036</v>
      </c>
      <c r="BM120" s="495">
        <v>0</v>
      </c>
      <c r="BN120" s="495">
        <v>0</v>
      </c>
      <c r="BO120" s="495">
        <f>BN120-BM120</f>
        <v>0</v>
      </c>
      <c r="BP120" s="443"/>
      <c r="BQ120" s="443"/>
      <c r="BR120" s="443"/>
      <c r="BS120" s="443"/>
      <c r="BT120" s="466" t="s">
        <v>723</v>
      </c>
      <c r="BU120" s="447">
        <v>1476.9818436200001</v>
      </c>
      <c r="BV120" s="447">
        <v>-0.96259236000000004</v>
      </c>
      <c r="BW120" s="447">
        <v>3383.4007186499998</v>
      </c>
      <c r="BX120" s="447">
        <v>3416.2856229200002</v>
      </c>
      <c r="BY120" s="447">
        <v>2.9862123</v>
      </c>
      <c r="BZ120" s="447">
        <v>2.9954192399999999</v>
      </c>
      <c r="CA120" s="447">
        <v>5.2849189999999997E-2</v>
      </c>
      <c r="CB120" s="447">
        <v>3.86187127</v>
      </c>
      <c r="CC120" s="447">
        <v>3.8598313800000001</v>
      </c>
      <c r="CD120" s="447">
        <v>-0.36132687000000002</v>
      </c>
      <c r="CE120" s="447">
        <v>-0.30736708000000001</v>
      </c>
      <c r="CF120" s="447">
        <v>0.72008713999999996</v>
      </c>
      <c r="CG120" s="447"/>
    </row>
    <row r="121" spans="1:85" s="449" customFormat="1" ht="22.5">
      <c r="A121" s="500">
        <v>62006009</v>
      </c>
      <c r="B121" s="491" t="s">
        <v>833</v>
      </c>
      <c r="C121" s="491" t="s">
        <v>701</v>
      </c>
      <c r="D121" s="473" t="s">
        <v>752</v>
      </c>
      <c r="E121" s="448" t="s">
        <v>816</v>
      </c>
      <c r="F121" s="481" t="str">
        <f t="shared" si="68"/>
        <v>06/04/20</v>
      </c>
      <c r="G121" s="466" t="s">
        <v>817</v>
      </c>
      <c r="H121" s="466" t="s">
        <v>708</v>
      </c>
      <c r="I121" s="474"/>
      <c r="J121" s="468">
        <f>AVERAGE(J119:J120)</f>
        <v>-6.7439245000000003</v>
      </c>
      <c r="K121" s="468">
        <f>AVERAGE(K119:K120)</f>
        <v>9.3344474999999996</v>
      </c>
      <c r="L121" s="468">
        <f>AVERAGE(L119:L120)</f>
        <v>29.077800499999999</v>
      </c>
      <c r="M121" s="468">
        <f>AVERAGE(M119:M120)</f>
        <v>9.1395584999999997</v>
      </c>
      <c r="N121" s="452"/>
      <c r="O121" s="450"/>
      <c r="P121" s="470"/>
      <c r="Q121" s="469"/>
      <c r="R121" s="453">
        <f>R120+R119</f>
        <v>7.4587678300000002</v>
      </c>
      <c r="S121" s="453">
        <f>S120</f>
        <v>7.4587678300000002</v>
      </c>
      <c r="T121" s="493">
        <f>T119</f>
        <v>92.1</v>
      </c>
      <c r="U121" s="493">
        <f>U120</f>
        <v>89.2</v>
      </c>
      <c r="V121" s="456">
        <f>V119</f>
        <v>6444</v>
      </c>
      <c r="W121" s="456">
        <f>W120</f>
        <v>8896</v>
      </c>
      <c r="X121" s="456">
        <f>SUM(X119:X120)</f>
        <v>2452</v>
      </c>
      <c r="Y121" s="456">
        <f t="shared" si="69"/>
        <v>328.74062524614067</v>
      </c>
      <c r="Z121" s="456">
        <f>Z119</f>
        <v>6461</v>
      </c>
      <c r="AA121" s="456">
        <f>AA120</f>
        <v>8922</v>
      </c>
      <c r="AB121" s="456">
        <f>SUM(AB119:AB120)</f>
        <v>2461</v>
      </c>
      <c r="AC121" s="454">
        <f t="shared" si="70"/>
        <v>329.9472588624601</v>
      </c>
      <c r="AD121" s="456">
        <f>AD119</f>
        <v>151</v>
      </c>
      <c r="AE121" s="456">
        <f>AE120</f>
        <v>196</v>
      </c>
      <c r="AF121" s="456">
        <f>SUM(AF119:AF120)</f>
        <v>45</v>
      </c>
      <c r="AG121" s="454">
        <f t="shared" si="71"/>
        <v>6.0331680815971982</v>
      </c>
      <c r="AH121" s="456">
        <f>AH119</f>
        <v>4338</v>
      </c>
      <c r="AI121" s="456">
        <f>AI120</f>
        <v>5832</v>
      </c>
      <c r="AJ121" s="456">
        <f>SUM(AJ119:AJ120)</f>
        <v>1494</v>
      </c>
      <c r="AK121" s="454">
        <f t="shared" si="72"/>
        <v>200.30118030902699</v>
      </c>
      <c r="AL121" s="456">
        <f>AL119</f>
        <v>400.5</v>
      </c>
      <c r="AM121" s="456">
        <f>AM120</f>
        <v>571</v>
      </c>
      <c r="AN121" s="456">
        <f>SUM(AN119:AN120)</f>
        <v>170.5</v>
      </c>
      <c r="AO121" s="454">
        <f t="shared" si="73"/>
        <v>22.859003509162719</v>
      </c>
      <c r="AP121" s="456">
        <f>AP119</f>
        <v>335.67665099999999</v>
      </c>
      <c r="AQ121" s="456">
        <f>AQ120</f>
        <v>475.815878</v>
      </c>
      <c r="AR121" s="456">
        <f>SUM(AR119:AR120)</f>
        <v>140.10922900000003</v>
      </c>
      <c r="AS121" s="454">
        <f t="shared" si="74"/>
        <v>18.784500629777614</v>
      </c>
      <c r="AT121" s="456">
        <f>AT119</f>
        <v>1543.4</v>
      </c>
      <c r="AU121" s="456">
        <f>AU120</f>
        <v>2281.6999999999998</v>
      </c>
      <c r="AV121" s="456">
        <f>SUM(AV119:AV120)</f>
        <v>738.20001699999989</v>
      </c>
      <c r="AW121" s="454">
        <f t="shared" si="75"/>
        <v>98.97077289775352</v>
      </c>
      <c r="AX121" s="456">
        <f>AX119</f>
        <v>2.1</v>
      </c>
      <c r="AY121" s="456">
        <f>AY120</f>
        <v>2.9</v>
      </c>
      <c r="AZ121" s="456">
        <f>SUM(AZ119:AZ120)</f>
        <v>0.79999999999999982</v>
      </c>
      <c r="BA121" s="454">
        <f t="shared" si="76"/>
        <v>0.10725632145061684</v>
      </c>
      <c r="BB121" s="456">
        <f>BB119</f>
        <v>-6.84</v>
      </c>
      <c r="BC121" s="456">
        <f>BC120</f>
        <v>-9.0558739999999993</v>
      </c>
      <c r="BD121" s="456">
        <f>SUM(BD119:BD120)</f>
        <v>-2.2158739999999995</v>
      </c>
      <c r="BE121" s="455">
        <f>AVERAGE(BE119:BE120)</f>
        <v>-5.8622800000000002</v>
      </c>
      <c r="BF121" s="454">
        <f t="shared" si="77"/>
        <v>-0.29708311754758016</v>
      </c>
      <c r="BG121" s="445" t="s">
        <v>1101</v>
      </c>
      <c r="BH121" s="445" t="s">
        <v>1102</v>
      </c>
      <c r="BI121" s="445">
        <f>SUM(BI119:BI120)</f>
        <v>-2.8999999999999915</v>
      </c>
      <c r="BJ121" s="496" t="s">
        <v>1103</v>
      </c>
      <c r="BK121" s="496" t="s">
        <v>1104</v>
      </c>
      <c r="BL121" s="496">
        <f>SUM(BL119:BL120)</f>
        <v>1.4000000000000004</v>
      </c>
      <c r="BM121" s="496" t="s">
        <v>1105</v>
      </c>
      <c r="BN121" s="496" t="s">
        <v>1106</v>
      </c>
      <c r="BO121" s="496">
        <f>SUM(BO119:BO120)</f>
        <v>0</v>
      </c>
      <c r="BP121" s="445"/>
      <c r="BQ121" s="445"/>
      <c r="BR121" s="445"/>
      <c r="BS121" s="445"/>
      <c r="BT121" s="466" t="s">
        <v>723</v>
      </c>
      <c r="BU121" s="447"/>
      <c r="BV121" s="447"/>
      <c r="BW121" s="447"/>
      <c r="BX121" s="447"/>
      <c r="BY121" s="447"/>
      <c r="BZ121" s="447"/>
      <c r="CA121" s="447"/>
      <c r="CB121" s="447"/>
      <c r="CC121" s="447"/>
      <c r="CD121" s="447"/>
      <c r="CE121" s="447"/>
      <c r="CF121" s="447"/>
      <c r="CG121" s="447"/>
    </row>
    <row r="122" spans="1:85" s="449" customFormat="1" ht="22.5">
      <c r="A122" s="500">
        <v>62006009</v>
      </c>
      <c r="B122" s="491" t="s">
        <v>836</v>
      </c>
      <c r="C122" s="491" t="s">
        <v>770</v>
      </c>
      <c r="D122" s="473" t="s">
        <v>752</v>
      </c>
      <c r="E122" s="448" t="s">
        <v>816</v>
      </c>
      <c r="F122" s="481" t="str">
        <f t="shared" si="68"/>
        <v>06/04/20</v>
      </c>
      <c r="G122" s="466" t="s">
        <v>817</v>
      </c>
      <c r="H122" s="466" t="s">
        <v>708</v>
      </c>
      <c r="I122" s="474"/>
      <c r="J122" s="467">
        <v>-5.473554</v>
      </c>
      <c r="K122" s="467">
        <v>8.7245200000000001</v>
      </c>
      <c r="L122" s="467">
        <v>29.082011000000001</v>
      </c>
      <c r="M122" s="467">
        <v>10.695565</v>
      </c>
      <c r="N122" s="450">
        <v>4250</v>
      </c>
      <c r="O122" s="450">
        <v>38.71</v>
      </c>
      <c r="P122" s="450">
        <v>3.0499999999999999E-2</v>
      </c>
      <c r="Q122" s="450">
        <v>1.4999999999999999E-2</v>
      </c>
      <c r="R122" s="451">
        <v>1.7736533299999999</v>
      </c>
      <c r="S122" s="451">
        <f>R122+R121</f>
        <v>9.2324211599999995</v>
      </c>
      <c r="T122" s="492">
        <v>89.2</v>
      </c>
      <c r="U122" s="492">
        <v>85.8</v>
      </c>
      <c r="V122" s="455">
        <v>8945</v>
      </c>
      <c r="W122" s="455">
        <v>11743</v>
      </c>
      <c r="X122" s="455">
        <f>W122-V122-X123</f>
        <v>782</v>
      </c>
      <c r="Y122" s="455">
        <f t="shared" si="69"/>
        <v>440.89788391737187</v>
      </c>
      <c r="Z122" s="476">
        <v>8971</v>
      </c>
      <c r="AA122" s="455">
        <v>11774</v>
      </c>
      <c r="AB122" s="455">
        <f>AA122-Z122-AB123</f>
        <v>784</v>
      </c>
      <c r="AC122" s="475">
        <f t="shared" si="70"/>
        <v>442.0254999887718</v>
      </c>
      <c r="AD122" s="476">
        <v>196</v>
      </c>
      <c r="AE122" s="455">
        <v>292</v>
      </c>
      <c r="AF122" s="455">
        <f>AE122-AD122-AF123</f>
        <v>67</v>
      </c>
      <c r="AG122" s="475">
        <f t="shared" si="71"/>
        <v>37.775138391897592</v>
      </c>
      <c r="AH122" s="476">
        <v>5832</v>
      </c>
      <c r="AI122" s="455">
        <v>8209</v>
      </c>
      <c r="AJ122" s="455">
        <f>AI122-AH122-AJ123</f>
        <v>590</v>
      </c>
      <c r="AK122" s="475">
        <f t="shared" si="72"/>
        <v>332.64674106297878</v>
      </c>
      <c r="AL122" s="476">
        <v>582.4</v>
      </c>
      <c r="AM122" s="455">
        <v>658</v>
      </c>
      <c r="AN122" s="455">
        <f>AM122-AL122-AN123</f>
        <v>29.899999999999977</v>
      </c>
      <c r="AO122" s="475">
        <f t="shared" si="73"/>
        <v>16.857860267428912</v>
      </c>
      <c r="AP122" s="476">
        <v>485.15581600000002</v>
      </c>
      <c r="AQ122" s="455">
        <v>547.54549199999997</v>
      </c>
      <c r="AR122" s="455">
        <f>AQ122-AP122-AR123</f>
        <v>24.701217999999926</v>
      </c>
      <c r="AS122" s="475">
        <f t="shared" si="74"/>
        <v>13.926745199976551</v>
      </c>
      <c r="AT122" s="476">
        <v>2318.5</v>
      </c>
      <c r="AU122" s="455">
        <v>2564.6366119999998</v>
      </c>
      <c r="AV122" s="455">
        <f>AU122-AT122-AV123</f>
        <v>94.436611999999514</v>
      </c>
      <c r="AW122" s="475">
        <f t="shared" si="75"/>
        <v>53.244120709879375</v>
      </c>
      <c r="AX122" s="476">
        <v>3</v>
      </c>
      <c r="AY122" s="455">
        <v>3.3</v>
      </c>
      <c r="AZ122" s="455">
        <f>AY122-AX122-AZ123</f>
        <v>9.9999999999999645E-2</v>
      </c>
      <c r="BA122" s="475">
        <f t="shared" si="76"/>
        <v>5.6380803569996203E-2</v>
      </c>
      <c r="BB122" s="476">
        <v>-9.1999999999999993</v>
      </c>
      <c r="BC122" s="455">
        <v>-10.1</v>
      </c>
      <c r="BD122" s="455">
        <f>BC122-BB122-BD123</f>
        <v>-0.35000000000000142</v>
      </c>
      <c r="BE122" s="455">
        <v>-5.3636379999999999</v>
      </c>
      <c r="BF122" s="475">
        <f t="shared" si="77"/>
        <v>-0.19733281249498821</v>
      </c>
      <c r="BG122" s="443">
        <v>89.2</v>
      </c>
      <c r="BH122" s="443">
        <v>85.8</v>
      </c>
      <c r="BI122" s="443">
        <f>BH122-BG122-BI123</f>
        <v>-1.0000000000000142</v>
      </c>
      <c r="BJ122" s="495">
        <v>4.4000000000000004</v>
      </c>
      <c r="BK122" s="495">
        <v>5</v>
      </c>
      <c r="BL122" s="495">
        <f>BK122-BJ122-BL123</f>
        <v>0.29999999999999893</v>
      </c>
      <c r="BM122" s="495">
        <v>0</v>
      </c>
      <c r="BN122" s="495">
        <v>0</v>
      </c>
      <c r="BO122" s="495">
        <f>BN122-BM122-BO123</f>
        <v>0</v>
      </c>
      <c r="BP122" s="443"/>
      <c r="BQ122" s="443"/>
      <c r="BR122" s="443"/>
      <c r="BS122" s="443"/>
      <c r="BT122" s="466" t="s">
        <v>723</v>
      </c>
      <c r="BU122" s="447">
        <v>5479.7127985799998</v>
      </c>
      <c r="BV122" s="447">
        <v>-2.6994951</v>
      </c>
      <c r="BW122" s="447">
        <v>2393.03489111</v>
      </c>
      <c r="BX122" s="447">
        <v>2459.42700259</v>
      </c>
      <c r="BY122" s="447">
        <v>3.0174486100000002</v>
      </c>
      <c r="BZ122" s="447">
        <v>3.0984042000000001</v>
      </c>
      <c r="CA122" s="447">
        <v>8.5034419999999999E-2</v>
      </c>
      <c r="CB122" s="447">
        <v>1.7736151</v>
      </c>
      <c r="CC122" s="447">
        <v>1.7721081999999999</v>
      </c>
      <c r="CD122" s="447">
        <v>-2.77023128</v>
      </c>
      <c r="CE122" s="447">
        <v>-2.6128158099999998</v>
      </c>
      <c r="CF122" s="447">
        <v>0.84360493000000003</v>
      </c>
      <c r="CG122" s="447"/>
    </row>
    <row r="123" spans="1:85" s="449" customFormat="1" ht="22.5">
      <c r="A123" s="500">
        <v>62006009</v>
      </c>
      <c r="B123" s="491" t="s">
        <v>837</v>
      </c>
      <c r="C123" s="491" t="s">
        <v>705</v>
      </c>
      <c r="D123" s="473" t="s">
        <v>752</v>
      </c>
      <c r="E123" s="448" t="s">
        <v>816</v>
      </c>
      <c r="F123" s="481" t="str">
        <f t="shared" si="68"/>
        <v>06/04/20</v>
      </c>
      <c r="G123" s="466" t="s">
        <v>817</v>
      </c>
      <c r="H123" s="466" t="s">
        <v>708</v>
      </c>
      <c r="I123" s="474"/>
      <c r="J123" s="467">
        <v>-1.5901259999999999</v>
      </c>
      <c r="K123" s="467">
        <v>6.7519650000000002</v>
      </c>
      <c r="L123" s="467">
        <v>29.080304999999999</v>
      </c>
      <c r="M123" s="467">
        <v>10.244281000000001</v>
      </c>
      <c r="N123" s="450">
        <v>4250</v>
      </c>
      <c r="O123" s="450">
        <v>38.71</v>
      </c>
      <c r="P123" s="450">
        <v>3.0499999999999999E-2</v>
      </c>
      <c r="Q123" s="450">
        <v>1.4999999999999999E-2</v>
      </c>
      <c r="R123" s="451">
        <v>6.2480959599999997</v>
      </c>
      <c r="S123" s="451">
        <f>R123+R122</f>
        <v>8.0217492899999989</v>
      </c>
      <c r="T123" s="492">
        <v>88.6</v>
      </c>
      <c r="U123" s="492">
        <v>86.2</v>
      </c>
      <c r="V123" s="455">
        <v>9450</v>
      </c>
      <c r="W123" s="455">
        <v>11466</v>
      </c>
      <c r="X123" s="455">
        <f>W123-V123</f>
        <v>2016</v>
      </c>
      <c r="Y123" s="455">
        <f t="shared" si="69"/>
        <v>322.65829668851632</v>
      </c>
      <c r="Z123" s="476">
        <v>9477</v>
      </c>
      <c r="AA123" s="455">
        <v>11496</v>
      </c>
      <c r="AB123" s="455">
        <f>AA123-Z123</f>
        <v>2019</v>
      </c>
      <c r="AC123" s="475">
        <f t="shared" si="70"/>
        <v>323.13844296335043</v>
      </c>
      <c r="AD123" s="476">
        <v>224</v>
      </c>
      <c r="AE123" s="455">
        <v>253</v>
      </c>
      <c r="AF123" s="455">
        <f>AE123-AD123</f>
        <v>29</v>
      </c>
      <c r="AG123" s="475">
        <f t="shared" si="71"/>
        <v>4.6414139900629827</v>
      </c>
      <c r="AH123" s="476">
        <v>6239</v>
      </c>
      <c r="AI123" s="455">
        <v>8026</v>
      </c>
      <c r="AJ123" s="455">
        <f>AI123-AH123</f>
        <v>1787</v>
      </c>
      <c r="AK123" s="475">
        <f t="shared" si="72"/>
        <v>286.00713104284654</v>
      </c>
      <c r="AL123" s="476">
        <v>598.5</v>
      </c>
      <c r="AM123" s="455">
        <v>644.20000000000005</v>
      </c>
      <c r="AN123" s="455">
        <f>AM123-AL123</f>
        <v>45.700000000000045</v>
      </c>
      <c r="AO123" s="475">
        <f t="shared" si="73"/>
        <v>7.3142282533061556</v>
      </c>
      <c r="AP123" s="476">
        <v>498.38154200000002</v>
      </c>
      <c r="AQ123" s="455">
        <v>536.07000000000005</v>
      </c>
      <c r="AR123" s="455">
        <f>AQ123-AP123</f>
        <v>37.688458000000026</v>
      </c>
      <c r="AS123" s="475">
        <f t="shared" si="74"/>
        <v>6.0319909043138367</v>
      </c>
      <c r="AT123" s="476">
        <v>2371.6999999999998</v>
      </c>
      <c r="AU123" s="455">
        <v>2523.4</v>
      </c>
      <c r="AV123" s="455">
        <f>AU123-AT123</f>
        <v>151.70000000000027</v>
      </c>
      <c r="AW123" s="475">
        <f t="shared" si="75"/>
        <v>24.279396630777782</v>
      </c>
      <c r="AX123" s="476">
        <v>3</v>
      </c>
      <c r="AY123" s="455">
        <v>3.2</v>
      </c>
      <c r="AZ123" s="455">
        <f>AY123-AX123</f>
        <v>0.20000000000000018</v>
      </c>
      <c r="BA123" s="475">
        <f t="shared" si="76"/>
        <v>3.2009751655606808E-2</v>
      </c>
      <c r="BB123" s="476">
        <v>-9.4</v>
      </c>
      <c r="BC123" s="455">
        <v>-9.9499999999999993</v>
      </c>
      <c r="BD123" s="455">
        <f>BC123-BB123</f>
        <v>-0.54999999999999893</v>
      </c>
      <c r="BE123" s="455">
        <v>-5.4350870000000002</v>
      </c>
      <c r="BF123" s="475">
        <f t="shared" si="77"/>
        <v>-8.8026817052918468E-2</v>
      </c>
      <c r="BG123" s="443">
        <v>88.6</v>
      </c>
      <c r="BH123" s="443">
        <v>86.2</v>
      </c>
      <c r="BI123" s="443">
        <f>BH123-BG123</f>
        <v>-2.3999999999999915</v>
      </c>
      <c r="BJ123" s="495">
        <v>4.5999999999999996</v>
      </c>
      <c r="BK123" s="495">
        <v>4.9000000000000004</v>
      </c>
      <c r="BL123" s="495">
        <f>BK123-BJ123</f>
        <v>0.30000000000000071</v>
      </c>
      <c r="BM123" s="495">
        <v>0</v>
      </c>
      <c r="BN123" s="495">
        <v>0</v>
      </c>
      <c r="BO123" s="495">
        <f>BN123-BM123</f>
        <v>0</v>
      </c>
      <c r="BP123" s="443"/>
      <c r="BQ123" s="443"/>
      <c r="BR123" s="443"/>
      <c r="BS123" s="443"/>
      <c r="BT123" s="466" t="s">
        <v>723</v>
      </c>
      <c r="BU123" s="447">
        <v>11301.12103989</v>
      </c>
      <c r="BV123" s="447">
        <v>0.35715453000000003</v>
      </c>
      <c r="BW123" s="447">
        <v>1143.1453078500001</v>
      </c>
      <c r="BX123" s="447">
        <v>1139.0770426199999</v>
      </c>
      <c r="BY123" s="447">
        <v>5.9140316500000001</v>
      </c>
      <c r="BZ123" s="447">
        <v>5.8932339200000001</v>
      </c>
      <c r="CA123" s="447">
        <v>0.21241937</v>
      </c>
      <c r="CB123" s="447">
        <v>6.2481028500000004</v>
      </c>
      <c r="CC123" s="447">
        <v>6.2348588100000004</v>
      </c>
      <c r="CD123" s="447">
        <v>0.13999526000000001</v>
      </c>
      <c r="CE123" s="447">
        <v>0.35290869000000002</v>
      </c>
      <c r="CF123" s="447">
        <v>0.41980804999999999</v>
      </c>
      <c r="CG123" s="447"/>
    </row>
    <row r="124" spans="1:85" s="449" customFormat="1" ht="22.5">
      <c r="A124" s="500">
        <v>62006009</v>
      </c>
      <c r="B124" s="491" t="s">
        <v>835</v>
      </c>
      <c r="C124" s="491" t="s">
        <v>703</v>
      </c>
      <c r="D124" s="473" t="s">
        <v>752</v>
      </c>
      <c r="E124" s="448" t="s">
        <v>816</v>
      </c>
      <c r="F124" s="481" t="str">
        <f t="shared" si="68"/>
        <v>06/04/20</v>
      </c>
      <c r="G124" s="466" t="s">
        <v>817</v>
      </c>
      <c r="H124" s="466" t="s">
        <v>708</v>
      </c>
      <c r="I124" s="474"/>
      <c r="J124" s="468">
        <f>AVERAGE(J122:J123)</f>
        <v>-3.5318399999999999</v>
      </c>
      <c r="K124" s="468">
        <f>AVERAGE(K122:K123)</f>
        <v>7.7382425000000001</v>
      </c>
      <c r="L124" s="468">
        <f>AVERAGE(L122:L123)</f>
        <v>29.081158000000002</v>
      </c>
      <c r="M124" s="468">
        <f>AVERAGE(M122:M123)</f>
        <v>10.469923000000001</v>
      </c>
      <c r="N124" s="452"/>
      <c r="O124" s="450"/>
      <c r="P124" s="470"/>
      <c r="Q124" s="469"/>
      <c r="R124" s="453">
        <f>R123+R122</f>
        <v>8.0217492899999989</v>
      </c>
      <c r="S124" s="453">
        <f>S123</f>
        <v>8.0217492899999989</v>
      </c>
      <c r="T124" s="493">
        <f>T122</f>
        <v>89.2</v>
      </c>
      <c r="U124" s="493">
        <f>U123</f>
        <v>86.2</v>
      </c>
      <c r="V124" s="456">
        <f>V122</f>
        <v>8945</v>
      </c>
      <c r="W124" s="456">
        <f>W123</f>
        <v>11466</v>
      </c>
      <c r="X124" s="456">
        <f>SUM(X122:X123)</f>
        <v>2798</v>
      </c>
      <c r="Y124" s="456">
        <f t="shared" si="69"/>
        <v>348.80172626287606</v>
      </c>
      <c r="Z124" s="456">
        <f>Z122</f>
        <v>8971</v>
      </c>
      <c r="AA124" s="456">
        <f>AA123</f>
        <v>11496</v>
      </c>
      <c r="AB124" s="456">
        <f>SUM(AB122:AB123)</f>
        <v>2803</v>
      </c>
      <c r="AC124" s="454">
        <f t="shared" si="70"/>
        <v>349.42503170651952</v>
      </c>
      <c r="AD124" s="456">
        <f>AD122</f>
        <v>196</v>
      </c>
      <c r="AE124" s="456">
        <f>AE123</f>
        <v>253</v>
      </c>
      <c r="AF124" s="456">
        <f>SUM(AF122:AF123)</f>
        <v>96</v>
      </c>
      <c r="AG124" s="454">
        <f t="shared" si="71"/>
        <v>11.967464517954289</v>
      </c>
      <c r="AH124" s="456">
        <f>AH122</f>
        <v>5832</v>
      </c>
      <c r="AI124" s="456">
        <f>AI123</f>
        <v>8026</v>
      </c>
      <c r="AJ124" s="456">
        <f>SUM(AJ122:AJ123)</f>
        <v>2377</v>
      </c>
      <c r="AK124" s="454">
        <f t="shared" si="72"/>
        <v>296.31940790809733</v>
      </c>
      <c r="AL124" s="456">
        <f>AL122</f>
        <v>582.4</v>
      </c>
      <c r="AM124" s="456">
        <f>AM123</f>
        <v>644.20000000000005</v>
      </c>
      <c r="AN124" s="456">
        <f>SUM(AN122:AN123)</f>
        <v>75.600000000000023</v>
      </c>
      <c r="AO124" s="454">
        <f t="shared" si="73"/>
        <v>9.4243783078890058</v>
      </c>
      <c r="AP124" s="456">
        <f>AP122</f>
        <v>485.15581600000002</v>
      </c>
      <c r="AQ124" s="456">
        <f>AQ123</f>
        <v>536.07000000000005</v>
      </c>
      <c r="AR124" s="456">
        <f>SUM(AR122:AR123)</f>
        <v>62.389675999999952</v>
      </c>
      <c r="AS124" s="454">
        <f t="shared" si="74"/>
        <v>7.777564935590247</v>
      </c>
      <c r="AT124" s="456">
        <f>AT122</f>
        <v>2318.5</v>
      </c>
      <c r="AU124" s="456">
        <f>AU123</f>
        <v>2523.4</v>
      </c>
      <c r="AV124" s="456">
        <f>SUM(AV122:AV123)</f>
        <v>246.13661199999979</v>
      </c>
      <c r="AW124" s="454">
        <f t="shared" si="75"/>
        <v>30.683658027911243</v>
      </c>
      <c r="AX124" s="456">
        <f>AX122</f>
        <v>3</v>
      </c>
      <c r="AY124" s="456">
        <f>AY123</f>
        <v>3.2</v>
      </c>
      <c r="AZ124" s="456">
        <f>SUM(AZ122:AZ123)</f>
        <v>0.29999999999999982</v>
      </c>
      <c r="BA124" s="454">
        <f t="shared" si="76"/>
        <v>3.7398326618607133E-2</v>
      </c>
      <c r="BB124" s="456">
        <f>BB122</f>
        <v>-9.1999999999999993</v>
      </c>
      <c r="BC124" s="456">
        <f>BC123</f>
        <v>-9.9499999999999993</v>
      </c>
      <c r="BD124" s="456">
        <f>SUM(BD122:BD123)</f>
        <v>-0.90000000000000036</v>
      </c>
      <c r="BE124" s="455">
        <f>AVERAGE(BE122:BE123)</f>
        <v>-5.3993625000000005</v>
      </c>
      <c r="BF124" s="454">
        <f t="shared" si="77"/>
        <v>-0.11219497985582151</v>
      </c>
      <c r="BG124" s="445" t="s">
        <v>1107</v>
      </c>
      <c r="BH124" s="445" t="s">
        <v>1108</v>
      </c>
      <c r="BI124" s="445">
        <f>SUM(BI122:BI123)</f>
        <v>-3.4000000000000057</v>
      </c>
      <c r="BJ124" s="496" t="s">
        <v>1109</v>
      </c>
      <c r="BK124" s="496" t="s">
        <v>1110</v>
      </c>
      <c r="BL124" s="496">
        <f>SUM(BL122:BL123)</f>
        <v>0.59999999999999964</v>
      </c>
      <c r="BM124" s="496" t="s">
        <v>1111</v>
      </c>
      <c r="BN124" s="496" t="s">
        <v>1112</v>
      </c>
      <c r="BO124" s="496">
        <f>SUM(BO122:BO123)</f>
        <v>0</v>
      </c>
      <c r="BP124" s="445"/>
      <c r="BQ124" s="445"/>
      <c r="BR124" s="445"/>
      <c r="BS124" s="445"/>
      <c r="BT124" s="466" t="s">
        <v>723</v>
      </c>
      <c r="BU124" s="447"/>
      <c r="BV124" s="447"/>
      <c r="BW124" s="447"/>
      <c r="BX124" s="447"/>
      <c r="BY124" s="447"/>
      <c r="BZ124" s="447"/>
      <c r="CA124" s="447"/>
      <c r="CB124" s="447"/>
      <c r="CC124" s="447"/>
      <c r="CD124" s="447"/>
      <c r="CE124" s="447"/>
      <c r="CF124" s="447"/>
      <c r="CG124" s="447"/>
    </row>
    <row r="125" spans="1:85" s="449" customFormat="1" ht="22.5">
      <c r="A125" s="500">
        <v>62006010</v>
      </c>
      <c r="B125" s="491" t="s">
        <v>838</v>
      </c>
      <c r="C125" s="491" t="s">
        <v>695</v>
      </c>
      <c r="D125" s="473" t="s">
        <v>756</v>
      </c>
      <c r="E125" s="448" t="s">
        <v>871</v>
      </c>
      <c r="F125" s="481" t="str">
        <f t="shared" si="68"/>
        <v>06/04/20</v>
      </c>
      <c r="G125" s="466" t="s">
        <v>872</v>
      </c>
      <c r="H125" s="466" t="s">
        <v>708</v>
      </c>
      <c r="I125" s="474"/>
      <c r="J125" s="467">
        <v>-4.9143400000000002</v>
      </c>
      <c r="K125" s="467">
        <v>22.186772000000001</v>
      </c>
      <c r="L125" s="467">
        <v>93.595510000000004</v>
      </c>
      <c r="M125" s="467">
        <v>41.320410000000003</v>
      </c>
      <c r="N125" s="450">
        <v>4250</v>
      </c>
      <c r="O125" s="450">
        <v>38.71</v>
      </c>
      <c r="P125" s="450">
        <v>3.0499999999999999E-2</v>
      </c>
      <c r="Q125" s="450">
        <v>1.4999999999999999E-2</v>
      </c>
      <c r="R125" s="451">
        <v>171.55677721999999</v>
      </c>
      <c r="S125" s="451">
        <f>R125+R124</f>
        <v>179.57852650999999</v>
      </c>
      <c r="T125" s="492">
        <v>85.8</v>
      </c>
      <c r="U125" s="492">
        <v>23.2</v>
      </c>
      <c r="V125" s="455">
        <v>11796</v>
      </c>
      <c r="W125" s="455">
        <v>61180</v>
      </c>
      <c r="X125" s="455">
        <f>W125-V125</f>
        <v>49384</v>
      </c>
      <c r="Y125" s="455">
        <f t="shared" si="69"/>
        <v>287.85805376065809</v>
      </c>
      <c r="Z125" s="476">
        <v>11831</v>
      </c>
      <c r="AA125" s="455">
        <v>61274</v>
      </c>
      <c r="AB125" s="455">
        <f>AA125-Z125</f>
        <v>49443</v>
      </c>
      <c r="AC125" s="475">
        <f t="shared" si="70"/>
        <v>288.20196322874244</v>
      </c>
      <c r="AD125" s="476">
        <v>292</v>
      </c>
      <c r="AE125" s="455">
        <v>296</v>
      </c>
      <c r="AF125" s="455">
        <f>AE125-AD125</f>
        <v>4</v>
      </c>
      <c r="AG125" s="475">
        <f t="shared" si="71"/>
        <v>2.331589614131363E-2</v>
      </c>
      <c r="AH125" s="476">
        <v>8208</v>
      </c>
      <c r="AI125" s="455">
        <v>52190</v>
      </c>
      <c r="AJ125" s="455">
        <f>AI125-AH125</f>
        <v>43982</v>
      </c>
      <c r="AK125" s="475">
        <f t="shared" si="72"/>
        <v>256.36993602181406</v>
      </c>
      <c r="AL125" s="476">
        <v>699.7</v>
      </c>
      <c r="AM125" s="455">
        <v>1790.7</v>
      </c>
      <c r="AN125" s="455">
        <f>AM125-AL125</f>
        <v>1091</v>
      </c>
      <c r="AO125" s="475">
        <f t="shared" si="73"/>
        <v>6.3594106725432926</v>
      </c>
      <c r="AP125" s="476">
        <v>578.11573799999996</v>
      </c>
      <c r="AQ125" s="455">
        <v>1485.440691</v>
      </c>
      <c r="AR125" s="455">
        <f>AQ125-AP125</f>
        <v>907.32495300000005</v>
      </c>
      <c r="AS125" s="475">
        <f t="shared" si="74"/>
        <v>5.2887735926425687</v>
      </c>
      <c r="AT125" s="476">
        <v>2573.9</v>
      </c>
      <c r="AU125" s="455">
        <v>6803.4</v>
      </c>
      <c r="AV125" s="455">
        <f>AU125-AT125</f>
        <v>4229.5</v>
      </c>
      <c r="AW125" s="475">
        <f t="shared" si="75"/>
        <v>24.653645682421502</v>
      </c>
      <c r="AX125" s="476">
        <v>3.6</v>
      </c>
      <c r="AY125" s="455">
        <v>7.6</v>
      </c>
      <c r="AZ125" s="455">
        <f>AY125-AX125</f>
        <v>3.9999999999999996</v>
      </c>
      <c r="BA125" s="475">
        <f t="shared" si="76"/>
        <v>2.331589614131363E-2</v>
      </c>
      <c r="BB125" s="476">
        <v>-10.58</v>
      </c>
      <c r="BC125" s="455">
        <v>-19.88</v>
      </c>
      <c r="BD125" s="455">
        <f>BC125-BB125</f>
        <v>-9.2999999999999989</v>
      </c>
      <c r="BE125" s="455">
        <v>-11.310812</v>
      </c>
      <c r="BF125" s="475">
        <f t="shared" si="77"/>
        <v>-5.4209458528554189E-2</v>
      </c>
      <c r="BG125" s="443">
        <v>85.8</v>
      </c>
      <c r="BH125" s="443">
        <v>23.2</v>
      </c>
      <c r="BI125" s="443">
        <f>BH125-BG125</f>
        <v>-62.599999999999994</v>
      </c>
      <c r="BJ125" s="495">
        <v>5.6</v>
      </c>
      <c r="BK125" s="495">
        <v>14.9</v>
      </c>
      <c r="BL125" s="495">
        <f>BK125-BJ125</f>
        <v>9.3000000000000007</v>
      </c>
      <c r="BM125" s="495">
        <v>0</v>
      </c>
      <c r="BN125" s="495">
        <v>0</v>
      </c>
      <c r="BO125" s="495">
        <f>BN125-BM125</f>
        <v>0</v>
      </c>
      <c r="BP125" s="443"/>
      <c r="BQ125" s="443"/>
      <c r="BR125" s="443"/>
      <c r="BS125" s="443"/>
      <c r="BT125" s="466" t="s">
        <v>723</v>
      </c>
      <c r="BU125" s="447">
        <v>13.373183539999999</v>
      </c>
      <c r="BV125" s="447">
        <v>64.822261830000002</v>
      </c>
      <c r="BW125" s="447">
        <v>957.8678711</v>
      </c>
      <c r="BX125" s="447">
        <v>581.15200000000004</v>
      </c>
      <c r="BY125" s="447">
        <v>128.91032575</v>
      </c>
      <c r="BZ125" s="447">
        <v>128.07601743000001</v>
      </c>
      <c r="CA125" s="447">
        <v>0.29147429000000002</v>
      </c>
      <c r="CB125" s="447">
        <v>171.55708404999999</v>
      </c>
      <c r="CC125" s="447">
        <v>171.05849253</v>
      </c>
      <c r="CD125" s="447">
        <v>0.35761268000000002</v>
      </c>
      <c r="CE125" s="447">
        <v>0.65141651</v>
      </c>
      <c r="CF125" s="447">
        <v>6.44985E-3</v>
      </c>
      <c r="CG125" s="447"/>
    </row>
    <row r="126" spans="1:85" s="449" customFormat="1" ht="22.5">
      <c r="A126" s="500">
        <v>62006011</v>
      </c>
      <c r="B126" s="491" t="s">
        <v>839</v>
      </c>
      <c r="C126" s="491" t="s">
        <v>771</v>
      </c>
      <c r="D126" s="473" t="s">
        <v>760</v>
      </c>
      <c r="E126" s="448" t="s">
        <v>873</v>
      </c>
      <c r="F126" s="481" t="str">
        <f t="shared" si="68"/>
        <v>06/04/20</v>
      </c>
      <c r="G126" s="466" t="s">
        <v>874</v>
      </c>
      <c r="H126" s="466" t="s">
        <v>708</v>
      </c>
      <c r="I126" s="474"/>
      <c r="J126" s="467">
        <v>-8.185003</v>
      </c>
      <c r="K126" s="467">
        <v>9.3634760000000004</v>
      </c>
      <c r="L126" s="467">
        <v>29.086158000000001</v>
      </c>
      <c r="M126" s="467">
        <v>13.425794</v>
      </c>
      <c r="N126" s="450">
        <v>4250</v>
      </c>
      <c r="O126" s="450">
        <v>38.71</v>
      </c>
      <c r="P126" s="450">
        <v>3.0499999999999999E-2</v>
      </c>
      <c r="Q126" s="450">
        <v>1.4999999999999999E-2</v>
      </c>
      <c r="R126" s="451">
        <v>1.77453416</v>
      </c>
      <c r="S126" s="451">
        <f>R126+R125</f>
        <v>173.33131137999999</v>
      </c>
      <c r="T126" s="492">
        <v>23.2</v>
      </c>
      <c r="U126" s="492">
        <v>19.600000000000001</v>
      </c>
      <c r="V126" s="455">
        <v>61218</v>
      </c>
      <c r="W126" s="455">
        <v>63739</v>
      </c>
      <c r="X126" s="455">
        <f>W126-V126-X127</f>
        <v>636</v>
      </c>
      <c r="Y126" s="455">
        <f t="shared" si="69"/>
        <v>358.40392049708413</v>
      </c>
      <c r="Z126" s="476">
        <v>61315</v>
      </c>
      <c r="AA126" s="455">
        <v>63841</v>
      </c>
      <c r="AB126" s="455">
        <f>AA126-Z126-AB127</f>
        <v>638</v>
      </c>
      <c r="AC126" s="475">
        <f t="shared" si="70"/>
        <v>359.53097685084856</v>
      </c>
      <c r="AD126" s="476">
        <v>296</v>
      </c>
      <c r="AE126" s="455">
        <v>349</v>
      </c>
      <c r="AF126" s="455">
        <f>AE126-AD126-AF127</f>
        <v>37</v>
      </c>
      <c r="AG126" s="475">
        <f t="shared" si="71"/>
        <v>20.850542544641687</v>
      </c>
      <c r="AH126" s="476">
        <v>52190</v>
      </c>
      <c r="AI126" s="455">
        <v>54317</v>
      </c>
      <c r="AJ126" s="455">
        <f>AI126-AH126-AJ127</f>
        <v>447</v>
      </c>
      <c r="AK126" s="475">
        <f t="shared" si="72"/>
        <v>251.89709506634688</v>
      </c>
      <c r="AL126" s="476">
        <v>1820.7</v>
      </c>
      <c r="AM126" s="455">
        <v>1886.6</v>
      </c>
      <c r="AN126" s="455">
        <f>AM126-AL126-AN127</f>
        <v>27.299999999999727</v>
      </c>
      <c r="AO126" s="475">
        <f t="shared" si="73"/>
        <v>15.384319228884118</v>
      </c>
      <c r="AP126" s="476">
        <v>1508.591087</v>
      </c>
      <c r="AQ126" s="455">
        <v>1563.631108</v>
      </c>
      <c r="AR126" s="455">
        <f>AQ126-AP126-AR127</f>
        <v>22.970140000000129</v>
      </c>
      <c r="AS126" s="475">
        <f t="shared" si="74"/>
        <v>12.944321116929149</v>
      </c>
      <c r="AT126" s="476">
        <v>6810.7</v>
      </c>
      <c r="AU126" s="455">
        <v>7082.0110789999999</v>
      </c>
      <c r="AV126" s="455">
        <f>AU126-AT126-AV127</f>
        <v>122.11107900000025</v>
      </c>
      <c r="AW126" s="475">
        <f t="shared" si="75"/>
        <v>68.813033725989385</v>
      </c>
      <c r="AX126" s="476">
        <v>7.8</v>
      </c>
      <c r="AY126" s="455">
        <v>7.9</v>
      </c>
      <c r="AZ126" s="455">
        <f>AY126-AX126-AZ127</f>
        <v>0</v>
      </c>
      <c r="BA126" s="475">
        <f t="shared" si="76"/>
        <v>0</v>
      </c>
      <c r="BB126" s="476">
        <v>-20.25</v>
      </c>
      <c r="BC126" s="455">
        <v>-20.8</v>
      </c>
      <c r="BD126" s="455">
        <f>BC126-BB126-BD127</f>
        <v>-0.22000000000000242</v>
      </c>
      <c r="BE126" s="455">
        <v>-3.304322</v>
      </c>
      <c r="BF126" s="475">
        <f t="shared" si="77"/>
        <v>-0.12397619891408708</v>
      </c>
      <c r="BG126" s="443">
        <v>23.2</v>
      </c>
      <c r="BH126" s="443">
        <v>19.600000000000001</v>
      </c>
      <c r="BI126" s="443">
        <f>BH126-BG126-BI127</f>
        <v>-0.89999999999999503</v>
      </c>
      <c r="BJ126" s="495">
        <v>15.3</v>
      </c>
      <c r="BK126" s="495">
        <v>15.9</v>
      </c>
      <c r="BL126" s="495">
        <f>BK126-BJ126-BL127</f>
        <v>0.19999999999999929</v>
      </c>
      <c r="BM126" s="495">
        <v>0</v>
      </c>
      <c r="BN126" s="495">
        <v>0</v>
      </c>
      <c r="BO126" s="495">
        <f>BN126-BM126-BO127</f>
        <v>0</v>
      </c>
      <c r="BP126" s="443"/>
      <c r="BQ126" s="443"/>
      <c r="BR126" s="443"/>
      <c r="BS126" s="443"/>
      <c r="BT126" s="466" t="s">
        <v>723</v>
      </c>
      <c r="BU126" s="447">
        <v>5459.3358493799997</v>
      </c>
      <c r="BV126" s="447">
        <v>-4.1285760600000003</v>
      </c>
      <c r="BW126" s="447">
        <v>2358.2423416299998</v>
      </c>
      <c r="BX126" s="447">
        <v>2459.7969286799998</v>
      </c>
      <c r="BY126" s="447">
        <v>3.0272337899999999</v>
      </c>
      <c r="BZ126" s="447">
        <v>3.09907295</v>
      </c>
      <c r="CA126" s="447">
        <v>0.13125118999999999</v>
      </c>
      <c r="CB126" s="447">
        <v>1.7745261400000001</v>
      </c>
      <c r="CC126" s="447">
        <v>1.77220011</v>
      </c>
      <c r="CD126" s="447">
        <v>-2.50746168</v>
      </c>
      <c r="CE126" s="447">
        <v>-2.3180853799999999</v>
      </c>
      <c r="CF126" s="447">
        <v>0.84362795999999995</v>
      </c>
      <c r="CG126" s="447"/>
    </row>
    <row r="127" spans="1:85" s="449" customFormat="1" ht="22.5">
      <c r="A127" s="500">
        <v>62006011</v>
      </c>
      <c r="B127" s="491" t="s">
        <v>840</v>
      </c>
      <c r="C127" s="491" t="s">
        <v>696</v>
      </c>
      <c r="D127" s="473" t="s">
        <v>760</v>
      </c>
      <c r="E127" s="448" t="s">
        <v>873</v>
      </c>
      <c r="F127" s="481" t="str">
        <f t="shared" si="68"/>
        <v>06/04/20</v>
      </c>
      <c r="G127" s="466" t="s">
        <v>874</v>
      </c>
      <c r="H127" s="466" t="s">
        <v>708</v>
      </c>
      <c r="I127" s="474"/>
      <c r="J127" s="467">
        <v>-5.4785969999999997</v>
      </c>
      <c r="K127" s="467">
        <v>8.2148339999999997</v>
      </c>
      <c r="L127" s="467">
        <v>29.083157</v>
      </c>
      <c r="M127" s="467">
        <v>10.525577999999999</v>
      </c>
      <c r="N127" s="450">
        <v>4250</v>
      </c>
      <c r="O127" s="450">
        <v>38.71</v>
      </c>
      <c r="P127" s="450">
        <v>3.0499999999999999E-2</v>
      </c>
      <c r="Q127" s="450">
        <v>1.4999999999999999E-2</v>
      </c>
      <c r="R127" s="451">
        <v>6.25128021</v>
      </c>
      <c r="S127" s="451">
        <f>R127+R126</f>
        <v>8.0258143699999991</v>
      </c>
      <c r="T127" s="492">
        <v>22.6</v>
      </c>
      <c r="U127" s="492">
        <v>19.899999999999999</v>
      </c>
      <c r="V127" s="455">
        <v>61654</v>
      </c>
      <c r="W127" s="455">
        <v>63539</v>
      </c>
      <c r="X127" s="455">
        <f>W127-V127</f>
        <v>1885</v>
      </c>
      <c r="Y127" s="455">
        <f t="shared" si="69"/>
        <v>301.53823483782054</v>
      </c>
      <c r="Z127" s="476">
        <v>61752</v>
      </c>
      <c r="AA127" s="455">
        <v>63640</v>
      </c>
      <c r="AB127" s="455">
        <f>AA127-Z127</f>
        <v>1888</v>
      </c>
      <c r="AC127" s="475">
        <f t="shared" si="70"/>
        <v>302.01813653782767</v>
      </c>
      <c r="AD127" s="476">
        <v>310</v>
      </c>
      <c r="AE127" s="455">
        <v>326</v>
      </c>
      <c r="AF127" s="455">
        <f>AE127-AD127</f>
        <v>16</v>
      </c>
      <c r="AG127" s="475">
        <f t="shared" si="71"/>
        <v>2.5594757333714209</v>
      </c>
      <c r="AH127" s="476">
        <v>52511</v>
      </c>
      <c r="AI127" s="455">
        <v>54191</v>
      </c>
      <c r="AJ127" s="455">
        <f>AI127-AH127</f>
        <v>1680</v>
      </c>
      <c r="AK127" s="475">
        <f t="shared" si="72"/>
        <v>268.74495200399917</v>
      </c>
      <c r="AL127" s="476">
        <v>1835.8</v>
      </c>
      <c r="AM127" s="455">
        <v>1874.4</v>
      </c>
      <c r="AN127" s="455">
        <f>AM127-AL127</f>
        <v>38.600000000000136</v>
      </c>
      <c r="AO127" s="475">
        <f t="shared" si="73"/>
        <v>6.1747352067585748</v>
      </c>
      <c r="AP127" s="476">
        <v>1521.35139</v>
      </c>
      <c r="AQ127" s="455">
        <v>1553.4212709999999</v>
      </c>
      <c r="AR127" s="455">
        <f>AQ127-AP127</f>
        <v>32.069880999999896</v>
      </c>
      <c r="AS127" s="475">
        <f t="shared" si="74"/>
        <v>5.1301301369755583</v>
      </c>
      <c r="AT127" s="476">
        <v>6894.2</v>
      </c>
      <c r="AU127" s="455">
        <v>7043.4</v>
      </c>
      <c r="AV127" s="455">
        <f>AU127-AT127</f>
        <v>149.19999999999982</v>
      </c>
      <c r="AW127" s="475">
        <f t="shared" si="75"/>
        <v>23.867111213688471</v>
      </c>
      <c r="AX127" s="476">
        <v>7.8</v>
      </c>
      <c r="AY127" s="455">
        <v>7.9</v>
      </c>
      <c r="AZ127" s="455">
        <f>AY127-AX127</f>
        <v>0.10000000000000053</v>
      </c>
      <c r="BA127" s="475">
        <f t="shared" si="76"/>
        <v>1.5996723333571466E-2</v>
      </c>
      <c r="BB127" s="476">
        <v>-20.37</v>
      </c>
      <c r="BC127" s="455">
        <v>-20.7</v>
      </c>
      <c r="BD127" s="455">
        <f>BC127-BB127</f>
        <v>-0.32999999999999829</v>
      </c>
      <c r="BE127" s="455">
        <v>-3.2809309999999998</v>
      </c>
      <c r="BF127" s="475">
        <f t="shared" si="77"/>
        <v>-5.2789187000785283E-2</v>
      </c>
      <c r="BG127" s="443">
        <v>22.6</v>
      </c>
      <c r="BH127" s="443">
        <v>19.899999999999999</v>
      </c>
      <c r="BI127" s="443">
        <f>BH127-BG127</f>
        <v>-2.7000000000000028</v>
      </c>
      <c r="BJ127" s="495">
        <v>15.4</v>
      </c>
      <c r="BK127" s="495">
        <v>15.8</v>
      </c>
      <c r="BL127" s="495">
        <f>BK127-BJ127</f>
        <v>0.40000000000000036</v>
      </c>
      <c r="BM127" s="495">
        <v>0</v>
      </c>
      <c r="BN127" s="495">
        <v>0</v>
      </c>
      <c r="BO127" s="495">
        <f>BN127-BM127</f>
        <v>0</v>
      </c>
      <c r="BP127" s="443"/>
      <c r="BQ127" s="443"/>
      <c r="BR127" s="443"/>
      <c r="BS127" s="443"/>
      <c r="BT127" s="466" t="s">
        <v>723</v>
      </c>
      <c r="BU127" s="447">
        <v>11304.69538152</v>
      </c>
      <c r="BV127" s="447">
        <v>-5.76057664</v>
      </c>
      <c r="BW127" s="447">
        <v>1073.8391557499999</v>
      </c>
      <c r="BX127" s="447">
        <v>1139.4797606</v>
      </c>
      <c r="BY127" s="447">
        <v>5.8137293899999998</v>
      </c>
      <c r="BZ127" s="447">
        <v>5.8954765900000003</v>
      </c>
      <c r="CA127" s="447">
        <v>0.24895286</v>
      </c>
      <c r="CB127" s="447">
        <v>6.2512781000000004</v>
      </c>
      <c r="CC127" s="447">
        <v>6.23575401</v>
      </c>
      <c r="CD127" s="447">
        <v>-1.6585593700000001</v>
      </c>
      <c r="CE127" s="447">
        <v>-1.38660878</v>
      </c>
      <c r="CF127" s="447">
        <v>0.41987783000000001</v>
      </c>
      <c r="CG127" s="447"/>
    </row>
    <row r="128" spans="1:85" s="449" customFormat="1" ht="22.5">
      <c r="A128" s="500">
        <v>62006011</v>
      </c>
      <c r="B128" s="491" t="s">
        <v>834</v>
      </c>
      <c r="C128" s="491" t="s">
        <v>698</v>
      </c>
      <c r="D128" s="473" t="s">
        <v>760</v>
      </c>
      <c r="E128" s="448" t="s">
        <v>873</v>
      </c>
      <c r="F128" s="481" t="str">
        <f t="shared" si="68"/>
        <v>06/04/20</v>
      </c>
      <c r="G128" s="466" t="s">
        <v>874</v>
      </c>
      <c r="H128" s="466" t="s">
        <v>708</v>
      </c>
      <c r="I128" s="474"/>
      <c r="J128" s="468">
        <f>AVERAGE(J126:J127)</f>
        <v>-6.8317999999999994</v>
      </c>
      <c r="K128" s="468">
        <f>AVERAGE(K126:K127)</f>
        <v>8.7891550000000009</v>
      </c>
      <c r="L128" s="468">
        <f>AVERAGE(L126:L127)</f>
        <v>29.084657499999999</v>
      </c>
      <c r="M128" s="468">
        <f>AVERAGE(M126:M127)</f>
        <v>11.975686</v>
      </c>
      <c r="N128" s="452"/>
      <c r="O128" s="450"/>
      <c r="P128" s="470"/>
      <c r="Q128" s="469"/>
      <c r="R128" s="453">
        <f>R127+R126</f>
        <v>8.0258143699999991</v>
      </c>
      <c r="S128" s="453">
        <f>S127</f>
        <v>8.0258143699999991</v>
      </c>
      <c r="T128" s="493">
        <f>T126</f>
        <v>23.2</v>
      </c>
      <c r="U128" s="493">
        <f>U127</f>
        <v>19.899999999999999</v>
      </c>
      <c r="V128" s="456">
        <f>V126</f>
        <v>61218</v>
      </c>
      <c r="W128" s="456">
        <f>W127</f>
        <v>63539</v>
      </c>
      <c r="X128" s="456">
        <f>SUM(X126:X127)</f>
        <v>2521</v>
      </c>
      <c r="Y128" s="456">
        <f t="shared" si="69"/>
        <v>314.11142642712286</v>
      </c>
      <c r="Z128" s="456">
        <f>Z126</f>
        <v>61315</v>
      </c>
      <c r="AA128" s="456">
        <f>AA127</f>
        <v>63640</v>
      </c>
      <c r="AB128" s="456">
        <f>SUM(AB126:AB127)</f>
        <v>2526</v>
      </c>
      <c r="AC128" s="454">
        <f t="shared" si="70"/>
        <v>314.73441616616913</v>
      </c>
      <c r="AD128" s="456">
        <f>AD126</f>
        <v>296</v>
      </c>
      <c r="AE128" s="456">
        <f>AE127</f>
        <v>326</v>
      </c>
      <c r="AF128" s="456">
        <f>SUM(AF126:AF127)</f>
        <v>53</v>
      </c>
      <c r="AG128" s="454">
        <f t="shared" si="71"/>
        <v>6.6036912338903253</v>
      </c>
      <c r="AH128" s="456">
        <f>AH126</f>
        <v>52190</v>
      </c>
      <c r="AI128" s="456">
        <f>AI127</f>
        <v>54191</v>
      </c>
      <c r="AJ128" s="456">
        <f>SUM(AJ126:AJ127)</f>
        <v>2127</v>
      </c>
      <c r="AK128" s="454">
        <f t="shared" si="72"/>
        <v>265.01983499027779</v>
      </c>
      <c r="AL128" s="456">
        <f>AL126</f>
        <v>1820.7</v>
      </c>
      <c r="AM128" s="456">
        <f>AM127</f>
        <v>1874.4</v>
      </c>
      <c r="AN128" s="456">
        <f>SUM(AN126:AN127)</f>
        <v>65.899999999999864</v>
      </c>
      <c r="AO128" s="454">
        <f t="shared" si="73"/>
        <v>8.2110047606296526</v>
      </c>
      <c r="AP128" s="456">
        <f>AP126</f>
        <v>1508.591087</v>
      </c>
      <c r="AQ128" s="456">
        <f>AQ127</f>
        <v>1553.4212709999999</v>
      </c>
      <c r="AR128" s="456">
        <f>SUM(AR126:AR127)</f>
        <v>55.040021000000024</v>
      </c>
      <c r="AS128" s="454">
        <f t="shared" si="74"/>
        <v>6.8578736639781059</v>
      </c>
      <c r="AT128" s="456">
        <f>AT126</f>
        <v>6810.7</v>
      </c>
      <c r="AU128" s="456">
        <f>AU127</f>
        <v>7043.4</v>
      </c>
      <c r="AV128" s="456">
        <f>SUM(AV126:AV127)</f>
        <v>271.31107900000006</v>
      </c>
      <c r="AW128" s="454">
        <f t="shared" si="75"/>
        <v>33.804803661313699</v>
      </c>
      <c r="AX128" s="456">
        <f>AX126</f>
        <v>7.8</v>
      </c>
      <c r="AY128" s="456">
        <f>AY127</f>
        <v>7.9</v>
      </c>
      <c r="AZ128" s="456">
        <f>SUM(AZ126:AZ127)</f>
        <v>0.10000000000000053</v>
      </c>
      <c r="BA128" s="454">
        <f t="shared" si="76"/>
        <v>1.245979478092521E-2</v>
      </c>
      <c r="BB128" s="456">
        <f>BB126</f>
        <v>-20.25</v>
      </c>
      <c r="BC128" s="456">
        <f>BC127</f>
        <v>-20.7</v>
      </c>
      <c r="BD128" s="456">
        <f>SUM(BD126:BD127)</f>
        <v>-0.55000000000000071</v>
      </c>
      <c r="BE128" s="455">
        <f>AVERAGE(BE126:BE127)</f>
        <v>-3.2926264999999999</v>
      </c>
      <c r="BF128" s="454">
        <f t="shared" si="77"/>
        <v>-6.8528871295088375E-2</v>
      </c>
      <c r="BG128" s="445" t="s">
        <v>1095</v>
      </c>
      <c r="BH128" s="445" t="s">
        <v>1096</v>
      </c>
      <c r="BI128" s="445">
        <f>SUM(BI126:BI127)</f>
        <v>-3.5999999999999979</v>
      </c>
      <c r="BJ128" s="496" t="s">
        <v>1097</v>
      </c>
      <c r="BK128" s="496" t="s">
        <v>1098</v>
      </c>
      <c r="BL128" s="496">
        <f>SUM(BL126:BL127)</f>
        <v>0.59999999999999964</v>
      </c>
      <c r="BM128" s="496" t="s">
        <v>1099</v>
      </c>
      <c r="BN128" s="496" t="s">
        <v>1100</v>
      </c>
      <c r="BO128" s="496">
        <f>SUM(BO126:BO127)</f>
        <v>0</v>
      </c>
      <c r="BP128" s="445"/>
      <c r="BQ128" s="445"/>
      <c r="BR128" s="445"/>
      <c r="BS128" s="445"/>
      <c r="BT128" s="466" t="s">
        <v>723</v>
      </c>
      <c r="BU128" s="447"/>
      <c r="BV128" s="447"/>
      <c r="BW128" s="447"/>
      <c r="BX128" s="447"/>
      <c r="BY128" s="447"/>
      <c r="BZ128" s="447"/>
      <c r="CA128" s="447"/>
      <c r="CB128" s="447"/>
      <c r="CC128" s="447"/>
      <c r="CD128" s="447"/>
      <c r="CE128" s="447"/>
      <c r="CF128" s="447"/>
      <c r="CG128" s="447"/>
    </row>
    <row r="129" spans="1:85" s="449" customFormat="1" ht="22.5">
      <c r="A129" s="500">
        <v>62006011</v>
      </c>
      <c r="B129" s="491" t="s">
        <v>841</v>
      </c>
      <c r="C129" s="491" t="s">
        <v>697</v>
      </c>
      <c r="D129" s="473" t="s">
        <v>760</v>
      </c>
      <c r="E129" s="448" t="s">
        <v>873</v>
      </c>
      <c r="F129" s="481" t="str">
        <f t="shared" si="68"/>
        <v>06/04/20</v>
      </c>
      <c r="G129" s="466" t="s">
        <v>874</v>
      </c>
      <c r="H129" s="466" t="s">
        <v>708</v>
      </c>
      <c r="I129" s="474"/>
      <c r="J129" s="467">
        <v>-5.8007400000000002</v>
      </c>
      <c r="K129" s="467">
        <v>8.1807440000000007</v>
      </c>
      <c r="L129" s="467">
        <v>29.079163999999999</v>
      </c>
      <c r="M129" s="467">
        <v>9.6829230000000006</v>
      </c>
      <c r="N129" s="450">
        <v>4250</v>
      </c>
      <c r="O129" s="450">
        <v>38.71</v>
      </c>
      <c r="P129" s="450">
        <v>3.0499999999999999E-2</v>
      </c>
      <c r="Q129" s="450">
        <v>1.4999999999999999E-2</v>
      </c>
      <c r="R129" s="451">
        <v>3.59698933</v>
      </c>
      <c r="S129" s="451">
        <f>R129+R128</f>
        <v>11.622803699999999</v>
      </c>
      <c r="T129" s="492">
        <v>19.5</v>
      </c>
      <c r="U129" s="492">
        <v>18</v>
      </c>
      <c r="V129" s="455">
        <v>63784</v>
      </c>
      <c r="W129" s="455">
        <v>64851</v>
      </c>
      <c r="X129" s="455">
        <f>W129-V129</f>
        <v>1067</v>
      </c>
      <c r="Y129" s="455">
        <f t="shared" si="69"/>
        <v>296.63696555919449</v>
      </c>
      <c r="Z129" s="476">
        <v>63890</v>
      </c>
      <c r="AA129" s="455">
        <v>64961</v>
      </c>
      <c r="AB129" s="455">
        <f>AA129-Z129</f>
        <v>1071</v>
      </c>
      <c r="AC129" s="475">
        <f t="shared" si="70"/>
        <v>297.7490066671952</v>
      </c>
      <c r="AD129" s="476">
        <v>349</v>
      </c>
      <c r="AE129" s="455">
        <v>355</v>
      </c>
      <c r="AF129" s="455">
        <f>AE129-AD129</f>
        <v>6</v>
      </c>
      <c r="AG129" s="475">
        <f t="shared" si="71"/>
        <v>1.6680616620010935</v>
      </c>
      <c r="AH129" s="476">
        <v>54316</v>
      </c>
      <c r="AI129" s="455">
        <v>55062</v>
      </c>
      <c r="AJ129" s="455">
        <f>AI129-AH129</f>
        <v>746</v>
      </c>
      <c r="AK129" s="475">
        <f t="shared" si="72"/>
        <v>207.39566664213598</v>
      </c>
      <c r="AL129" s="476">
        <v>1926.1</v>
      </c>
      <c r="AM129" s="455">
        <v>1981.8</v>
      </c>
      <c r="AN129" s="455">
        <f>AM129-AL129</f>
        <v>55.700000000000045</v>
      </c>
      <c r="AO129" s="475">
        <f t="shared" si="73"/>
        <v>15.485172428910165</v>
      </c>
      <c r="AP129" s="476">
        <v>1593.4608470000001</v>
      </c>
      <c r="AQ129" s="455">
        <v>1639.980509</v>
      </c>
      <c r="AR129" s="455">
        <f>AQ129-AP129</f>
        <v>46.519661999999926</v>
      </c>
      <c r="AS129" s="475">
        <f t="shared" si="74"/>
        <v>12.932944118574833</v>
      </c>
      <c r="AT129" s="476">
        <v>7086</v>
      </c>
      <c r="AU129" s="455">
        <v>7343</v>
      </c>
      <c r="AV129" s="455">
        <f>AU129-AT129</f>
        <v>257</v>
      </c>
      <c r="AW129" s="475">
        <f t="shared" si="75"/>
        <v>71.448641189046839</v>
      </c>
      <c r="AX129" s="476">
        <v>8.1</v>
      </c>
      <c r="AY129" s="455">
        <v>8.1999999999999993</v>
      </c>
      <c r="AZ129" s="455">
        <f>AY129-AX129</f>
        <v>9.9999999999999645E-2</v>
      </c>
      <c r="BA129" s="475">
        <f t="shared" si="76"/>
        <v>2.7801027700018126E-2</v>
      </c>
      <c r="BB129" s="476">
        <v>-21.34</v>
      </c>
      <c r="BC129" s="455">
        <v>-21.8</v>
      </c>
      <c r="BD129" s="455">
        <f>BC129-BB129</f>
        <v>-0.46000000000000085</v>
      </c>
      <c r="BE129" s="455">
        <v>-3.251261</v>
      </c>
      <c r="BF129" s="475">
        <f t="shared" si="77"/>
        <v>-0.12788472742008408</v>
      </c>
      <c r="BG129" s="443">
        <v>19.5</v>
      </c>
      <c r="BH129" s="443">
        <v>18</v>
      </c>
      <c r="BI129" s="443">
        <f>BH129-BG129</f>
        <v>-1.5</v>
      </c>
      <c r="BJ129" s="495">
        <v>16.5</v>
      </c>
      <c r="BK129" s="495">
        <v>16.899999999999999</v>
      </c>
      <c r="BL129" s="495">
        <f>BK129-BJ129</f>
        <v>0.39999999999999858</v>
      </c>
      <c r="BM129" s="495">
        <v>0</v>
      </c>
      <c r="BN129" s="495">
        <v>0</v>
      </c>
      <c r="BO129" s="495">
        <f>BN129-BM129</f>
        <v>0</v>
      </c>
      <c r="BP129" s="443"/>
      <c r="BQ129" s="443"/>
      <c r="BR129" s="443"/>
      <c r="BS129" s="443"/>
      <c r="BT129" s="466" t="s">
        <v>723</v>
      </c>
      <c r="BU129" s="447">
        <v>2370.14400707</v>
      </c>
      <c r="BV129" s="447">
        <v>-1.1467248299999999</v>
      </c>
      <c r="BW129" s="447">
        <v>2025.3867869999999</v>
      </c>
      <c r="BX129" s="447">
        <v>2048.8818235399999</v>
      </c>
      <c r="BY129" s="447">
        <v>3.02280485</v>
      </c>
      <c r="BZ129" s="447">
        <v>3.0320730500000002</v>
      </c>
      <c r="CA129" s="447">
        <v>0.16705128</v>
      </c>
      <c r="CB129" s="447">
        <v>3.5969792200000001</v>
      </c>
      <c r="CC129" s="447">
        <v>3.59098045</v>
      </c>
      <c r="CD129" s="447">
        <v>-0.47417271999999999</v>
      </c>
      <c r="CE129" s="447">
        <v>-0.30567202999999998</v>
      </c>
      <c r="CF129" s="447">
        <v>0.63451221000000002</v>
      </c>
      <c r="CG129" s="447"/>
    </row>
    <row r="130" spans="1:85" s="449" customFormat="1" ht="22.5">
      <c r="A130" s="500">
        <v>62006011</v>
      </c>
      <c r="B130" s="491" t="s">
        <v>234</v>
      </c>
      <c r="C130" s="491" t="s">
        <v>699</v>
      </c>
      <c r="D130" s="473" t="s">
        <v>760</v>
      </c>
      <c r="E130" s="448" t="s">
        <v>873</v>
      </c>
      <c r="F130" s="481" t="str">
        <f t="shared" si="68"/>
        <v>06/04/20</v>
      </c>
      <c r="G130" s="466" t="s">
        <v>874</v>
      </c>
      <c r="H130" s="466" t="s">
        <v>708</v>
      </c>
      <c r="I130" s="474"/>
      <c r="J130" s="467">
        <v>-7.0396130000000001</v>
      </c>
      <c r="K130" s="467">
        <v>8.3444409999999998</v>
      </c>
      <c r="L130" s="467">
        <v>29.077697000000001</v>
      </c>
      <c r="M130" s="467">
        <v>9.8505409999999998</v>
      </c>
      <c r="N130" s="450">
        <v>4250</v>
      </c>
      <c r="O130" s="450">
        <v>38.71</v>
      </c>
      <c r="P130" s="450">
        <v>3.0499999999999999E-2</v>
      </c>
      <c r="Q130" s="450">
        <v>1.4999999999999999E-2</v>
      </c>
      <c r="R130" s="451">
        <v>3.8647225199999999</v>
      </c>
      <c r="S130" s="451">
        <f>R130+R129</f>
        <v>7.4617118500000004</v>
      </c>
      <c r="T130" s="492">
        <v>18</v>
      </c>
      <c r="U130" s="492">
        <v>16.5</v>
      </c>
      <c r="V130" s="455">
        <v>64851</v>
      </c>
      <c r="W130" s="455">
        <v>65926</v>
      </c>
      <c r="X130" s="455">
        <f>W130-V130</f>
        <v>1075</v>
      </c>
      <c r="Y130" s="455">
        <f t="shared" si="69"/>
        <v>278.15709780892627</v>
      </c>
      <c r="Z130" s="476">
        <v>64961</v>
      </c>
      <c r="AA130" s="455">
        <v>66042</v>
      </c>
      <c r="AB130" s="455">
        <f>AA130-Z130</f>
        <v>1081</v>
      </c>
      <c r="AC130" s="475">
        <f t="shared" si="70"/>
        <v>279.70960254088305</v>
      </c>
      <c r="AD130" s="476">
        <v>355</v>
      </c>
      <c r="AE130" s="455">
        <v>371</v>
      </c>
      <c r="AF130" s="455">
        <f>AE130-AD130</f>
        <v>16</v>
      </c>
      <c r="AG130" s="475">
        <f t="shared" si="71"/>
        <v>4.1400126185514612</v>
      </c>
      <c r="AH130" s="476">
        <v>55062</v>
      </c>
      <c r="AI130" s="455">
        <v>55730</v>
      </c>
      <c r="AJ130" s="455">
        <f>AI130-AH130</f>
        <v>668</v>
      </c>
      <c r="AK130" s="475">
        <f t="shared" si="72"/>
        <v>172.84552682452349</v>
      </c>
      <c r="AL130" s="476">
        <v>1981.8</v>
      </c>
      <c r="AM130" s="455">
        <v>2075.6</v>
      </c>
      <c r="AN130" s="455">
        <f>AM130-AL130</f>
        <v>93.799999999999955</v>
      </c>
      <c r="AO130" s="475">
        <f t="shared" si="73"/>
        <v>24.270823976257926</v>
      </c>
      <c r="AP130" s="476">
        <v>1640.000599</v>
      </c>
      <c r="AQ130" s="455">
        <v>1718.1601680000001</v>
      </c>
      <c r="AR130" s="455">
        <f>AQ130-AP130</f>
        <v>78.159569000000147</v>
      </c>
      <c r="AS130" s="475">
        <f t="shared" si="74"/>
        <v>20.223850120034012</v>
      </c>
      <c r="AT130" s="476">
        <v>7343.1</v>
      </c>
      <c r="AU130" s="455">
        <v>7637.8</v>
      </c>
      <c r="AV130" s="455">
        <f>AU130-AT130</f>
        <v>294.69999999999982</v>
      </c>
      <c r="AW130" s="475">
        <f t="shared" si="75"/>
        <v>76.253857417944673</v>
      </c>
      <c r="AX130" s="476">
        <v>8.1999999999999993</v>
      </c>
      <c r="AY130" s="455">
        <v>8.3000000000000007</v>
      </c>
      <c r="AZ130" s="455">
        <f>AY130-AX130</f>
        <v>0.10000000000000142</v>
      </c>
      <c r="BA130" s="475">
        <f t="shared" si="76"/>
        <v>2.5875078865946997E-2</v>
      </c>
      <c r="BB130" s="476">
        <v>-21.8</v>
      </c>
      <c r="BC130" s="455">
        <v>-22.57</v>
      </c>
      <c r="BD130" s="455">
        <f>BC130-BB130</f>
        <v>-0.76999999999999957</v>
      </c>
      <c r="BE130" s="455">
        <v>-3.1915019999999998</v>
      </c>
      <c r="BF130" s="475">
        <f t="shared" si="77"/>
        <v>-0.19923810726778893</v>
      </c>
      <c r="BG130" s="443">
        <v>18</v>
      </c>
      <c r="BH130" s="443">
        <v>16.5</v>
      </c>
      <c r="BI130" s="443">
        <f>BH130-BG130</f>
        <v>-1.5</v>
      </c>
      <c r="BJ130" s="495">
        <v>16.899999999999999</v>
      </c>
      <c r="BK130" s="495">
        <v>17.8</v>
      </c>
      <c r="BL130" s="495">
        <f>BK130-BJ130</f>
        <v>0.90000000000000213</v>
      </c>
      <c r="BM130" s="495">
        <v>0</v>
      </c>
      <c r="BN130" s="495">
        <v>0</v>
      </c>
      <c r="BO130" s="495">
        <f>BN130-BM130</f>
        <v>0</v>
      </c>
      <c r="BP130" s="443"/>
      <c r="BQ130" s="443"/>
      <c r="BR130" s="443"/>
      <c r="BS130" s="443"/>
      <c r="BT130" s="466" t="s">
        <v>723</v>
      </c>
      <c r="BU130" s="447">
        <v>1477.1536818100001</v>
      </c>
      <c r="BV130" s="447">
        <v>-1.47631906</v>
      </c>
      <c r="BW130" s="447">
        <v>3365.8735300500002</v>
      </c>
      <c r="BX130" s="447">
        <v>3416.3091533699999</v>
      </c>
      <c r="BY130" s="447">
        <v>2.9822797699999999</v>
      </c>
      <c r="BZ130" s="447">
        <v>2.9954660299999998</v>
      </c>
      <c r="CA130" s="447">
        <v>0.1235774</v>
      </c>
      <c r="CB130" s="447">
        <v>3.8646012600000001</v>
      </c>
      <c r="CC130" s="447">
        <v>3.8598313800000001</v>
      </c>
      <c r="CD130" s="447">
        <v>-0.56627757000000001</v>
      </c>
      <c r="CE130" s="447">
        <v>-0.44020736999999999</v>
      </c>
      <c r="CF130" s="447">
        <v>0.72008435999999998</v>
      </c>
      <c r="CG130" s="447"/>
    </row>
    <row r="131" spans="1:85" s="449" customFormat="1" ht="22.5">
      <c r="A131" s="500">
        <v>62006011</v>
      </c>
      <c r="B131" s="491" t="s">
        <v>842</v>
      </c>
      <c r="C131" s="491" t="s">
        <v>704</v>
      </c>
      <c r="D131" s="473" t="s">
        <v>760</v>
      </c>
      <c r="E131" s="448" t="s">
        <v>873</v>
      </c>
      <c r="F131" s="481" t="str">
        <f t="shared" si="68"/>
        <v>06/04/20</v>
      </c>
      <c r="G131" s="466" t="s">
        <v>874</v>
      </c>
      <c r="H131" s="466" t="s">
        <v>708</v>
      </c>
      <c r="I131" s="474"/>
      <c r="J131" s="468">
        <f>AVERAGE(J129:J130)</f>
        <v>-6.4201765000000002</v>
      </c>
      <c r="K131" s="468">
        <f>AVERAGE(K129:K130)</f>
        <v>8.2625925000000002</v>
      </c>
      <c r="L131" s="468">
        <f>AVERAGE(L129:L130)</f>
        <v>29.0784305</v>
      </c>
      <c r="M131" s="468">
        <f>AVERAGE(M129:M130)</f>
        <v>9.7667320000000011</v>
      </c>
      <c r="N131" s="452"/>
      <c r="O131" s="450"/>
      <c r="P131" s="470"/>
      <c r="Q131" s="469"/>
      <c r="R131" s="453">
        <f>R130+R129</f>
        <v>7.4617118500000004</v>
      </c>
      <c r="S131" s="453">
        <f>S130</f>
        <v>7.4617118500000004</v>
      </c>
      <c r="T131" s="493">
        <f>T129</f>
        <v>19.5</v>
      </c>
      <c r="U131" s="493">
        <f>U130</f>
        <v>16.5</v>
      </c>
      <c r="V131" s="456">
        <f>V129</f>
        <v>63784</v>
      </c>
      <c r="W131" s="456">
        <f>W130</f>
        <v>65926</v>
      </c>
      <c r="X131" s="456">
        <f>SUM(X129:X130)</f>
        <v>2142</v>
      </c>
      <c r="Y131" s="456">
        <f t="shared" si="69"/>
        <v>287.06549422703853</v>
      </c>
      <c r="Z131" s="456">
        <f>Z129</f>
        <v>63890</v>
      </c>
      <c r="AA131" s="456">
        <f>AA130</f>
        <v>66042</v>
      </c>
      <c r="AB131" s="456">
        <f>SUM(AB129:AB130)</f>
        <v>2152</v>
      </c>
      <c r="AC131" s="454">
        <f t="shared" si="70"/>
        <v>288.40566927011525</v>
      </c>
      <c r="AD131" s="456">
        <f>AD129</f>
        <v>349</v>
      </c>
      <c r="AE131" s="456">
        <f>AE130</f>
        <v>371</v>
      </c>
      <c r="AF131" s="456">
        <f>SUM(AF129:AF130)</f>
        <v>22</v>
      </c>
      <c r="AG131" s="454">
        <f t="shared" si="71"/>
        <v>2.9483850947688364</v>
      </c>
      <c r="AH131" s="456">
        <f>AH129</f>
        <v>54316</v>
      </c>
      <c r="AI131" s="456">
        <f>AI130</f>
        <v>55730</v>
      </c>
      <c r="AJ131" s="456">
        <f>SUM(AJ129:AJ130)</f>
        <v>1414</v>
      </c>
      <c r="AK131" s="454">
        <f t="shared" si="72"/>
        <v>189.50075109105157</v>
      </c>
      <c r="AL131" s="456">
        <f>AL129</f>
        <v>1926.1</v>
      </c>
      <c r="AM131" s="456">
        <f>AM130</f>
        <v>2075.6</v>
      </c>
      <c r="AN131" s="456">
        <f>SUM(AN129:AN130)</f>
        <v>149.5</v>
      </c>
      <c r="AO131" s="454">
        <f t="shared" si="73"/>
        <v>20.035616893997318</v>
      </c>
      <c r="AP131" s="456">
        <f>AP129</f>
        <v>1593.4608470000001</v>
      </c>
      <c r="AQ131" s="456">
        <f>AQ130</f>
        <v>1718.1601680000001</v>
      </c>
      <c r="AR131" s="456">
        <f>SUM(AR129:AR130)</f>
        <v>124.67923100000007</v>
      </c>
      <c r="AS131" s="454">
        <f t="shared" si="74"/>
        <v>16.709199377620038</v>
      </c>
      <c r="AT131" s="456">
        <f>AT129</f>
        <v>7086</v>
      </c>
      <c r="AU131" s="456">
        <f>AU130</f>
        <v>7637.8</v>
      </c>
      <c r="AV131" s="456">
        <f>SUM(AV129:AV130)</f>
        <v>551.69999999999982</v>
      </c>
      <c r="AW131" s="454">
        <f t="shared" si="75"/>
        <v>73.937457126543933</v>
      </c>
      <c r="AX131" s="456">
        <f>AX129</f>
        <v>8.1</v>
      </c>
      <c r="AY131" s="456">
        <f>AY130</f>
        <v>8.3000000000000007</v>
      </c>
      <c r="AZ131" s="456">
        <f>SUM(AZ129:AZ130)</f>
        <v>0.20000000000000107</v>
      </c>
      <c r="BA131" s="454">
        <f t="shared" si="76"/>
        <v>2.6803500861535018E-2</v>
      </c>
      <c r="BB131" s="456">
        <f>BB129</f>
        <v>-21.34</v>
      </c>
      <c r="BC131" s="456">
        <f>BC130</f>
        <v>-22.57</v>
      </c>
      <c r="BD131" s="456">
        <f>SUM(BD129:BD130)</f>
        <v>-1.2300000000000004</v>
      </c>
      <c r="BE131" s="455">
        <f>AVERAGE(BE129:BE130)</f>
        <v>-3.2213814999999997</v>
      </c>
      <c r="BF131" s="454">
        <f t="shared" si="77"/>
        <v>-0.16484153029843954</v>
      </c>
      <c r="BG131" s="445" t="s">
        <v>1113</v>
      </c>
      <c r="BH131" s="445" t="s">
        <v>1114</v>
      </c>
      <c r="BI131" s="445">
        <f>SUM(BI129:BI130)</f>
        <v>-3</v>
      </c>
      <c r="BJ131" s="496" t="s">
        <v>1115</v>
      </c>
      <c r="BK131" s="496" t="s">
        <v>1116</v>
      </c>
      <c r="BL131" s="496">
        <f>SUM(BL129:BL130)</f>
        <v>1.3000000000000007</v>
      </c>
      <c r="BM131" s="496" t="s">
        <v>1117</v>
      </c>
      <c r="BN131" s="496" t="s">
        <v>1118</v>
      </c>
      <c r="BO131" s="496">
        <f>SUM(BO129:BO130)</f>
        <v>0</v>
      </c>
      <c r="BP131" s="445"/>
      <c r="BQ131" s="445"/>
      <c r="BR131" s="445"/>
      <c r="BS131" s="445"/>
      <c r="BT131" s="466" t="s">
        <v>723</v>
      </c>
      <c r="BU131" s="447"/>
      <c r="BV131" s="447"/>
      <c r="BW131" s="447"/>
      <c r="BX131" s="447"/>
      <c r="BY131" s="447"/>
      <c r="BZ131" s="447"/>
      <c r="CA131" s="447"/>
      <c r="CB131" s="447"/>
      <c r="CC131" s="447"/>
      <c r="CD131" s="447"/>
      <c r="CE131" s="447"/>
      <c r="CF131" s="447"/>
      <c r="CG131" s="447"/>
    </row>
    <row r="132" spans="1:85" s="449" customFormat="1" ht="22.5">
      <c r="A132" s="500">
        <v>62006011</v>
      </c>
      <c r="B132" s="491" t="s">
        <v>56</v>
      </c>
      <c r="C132" s="491" t="s">
        <v>700</v>
      </c>
      <c r="D132" s="473" t="s">
        <v>760</v>
      </c>
      <c r="E132" s="448" t="s">
        <v>873</v>
      </c>
      <c r="F132" s="481" t="str">
        <f t="shared" si="68"/>
        <v>06/04/20</v>
      </c>
      <c r="G132" s="466" t="s">
        <v>874</v>
      </c>
      <c r="H132" s="466" t="s">
        <v>708</v>
      </c>
      <c r="I132" s="474"/>
      <c r="J132" s="467">
        <v>-4.939953</v>
      </c>
      <c r="K132" s="467">
        <v>7.2451610000000004</v>
      </c>
      <c r="L132" s="467">
        <v>29.07264</v>
      </c>
      <c r="M132" s="467">
        <v>9.7762510000000002</v>
      </c>
      <c r="N132" s="450">
        <v>4250</v>
      </c>
      <c r="O132" s="450">
        <v>38.71</v>
      </c>
      <c r="P132" s="450">
        <v>3.0499999999999999E-2</v>
      </c>
      <c r="Q132" s="450">
        <v>1.4999999999999999E-2</v>
      </c>
      <c r="R132" s="451">
        <v>10.284009490000001</v>
      </c>
      <c r="S132" s="451">
        <f>R132+R131</f>
        <v>17.745721340000003</v>
      </c>
      <c r="T132" s="492">
        <v>16.5</v>
      </c>
      <c r="U132" s="492">
        <v>12.8</v>
      </c>
      <c r="V132" s="455">
        <v>65933</v>
      </c>
      <c r="W132" s="455">
        <v>68475</v>
      </c>
      <c r="X132" s="455">
        <f>W132-V132</f>
        <v>2542</v>
      </c>
      <c r="Y132" s="455">
        <f t="shared" si="69"/>
        <v>247.17985747405217</v>
      </c>
      <c r="Z132" s="476">
        <v>66049</v>
      </c>
      <c r="AA132" s="455">
        <v>68595</v>
      </c>
      <c r="AB132" s="455">
        <f>AA132-Z132</f>
        <v>2546</v>
      </c>
      <c r="AC132" s="475">
        <f t="shared" si="70"/>
        <v>247.56881082963682</v>
      </c>
      <c r="AD132" s="476">
        <v>371</v>
      </c>
      <c r="AE132" s="455">
        <v>373</v>
      </c>
      <c r="AF132" s="455">
        <f>AE132-AD132</f>
        <v>2</v>
      </c>
      <c r="AG132" s="475">
        <f t="shared" si="71"/>
        <v>0.19447667779233058</v>
      </c>
      <c r="AH132" s="476">
        <v>55730</v>
      </c>
      <c r="AI132" s="455">
        <v>57933</v>
      </c>
      <c r="AJ132" s="455">
        <f>AI132-AH132</f>
        <v>2203</v>
      </c>
      <c r="AK132" s="475">
        <f t="shared" si="72"/>
        <v>214.21606058825213</v>
      </c>
      <c r="AL132" s="476">
        <v>2077.4</v>
      </c>
      <c r="AM132" s="455">
        <v>2158.8000000000002</v>
      </c>
      <c r="AN132" s="455">
        <f>AM132-AL132</f>
        <v>81.400000000000091</v>
      </c>
      <c r="AO132" s="475">
        <f t="shared" si="73"/>
        <v>7.9152007861478628</v>
      </c>
      <c r="AP132" s="476">
        <v>1719.590144</v>
      </c>
      <c r="AQ132" s="455">
        <v>1787.549358</v>
      </c>
      <c r="AR132" s="455">
        <f>AQ132-AP132</f>
        <v>67.959213999999974</v>
      </c>
      <c r="AS132" s="475">
        <f t="shared" si="74"/>
        <v>6.6082410820490178</v>
      </c>
      <c r="AT132" s="476">
        <v>7642.5</v>
      </c>
      <c r="AU132" s="455">
        <v>7895.1967919999997</v>
      </c>
      <c r="AV132" s="455">
        <f>AU132-AT132</f>
        <v>252.69679199999973</v>
      </c>
      <c r="AW132" s="475">
        <f t="shared" si="75"/>
        <v>24.571816298469763</v>
      </c>
      <c r="AX132" s="476">
        <v>8.3000000000000007</v>
      </c>
      <c r="AY132" s="455">
        <v>8.4</v>
      </c>
      <c r="AZ132" s="455">
        <f>AY132-AX132</f>
        <v>9.9999999999999645E-2</v>
      </c>
      <c r="BA132" s="475">
        <f t="shared" si="76"/>
        <v>9.7238338896164945E-3</v>
      </c>
      <c r="BB132" s="476">
        <v>-22.59</v>
      </c>
      <c r="BC132" s="455">
        <v>-23.26</v>
      </c>
      <c r="BD132" s="455">
        <f>BC132-BB132</f>
        <v>-0.67000000000000171</v>
      </c>
      <c r="BE132" s="455">
        <v>-3.1845530000000002</v>
      </c>
      <c r="BF132" s="475">
        <f t="shared" si="77"/>
        <v>-6.5149687060430908E-2</v>
      </c>
      <c r="BG132" s="443">
        <v>16.5</v>
      </c>
      <c r="BH132" s="443">
        <v>12.8</v>
      </c>
      <c r="BI132" s="443">
        <f>BH132-BG132</f>
        <v>-3.6999999999999993</v>
      </c>
      <c r="BJ132" s="495">
        <v>17.8</v>
      </c>
      <c r="BK132" s="495">
        <v>18.5</v>
      </c>
      <c r="BL132" s="495">
        <f>BK132-BJ132</f>
        <v>0.69999999999999929</v>
      </c>
      <c r="BM132" s="495">
        <v>0</v>
      </c>
      <c r="BN132" s="495">
        <v>0</v>
      </c>
      <c r="BO132" s="495">
        <f>BN132-BM132</f>
        <v>0</v>
      </c>
      <c r="BP132" s="443"/>
      <c r="BQ132" s="443"/>
      <c r="BR132" s="443"/>
      <c r="BS132" s="443"/>
      <c r="BT132" s="466" t="s">
        <v>723</v>
      </c>
      <c r="BU132" s="447">
        <v>1876.2041123399999</v>
      </c>
      <c r="BV132" s="447">
        <v>2.6329647500000002</v>
      </c>
      <c r="BW132" s="447">
        <v>1341.20360164</v>
      </c>
      <c r="BX132" s="447">
        <v>1306.7961204799999</v>
      </c>
      <c r="BY132" s="447">
        <v>6.8355829200000002</v>
      </c>
      <c r="BZ132" s="447">
        <v>6.7904734500000004</v>
      </c>
      <c r="CA132" s="447">
        <v>0.26656155999999998</v>
      </c>
      <c r="CB132" s="447">
        <v>10.284020959999999</v>
      </c>
      <c r="CC132" s="447">
        <v>10.25668059</v>
      </c>
      <c r="CD132" s="447">
        <v>0.39511884000000003</v>
      </c>
      <c r="CE132" s="447">
        <v>0.66430520000000004</v>
      </c>
      <c r="CF132" s="447">
        <v>0.33399022</v>
      </c>
      <c r="CG132" s="447"/>
    </row>
    <row r="133" spans="1:85" s="449" customFormat="1" ht="22.5">
      <c r="A133" s="500">
        <v>62006011</v>
      </c>
      <c r="B133" s="491" t="s">
        <v>843</v>
      </c>
      <c r="C133" s="491" t="s">
        <v>702</v>
      </c>
      <c r="D133" s="473" t="s">
        <v>760</v>
      </c>
      <c r="E133" s="448" t="s">
        <v>873</v>
      </c>
      <c r="F133" s="481" t="str">
        <f t="shared" si="68"/>
        <v>06/04/20</v>
      </c>
      <c r="G133" s="466" t="s">
        <v>874</v>
      </c>
      <c r="H133" s="466" t="s">
        <v>708</v>
      </c>
      <c r="I133" s="474"/>
      <c r="J133" s="467">
        <v>-6.1277569999999999</v>
      </c>
      <c r="K133" s="467">
        <v>8.1299499999999991</v>
      </c>
      <c r="L133" s="467">
        <v>29.073488000000001</v>
      </c>
      <c r="M133" s="467">
        <v>9.5846800000000005</v>
      </c>
      <c r="N133" s="450">
        <v>4250</v>
      </c>
      <c r="O133" s="450">
        <v>38.71</v>
      </c>
      <c r="P133" s="450">
        <v>3.0499999999999999E-2</v>
      </c>
      <c r="Q133" s="450">
        <v>1.4999999999999999E-2</v>
      </c>
      <c r="R133" s="451">
        <v>3.59759911</v>
      </c>
      <c r="S133" s="451">
        <f>R133+R132</f>
        <v>13.8816086</v>
      </c>
      <c r="T133" s="492">
        <v>12.7</v>
      </c>
      <c r="U133" s="492">
        <v>11.1</v>
      </c>
      <c r="V133" s="455">
        <v>68519</v>
      </c>
      <c r="W133" s="455">
        <v>69579</v>
      </c>
      <c r="X133" s="455">
        <f>W133-V133</f>
        <v>1060</v>
      </c>
      <c r="Y133" s="455">
        <f t="shared" si="69"/>
        <v>294.64094458262196</v>
      </c>
      <c r="Z133" s="476">
        <v>68641</v>
      </c>
      <c r="AA133" s="455">
        <v>69704</v>
      </c>
      <c r="AB133" s="455">
        <f>AA133-Z133</f>
        <v>1063</v>
      </c>
      <c r="AC133" s="475">
        <f t="shared" si="70"/>
        <v>295.47483404842183</v>
      </c>
      <c r="AD133" s="476">
        <v>373</v>
      </c>
      <c r="AE133" s="455">
        <v>379</v>
      </c>
      <c r="AF133" s="455">
        <f>AE133-AD133</f>
        <v>6</v>
      </c>
      <c r="AG133" s="475">
        <f t="shared" si="71"/>
        <v>1.6677789315997469</v>
      </c>
      <c r="AH133" s="476">
        <v>57933</v>
      </c>
      <c r="AI133" s="455">
        <v>58674</v>
      </c>
      <c r="AJ133" s="455">
        <f>AI133-AH133</f>
        <v>741</v>
      </c>
      <c r="AK133" s="475">
        <f t="shared" si="72"/>
        <v>205.97069805256874</v>
      </c>
      <c r="AL133" s="476">
        <v>2198</v>
      </c>
      <c r="AM133" s="455">
        <v>2253.3000000000002</v>
      </c>
      <c r="AN133" s="455">
        <f>AM133-AL133</f>
        <v>55.300000000000182</v>
      </c>
      <c r="AO133" s="475">
        <f t="shared" si="73"/>
        <v>15.371362486244383</v>
      </c>
      <c r="AP133" s="476">
        <v>1817.56</v>
      </c>
      <c r="AQ133" s="455">
        <v>1864</v>
      </c>
      <c r="AR133" s="455">
        <f>AQ133-AP133</f>
        <v>46.440000000000055</v>
      </c>
      <c r="AS133" s="475">
        <f t="shared" si="74"/>
        <v>12.908608930582055</v>
      </c>
      <c r="AT133" s="476">
        <v>7898</v>
      </c>
      <c r="AU133" s="455">
        <v>8153</v>
      </c>
      <c r="AV133" s="455">
        <f>AU133-AT133</f>
        <v>255</v>
      </c>
      <c r="AW133" s="475">
        <f t="shared" si="75"/>
        <v>70.880604592989243</v>
      </c>
      <c r="AX133" s="476">
        <v>8.5</v>
      </c>
      <c r="AY133" s="455">
        <v>8.5</v>
      </c>
      <c r="AZ133" s="455">
        <f>AY133-AX133</f>
        <v>0</v>
      </c>
      <c r="BA133" s="475">
        <f t="shared" si="76"/>
        <v>0</v>
      </c>
      <c r="BB133" s="476">
        <v>-23.78</v>
      </c>
      <c r="BC133" s="455">
        <v>-24.22</v>
      </c>
      <c r="BD133" s="455">
        <f>BC133-BB133</f>
        <v>-0.43999999999999773</v>
      </c>
      <c r="BE133" s="455">
        <v>-3.1212499999999999</v>
      </c>
      <c r="BF133" s="475">
        <f t="shared" si="77"/>
        <v>-0.12230378831731413</v>
      </c>
      <c r="BG133" s="443">
        <v>12.7</v>
      </c>
      <c r="BH133" s="443">
        <v>11.1</v>
      </c>
      <c r="BI133" s="443">
        <f>BH133-BG133</f>
        <v>-1.5999999999999996</v>
      </c>
      <c r="BJ133" s="495">
        <v>19.100000000000001</v>
      </c>
      <c r="BK133" s="495">
        <v>19.600000000000001</v>
      </c>
      <c r="BL133" s="495">
        <f>BK133-BJ133</f>
        <v>0.5</v>
      </c>
      <c r="BM133" s="495">
        <v>0</v>
      </c>
      <c r="BN133" s="495">
        <v>0</v>
      </c>
      <c r="BO133" s="495">
        <f>BN133-BM133</f>
        <v>0</v>
      </c>
      <c r="BP133" s="443"/>
      <c r="BQ133" s="443"/>
      <c r="BR133" s="443"/>
      <c r="BS133" s="443"/>
      <c r="BT133" s="466" t="s">
        <v>723</v>
      </c>
      <c r="BU133" s="447">
        <v>2369.27182795</v>
      </c>
      <c r="BV133" s="447">
        <v>-0.70591230000000005</v>
      </c>
      <c r="BW133" s="447">
        <v>2034.3731086499999</v>
      </c>
      <c r="BX133" s="447">
        <v>2048.8360946399998</v>
      </c>
      <c r="BY133" s="447">
        <v>3.0317692900000002</v>
      </c>
      <c r="BZ133" s="447">
        <v>3.0319981399999998</v>
      </c>
      <c r="CA133" s="447">
        <v>0.18304066999999999</v>
      </c>
      <c r="CB133" s="447">
        <v>3.5975533799999999</v>
      </c>
      <c r="CC133" s="447">
        <v>3.5909804200000002</v>
      </c>
      <c r="CD133" s="447">
        <v>-0.19060314</v>
      </c>
      <c r="CE133" s="447">
        <v>-7.5480800000000004E-3</v>
      </c>
      <c r="CF133" s="447">
        <v>0.63450503000000003</v>
      </c>
      <c r="CG133" s="447"/>
    </row>
    <row r="134" spans="1:85" s="449" customFormat="1" ht="22.5">
      <c r="A134" s="500">
        <v>62006011</v>
      </c>
      <c r="B134" s="491" t="s">
        <v>844</v>
      </c>
      <c r="C134" s="491" t="s">
        <v>705</v>
      </c>
      <c r="D134" s="473" t="s">
        <v>760</v>
      </c>
      <c r="E134" s="448" t="s">
        <v>873</v>
      </c>
      <c r="F134" s="481" t="str">
        <f t="shared" si="68"/>
        <v>06/04/20</v>
      </c>
      <c r="G134" s="466" t="s">
        <v>874</v>
      </c>
      <c r="H134" s="466" t="s">
        <v>708</v>
      </c>
      <c r="I134" s="474"/>
      <c r="J134" s="467">
        <v>-7.3311469999999996</v>
      </c>
      <c r="K134" s="467">
        <v>8.2135300000000004</v>
      </c>
      <c r="L134" s="467">
        <v>29.071715000000001</v>
      </c>
      <c r="M134" s="467">
        <v>9.7777510000000003</v>
      </c>
      <c r="N134" s="450">
        <v>4250</v>
      </c>
      <c r="O134" s="450">
        <v>38.71</v>
      </c>
      <c r="P134" s="450">
        <v>3.0499999999999999E-2</v>
      </c>
      <c r="Q134" s="450">
        <v>1.4999999999999999E-2</v>
      </c>
      <c r="R134" s="451">
        <v>3.8643894400000001</v>
      </c>
      <c r="S134" s="451">
        <f>R134+R133</f>
        <v>7.4619885500000001</v>
      </c>
      <c r="T134" s="492">
        <v>11.1</v>
      </c>
      <c r="U134" s="492">
        <v>9.5</v>
      </c>
      <c r="V134" s="455">
        <v>69579</v>
      </c>
      <c r="W134" s="455">
        <v>70655</v>
      </c>
      <c r="X134" s="455">
        <f>W134-V134</f>
        <v>1076</v>
      </c>
      <c r="Y134" s="455">
        <f t="shared" si="69"/>
        <v>278.43984585570132</v>
      </c>
      <c r="Z134" s="476">
        <v>69704</v>
      </c>
      <c r="AA134" s="455">
        <v>70784</v>
      </c>
      <c r="AB134" s="455">
        <f>AA134-Z134</f>
        <v>1080</v>
      </c>
      <c r="AC134" s="475">
        <f t="shared" si="70"/>
        <v>279.47493821947717</v>
      </c>
      <c r="AD134" s="476">
        <v>379</v>
      </c>
      <c r="AE134" s="455">
        <v>395</v>
      </c>
      <c r="AF134" s="455">
        <f>AE134-AD134</f>
        <v>16</v>
      </c>
      <c r="AG134" s="475">
        <f t="shared" si="71"/>
        <v>4.1403694551033654</v>
      </c>
      <c r="AH134" s="476">
        <v>58674</v>
      </c>
      <c r="AI134" s="455">
        <v>59340</v>
      </c>
      <c r="AJ134" s="455">
        <f>AI134-AH134</f>
        <v>666</v>
      </c>
      <c r="AK134" s="475">
        <f t="shared" si="72"/>
        <v>172.34287856867758</v>
      </c>
      <c r="AL134" s="476">
        <v>2253.3916760000002</v>
      </c>
      <c r="AM134" s="455">
        <v>2346.8000000000002</v>
      </c>
      <c r="AN134" s="455">
        <f>AM134-AL134</f>
        <v>93.408323999999993</v>
      </c>
      <c r="AO134" s="475">
        <f t="shared" si="73"/>
        <v>24.171560721374913</v>
      </c>
      <c r="AP134" s="476">
        <v>1864.019168</v>
      </c>
      <c r="AQ134" s="455">
        <v>1942.3686319999999</v>
      </c>
      <c r="AR134" s="455">
        <f>AQ134-AP134</f>
        <v>78.349463999999898</v>
      </c>
      <c r="AS134" s="475">
        <f t="shared" si="74"/>
        <v>20.274732973082521</v>
      </c>
      <c r="AT134" s="476">
        <v>8153.1</v>
      </c>
      <c r="AU134" s="455">
        <v>8451.9</v>
      </c>
      <c r="AV134" s="455">
        <f>AU134-AT134</f>
        <v>298.79999999999927</v>
      </c>
      <c r="AW134" s="475">
        <f t="shared" si="75"/>
        <v>77.321399574055164</v>
      </c>
      <c r="AX134" s="476">
        <v>8.5</v>
      </c>
      <c r="AY134" s="455">
        <v>8.6</v>
      </c>
      <c r="AZ134" s="455">
        <f>AY134-AX134</f>
        <v>9.9999999999999645E-2</v>
      </c>
      <c r="BA134" s="475">
        <f t="shared" si="76"/>
        <v>2.5877309094395944E-2</v>
      </c>
      <c r="BB134" s="476">
        <v>-24.22</v>
      </c>
      <c r="BC134" s="455">
        <v>-24.97</v>
      </c>
      <c r="BD134" s="455">
        <f>BC134-BB134</f>
        <v>-0.75</v>
      </c>
      <c r="BE134" s="455">
        <v>-3.0896439999999998</v>
      </c>
      <c r="BF134" s="475">
        <f t="shared" si="77"/>
        <v>-0.19407981820797027</v>
      </c>
      <c r="BG134" s="443">
        <v>11.1</v>
      </c>
      <c r="BH134" s="443">
        <v>9.5</v>
      </c>
      <c r="BI134" s="443">
        <f>BH134-BG134</f>
        <v>-1.5999999999999996</v>
      </c>
      <c r="BJ134" s="495">
        <v>19.600000000000001</v>
      </c>
      <c r="BK134" s="495">
        <v>20.5</v>
      </c>
      <c r="BL134" s="495">
        <f>BK134-BJ134</f>
        <v>0.89999999999999858</v>
      </c>
      <c r="BM134" s="495">
        <v>0</v>
      </c>
      <c r="BN134" s="495">
        <v>0</v>
      </c>
      <c r="BO134" s="495">
        <f>BN134-BM134</f>
        <v>0</v>
      </c>
      <c r="BP134" s="443"/>
      <c r="BQ134" s="443"/>
      <c r="BR134" s="443"/>
      <c r="BS134" s="443"/>
      <c r="BT134" s="466" t="s">
        <v>723</v>
      </c>
      <c r="BU134" s="447">
        <v>1476.7016028</v>
      </c>
      <c r="BV134" s="447">
        <v>-1.0786850699999999</v>
      </c>
      <c r="BW134" s="447">
        <v>3379.4192207599999</v>
      </c>
      <c r="BX134" s="447">
        <v>3416.2700153699998</v>
      </c>
      <c r="BY134" s="447">
        <v>2.98213178</v>
      </c>
      <c r="BZ134" s="447">
        <v>2.9954018100000002</v>
      </c>
      <c r="CA134" s="447">
        <v>0.11471263</v>
      </c>
      <c r="CB134" s="447">
        <v>3.86425938</v>
      </c>
      <c r="CC134" s="447">
        <v>3.8598316600000002</v>
      </c>
      <c r="CD134" s="447">
        <v>-0.56020791000000003</v>
      </c>
      <c r="CE134" s="447">
        <v>-0.44301348000000002</v>
      </c>
      <c r="CF134" s="447">
        <v>0.72008921000000004</v>
      </c>
      <c r="CG134" s="447"/>
    </row>
    <row r="135" spans="1:85" s="449" customFormat="1" ht="22.5">
      <c r="A135" s="500">
        <v>62006011</v>
      </c>
      <c r="B135" s="491" t="s">
        <v>845</v>
      </c>
      <c r="C135" s="491" t="s">
        <v>703</v>
      </c>
      <c r="D135" s="473" t="s">
        <v>760</v>
      </c>
      <c r="E135" s="448" t="s">
        <v>873</v>
      </c>
      <c r="F135" s="481" t="str">
        <f t="shared" si="68"/>
        <v>06/04/20</v>
      </c>
      <c r="G135" s="466" t="s">
        <v>874</v>
      </c>
      <c r="H135" s="466" t="s">
        <v>708</v>
      </c>
      <c r="I135" s="474"/>
      <c r="J135" s="468">
        <f>AVERAGE(J133:J134)</f>
        <v>-6.7294520000000002</v>
      </c>
      <c r="K135" s="468">
        <f>AVERAGE(K133:K134)</f>
        <v>8.1717399999999998</v>
      </c>
      <c r="L135" s="468">
        <f>AVERAGE(L133:L134)</f>
        <v>29.072601500000001</v>
      </c>
      <c r="M135" s="468">
        <f>AVERAGE(M133:M134)</f>
        <v>9.6812155000000004</v>
      </c>
      <c r="N135" s="452"/>
      <c r="O135" s="450"/>
      <c r="P135" s="470"/>
      <c r="Q135" s="469"/>
      <c r="R135" s="453">
        <f>R134+R133</f>
        <v>7.4619885500000001</v>
      </c>
      <c r="S135" s="453">
        <f>S134</f>
        <v>7.4619885500000001</v>
      </c>
      <c r="T135" s="493">
        <f>T133</f>
        <v>12.7</v>
      </c>
      <c r="U135" s="493">
        <f>U134</f>
        <v>9.5</v>
      </c>
      <c r="V135" s="456">
        <f>V133</f>
        <v>68519</v>
      </c>
      <c r="W135" s="456">
        <f>W134</f>
        <v>70655</v>
      </c>
      <c r="X135" s="456">
        <f>SUM(X133:X134)</f>
        <v>2136</v>
      </c>
      <c r="Y135" s="456">
        <f t="shared" si="69"/>
        <v>286.25077426579543</v>
      </c>
      <c r="Z135" s="456">
        <f>Z133</f>
        <v>68641</v>
      </c>
      <c r="AA135" s="456">
        <f>AA134</f>
        <v>70784</v>
      </c>
      <c r="AB135" s="456">
        <f>SUM(AB133:AB134)</f>
        <v>2143</v>
      </c>
      <c r="AC135" s="454">
        <f t="shared" si="70"/>
        <v>287.18886200917581</v>
      </c>
      <c r="AD135" s="456">
        <f>AD133</f>
        <v>373</v>
      </c>
      <c r="AE135" s="456">
        <f>AE134</f>
        <v>395</v>
      </c>
      <c r="AF135" s="456">
        <f>SUM(AF133:AF134)</f>
        <v>22</v>
      </c>
      <c r="AG135" s="454">
        <f t="shared" si="71"/>
        <v>2.9482757649098779</v>
      </c>
      <c r="AH135" s="456">
        <f>AH133</f>
        <v>57933</v>
      </c>
      <c r="AI135" s="456">
        <f>AI134</f>
        <v>59340</v>
      </c>
      <c r="AJ135" s="456">
        <f>SUM(AJ133:AJ134)</f>
        <v>1407</v>
      </c>
      <c r="AK135" s="454">
        <f t="shared" si="72"/>
        <v>188.55563641946355</v>
      </c>
      <c r="AL135" s="456">
        <f>AL133</f>
        <v>2198</v>
      </c>
      <c r="AM135" s="456">
        <f>AM134</f>
        <v>2346.8000000000002</v>
      </c>
      <c r="AN135" s="456">
        <f>SUM(AN133:AN134)</f>
        <v>148.70832400000018</v>
      </c>
      <c r="AO135" s="454">
        <f t="shared" si="73"/>
        <v>19.928779440434838</v>
      </c>
      <c r="AP135" s="456">
        <f>AP133</f>
        <v>1817.56</v>
      </c>
      <c r="AQ135" s="456">
        <f>AQ134</f>
        <v>1942.3686319999999</v>
      </c>
      <c r="AR135" s="456">
        <f>SUM(AR133:AR134)</f>
        <v>124.78946399999995</v>
      </c>
      <c r="AS135" s="454">
        <f t="shared" si="74"/>
        <v>16.723352383058796</v>
      </c>
      <c r="AT135" s="456">
        <f>AT133</f>
        <v>7898</v>
      </c>
      <c r="AU135" s="456">
        <f>AU134</f>
        <v>8451.9</v>
      </c>
      <c r="AV135" s="456">
        <f>SUM(AV133:AV134)</f>
        <v>553.79999999999927</v>
      </c>
      <c r="AW135" s="454">
        <f t="shared" si="75"/>
        <v>74.21614175486765</v>
      </c>
      <c r="AX135" s="456">
        <f>AX133</f>
        <v>8.5</v>
      </c>
      <c r="AY135" s="456">
        <f>AY134</f>
        <v>8.6</v>
      </c>
      <c r="AZ135" s="456">
        <f>SUM(AZ133:AZ134)</f>
        <v>9.9999999999999645E-2</v>
      </c>
      <c r="BA135" s="454">
        <f t="shared" si="76"/>
        <v>1.3401253476863034E-2</v>
      </c>
      <c r="BB135" s="456">
        <f>BB133</f>
        <v>-23.78</v>
      </c>
      <c r="BC135" s="456">
        <f>BC134</f>
        <v>-24.97</v>
      </c>
      <c r="BD135" s="456">
        <f>SUM(BD133:BD134)</f>
        <v>-1.1899999999999977</v>
      </c>
      <c r="BE135" s="455">
        <f>AVERAGE(BE133:BE134)</f>
        <v>-3.1054469999999998</v>
      </c>
      <c r="BF135" s="454">
        <f t="shared" si="77"/>
        <v>-0.15947491637467034</v>
      </c>
      <c r="BG135" s="445" t="s">
        <v>1107</v>
      </c>
      <c r="BH135" s="445" t="s">
        <v>1108</v>
      </c>
      <c r="BI135" s="445">
        <f>SUM(BI133:BI134)</f>
        <v>-3.1999999999999993</v>
      </c>
      <c r="BJ135" s="496" t="s">
        <v>1109</v>
      </c>
      <c r="BK135" s="496" t="s">
        <v>1110</v>
      </c>
      <c r="BL135" s="496">
        <f>SUM(BL133:BL134)</f>
        <v>1.3999999999999986</v>
      </c>
      <c r="BM135" s="496" t="s">
        <v>1111</v>
      </c>
      <c r="BN135" s="496" t="s">
        <v>1112</v>
      </c>
      <c r="BO135" s="496">
        <f>SUM(BO133:BO134)</f>
        <v>0</v>
      </c>
      <c r="BP135" s="445"/>
      <c r="BQ135" s="445"/>
      <c r="BR135" s="445"/>
      <c r="BS135" s="445"/>
      <c r="BT135" s="466" t="s">
        <v>723</v>
      </c>
      <c r="BU135" s="447"/>
      <c r="BV135" s="447"/>
      <c r="BW135" s="447"/>
      <c r="BX135" s="447"/>
      <c r="BY135" s="447"/>
      <c r="BZ135" s="447"/>
      <c r="CA135" s="447"/>
      <c r="CB135" s="447"/>
      <c r="CC135" s="447"/>
      <c r="CD135" s="447"/>
      <c r="CE135" s="447"/>
      <c r="CF135" s="447"/>
      <c r="CG135" s="447"/>
    </row>
    <row r="136" spans="1:85" s="449" customFormat="1" ht="22.5">
      <c r="A136" s="500">
        <v>62006012</v>
      </c>
      <c r="B136" s="491" t="s">
        <v>838</v>
      </c>
      <c r="C136" s="491" t="s">
        <v>695</v>
      </c>
      <c r="D136" s="473" t="s">
        <v>763</v>
      </c>
      <c r="E136" s="448" t="s">
        <v>875</v>
      </c>
      <c r="F136" s="481" t="str">
        <f t="shared" si="68"/>
        <v>06/04/20</v>
      </c>
      <c r="G136" s="466" t="s">
        <v>876</v>
      </c>
      <c r="H136" s="466" t="s">
        <v>708</v>
      </c>
      <c r="I136" s="474"/>
      <c r="J136" s="467">
        <v>-1.578943</v>
      </c>
      <c r="K136" s="467">
        <v>6.3239910000000004</v>
      </c>
      <c r="L136" s="467">
        <v>29.068508000000001</v>
      </c>
      <c r="M136" s="467">
        <v>11.096788999999999</v>
      </c>
      <c r="N136" s="450">
        <v>4250</v>
      </c>
      <c r="O136" s="450">
        <v>38.71</v>
      </c>
      <c r="P136" s="450">
        <v>3.0499999999999999E-2</v>
      </c>
      <c r="Q136" s="450">
        <v>1.4999999999999999E-2</v>
      </c>
      <c r="R136" s="451">
        <v>11.98691921</v>
      </c>
      <c r="S136" s="451">
        <f>R136+R135</f>
        <v>19.448907760000001</v>
      </c>
      <c r="T136" s="492">
        <v>9.5</v>
      </c>
      <c r="U136" s="492">
        <v>3.7</v>
      </c>
      <c r="V136" s="455">
        <v>70685</v>
      </c>
      <c r="W136" s="455">
        <v>74150</v>
      </c>
      <c r="X136" s="455">
        <f>W136-V136</f>
        <v>3465</v>
      </c>
      <c r="Y136" s="455">
        <f t="shared" si="69"/>
        <v>289.06509998910724</v>
      </c>
      <c r="Z136" s="476">
        <v>70815</v>
      </c>
      <c r="AA136" s="455">
        <v>74283</v>
      </c>
      <c r="AB136" s="455">
        <f>AA136-Z136</f>
        <v>3468</v>
      </c>
      <c r="AC136" s="475">
        <f t="shared" si="70"/>
        <v>289.31537280295061</v>
      </c>
      <c r="AD136" s="476">
        <v>395</v>
      </c>
      <c r="AE136" s="455">
        <v>396</v>
      </c>
      <c r="AF136" s="455">
        <f>AE136-AD136</f>
        <v>1</v>
      </c>
      <c r="AG136" s="475">
        <f t="shared" si="71"/>
        <v>8.3424271281127615E-2</v>
      </c>
      <c r="AH136" s="476">
        <v>59340</v>
      </c>
      <c r="AI136" s="455">
        <v>62432</v>
      </c>
      <c r="AJ136" s="455">
        <f>AI136-AH136</f>
        <v>3092</v>
      </c>
      <c r="AK136" s="475">
        <f t="shared" si="72"/>
        <v>257.94784680124661</v>
      </c>
      <c r="AL136" s="476">
        <v>2367.3268539999999</v>
      </c>
      <c r="AM136" s="455">
        <v>2441.3000000000002</v>
      </c>
      <c r="AN136" s="455">
        <f>AM136-AL136</f>
        <v>73.97314600000027</v>
      </c>
      <c r="AO136" s="475">
        <f t="shared" si="73"/>
        <v>6.1711557994224835</v>
      </c>
      <c r="AP136" s="476">
        <v>1958.475371</v>
      </c>
      <c r="AQ136" s="455">
        <v>2020.99</v>
      </c>
      <c r="AR136" s="455">
        <f>AQ136-AP136</f>
        <v>62.514629000000014</v>
      </c>
      <c r="AS136" s="475">
        <f t="shared" si="74"/>
        <v>5.2152373687350488</v>
      </c>
      <c r="AT136" s="476">
        <v>8460.7000000000007</v>
      </c>
      <c r="AU136" s="455">
        <v>8753.1</v>
      </c>
      <c r="AV136" s="455">
        <f>AU136-AT136</f>
        <v>292.39999999999964</v>
      </c>
      <c r="AW136" s="475">
        <f t="shared" si="75"/>
        <v>24.393256922601687</v>
      </c>
      <c r="AX136" s="476">
        <v>8.6999999999999993</v>
      </c>
      <c r="AY136" s="455">
        <v>8.6999999999999993</v>
      </c>
      <c r="AZ136" s="455">
        <f>AY136-AX136</f>
        <v>0</v>
      </c>
      <c r="BA136" s="475">
        <f t="shared" si="76"/>
        <v>0</v>
      </c>
      <c r="BB136" s="476">
        <v>-25.21</v>
      </c>
      <c r="BC136" s="455">
        <v>-25.8</v>
      </c>
      <c r="BD136" s="455">
        <f>BC136-BB136</f>
        <v>-0.58999999999999986</v>
      </c>
      <c r="BE136" s="455">
        <v>-3.0104660000000001</v>
      </c>
      <c r="BF136" s="475">
        <f t="shared" si="77"/>
        <v>-4.9220320055865283E-2</v>
      </c>
      <c r="BG136" s="443">
        <v>9.5</v>
      </c>
      <c r="BH136" s="443">
        <v>3.7</v>
      </c>
      <c r="BI136" s="443">
        <f>BH136-BG136</f>
        <v>-5.8</v>
      </c>
      <c r="BJ136" s="495">
        <v>20.7</v>
      </c>
      <c r="BK136" s="495">
        <v>21.4</v>
      </c>
      <c r="BL136" s="495">
        <f>BK136-BJ136</f>
        <v>0.69999999999999929</v>
      </c>
      <c r="BM136" s="495">
        <v>0</v>
      </c>
      <c r="BN136" s="495">
        <v>0</v>
      </c>
      <c r="BO136" s="495">
        <f>BN136-BM136</f>
        <v>0</v>
      </c>
      <c r="BP136" s="443"/>
      <c r="BQ136" s="443"/>
      <c r="BR136" s="443"/>
      <c r="BS136" s="443"/>
      <c r="BT136" s="466" t="s">
        <v>723</v>
      </c>
      <c r="BU136" s="447">
        <v>174.01472489</v>
      </c>
      <c r="BV136" s="447">
        <v>4.8984112199999998</v>
      </c>
      <c r="BW136" s="447">
        <v>609.61921475999998</v>
      </c>
      <c r="BX136" s="447">
        <v>581.15200000000004</v>
      </c>
      <c r="BY136" s="447">
        <v>9.27155664</v>
      </c>
      <c r="BZ136" s="447">
        <v>10.307568679999999</v>
      </c>
      <c r="CA136" s="447">
        <v>-6.5270203200000001</v>
      </c>
      <c r="CB136" s="447">
        <v>11.98693405</v>
      </c>
      <c r="CC136" s="447">
        <v>12.823956280000001</v>
      </c>
      <c r="CD136" s="447">
        <v>-3.91773412</v>
      </c>
      <c r="CE136" s="447">
        <v>-10.05098362</v>
      </c>
      <c r="CF136" s="447">
        <v>8.0142199999999997E-2</v>
      </c>
      <c r="CG136" s="447"/>
    </row>
    <row r="137" spans="1:85" s="449" customFormat="1" ht="22.5">
      <c r="A137" s="500">
        <v>62006013</v>
      </c>
      <c r="B137" s="491" t="s">
        <v>906</v>
      </c>
      <c r="C137" s="491" t="s">
        <v>695</v>
      </c>
      <c r="D137" s="473" t="s">
        <v>766</v>
      </c>
      <c r="E137" s="448" t="s">
        <v>877</v>
      </c>
      <c r="F137" s="481" t="str">
        <f t="shared" si="68"/>
        <v>06/04/20</v>
      </c>
      <c r="G137" s="466" t="s">
        <v>878</v>
      </c>
      <c r="H137" s="466" t="s">
        <v>708</v>
      </c>
      <c r="I137" s="474"/>
      <c r="J137" s="467">
        <v>-76.781841</v>
      </c>
      <c r="K137" s="467">
        <v>84.027805999999998</v>
      </c>
      <c r="L137" s="467">
        <v>323.958167</v>
      </c>
      <c r="M137" s="467">
        <v>-78.595860000000002</v>
      </c>
      <c r="N137" s="450">
        <v>4250</v>
      </c>
      <c r="O137" s="450">
        <v>38.71</v>
      </c>
      <c r="P137" s="450">
        <v>3.0499999999999999E-2</v>
      </c>
      <c r="Q137" s="450">
        <v>1.4999999999999999E-2</v>
      </c>
      <c r="R137" s="451">
        <v>4.9071799999999997E-3</v>
      </c>
      <c r="S137" s="451">
        <f>R137+R136</f>
        <v>11.99182639</v>
      </c>
      <c r="T137" s="492">
        <v>3.6</v>
      </c>
      <c r="U137" s="492">
        <v>99.4</v>
      </c>
      <c r="V137" s="455">
        <v>74168</v>
      </c>
      <c r="W137" s="455">
        <v>-3776</v>
      </c>
      <c r="X137" s="455">
        <f>W137-V137</f>
        <v>-77944</v>
      </c>
      <c r="Y137" s="455">
        <f t="shared" si="69"/>
        <v>-15883664.344898701</v>
      </c>
      <c r="Z137" s="476">
        <v>74303</v>
      </c>
      <c r="AA137" s="455">
        <v>-3556</v>
      </c>
      <c r="AB137" s="455">
        <f>AA137-Z137</f>
        <v>-77859</v>
      </c>
      <c r="AC137" s="475">
        <f t="shared" si="70"/>
        <v>-15866342.787507286</v>
      </c>
      <c r="AD137" s="476">
        <v>396</v>
      </c>
      <c r="AE137" s="455">
        <v>404</v>
      </c>
      <c r="AF137" s="455">
        <f>AE137-AD137</f>
        <v>8</v>
      </c>
      <c r="AG137" s="475">
        <f t="shared" si="71"/>
        <v>1630.264225074279</v>
      </c>
      <c r="AH137" s="476">
        <v>62432</v>
      </c>
      <c r="AI137" s="455">
        <v>62375</v>
      </c>
      <c r="AJ137" s="455">
        <f>AI137-AH137</f>
        <v>-57</v>
      </c>
      <c r="AK137" s="475">
        <f t="shared" si="72"/>
        <v>-11615.632603654238</v>
      </c>
      <c r="AL137" s="476">
        <v>2457.6999999999998</v>
      </c>
      <c r="AM137" s="455">
        <v>-75536.2</v>
      </c>
      <c r="AN137" s="455">
        <f>AM137-AL137</f>
        <v>-77993.899999999994</v>
      </c>
      <c r="AO137" s="475">
        <f t="shared" si="73"/>
        <v>-15893833.118002601</v>
      </c>
      <c r="AP137" s="476">
        <v>2033.385822</v>
      </c>
      <c r="AQ137" s="455">
        <v>2644.99</v>
      </c>
      <c r="AR137" s="455">
        <f>AQ137-AP137</f>
        <v>611.60417799999982</v>
      </c>
      <c r="AS137" s="475">
        <f t="shared" si="74"/>
        <v>124634.55141242014</v>
      </c>
      <c r="AT137" s="476">
        <v>8754.5</v>
      </c>
      <c r="AU137" s="455">
        <v>8734</v>
      </c>
      <c r="AV137" s="455">
        <f>AU137-AT137</f>
        <v>-20.5</v>
      </c>
      <c r="AW137" s="475">
        <f t="shared" si="75"/>
        <v>-4177.5520767528396</v>
      </c>
      <c r="AX137" s="476">
        <v>8.6999999999999993</v>
      </c>
      <c r="AY137" s="455">
        <v>9.6999999999999993</v>
      </c>
      <c r="AZ137" s="455">
        <f>AY137-AX137</f>
        <v>1</v>
      </c>
      <c r="BA137" s="475">
        <f t="shared" si="76"/>
        <v>203.78302813428488</v>
      </c>
      <c r="BB137" s="476">
        <v>-26.03</v>
      </c>
      <c r="BC137" s="455">
        <v>-52.12</v>
      </c>
      <c r="BD137" s="455">
        <f>BC137-BB137</f>
        <v>-26.089999999999996</v>
      </c>
      <c r="BE137" s="455">
        <v>-29.132315999999999</v>
      </c>
      <c r="BF137" s="475">
        <f t="shared" si="77"/>
        <v>-5316.6992040234918</v>
      </c>
      <c r="BG137" s="443">
        <v>3.6</v>
      </c>
      <c r="BH137" s="443">
        <v>99.4</v>
      </c>
      <c r="BI137" s="443">
        <f>BH137-BG137</f>
        <v>95.800000000000011</v>
      </c>
      <c r="BJ137" s="495">
        <v>21.7</v>
      </c>
      <c r="BK137" s="495">
        <v>84095.7</v>
      </c>
      <c r="BL137" s="495">
        <f>BK137-BJ137</f>
        <v>84074</v>
      </c>
      <c r="BM137" s="495">
        <v>0</v>
      </c>
      <c r="BN137" s="495">
        <v>-83829.5</v>
      </c>
      <c r="BO137" s="495">
        <f>BN137-BM137</f>
        <v>-83829.5</v>
      </c>
      <c r="BP137" s="443"/>
      <c r="BQ137" s="443"/>
      <c r="BR137" s="443"/>
      <c r="BS137" s="443"/>
      <c r="BT137" s="466" t="s">
        <v>723</v>
      </c>
      <c r="BU137" s="447"/>
      <c r="BV137" s="447"/>
      <c r="BW137" s="447"/>
      <c r="BX137" s="447"/>
      <c r="BY137" s="447"/>
      <c r="BZ137" s="447"/>
      <c r="CA137" s="447"/>
      <c r="CB137" s="447"/>
      <c r="CC137" s="447"/>
      <c r="CD137" s="447"/>
      <c r="CE137" s="447"/>
      <c r="CF137" s="447"/>
      <c r="CG137" s="447"/>
    </row>
    <row r="138" spans="1:85" s="488" customFormat="1" ht="15.75">
      <c r="A138" s="480" t="s">
        <v>1245</v>
      </c>
      <c r="B138" s="483"/>
      <c r="C138" s="483"/>
      <c r="D138" s="484"/>
      <c r="E138" s="483"/>
      <c r="F138" s="483"/>
      <c r="G138" s="484"/>
      <c r="H138" s="484"/>
      <c r="I138" s="484"/>
      <c r="J138" s="484"/>
      <c r="K138" s="484"/>
      <c r="L138" s="484"/>
      <c r="M138" s="484"/>
      <c r="N138" s="484"/>
      <c r="O138" s="484"/>
      <c r="P138" s="485"/>
      <c r="Q138" s="486"/>
      <c r="R138" s="483"/>
      <c r="S138" s="483"/>
      <c r="T138" s="483"/>
      <c r="U138" s="483"/>
      <c r="V138" s="483"/>
      <c r="W138" s="483"/>
      <c r="X138" s="483"/>
      <c r="Y138" s="483"/>
      <c r="Z138" s="483"/>
      <c r="AA138" s="483"/>
      <c r="AB138" s="483"/>
      <c r="AC138" s="483"/>
      <c r="AD138" s="483"/>
      <c r="AE138" s="483"/>
      <c r="AF138" s="483"/>
      <c r="AG138" s="483"/>
      <c r="AH138" s="483"/>
      <c r="AI138" s="483"/>
      <c r="AJ138" s="483"/>
      <c r="AK138" s="483"/>
      <c r="AL138" s="483"/>
      <c r="AM138" s="483"/>
      <c r="AN138" s="483"/>
      <c r="AO138" s="483"/>
      <c r="AP138" s="483"/>
      <c r="AQ138" s="483"/>
      <c r="AR138" s="483"/>
      <c r="AS138" s="483"/>
      <c r="AT138" s="483"/>
      <c r="AU138" s="483"/>
      <c r="AV138" s="483"/>
      <c r="AW138" s="483"/>
      <c r="AX138" s="483"/>
      <c r="AY138" s="483"/>
      <c r="AZ138" s="483"/>
      <c r="BA138" s="483"/>
      <c r="BB138" s="483"/>
      <c r="BC138" s="483"/>
      <c r="BD138" s="483"/>
      <c r="BE138" s="483"/>
      <c r="BF138" s="483"/>
      <c r="BG138" s="483"/>
      <c r="BH138" s="483"/>
      <c r="BI138" s="483"/>
      <c r="BJ138" s="483"/>
      <c r="BK138" s="483"/>
      <c r="BL138" s="483"/>
      <c r="BM138" s="483"/>
      <c r="BN138" s="483"/>
      <c r="BO138" s="483"/>
      <c r="BP138" s="483"/>
      <c r="BQ138" s="483"/>
      <c r="BR138" s="483"/>
      <c r="BS138" s="483"/>
      <c r="BT138" s="483"/>
      <c r="BU138" s="483"/>
      <c r="BV138" s="483"/>
      <c r="BW138" s="483"/>
      <c r="BX138" s="483"/>
      <c r="BY138" s="483"/>
      <c r="BZ138" s="483"/>
      <c r="CA138" s="483"/>
      <c r="CB138" s="483"/>
      <c r="CC138" s="483"/>
      <c r="CD138" s="483"/>
      <c r="CE138" s="483"/>
      <c r="CF138" s="490"/>
      <c r="CG138" s="487"/>
    </row>
    <row r="139" spans="1:85" s="449" customFormat="1">
      <c r="A139" s="500">
        <v>62006014</v>
      </c>
      <c r="B139" s="491" t="s">
        <v>870</v>
      </c>
      <c r="C139" s="491" t="s">
        <v>695</v>
      </c>
      <c r="D139" s="473" t="s">
        <v>813</v>
      </c>
      <c r="E139" s="448" t="s">
        <v>879</v>
      </c>
      <c r="F139" s="481" t="str">
        <f t="shared" si="68"/>
        <v>06/05/20</v>
      </c>
      <c r="G139" s="466" t="s">
        <v>880</v>
      </c>
      <c r="H139" s="466" t="s">
        <v>881</v>
      </c>
      <c r="I139" s="474"/>
      <c r="J139" s="467">
        <v>7.3883409999999996</v>
      </c>
      <c r="K139" s="467">
        <v>-9.2227879999999995</v>
      </c>
      <c r="L139" s="467">
        <v>-31.568026</v>
      </c>
      <c r="M139" s="467">
        <v>8.7457550000000008</v>
      </c>
      <c r="N139" s="450">
        <v>4250</v>
      </c>
      <c r="O139" s="450">
        <v>38.71</v>
      </c>
      <c r="P139" s="450">
        <v>3.0499999999999999E-2</v>
      </c>
      <c r="Q139" s="450">
        <v>1.4999999999999999E-2</v>
      </c>
      <c r="R139" s="451">
        <v>3.2803999999999998E-4</v>
      </c>
      <c r="S139" s="451">
        <f>R139+R138</f>
        <v>3.2803999999999998E-4</v>
      </c>
      <c r="T139" s="492">
        <v>99.2</v>
      </c>
      <c r="U139" s="492">
        <v>98.5</v>
      </c>
      <c r="V139" s="455">
        <v>-3639</v>
      </c>
      <c r="W139" s="455">
        <v>-3104</v>
      </c>
      <c r="X139" s="455">
        <f>W139-V139</f>
        <v>535</v>
      </c>
      <c r="Y139" s="455">
        <f t="shared" ref="Y139:Y149" si="78">X139/$R139</f>
        <v>1630898.6708937935</v>
      </c>
      <c r="Z139" s="476">
        <v>-3404</v>
      </c>
      <c r="AA139" s="455">
        <v>-2850</v>
      </c>
      <c r="AB139" s="455">
        <f>AA139-Z139</f>
        <v>554</v>
      </c>
      <c r="AC139" s="475">
        <f t="shared" ref="AC139:AC149" si="79">AB139/$R139</f>
        <v>1688818.4367760031</v>
      </c>
      <c r="AD139" s="476">
        <v>406</v>
      </c>
      <c r="AE139" s="455">
        <v>2618</v>
      </c>
      <c r="AF139" s="455">
        <f>AE139-AD139</f>
        <v>2212</v>
      </c>
      <c r="AG139" s="475">
        <f t="shared" ref="AG139:AG149" si="80">AF139/$R139</f>
        <v>6743080.1121814419</v>
      </c>
      <c r="AH139" s="476">
        <v>62369</v>
      </c>
      <c r="AI139" s="455">
        <v>64305</v>
      </c>
      <c r="AJ139" s="455">
        <f>AI139-AH139</f>
        <v>1936</v>
      </c>
      <c r="AK139" s="475">
        <f t="shared" ref="AK139:AK149" si="81">AJ139/$R139</f>
        <v>5901719.3025240824</v>
      </c>
      <c r="AL139" s="476">
        <v>-75401</v>
      </c>
      <c r="AM139" s="455">
        <v>-81268.600000000006</v>
      </c>
      <c r="AN139" s="455">
        <f>AM139-AL139</f>
        <v>-5867.6000000000058</v>
      </c>
      <c r="AO139" s="475">
        <f t="shared" ref="AO139:AO149" si="82">AN139/$R139</f>
        <v>-17886843.067918565</v>
      </c>
      <c r="AP139" s="476">
        <v>2726.53</v>
      </c>
      <c r="AQ139" s="455">
        <v>3130.19</v>
      </c>
      <c r="AR139" s="455">
        <f>AQ139-AP139</f>
        <v>403.65999999999985</v>
      </c>
      <c r="AS139" s="475">
        <f t="shared" ref="AS139:AS149" si="83">AR139/$R139</f>
        <v>1230520.6682111933</v>
      </c>
      <c r="AT139" s="476">
        <v>8733.1</v>
      </c>
      <c r="AU139" s="455">
        <v>10964.4</v>
      </c>
      <c r="AV139" s="455">
        <f>AU139-AT139</f>
        <v>2231.2999999999993</v>
      </c>
      <c r="AW139" s="475">
        <f t="shared" ref="AW139:AW149" si="84">AV139/$R139</f>
        <v>6801914.4006828414</v>
      </c>
      <c r="AX139" s="476">
        <v>12.1</v>
      </c>
      <c r="AY139" s="455">
        <v>14</v>
      </c>
      <c r="AZ139" s="455">
        <f>AY139-AX139</f>
        <v>1.9000000000000004</v>
      </c>
      <c r="BA139" s="475">
        <f t="shared" ref="BA139:BA149" si="85">AZ139/$R139</f>
        <v>5791.9765882209504</v>
      </c>
      <c r="BB139" s="476">
        <v>-72.569999999999993</v>
      </c>
      <c r="BC139" s="455">
        <v>-78.040000000000006</v>
      </c>
      <c r="BD139" s="455">
        <f>BC139-BB139</f>
        <v>-5.4700000000000131</v>
      </c>
      <c r="BE139" s="455">
        <v>6.25441</v>
      </c>
      <c r="BF139" s="475">
        <f t="shared" ref="BF139:BF149" si="86">BD139/$R139</f>
        <v>-16674.795756615087</v>
      </c>
      <c r="BG139" s="443">
        <v>99.2</v>
      </c>
      <c r="BH139" s="443">
        <v>98.5</v>
      </c>
      <c r="BI139" s="443">
        <f>BH139-BG139</f>
        <v>-0.70000000000000284</v>
      </c>
      <c r="BJ139" s="495">
        <v>84126.6</v>
      </c>
      <c r="BK139" s="495">
        <v>90844.1</v>
      </c>
      <c r="BL139" s="495">
        <f>BK139-BJ139</f>
        <v>6717.5</v>
      </c>
      <c r="BM139" s="495">
        <v>-83829.5</v>
      </c>
      <c r="BN139" s="495">
        <v>-90523.5</v>
      </c>
      <c r="BO139" s="495">
        <f>BN139-BM139</f>
        <v>-6694</v>
      </c>
      <c r="BP139" s="443"/>
      <c r="BQ139" s="443"/>
      <c r="BR139" s="443"/>
      <c r="BS139" s="443"/>
      <c r="BT139" s="466"/>
      <c r="BU139" s="447"/>
      <c r="BV139" s="447"/>
      <c r="BW139" s="447"/>
      <c r="BX139" s="447"/>
      <c r="BY139" s="447"/>
      <c r="BZ139" s="447"/>
      <c r="CA139" s="447"/>
      <c r="CB139" s="447"/>
      <c r="CC139" s="447"/>
      <c r="CD139" s="447"/>
      <c r="CE139" s="447"/>
      <c r="CF139" s="447"/>
      <c r="CG139" s="447"/>
    </row>
    <row r="140" spans="1:85" s="449" customFormat="1" ht="33.75">
      <c r="A140" s="500">
        <v>62006015</v>
      </c>
      <c r="B140" s="491" t="s">
        <v>832</v>
      </c>
      <c r="C140" s="491" t="s">
        <v>695</v>
      </c>
      <c r="D140" s="473" t="s">
        <v>882</v>
      </c>
      <c r="E140" s="448" t="s">
        <v>883</v>
      </c>
      <c r="F140" s="481" t="str">
        <f t="shared" si="68"/>
        <v>06/05/20</v>
      </c>
      <c r="G140" s="466" t="s">
        <v>884</v>
      </c>
      <c r="H140" s="466" t="s">
        <v>708</v>
      </c>
      <c r="I140" s="474"/>
      <c r="J140" s="467">
        <v>-5.1705379999999996</v>
      </c>
      <c r="K140" s="467">
        <v>8.1316769999999998</v>
      </c>
      <c r="L140" s="467">
        <v>29.154578000000001</v>
      </c>
      <c r="M140" s="467">
        <v>3.7395040000000002</v>
      </c>
      <c r="N140" s="450">
        <v>4250</v>
      </c>
      <c r="O140" s="450">
        <v>38.71</v>
      </c>
      <c r="P140" s="450">
        <v>3.0499999999999999E-2</v>
      </c>
      <c r="Q140" s="450">
        <v>1.4999999999999999E-2</v>
      </c>
      <c r="R140" s="451">
        <v>3.59692386</v>
      </c>
      <c r="S140" s="451">
        <f>R140+R139</f>
        <v>3.5972518999999998</v>
      </c>
      <c r="T140" s="492">
        <v>98.3</v>
      </c>
      <c r="U140" s="492">
        <v>97</v>
      </c>
      <c r="V140" s="455">
        <v>-2882</v>
      </c>
      <c r="W140" s="455">
        <v>-1766</v>
      </c>
      <c r="X140" s="455">
        <f>W140-V140</f>
        <v>1116</v>
      </c>
      <c r="Y140" s="455">
        <f t="shared" si="78"/>
        <v>310.2651163708536</v>
      </c>
      <c r="Z140" s="476">
        <v>-2623</v>
      </c>
      <c r="AA140" s="455">
        <v>-1503</v>
      </c>
      <c r="AB140" s="455">
        <f>AA140-Z140</f>
        <v>1120</v>
      </c>
      <c r="AC140" s="475">
        <f t="shared" si="79"/>
        <v>311.37717771985308</v>
      </c>
      <c r="AD140" s="476">
        <v>3046</v>
      </c>
      <c r="AE140" s="455">
        <v>3057</v>
      </c>
      <c r="AF140" s="455">
        <f>AE140-AD140</f>
        <v>11</v>
      </c>
      <c r="AG140" s="475">
        <f t="shared" si="80"/>
        <v>3.058168709748557</v>
      </c>
      <c r="AH140" s="476">
        <v>64678</v>
      </c>
      <c r="AI140" s="455">
        <v>65559</v>
      </c>
      <c r="AJ140" s="455">
        <f>AI140-AH140</f>
        <v>881</v>
      </c>
      <c r="AK140" s="475">
        <f t="shared" si="81"/>
        <v>244.93151211713445</v>
      </c>
      <c r="AL140" s="476">
        <v>-82564.5</v>
      </c>
      <c r="AM140" s="455">
        <v>-82508.7</v>
      </c>
      <c r="AN140" s="455">
        <f>AM140-AL140</f>
        <v>55.80000000000291</v>
      </c>
      <c r="AO140" s="475">
        <f t="shared" si="82"/>
        <v>15.51325581854349</v>
      </c>
      <c r="AP140" s="476">
        <v>3273.9487049999998</v>
      </c>
      <c r="AQ140" s="455">
        <v>3319.728286</v>
      </c>
      <c r="AR140" s="455">
        <f>AQ140-AP140</f>
        <v>45.779581000000235</v>
      </c>
      <c r="AS140" s="475">
        <f t="shared" si="83"/>
        <v>12.727425650872753</v>
      </c>
      <c r="AT140" s="476">
        <v>11673.7</v>
      </c>
      <c r="AU140" s="455">
        <v>11840.282857</v>
      </c>
      <c r="AV140" s="455">
        <f>AU140-AT140</f>
        <v>166.58285699999942</v>
      </c>
      <c r="AW140" s="475">
        <f t="shared" si="84"/>
        <v>46.312589168901511</v>
      </c>
      <c r="AX140" s="476">
        <v>14.4</v>
      </c>
      <c r="AY140" s="455">
        <v>14.6</v>
      </c>
      <c r="AZ140" s="455">
        <f>AY140-AX140</f>
        <v>0.19999999999999929</v>
      </c>
      <c r="BA140" s="475">
        <f t="shared" si="85"/>
        <v>5.5603067449973571E-2</v>
      </c>
      <c r="BB140" s="476">
        <v>-79.33</v>
      </c>
      <c r="BC140" s="455">
        <v>-79.819999999999993</v>
      </c>
      <c r="BD140" s="455">
        <f>BC140-BB140</f>
        <v>-0.48999999999999488</v>
      </c>
      <c r="BE140" s="455">
        <v>-3.4361069999999998</v>
      </c>
      <c r="BF140" s="475">
        <f t="shared" si="86"/>
        <v>-0.13622751525243432</v>
      </c>
      <c r="BG140" s="443">
        <v>98.3</v>
      </c>
      <c r="BH140" s="443">
        <v>97</v>
      </c>
      <c r="BI140" s="443">
        <f>BH140-BG140</f>
        <v>-1.2999999999999972</v>
      </c>
      <c r="BJ140" s="495">
        <v>92397.6</v>
      </c>
      <c r="BK140" s="495">
        <v>92398.1</v>
      </c>
      <c r="BL140" s="495">
        <f>BK140-BJ140</f>
        <v>0.5</v>
      </c>
      <c r="BM140" s="495">
        <v>-92071.2</v>
      </c>
      <c r="BN140" s="495">
        <v>-92071.2</v>
      </c>
      <c r="BO140" s="495">
        <f>BN140-BM140</f>
        <v>0</v>
      </c>
      <c r="BP140" s="443"/>
      <c r="BQ140" s="443"/>
      <c r="BR140" s="443"/>
      <c r="BS140" s="443"/>
      <c r="BT140" s="466" t="s">
        <v>723</v>
      </c>
      <c r="BU140" s="447">
        <v>2372.8382966899999</v>
      </c>
      <c r="BV140" s="447">
        <v>-1.19987541</v>
      </c>
      <c r="BW140" s="447">
        <v>2024.28501383</v>
      </c>
      <c r="BX140" s="447">
        <v>2048.8688877200002</v>
      </c>
      <c r="BY140" s="447">
        <v>3.0201414500000001</v>
      </c>
      <c r="BZ140" s="447">
        <v>3.0320541400000001</v>
      </c>
      <c r="CA140" s="447">
        <v>0.16423747999999999</v>
      </c>
      <c r="CB140" s="447">
        <v>3.5968786599999998</v>
      </c>
      <c r="CC140" s="447">
        <v>3.5909809199999998</v>
      </c>
      <c r="CD140" s="447">
        <v>-0.55932698000000003</v>
      </c>
      <c r="CE140" s="447">
        <v>-0.39289194</v>
      </c>
      <c r="CF140" s="447">
        <v>0.63450991999999995</v>
      </c>
      <c r="CG140" s="447"/>
    </row>
    <row r="141" spans="1:85" s="449" customFormat="1" ht="33.75">
      <c r="A141" s="500">
        <v>62006015</v>
      </c>
      <c r="B141" s="491" t="s">
        <v>831</v>
      </c>
      <c r="C141" s="491" t="s">
        <v>696</v>
      </c>
      <c r="D141" s="473" t="s">
        <v>882</v>
      </c>
      <c r="E141" s="448" t="s">
        <v>883</v>
      </c>
      <c r="F141" s="481" t="str">
        <f t="shared" si="68"/>
        <v>06/05/20</v>
      </c>
      <c r="G141" s="466" t="s">
        <v>884</v>
      </c>
      <c r="H141" s="466" t="s">
        <v>708</v>
      </c>
      <c r="I141" s="474"/>
      <c r="J141" s="467">
        <v>-6.2480209999999996</v>
      </c>
      <c r="K141" s="467">
        <v>8.1942699999999995</v>
      </c>
      <c r="L141" s="467">
        <v>29.156023000000001</v>
      </c>
      <c r="M141" s="467">
        <v>8.1019070000000006</v>
      </c>
      <c r="N141" s="450">
        <v>4250</v>
      </c>
      <c r="O141" s="450">
        <v>38.71</v>
      </c>
      <c r="P141" s="450">
        <v>3.0499999999999999E-2</v>
      </c>
      <c r="Q141" s="450">
        <v>1.4999999999999999E-2</v>
      </c>
      <c r="R141" s="451">
        <v>3.8634109200000002</v>
      </c>
      <c r="S141" s="451">
        <f>R141+R140</f>
        <v>7.4603347800000002</v>
      </c>
      <c r="T141" s="492">
        <v>97</v>
      </c>
      <c r="U141" s="492">
        <v>95.7</v>
      </c>
      <c r="V141" s="455">
        <v>-1766</v>
      </c>
      <c r="W141" s="455">
        <v>-658</v>
      </c>
      <c r="X141" s="455">
        <f>W141-V141</f>
        <v>1108</v>
      </c>
      <c r="Y141" s="455">
        <f t="shared" si="78"/>
        <v>286.79320500548772</v>
      </c>
      <c r="Z141" s="476">
        <v>-1503</v>
      </c>
      <c r="AA141" s="455">
        <v>-391</v>
      </c>
      <c r="AB141" s="455">
        <f>AA141-Z141</f>
        <v>1112</v>
      </c>
      <c r="AC141" s="475">
        <f t="shared" si="79"/>
        <v>287.82855953619344</v>
      </c>
      <c r="AD141" s="476">
        <v>3057</v>
      </c>
      <c r="AE141" s="455">
        <v>3075</v>
      </c>
      <c r="AF141" s="455">
        <f>AE141-AD141</f>
        <v>18</v>
      </c>
      <c r="AG141" s="475">
        <f t="shared" si="80"/>
        <v>4.6590953881757935</v>
      </c>
      <c r="AH141" s="476">
        <v>65559</v>
      </c>
      <c r="AI141" s="455">
        <v>66265</v>
      </c>
      <c r="AJ141" s="455">
        <f>AI141-AH141</f>
        <v>706</v>
      </c>
      <c r="AK141" s="475">
        <f t="shared" si="81"/>
        <v>182.74007466956166</v>
      </c>
      <c r="AL141" s="476">
        <v>-82508.7</v>
      </c>
      <c r="AM141" s="455">
        <v>-82413.5</v>
      </c>
      <c r="AN141" s="455">
        <f>AM141-AL141</f>
        <v>95.19999999999709</v>
      </c>
      <c r="AO141" s="475">
        <f t="shared" si="82"/>
        <v>24.641437830795667</v>
      </c>
      <c r="AP141" s="476">
        <v>3319.748384</v>
      </c>
      <c r="AQ141" s="455">
        <v>3397.7479269999999</v>
      </c>
      <c r="AR141" s="455">
        <f>AQ141-AP141</f>
        <v>77.999542999999903</v>
      </c>
      <c r="AS141" s="475">
        <f t="shared" si="83"/>
        <v>20.189295059506613</v>
      </c>
      <c r="AT141" s="476">
        <v>11840.38384</v>
      </c>
      <c r="AU141" s="455">
        <v>12123.8</v>
      </c>
      <c r="AV141" s="455">
        <f>AU141-AT141</f>
        <v>283.41615999999885</v>
      </c>
      <c r="AW141" s="475">
        <f t="shared" si="84"/>
        <v>73.359051332804853</v>
      </c>
      <c r="AX141" s="476">
        <v>14.6</v>
      </c>
      <c r="AY141" s="455">
        <v>14.8</v>
      </c>
      <c r="AZ141" s="455">
        <f>AY141-AX141</f>
        <v>0.20000000000000107</v>
      </c>
      <c r="BA141" s="475">
        <f t="shared" si="85"/>
        <v>5.176772653528687E-2</v>
      </c>
      <c r="BB141" s="476">
        <v>-79.819999999999993</v>
      </c>
      <c r="BC141" s="455">
        <v>-80.64</v>
      </c>
      <c r="BD141" s="455">
        <f>BC141-BB141</f>
        <v>-0.82000000000000739</v>
      </c>
      <c r="BE141" s="455">
        <v>-3.4014389999999999</v>
      </c>
      <c r="BF141" s="475">
        <f t="shared" si="86"/>
        <v>-0.21224767879467696</v>
      </c>
      <c r="BG141" s="443">
        <v>97</v>
      </c>
      <c r="BH141" s="443">
        <v>95.7</v>
      </c>
      <c r="BI141" s="443">
        <f>BH141-BG141</f>
        <v>-1.2999999999999972</v>
      </c>
      <c r="BJ141" s="495">
        <v>92398.1</v>
      </c>
      <c r="BK141" s="495">
        <v>92399</v>
      </c>
      <c r="BL141" s="495">
        <f>BK141-BJ141</f>
        <v>0.89999999999417923</v>
      </c>
      <c r="BM141" s="495">
        <v>-92071.2</v>
      </c>
      <c r="BN141" s="495">
        <v>-92071.2</v>
      </c>
      <c r="BO141" s="495">
        <f>BN141-BM141</f>
        <v>0</v>
      </c>
      <c r="BP141" s="443"/>
      <c r="BQ141" s="443"/>
      <c r="BR141" s="443"/>
      <c r="BS141" s="443"/>
      <c r="BT141" s="466" t="s">
        <v>723</v>
      </c>
      <c r="BU141" s="447">
        <v>1475.9490921900001</v>
      </c>
      <c r="BV141" s="447">
        <v>-1.29544288</v>
      </c>
      <c r="BW141" s="447">
        <v>3372.0227149799998</v>
      </c>
      <c r="BX141" s="447">
        <v>3416.2786534000002</v>
      </c>
      <c r="BY141" s="447">
        <v>2.9821475300000002</v>
      </c>
      <c r="BZ141" s="447">
        <v>2.99541872</v>
      </c>
      <c r="CA141" s="447">
        <v>9.0735940000000001E-2</v>
      </c>
      <c r="CB141" s="447">
        <v>3.8633331399999999</v>
      </c>
      <c r="CC141" s="447">
        <v>3.85983089</v>
      </c>
      <c r="CD141" s="447">
        <v>-0.53616098999999995</v>
      </c>
      <c r="CE141" s="447">
        <v>-0.44304958999999999</v>
      </c>
      <c r="CF141" s="447">
        <v>0.72008459999999996</v>
      </c>
      <c r="CG141" s="447"/>
    </row>
    <row r="142" spans="1:85" s="449" customFormat="1" ht="33.75">
      <c r="A142" s="500">
        <v>62006015</v>
      </c>
      <c r="B142" s="491" t="s">
        <v>830</v>
      </c>
      <c r="C142" s="491" t="s">
        <v>698</v>
      </c>
      <c r="D142" s="473" t="s">
        <v>882</v>
      </c>
      <c r="E142" s="448" t="s">
        <v>883</v>
      </c>
      <c r="F142" s="481" t="str">
        <f t="shared" si="68"/>
        <v>06/05/20</v>
      </c>
      <c r="G142" s="466" t="s">
        <v>884</v>
      </c>
      <c r="H142" s="466" t="s">
        <v>708</v>
      </c>
      <c r="I142" s="474"/>
      <c r="J142" s="468">
        <f>AVERAGE(J140:J141)</f>
        <v>-5.7092794999999992</v>
      </c>
      <c r="K142" s="468">
        <f>AVERAGE(K140:K141)</f>
        <v>8.1629734999999997</v>
      </c>
      <c r="L142" s="468">
        <f>AVERAGE(L140:L141)</f>
        <v>29.155300500000003</v>
      </c>
      <c r="M142" s="468">
        <f>AVERAGE(M140:M141)</f>
        <v>5.9207055000000004</v>
      </c>
      <c r="N142" s="452"/>
      <c r="O142" s="450"/>
      <c r="P142" s="470"/>
      <c r="Q142" s="469"/>
      <c r="R142" s="453">
        <f>R141+R140</f>
        <v>7.4603347800000002</v>
      </c>
      <c r="S142" s="453">
        <f>S141</f>
        <v>7.4603347800000002</v>
      </c>
      <c r="T142" s="493">
        <f>T140</f>
        <v>98.3</v>
      </c>
      <c r="U142" s="493">
        <f>U141</f>
        <v>95.7</v>
      </c>
      <c r="V142" s="456">
        <f>V140</f>
        <v>-2882</v>
      </c>
      <c r="W142" s="456">
        <f>W141</f>
        <v>-658</v>
      </c>
      <c r="X142" s="456">
        <f>SUM(X140:X141)</f>
        <v>2224</v>
      </c>
      <c r="Y142" s="456">
        <f t="shared" si="78"/>
        <v>298.10994621343252</v>
      </c>
      <c r="Z142" s="456">
        <f>Z140</f>
        <v>-2623</v>
      </c>
      <c r="AA142" s="456">
        <f>AA141</f>
        <v>-391</v>
      </c>
      <c r="AB142" s="456">
        <f>SUM(AB140:AB141)</f>
        <v>2232</v>
      </c>
      <c r="AC142" s="454">
        <f t="shared" si="79"/>
        <v>299.18228414945207</v>
      </c>
      <c r="AD142" s="456">
        <f>AD140</f>
        <v>3046</v>
      </c>
      <c r="AE142" s="456">
        <f>AE141</f>
        <v>3075</v>
      </c>
      <c r="AF142" s="456">
        <f>SUM(AF140:AF141)</f>
        <v>29</v>
      </c>
      <c r="AG142" s="454">
        <f t="shared" si="80"/>
        <v>3.8872250180708376</v>
      </c>
      <c r="AH142" s="456">
        <f>AH140</f>
        <v>64678</v>
      </c>
      <c r="AI142" s="456">
        <f>AI141</f>
        <v>66265</v>
      </c>
      <c r="AJ142" s="456">
        <f>SUM(AJ140:AJ141)</f>
        <v>1587</v>
      </c>
      <c r="AK142" s="454">
        <f t="shared" si="81"/>
        <v>212.72503805787653</v>
      </c>
      <c r="AL142" s="456">
        <f>AL140</f>
        <v>-82564.5</v>
      </c>
      <c r="AM142" s="456">
        <f>AM141</f>
        <v>-82413.5</v>
      </c>
      <c r="AN142" s="456">
        <f>SUM(AN140:AN141)</f>
        <v>151</v>
      </c>
      <c r="AO142" s="454">
        <f t="shared" si="82"/>
        <v>20.240378542368845</v>
      </c>
      <c r="AP142" s="456">
        <f>AP140</f>
        <v>3273.9487049999998</v>
      </c>
      <c r="AQ142" s="456">
        <f>AQ141</f>
        <v>3397.7479269999999</v>
      </c>
      <c r="AR142" s="456">
        <f>SUM(AR140:AR141)</f>
        <v>123.77912400000014</v>
      </c>
      <c r="AS142" s="454">
        <f t="shared" si="83"/>
        <v>16.591631294058381</v>
      </c>
      <c r="AT142" s="456">
        <f>AT140</f>
        <v>11673.7</v>
      </c>
      <c r="AU142" s="456">
        <f>AU141</f>
        <v>12123.8</v>
      </c>
      <c r="AV142" s="456">
        <f>SUM(AV140:AV141)</f>
        <v>449.99901699999828</v>
      </c>
      <c r="AW142" s="454">
        <f t="shared" si="84"/>
        <v>60.318877137575086</v>
      </c>
      <c r="AX142" s="456">
        <f>AX140</f>
        <v>14.4</v>
      </c>
      <c r="AY142" s="456">
        <f>AY141</f>
        <v>14.8</v>
      </c>
      <c r="AZ142" s="456">
        <f>SUM(AZ140:AZ141)</f>
        <v>0.40000000000000036</v>
      </c>
      <c r="BA142" s="454">
        <f t="shared" si="85"/>
        <v>5.3616896800977122E-2</v>
      </c>
      <c r="BB142" s="456">
        <f>BB140</f>
        <v>-79.33</v>
      </c>
      <c r="BC142" s="456">
        <f>BC141</f>
        <v>-80.64</v>
      </c>
      <c r="BD142" s="456">
        <f>SUM(BD140:BD141)</f>
        <v>-1.3100000000000023</v>
      </c>
      <c r="BE142" s="455">
        <f>AVERAGE(BE140:BE141)</f>
        <v>-3.4187729999999998</v>
      </c>
      <c r="BF142" s="454">
        <f t="shared" si="86"/>
        <v>-0.17559533702320021</v>
      </c>
      <c r="BG142" s="445" t="s">
        <v>1095</v>
      </c>
      <c r="BH142" s="445" t="s">
        <v>1096</v>
      </c>
      <c r="BI142" s="445">
        <f>SUM(BI140:BI141)</f>
        <v>-2.5999999999999943</v>
      </c>
      <c r="BJ142" s="496" t="s">
        <v>1097</v>
      </c>
      <c r="BK142" s="496" t="s">
        <v>1119</v>
      </c>
      <c r="BL142" s="496">
        <f>SUM(BL140:BL141)</f>
        <v>1.3999999999941792</v>
      </c>
      <c r="BM142" s="496" t="s">
        <v>1020</v>
      </c>
      <c r="BN142" s="496" t="s">
        <v>1021</v>
      </c>
      <c r="BO142" s="496">
        <f>SUM(BO140:BO141)</f>
        <v>0</v>
      </c>
      <c r="BP142" s="445"/>
      <c r="BQ142" s="445"/>
      <c r="BR142" s="445"/>
      <c r="BS142" s="445"/>
      <c r="BT142" s="466" t="s">
        <v>723</v>
      </c>
      <c r="BU142" s="447"/>
      <c r="BV142" s="447"/>
      <c r="BW142" s="447"/>
      <c r="BX142" s="447"/>
      <c r="BY142" s="447"/>
      <c r="BZ142" s="447"/>
      <c r="CA142" s="447"/>
      <c r="CB142" s="447"/>
      <c r="CC142" s="447"/>
      <c r="CD142" s="447"/>
      <c r="CE142" s="447"/>
      <c r="CF142" s="447"/>
      <c r="CG142" s="447"/>
    </row>
    <row r="143" spans="1:85" s="449" customFormat="1" ht="33.75">
      <c r="A143" s="500">
        <v>62006015</v>
      </c>
      <c r="B143" s="491" t="s">
        <v>829</v>
      </c>
      <c r="C143" s="491" t="s">
        <v>697</v>
      </c>
      <c r="D143" s="473" t="s">
        <v>882</v>
      </c>
      <c r="E143" s="448" t="s">
        <v>883</v>
      </c>
      <c r="F143" s="481" t="str">
        <f t="shared" si="68"/>
        <v>06/05/20</v>
      </c>
      <c r="G143" s="466" t="s">
        <v>884</v>
      </c>
      <c r="H143" s="466" t="s">
        <v>708</v>
      </c>
      <c r="I143" s="474"/>
      <c r="J143" s="467">
        <v>-4.6861629999999996</v>
      </c>
      <c r="K143" s="467">
        <v>7.3651249999999999</v>
      </c>
      <c r="L143" s="467">
        <v>29.161712000000001</v>
      </c>
      <c r="M143" s="467">
        <v>9.350676</v>
      </c>
      <c r="N143" s="450">
        <v>4250</v>
      </c>
      <c r="O143" s="450">
        <v>38.71</v>
      </c>
      <c r="P143" s="450">
        <v>3.0499999999999999E-2</v>
      </c>
      <c r="Q143" s="450">
        <v>1.4999999999999999E-2</v>
      </c>
      <c r="R143" s="451">
        <v>10.284090709999999</v>
      </c>
      <c r="S143" s="451">
        <f>R143+R142</f>
        <v>17.744425489999998</v>
      </c>
      <c r="T143" s="492">
        <v>95.7</v>
      </c>
      <c r="U143" s="492">
        <v>92.7</v>
      </c>
      <c r="V143" s="455">
        <v>-651</v>
      </c>
      <c r="W143" s="455">
        <v>1957</v>
      </c>
      <c r="X143" s="455">
        <f>W143-V143</f>
        <v>2608</v>
      </c>
      <c r="Y143" s="455">
        <f t="shared" si="78"/>
        <v>253.5955850198836</v>
      </c>
      <c r="Z143" s="476">
        <v>-384</v>
      </c>
      <c r="AA143" s="455">
        <v>2230</v>
      </c>
      <c r="AB143" s="455">
        <f>AA143-Z143</f>
        <v>2614</v>
      </c>
      <c r="AC143" s="475">
        <f t="shared" si="79"/>
        <v>254.17901044554284</v>
      </c>
      <c r="AD143" s="476">
        <v>3075</v>
      </c>
      <c r="AE143" s="455">
        <v>3077</v>
      </c>
      <c r="AF143" s="455">
        <f>AE143-AD143</f>
        <v>2</v>
      </c>
      <c r="AG143" s="475">
        <f t="shared" si="80"/>
        <v>0.19447514188641382</v>
      </c>
      <c r="AH143" s="476">
        <v>66265</v>
      </c>
      <c r="AI143" s="455">
        <v>68523</v>
      </c>
      <c r="AJ143" s="455">
        <f>AI143-AH143</f>
        <v>2258</v>
      </c>
      <c r="AK143" s="475">
        <f t="shared" si="81"/>
        <v>219.5624351897612</v>
      </c>
      <c r="AL143" s="476">
        <v>-82411.8</v>
      </c>
      <c r="AM143" s="455">
        <v>-82325</v>
      </c>
      <c r="AN143" s="455">
        <f>AM143-AL143</f>
        <v>86.80000000000291</v>
      </c>
      <c r="AO143" s="475">
        <f t="shared" si="82"/>
        <v>8.4402211578706421</v>
      </c>
      <c r="AP143" s="476">
        <v>3399.14</v>
      </c>
      <c r="AQ143" s="455">
        <v>3470.69</v>
      </c>
      <c r="AR143" s="455">
        <f>AQ143-AP143</f>
        <v>71.550000000000182</v>
      </c>
      <c r="AS143" s="475">
        <f t="shared" si="83"/>
        <v>6.9573482009864716</v>
      </c>
      <c r="AT143" s="476">
        <v>12129.1</v>
      </c>
      <c r="AU143" s="455">
        <v>12385.8</v>
      </c>
      <c r="AV143" s="455">
        <f>AU143-AT143</f>
        <v>256.69999999999891</v>
      </c>
      <c r="AW143" s="475">
        <f t="shared" si="84"/>
        <v>24.960884461121108</v>
      </c>
      <c r="AX143" s="476">
        <v>14.8</v>
      </c>
      <c r="AY143" s="455">
        <v>15</v>
      </c>
      <c r="AZ143" s="455">
        <f>AY143-AX143</f>
        <v>0.19999999999999929</v>
      </c>
      <c r="BA143" s="475">
        <f t="shared" si="85"/>
        <v>1.9447514188641313E-2</v>
      </c>
      <c r="BB143" s="476">
        <v>-80.650000000000006</v>
      </c>
      <c r="BC143" s="455">
        <v>-81.349999999999994</v>
      </c>
      <c r="BD143" s="455">
        <f>BC143-BB143</f>
        <v>-0.69999999999998863</v>
      </c>
      <c r="BE143" s="455">
        <v>-3.276675</v>
      </c>
      <c r="BF143" s="475">
        <f t="shared" si="86"/>
        <v>-6.8066299660243731E-2</v>
      </c>
      <c r="BG143" s="443">
        <v>95.7</v>
      </c>
      <c r="BH143" s="443">
        <v>92.7</v>
      </c>
      <c r="BI143" s="443">
        <f>BH143-BG143</f>
        <v>-3</v>
      </c>
      <c r="BJ143" s="495">
        <v>92399</v>
      </c>
      <c r="BK143" s="495">
        <v>92399.7</v>
      </c>
      <c r="BL143" s="495">
        <f>BK143-BJ143</f>
        <v>0.69999999999708962</v>
      </c>
      <c r="BM143" s="495">
        <v>-92071.2</v>
      </c>
      <c r="BN143" s="495">
        <v>-92071.2</v>
      </c>
      <c r="BO143" s="495">
        <f>BN143-BM143</f>
        <v>0</v>
      </c>
      <c r="BP143" s="443"/>
      <c r="BQ143" s="443"/>
      <c r="BR143" s="443"/>
      <c r="BS143" s="443"/>
      <c r="BT143" s="466" t="s">
        <v>723</v>
      </c>
      <c r="BU143" s="447">
        <v>1875.8349582999999</v>
      </c>
      <c r="BV143" s="447">
        <v>-0.32691491</v>
      </c>
      <c r="BW143" s="447">
        <v>1302.5149796600001</v>
      </c>
      <c r="BX143" s="447">
        <v>1306.78706145</v>
      </c>
      <c r="BY143" s="447">
        <v>6.80690566</v>
      </c>
      <c r="BZ143" s="447">
        <v>6.7904522199999997</v>
      </c>
      <c r="CA143" s="447">
        <v>0.26730822999999998</v>
      </c>
      <c r="CB143" s="447">
        <v>10.284097389999999</v>
      </c>
      <c r="CC143" s="447">
        <v>10.25668044</v>
      </c>
      <c r="CD143" s="447">
        <v>-2.4945229999999999E-2</v>
      </c>
      <c r="CE143" s="447">
        <v>0.24230256</v>
      </c>
      <c r="CF143" s="447">
        <v>0.33398836999999998</v>
      </c>
      <c r="CG143" s="447"/>
    </row>
    <row r="144" spans="1:85" s="449" customFormat="1" ht="33.75">
      <c r="A144" s="500">
        <v>62006015</v>
      </c>
      <c r="B144" s="491" t="s">
        <v>828</v>
      </c>
      <c r="C144" s="491" t="s">
        <v>699</v>
      </c>
      <c r="D144" s="473" t="s">
        <v>882</v>
      </c>
      <c r="E144" s="448" t="s">
        <v>883</v>
      </c>
      <c r="F144" s="481" t="str">
        <f t="shared" si="68"/>
        <v>06/05/20</v>
      </c>
      <c r="G144" s="466" t="s">
        <v>884</v>
      </c>
      <c r="H144" s="466" t="s">
        <v>708</v>
      </c>
      <c r="I144" s="474"/>
      <c r="J144" s="467">
        <v>-6.1766880000000004</v>
      </c>
      <c r="K144" s="467">
        <v>8.3075569999999992</v>
      </c>
      <c r="L144" s="467">
        <v>29.167753000000001</v>
      </c>
      <c r="M144" s="467">
        <v>9.1271869999999993</v>
      </c>
      <c r="N144" s="450">
        <v>4250</v>
      </c>
      <c r="O144" s="450">
        <v>38.71</v>
      </c>
      <c r="P144" s="450">
        <v>3.0499999999999999E-2</v>
      </c>
      <c r="Q144" s="450">
        <v>1.4999999999999999E-2</v>
      </c>
      <c r="R144" s="451">
        <v>3.5975343799999999</v>
      </c>
      <c r="S144" s="451">
        <f>R144+R143</f>
        <v>13.88162509</v>
      </c>
      <c r="T144" s="492">
        <v>92.6</v>
      </c>
      <c r="U144" s="492">
        <v>91.4</v>
      </c>
      <c r="V144" s="455">
        <v>2007</v>
      </c>
      <c r="W144" s="455">
        <v>3100</v>
      </c>
      <c r="X144" s="455">
        <f>W144-V144</f>
        <v>1093</v>
      </c>
      <c r="Y144" s="455">
        <f t="shared" si="78"/>
        <v>303.81919519001235</v>
      </c>
      <c r="Z144" s="476">
        <v>2284</v>
      </c>
      <c r="AA144" s="455">
        <v>3382</v>
      </c>
      <c r="AB144" s="455">
        <f>AA144-Z144</f>
        <v>1098</v>
      </c>
      <c r="AC144" s="475">
        <f t="shared" si="79"/>
        <v>305.20903597313225</v>
      </c>
      <c r="AD144" s="476">
        <v>3081</v>
      </c>
      <c r="AE144" s="455">
        <v>3092</v>
      </c>
      <c r="AF144" s="455">
        <f>AE144-AD144</f>
        <v>11</v>
      </c>
      <c r="AG144" s="475">
        <f t="shared" si="80"/>
        <v>3.0576497228638022</v>
      </c>
      <c r="AH144" s="476">
        <v>68524</v>
      </c>
      <c r="AI144" s="455">
        <v>69286</v>
      </c>
      <c r="AJ144" s="455">
        <f>AI144-AH144</f>
        <v>762</v>
      </c>
      <c r="AK144" s="475">
        <f t="shared" si="81"/>
        <v>211.8117353474743</v>
      </c>
      <c r="AL144" s="476">
        <v>-82284.100000000006</v>
      </c>
      <c r="AM144" s="455">
        <v>-82227.3</v>
      </c>
      <c r="AN144" s="455">
        <f>AM144-AL144</f>
        <v>56.80000000000291</v>
      </c>
      <c r="AO144" s="475">
        <f t="shared" si="82"/>
        <v>15.788591296242988</v>
      </c>
      <c r="AP144" s="476">
        <v>3501.137205</v>
      </c>
      <c r="AQ144" s="455">
        <v>3547.8970119999999</v>
      </c>
      <c r="AR144" s="455">
        <f>AQ144-AP144</f>
        <v>46.75980699999991</v>
      </c>
      <c r="AS144" s="475">
        <f t="shared" si="83"/>
        <v>12.997737355883146</v>
      </c>
      <c r="AT144" s="476">
        <v>12388.2</v>
      </c>
      <c r="AU144" s="455">
        <v>12648.070121999999</v>
      </c>
      <c r="AV144" s="455">
        <f>AU144-AT144</f>
        <v>259.87012199999845</v>
      </c>
      <c r="AW144" s="475">
        <f t="shared" si="84"/>
        <v>72.235618773988875</v>
      </c>
      <c r="AX144" s="476">
        <v>15.1</v>
      </c>
      <c r="AY144" s="455">
        <v>15.3</v>
      </c>
      <c r="AZ144" s="455">
        <f>AY144-AX144</f>
        <v>0.20000000000000107</v>
      </c>
      <c r="BA144" s="475">
        <f t="shared" si="85"/>
        <v>5.5593631324796701E-2</v>
      </c>
      <c r="BB144" s="476">
        <v>-81.88</v>
      </c>
      <c r="BC144" s="455">
        <v>-82.32</v>
      </c>
      <c r="BD144" s="455">
        <f>BC144-BB144</f>
        <v>-0.43999999999999773</v>
      </c>
      <c r="BE144" s="455">
        <v>-3.1027</v>
      </c>
      <c r="BF144" s="475">
        <f t="shared" si="86"/>
        <v>-0.12230598891455145</v>
      </c>
      <c r="BG144" s="443">
        <v>92.6</v>
      </c>
      <c r="BH144" s="443">
        <v>91.4</v>
      </c>
      <c r="BI144" s="443">
        <f>BH144-BG144</f>
        <v>-1.1999999999999886</v>
      </c>
      <c r="BJ144" s="495">
        <v>92400.3</v>
      </c>
      <c r="BK144" s="495">
        <v>92400.8</v>
      </c>
      <c r="BL144" s="495">
        <f>BK144-BJ144</f>
        <v>0.5</v>
      </c>
      <c r="BM144" s="495">
        <v>-92071.2</v>
      </c>
      <c r="BN144" s="495">
        <v>-92071.2</v>
      </c>
      <c r="BO144" s="495">
        <f>BN144-BM144</f>
        <v>0</v>
      </c>
      <c r="BP144" s="443"/>
      <c r="BQ144" s="443"/>
      <c r="BR144" s="443"/>
      <c r="BS144" s="443"/>
      <c r="BT144" s="466" t="s">
        <v>723</v>
      </c>
      <c r="BU144" s="447">
        <v>2367.8317081499999</v>
      </c>
      <c r="BV144" s="447">
        <v>-0.95886081999999995</v>
      </c>
      <c r="BW144" s="447">
        <v>2029.1763991099999</v>
      </c>
      <c r="BX144" s="447">
        <v>2048.82174803</v>
      </c>
      <c r="BY144" s="447">
        <v>3.0246299699999999</v>
      </c>
      <c r="BZ144" s="447">
        <v>3.0319664500000001</v>
      </c>
      <c r="CA144" s="447">
        <v>0.18136394</v>
      </c>
      <c r="CB144" s="447">
        <v>3.5974922199999999</v>
      </c>
      <c r="CC144" s="447">
        <v>3.5909794800000001</v>
      </c>
      <c r="CD144" s="447">
        <v>-0.42436157000000002</v>
      </c>
      <c r="CE144" s="447">
        <v>-0.24197081000000001</v>
      </c>
      <c r="CF144" s="447">
        <v>0.63450677</v>
      </c>
      <c r="CG144" s="447"/>
    </row>
    <row r="145" spans="1:85" s="449" customFormat="1" ht="33.75">
      <c r="A145" s="500">
        <v>62006015</v>
      </c>
      <c r="B145" s="491" t="s">
        <v>239</v>
      </c>
      <c r="C145" s="491" t="s">
        <v>700</v>
      </c>
      <c r="D145" s="473" t="s">
        <v>882</v>
      </c>
      <c r="E145" s="448" t="s">
        <v>883</v>
      </c>
      <c r="F145" s="481" t="str">
        <f t="shared" si="68"/>
        <v>06/05/20</v>
      </c>
      <c r="G145" s="466" t="s">
        <v>884</v>
      </c>
      <c r="H145" s="466" t="s">
        <v>708</v>
      </c>
      <c r="I145" s="474"/>
      <c r="J145" s="467">
        <v>-7.0813959999999998</v>
      </c>
      <c r="K145" s="467">
        <v>8.2586779999999997</v>
      </c>
      <c r="L145" s="467">
        <v>29.169723000000001</v>
      </c>
      <c r="M145" s="467">
        <v>9.2324129999999993</v>
      </c>
      <c r="N145" s="450">
        <v>4250</v>
      </c>
      <c r="O145" s="450">
        <v>38.71</v>
      </c>
      <c r="P145" s="450">
        <v>3.0499999999999999E-2</v>
      </c>
      <c r="Q145" s="450">
        <v>1.4999999999999999E-2</v>
      </c>
      <c r="R145" s="451">
        <v>3.8613518</v>
      </c>
      <c r="S145" s="451">
        <f>R145+R144</f>
        <v>7.4588861800000004</v>
      </c>
      <c r="T145" s="492">
        <v>91.4</v>
      </c>
      <c r="U145" s="492">
        <v>90.1</v>
      </c>
      <c r="V145" s="455">
        <v>3100</v>
      </c>
      <c r="W145" s="455">
        <v>4220</v>
      </c>
      <c r="X145" s="455">
        <f>W145-V145</f>
        <v>1120</v>
      </c>
      <c r="Y145" s="455">
        <f t="shared" si="78"/>
        <v>290.05386144821097</v>
      </c>
      <c r="Z145" s="476">
        <v>3382</v>
      </c>
      <c r="AA145" s="455">
        <v>4507</v>
      </c>
      <c r="AB145" s="455">
        <f>AA145-Z145</f>
        <v>1125</v>
      </c>
      <c r="AC145" s="475">
        <f t="shared" si="79"/>
        <v>291.34874475824762</v>
      </c>
      <c r="AD145" s="476">
        <v>3092</v>
      </c>
      <c r="AE145" s="455">
        <v>3117</v>
      </c>
      <c r="AF145" s="455">
        <f>AE145-AD145</f>
        <v>25</v>
      </c>
      <c r="AG145" s="475">
        <f t="shared" si="80"/>
        <v>6.47441655018328</v>
      </c>
      <c r="AH145" s="476">
        <v>69286</v>
      </c>
      <c r="AI145" s="455">
        <v>69974</v>
      </c>
      <c r="AJ145" s="455">
        <f>AI145-AH145</f>
        <v>688</v>
      </c>
      <c r="AK145" s="475">
        <f t="shared" si="81"/>
        <v>178.17594346104389</v>
      </c>
      <c r="AL145" s="476">
        <v>-82227.3</v>
      </c>
      <c r="AM145" s="455">
        <v>-82130.8</v>
      </c>
      <c r="AN145" s="455">
        <f>AM145-AL145</f>
        <v>96.5</v>
      </c>
      <c r="AO145" s="475">
        <f t="shared" si="82"/>
        <v>24.991247883707462</v>
      </c>
      <c r="AP145" s="476">
        <v>3547.9169430000002</v>
      </c>
      <c r="AQ145" s="455">
        <v>3627.1964619999999</v>
      </c>
      <c r="AR145" s="455">
        <f>AQ145-AP145</f>
        <v>79.279518999999709</v>
      </c>
      <c r="AS145" s="475">
        <f t="shared" si="83"/>
        <v>20.531545196166718</v>
      </c>
      <c r="AT145" s="476">
        <v>12648.169433999999</v>
      </c>
      <c r="AU145" s="455">
        <v>12954</v>
      </c>
      <c r="AV145" s="455">
        <f>AU145-AT145</f>
        <v>305.83056600000054</v>
      </c>
      <c r="AW145" s="475">
        <f t="shared" si="84"/>
        <v>79.202979122492948</v>
      </c>
      <c r="AX145" s="476">
        <v>15.3</v>
      </c>
      <c r="AY145" s="455">
        <v>15.5</v>
      </c>
      <c r="AZ145" s="455">
        <f>AY145-AX145</f>
        <v>0.19999999999999929</v>
      </c>
      <c r="BA145" s="475">
        <f t="shared" si="85"/>
        <v>5.1795332401466061E-2</v>
      </c>
      <c r="BB145" s="476">
        <v>-82.32</v>
      </c>
      <c r="BC145" s="455">
        <v>-83.05</v>
      </c>
      <c r="BD145" s="455">
        <f>BC145-BB145</f>
        <v>-0.73000000000000398</v>
      </c>
      <c r="BE145" s="455">
        <v>-3.036877</v>
      </c>
      <c r="BF145" s="475">
        <f t="shared" si="86"/>
        <v>-0.18905296326535281</v>
      </c>
      <c r="BG145" s="443">
        <v>91.4</v>
      </c>
      <c r="BH145" s="443">
        <v>90.1</v>
      </c>
      <c r="BI145" s="443">
        <f>BH145-BG145</f>
        <v>-1.3000000000000114</v>
      </c>
      <c r="BJ145" s="495">
        <v>92400.8</v>
      </c>
      <c r="BK145" s="495">
        <v>92401.600000000006</v>
      </c>
      <c r="BL145" s="495">
        <f>BK145-BJ145</f>
        <v>0.80000000000291038</v>
      </c>
      <c r="BM145" s="495">
        <v>-92071.2</v>
      </c>
      <c r="BN145" s="495">
        <v>-92071.2</v>
      </c>
      <c r="BO145" s="495">
        <f>BN145-BM145</f>
        <v>0</v>
      </c>
      <c r="BP145" s="443"/>
      <c r="BQ145" s="443"/>
      <c r="BR145" s="443"/>
      <c r="BS145" s="443"/>
      <c r="BT145" s="466" t="s">
        <v>723</v>
      </c>
      <c r="BU145" s="447">
        <v>1476.3246863700001</v>
      </c>
      <c r="BV145" s="447">
        <v>-1.1462844400000001</v>
      </c>
      <c r="BW145" s="447">
        <v>3377.0814992099999</v>
      </c>
      <c r="BX145" s="447">
        <v>3416.2413420799999</v>
      </c>
      <c r="BY145" s="447">
        <v>2.9869885900000002</v>
      </c>
      <c r="BZ145" s="447">
        <v>2.99536274</v>
      </c>
      <c r="CA145" s="447">
        <v>3.7378069999999999E-2</v>
      </c>
      <c r="CB145" s="447">
        <v>3.8612736600000002</v>
      </c>
      <c r="CC145" s="447">
        <v>3.8598309300000002</v>
      </c>
      <c r="CD145" s="447">
        <v>-0.31783711999999997</v>
      </c>
      <c r="CE145" s="447">
        <v>-0.27957047000000002</v>
      </c>
      <c r="CF145" s="447">
        <v>0.72008896</v>
      </c>
      <c r="CG145" s="447"/>
    </row>
    <row r="146" spans="1:85" s="449" customFormat="1" ht="33.75">
      <c r="A146" s="500">
        <v>62006015</v>
      </c>
      <c r="B146" s="491" t="s">
        <v>833</v>
      </c>
      <c r="C146" s="491" t="s">
        <v>701</v>
      </c>
      <c r="D146" s="473" t="s">
        <v>882</v>
      </c>
      <c r="E146" s="448" t="s">
        <v>883</v>
      </c>
      <c r="F146" s="481" t="str">
        <f t="shared" si="68"/>
        <v>06/05/20</v>
      </c>
      <c r="G146" s="466" t="s">
        <v>884</v>
      </c>
      <c r="H146" s="466" t="s">
        <v>708</v>
      </c>
      <c r="I146" s="474"/>
      <c r="J146" s="468">
        <f>AVERAGE(J144:J145)</f>
        <v>-6.6290420000000001</v>
      </c>
      <c r="K146" s="468">
        <f>AVERAGE(K144:K145)</f>
        <v>8.2831174999999995</v>
      </c>
      <c r="L146" s="468">
        <f>AVERAGE(L144:L145)</f>
        <v>29.168738000000001</v>
      </c>
      <c r="M146" s="468">
        <f>AVERAGE(M144:M145)</f>
        <v>9.1798000000000002</v>
      </c>
      <c r="N146" s="452"/>
      <c r="O146" s="450"/>
      <c r="P146" s="470"/>
      <c r="Q146" s="469"/>
      <c r="R146" s="453">
        <f>R145+R144</f>
        <v>7.4588861800000004</v>
      </c>
      <c r="S146" s="453">
        <f>S145</f>
        <v>7.4588861800000004</v>
      </c>
      <c r="T146" s="493">
        <f>T144</f>
        <v>92.6</v>
      </c>
      <c r="U146" s="493">
        <f>U145</f>
        <v>90.1</v>
      </c>
      <c r="V146" s="456">
        <f>V144</f>
        <v>2007</v>
      </c>
      <c r="W146" s="456">
        <f>W145</f>
        <v>4220</v>
      </c>
      <c r="X146" s="456">
        <f>SUM(X144:X145)</f>
        <v>2213</v>
      </c>
      <c r="Y146" s="456">
        <f t="shared" si="78"/>
        <v>296.69309151463682</v>
      </c>
      <c r="Z146" s="456">
        <f>Z144</f>
        <v>2284</v>
      </c>
      <c r="AA146" s="456">
        <f>AA145</f>
        <v>4507</v>
      </c>
      <c r="AB146" s="456">
        <f>SUM(AB144:AB145)</f>
        <v>2223</v>
      </c>
      <c r="AC146" s="454">
        <f t="shared" si="79"/>
        <v>298.0337742598453</v>
      </c>
      <c r="AD146" s="456">
        <f>AD144</f>
        <v>3081</v>
      </c>
      <c r="AE146" s="456">
        <f>AE145</f>
        <v>3117</v>
      </c>
      <c r="AF146" s="456">
        <f>SUM(AF144:AF145)</f>
        <v>36</v>
      </c>
      <c r="AG146" s="454">
        <f t="shared" si="80"/>
        <v>4.8264578827505309</v>
      </c>
      <c r="AH146" s="456">
        <f>AH144</f>
        <v>68524</v>
      </c>
      <c r="AI146" s="456">
        <f>AI145</f>
        <v>69974</v>
      </c>
      <c r="AJ146" s="456">
        <f>SUM(AJ144:AJ145)</f>
        <v>1450</v>
      </c>
      <c r="AK146" s="454">
        <f t="shared" si="81"/>
        <v>194.39899805522973</v>
      </c>
      <c r="AL146" s="456">
        <f>AL144</f>
        <v>-82284.100000000006</v>
      </c>
      <c r="AM146" s="456">
        <f>AM145</f>
        <v>-82130.8</v>
      </c>
      <c r="AN146" s="456">
        <f>SUM(AN144:AN145)</f>
        <v>153.30000000000291</v>
      </c>
      <c r="AO146" s="454">
        <f t="shared" si="82"/>
        <v>20.552666484046402</v>
      </c>
      <c r="AP146" s="456">
        <f>AP144</f>
        <v>3501.137205</v>
      </c>
      <c r="AQ146" s="456">
        <f>AQ145</f>
        <v>3627.1964619999999</v>
      </c>
      <c r="AR146" s="456">
        <f>SUM(AR144:AR145)</f>
        <v>126.03932599999962</v>
      </c>
      <c r="AS146" s="454">
        <f t="shared" si="83"/>
        <v>16.897874958590617</v>
      </c>
      <c r="AT146" s="456">
        <f>AT144</f>
        <v>12388.2</v>
      </c>
      <c r="AU146" s="456">
        <f>AU145</f>
        <v>12954</v>
      </c>
      <c r="AV146" s="456">
        <f>SUM(AV144:AV145)</f>
        <v>565.70068799999899</v>
      </c>
      <c r="AW146" s="454">
        <f t="shared" si="84"/>
        <v>75.842515135416505</v>
      </c>
      <c r="AX146" s="456">
        <f>AX144</f>
        <v>15.1</v>
      </c>
      <c r="AY146" s="456">
        <f>AY145</f>
        <v>15.5</v>
      </c>
      <c r="AZ146" s="456">
        <f>SUM(AZ144:AZ145)</f>
        <v>0.40000000000000036</v>
      </c>
      <c r="BA146" s="454">
        <f t="shared" si="85"/>
        <v>5.3627309808339282E-2</v>
      </c>
      <c r="BB146" s="456">
        <f>BB144</f>
        <v>-81.88</v>
      </c>
      <c r="BC146" s="456">
        <f>BC145</f>
        <v>-83.05</v>
      </c>
      <c r="BD146" s="456">
        <f>SUM(BD144:BD145)</f>
        <v>-1.1700000000000017</v>
      </c>
      <c r="BE146" s="455">
        <f>AVERAGE(BE144:BE145)</f>
        <v>-3.0697885</v>
      </c>
      <c r="BF146" s="454">
        <f t="shared" si="86"/>
        <v>-0.15685988118939251</v>
      </c>
      <c r="BG146" s="445" t="s">
        <v>1022</v>
      </c>
      <c r="BH146" s="445" t="s">
        <v>1023</v>
      </c>
      <c r="BI146" s="445">
        <f>SUM(BI144:BI145)</f>
        <v>-2.5</v>
      </c>
      <c r="BJ146" s="496" t="s">
        <v>1024</v>
      </c>
      <c r="BK146" s="496" t="s">
        <v>1025</v>
      </c>
      <c r="BL146" s="496">
        <f>SUM(BL144:BL145)</f>
        <v>1.3000000000029104</v>
      </c>
      <c r="BM146" s="496" t="s">
        <v>1026</v>
      </c>
      <c r="BN146" s="496" t="s">
        <v>1027</v>
      </c>
      <c r="BO146" s="496">
        <f>SUM(BO144:BO145)</f>
        <v>0</v>
      </c>
      <c r="BP146" s="445"/>
      <c r="BQ146" s="445"/>
      <c r="BR146" s="445"/>
      <c r="BS146" s="445"/>
      <c r="BT146" s="466" t="s">
        <v>723</v>
      </c>
      <c r="BU146" s="447"/>
      <c r="BV146" s="447"/>
      <c r="BW146" s="447"/>
      <c r="BX146" s="447"/>
      <c r="BY146" s="447"/>
      <c r="BZ146" s="447"/>
      <c r="CA146" s="447"/>
      <c r="CB146" s="447"/>
      <c r="CC146" s="447"/>
      <c r="CD146" s="447"/>
      <c r="CE146" s="447"/>
      <c r="CF146" s="447"/>
      <c r="CG146" s="447"/>
    </row>
    <row r="147" spans="1:85" s="449" customFormat="1" ht="33.75">
      <c r="A147" s="500">
        <v>62006015</v>
      </c>
      <c r="B147" s="491" t="s">
        <v>836</v>
      </c>
      <c r="C147" s="491" t="s">
        <v>770</v>
      </c>
      <c r="D147" s="473" t="s">
        <v>882</v>
      </c>
      <c r="E147" s="448" t="s">
        <v>883</v>
      </c>
      <c r="F147" s="481" t="str">
        <f>LEFT(E147,8)</f>
        <v>06/05/20</v>
      </c>
      <c r="G147" s="466" t="s">
        <v>884</v>
      </c>
      <c r="H147" s="466" t="s">
        <v>708</v>
      </c>
      <c r="I147" s="474"/>
      <c r="J147" s="467">
        <v>-5.3699620000000001</v>
      </c>
      <c r="K147" s="467">
        <v>7.6259569999999997</v>
      </c>
      <c r="L147" s="467">
        <v>29.166989999999998</v>
      </c>
      <c r="M147" s="467">
        <v>10.693629</v>
      </c>
      <c r="N147" s="450">
        <v>4250</v>
      </c>
      <c r="O147" s="450">
        <v>38.71</v>
      </c>
      <c r="P147" s="450">
        <v>3.0499999999999999E-2</v>
      </c>
      <c r="Q147" s="450">
        <v>1.4999999999999999E-2</v>
      </c>
      <c r="R147" s="451">
        <v>1.7754383499999999</v>
      </c>
      <c r="S147" s="451">
        <f>R147+R146</f>
        <v>9.2343245300000003</v>
      </c>
      <c r="T147" s="492">
        <v>90</v>
      </c>
      <c r="U147" s="492">
        <v>87</v>
      </c>
      <c r="V147" s="455">
        <v>4265.6423130000003</v>
      </c>
      <c r="W147" s="455">
        <v>6798</v>
      </c>
      <c r="X147" s="455">
        <f>W147-V147-X148</f>
        <v>618.35768699999971</v>
      </c>
      <c r="Y147" s="455">
        <f t="shared" si="78"/>
        <v>348.28451632803791</v>
      </c>
      <c r="Z147" s="476">
        <v>4553</v>
      </c>
      <c r="AA147" s="455">
        <v>7089</v>
      </c>
      <c r="AB147" s="455">
        <f>AA147-Z147-AB148</f>
        <v>620</v>
      </c>
      <c r="AC147" s="475">
        <f t="shared" si="79"/>
        <v>349.20953464816171</v>
      </c>
      <c r="AD147" s="476">
        <v>3122</v>
      </c>
      <c r="AE147" s="455">
        <v>3187</v>
      </c>
      <c r="AF147" s="455">
        <f>AE147-AD147-AF148</f>
        <v>47</v>
      </c>
      <c r="AG147" s="475">
        <f t="shared" si="80"/>
        <v>26.47233569107032</v>
      </c>
      <c r="AH147" s="476">
        <v>69975</v>
      </c>
      <c r="AI147" s="455">
        <v>72170</v>
      </c>
      <c r="AJ147" s="455">
        <f>AI147-AH147-AJ148</f>
        <v>467</v>
      </c>
      <c r="AK147" s="475">
        <f t="shared" si="81"/>
        <v>263.03363335595407</v>
      </c>
      <c r="AL147" s="476">
        <v>-82120.3</v>
      </c>
      <c r="AM147" s="455">
        <v>-82051.8</v>
      </c>
      <c r="AN147" s="455">
        <f>AM147-AL147-AN148</f>
        <v>27.099999999991269</v>
      </c>
      <c r="AO147" s="475">
        <f t="shared" si="82"/>
        <v>15.263836111229246</v>
      </c>
      <c r="AP147" s="476">
        <v>3635.7864239999999</v>
      </c>
      <c r="AQ147" s="455">
        <v>3692.35</v>
      </c>
      <c r="AR147" s="455">
        <f>AQ147-AP147-AR148</f>
        <v>22.420302999999876</v>
      </c>
      <c r="AS147" s="475">
        <f t="shared" si="83"/>
        <v>12.62803802790442</v>
      </c>
      <c r="AT147" s="476">
        <v>12982.764244</v>
      </c>
      <c r="AU147" s="455">
        <v>13181.6</v>
      </c>
      <c r="AV147" s="455">
        <f>AU147-AT147-AV148</f>
        <v>76.635756000001493</v>
      </c>
      <c r="AW147" s="475">
        <f t="shared" si="84"/>
        <v>43.164414016404173</v>
      </c>
      <c r="AX147" s="476">
        <v>15.5</v>
      </c>
      <c r="AY147" s="455">
        <v>15.6</v>
      </c>
      <c r="AZ147" s="455">
        <f>AY147-AX147-AZ148</f>
        <v>0</v>
      </c>
      <c r="BA147" s="475">
        <f t="shared" si="85"/>
        <v>0</v>
      </c>
      <c r="BB147" s="476">
        <v>-83.13</v>
      </c>
      <c r="BC147" s="455">
        <v>-83.63</v>
      </c>
      <c r="BD147" s="455">
        <f>BC147-BB147-BD148</f>
        <v>-0.19999999999998863</v>
      </c>
      <c r="BE147" s="455">
        <v>-3.0061499999999999</v>
      </c>
      <c r="BF147" s="475">
        <f t="shared" si="86"/>
        <v>-0.11264823698327156</v>
      </c>
      <c r="BG147" s="443">
        <v>90</v>
      </c>
      <c r="BH147" s="443">
        <v>87</v>
      </c>
      <c r="BI147" s="443">
        <f>BH147-BG147-BI148</f>
        <v>-0.79999999999999716</v>
      </c>
      <c r="BJ147" s="495">
        <v>92401.7</v>
      </c>
      <c r="BK147" s="495">
        <v>92402.3</v>
      </c>
      <c r="BL147" s="495">
        <f>BK147-BJ147-BL148</f>
        <v>0.30000000000291038</v>
      </c>
      <c r="BM147" s="495">
        <v>-92071.2</v>
      </c>
      <c r="BN147" s="495">
        <v>-92071.2</v>
      </c>
      <c r="BO147" s="495">
        <f>BN147-BM147-BO148</f>
        <v>0</v>
      </c>
      <c r="BP147" s="443"/>
      <c r="BQ147" s="443"/>
      <c r="BR147" s="443"/>
      <c r="BS147" s="443"/>
      <c r="BT147" s="466" t="s">
        <v>723</v>
      </c>
      <c r="BU147" s="447">
        <v>5473.0101221599998</v>
      </c>
      <c r="BV147" s="447">
        <v>-4.2765351300000001</v>
      </c>
      <c r="BW147" s="447">
        <v>2354.2545652499998</v>
      </c>
      <c r="BX147" s="447">
        <v>2459.43308505</v>
      </c>
      <c r="BY147" s="447">
        <v>3.0103470899999998</v>
      </c>
      <c r="BZ147" s="447">
        <v>3.09835445</v>
      </c>
      <c r="CA147" s="447">
        <v>0.18646441999999999</v>
      </c>
      <c r="CB147" s="447">
        <v>1.77540904</v>
      </c>
      <c r="CC147" s="447">
        <v>1.7721047000000001</v>
      </c>
      <c r="CD147" s="447">
        <v>-3.1154111000000002</v>
      </c>
      <c r="CE147" s="447">
        <v>-2.8404548300000001</v>
      </c>
      <c r="CF147" s="447">
        <v>0.84360588999999997</v>
      </c>
      <c r="CG147" s="447"/>
    </row>
    <row r="148" spans="1:85" s="449" customFormat="1" ht="33.75">
      <c r="A148" s="500">
        <v>62006015</v>
      </c>
      <c r="B148" s="491" t="s">
        <v>837</v>
      </c>
      <c r="C148" s="491" t="s">
        <v>705</v>
      </c>
      <c r="D148" s="473" t="s">
        <v>882</v>
      </c>
      <c r="E148" s="448" t="s">
        <v>883</v>
      </c>
      <c r="F148" s="481" t="str">
        <f t="shared" si="68"/>
        <v>06/05/20</v>
      </c>
      <c r="G148" s="466" t="s">
        <v>884</v>
      </c>
      <c r="H148" s="466" t="s">
        <v>708</v>
      </c>
      <c r="I148" s="474"/>
      <c r="J148" s="467">
        <v>-1.4480630000000001</v>
      </c>
      <c r="K148" s="467">
        <v>5.902495</v>
      </c>
      <c r="L148" s="467">
        <v>29.166007</v>
      </c>
      <c r="M148" s="467">
        <v>10.250030000000001</v>
      </c>
      <c r="N148" s="450">
        <v>4250</v>
      </c>
      <c r="O148" s="450">
        <v>38.71</v>
      </c>
      <c r="P148" s="450">
        <v>3.0499999999999999E-2</v>
      </c>
      <c r="Q148" s="450">
        <v>1.4999999999999999E-2</v>
      </c>
      <c r="R148" s="451">
        <v>6.25069813</v>
      </c>
      <c r="S148" s="451">
        <f>R148+R147</f>
        <v>8.0261364799999999</v>
      </c>
      <c r="T148" s="492">
        <v>89.5</v>
      </c>
      <c r="U148" s="492">
        <v>87.3</v>
      </c>
      <c r="V148" s="455">
        <v>4683</v>
      </c>
      <c r="W148" s="455">
        <v>6597</v>
      </c>
      <c r="X148" s="455">
        <f>W148-V148</f>
        <v>1914</v>
      </c>
      <c r="Y148" s="455">
        <f t="shared" si="78"/>
        <v>306.20579656755876</v>
      </c>
      <c r="Z148" s="476">
        <v>4971</v>
      </c>
      <c r="AA148" s="455">
        <v>6887</v>
      </c>
      <c r="AB148" s="455">
        <f>AA148-Z148</f>
        <v>1916</v>
      </c>
      <c r="AC148" s="475">
        <f t="shared" si="79"/>
        <v>306.52576082729496</v>
      </c>
      <c r="AD148" s="476">
        <v>3140</v>
      </c>
      <c r="AE148" s="455">
        <v>3158</v>
      </c>
      <c r="AF148" s="455">
        <f>AE148-AD148</f>
        <v>18</v>
      </c>
      <c r="AG148" s="475">
        <f t="shared" si="80"/>
        <v>2.8796783376259447</v>
      </c>
      <c r="AH148" s="476">
        <v>70317</v>
      </c>
      <c r="AI148" s="455">
        <v>72045</v>
      </c>
      <c r="AJ148" s="455">
        <f>AI148-AH148</f>
        <v>1728</v>
      </c>
      <c r="AK148" s="475">
        <f t="shared" si="81"/>
        <v>276.44912041209068</v>
      </c>
      <c r="AL148" s="476">
        <v>-82105.8</v>
      </c>
      <c r="AM148" s="455">
        <v>-82064.399999999994</v>
      </c>
      <c r="AN148" s="455">
        <f>AM148-AL148</f>
        <v>41.400000000008731</v>
      </c>
      <c r="AO148" s="475">
        <f t="shared" si="82"/>
        <v>6.623260176541069</v>
      </c>
      <c r="AP148" s="476">
        <v>3647.7729199999999</v>
      </c>
      <c r="AQ148" s="455">
        <v>3681.916193</v>
      </c>
      <c r="AR148" s="455">
        <f>AQ148-AP148</f>
        <v>34.143273000000136</v>
      </c>
      <c r="AS148" s="475">
        <f t="shared" si="83"/>
        <v>5.4623135352082883</v>
      </c>
      <c r="AT148" s="476">
        <v>13025.6</v>
      </c>
      <c r="AU148" s="455">
        <v>13147.8</v>
      </c>
      <c r="AV148" s="455">
        <f>AU148-AT148</f>
        <v>122.19999999999891</v>
      </c>
      <c r="AW148" s="475">
        <f t="shared" si="84"/>
        <v>19.549816269882626</v>
      </c>
      <c r="AX148" s="476">
        <v>15.5</v>
      </c>
      <c r="AY148" s="455">
        <v>15.6</v>
      </c>
      <c r="AZ148" s="455">
        <f>AY148-AX148</f>
        <v>9.9999999999999645E-2</v>
      </c>
      <c r="BA148" s="475">
        <f t="shared" si="85"/>
        <v>1.5998212986810745E-2</v>
      </c>
      <c r="BB148" s="476">
        <v>-83.24</v>
      </c>
      <c r="BC148" s="455">
        <v>-83.54</v>
      </c>
      <c r="BD148" s="455">
        <f>BC148-BB148</f>
        <v>-0.30000000000001137</v>
      </c>
      <c r="BE148" s="455">
        <v>-3.0010629999999998</v>
      </c>
      <c r="BF148" s="475">
        <f t="shared" si="86"/>
        <v>-4.7994638960434224E-2</v>
      </c>
      <c r="BG148" s="443">
        <v>89.5</v>
      </c>
      <c r="BH148" s="443">
        <v>87.3</v>
      </c>
      <c r="BI148" s="443">
        <f>BH148-BG148</f>
        <v>-2.2000000000000028</v>
      </c>
      <c r="BJ148" s="495">
        <v>92401.9</v>
      </c>
      <c r="BK148" s="495">
        <v>92402.2</v>
      </c>
      <c r="BL148" s="495">
        <f>BK148-BJ148</f>
        <v>0.30000000000291038</v>
      </c>
      <c r="BM148" s="495">
        <v>-92071.2</v>
      </c>
      <c r="BN148" s="495">
        <v>-92071.2</v>
      </c>
      <c r="BO148" s="495">
        <f>BN148-BM148</f>
        <v>0</v>
      </c>
      <c r="BP148" s="443"/>
      <c r="BQ148" s="443"/>
      <c r="BR148" s="443"/>
      <c r="BS148" s="443"/>
      <c r="BT148" s="466" t="s">
        <v>723</v>
      </c>
      <c r="BU148" s="447">
        <v>11295.56789516</v>
      </c>
      <c r="BV148" s="447">
        <v>0.65275355999999995</v>
      </c>
      <c r="BW148" s="447">
        <v>1146.3855189400001</v>
      </c>
      <c r="BX148" s="447">
        <v>1138.95097586</v>
      </c>
      <c r="BY148" s="447">
        <v>5.9086995099999999</v>
      </c>
      <c r="BZ148" s="447">
        <v>5.8929619100000004</v>
      </c>
      <c r="CA148" s="447">
        <v>0.25379697000000001</v>
      </c>
      <c r="CB148" s="447">
        <v>6.2506822099999999</v>
      </c>
      <c r="CC148" s="447">
        <v>6.2348583299999998</v>
      </c>
      <c r="CD148" s="447">
        <v>1.3225310000000001E-2</v>
      </c>
      <c r="CE148" s="447">
        <v>0.26705760000000001</v>
      </c>
      <c r="CF148" s="447">
        <v>0.41976734999999998</v>
      </c>
      <c r="CG148" s="447"/>
    </row>
    <row r="149" spans="1:85" s="449" customFormat="1" ht="33.75">
      <c r="A149" s="500">
        <v>62006015</v>
      </c>
      <c r="B149" s="491" t="s">
        <v>835</v>
      </c>
      <c r="C149" s="491" t="s">
        <v>703</v>
      </c>
      <c r="D149" s="473" t="s">
        <v>882</v>
      </c>
      <c r="E149" s="448" t="s">
        <v>883</v>
      </c>
      <c r="F149" s="481" t="str">
        <f t="shared" si="68"/>
        <v>06/05/20</v>
      </c>
      <c r="G149" s="466" t="s">
        <v>884</v>
      </c>
      <c r="H149" s="466" t="s">
        <v>708</v>
      </c>
      <c r="I149" s="474"/>
      <c r="J149" s="468">
        <f>AVERAGE(J147:J148)</f>
        <v>-3.4090125000000002</v>
      </c>
      <c r="K149" s="468">
        <f>AVERAGE(K147:K148)</f>
        <v>6.7642259999999998</v>
      </c>
      <c r="L149" s="468">
        <f>AVERAGE(L147:L148)</f>
        <v>29.166498499999999</v>
      </c>
      <c r="M149" s="468">
        <f>AVERAGE(M147:M148)</f>
        <v>10.4718295</v>
      </c>
      <c r="N149" s="452"/>
      <c r="O149" s="450"/>
      <c r="P149" s="470"/>
      <c r="Q149" s="469"/>
      <c r="R149" s="453">
        <f>R148+R147</f>
        <v>8.0261364799999999</v>
      </c>
      <c r="S149" s="453">
        <f>S148</f>
        <v>8.0261364799999999</v>
      </c>
      <c r="T149" s="493">
        <f>T147</f>
        <v>90</v>
      </c>
      <c r="U149" s="493">
        <f>U148</f>
        <v>87.3</v>
      </c>
      <c r="V149" s="456">
        <f>V147</f>
        <v>4265.6423130000003</v>
      </c>
      <c r="W149" s="456">
        <f>W148</f>
        <v>6597</v>
      </c>
      <c r="X149" s="456">
        <f>SUM(X147:X148)</f>
        <v>2532.3576869999997</v>
      </c>
      <c r="Y149" s="456">
        <f t="shared" si="78"/>
        <v>315.5139080067076</v>
      </c>
      <c r="Z149" s="456">
        <f>Z147</f>
        <v>4553</v>
      </c>
      <c r="AA149" s="456">
        <f>AA148</f>
        <v>6887</v>
      </c>
      <c r="AB149" s="456">
        <f>SUM(AB147:AB148)</f>
        <v>2536</v>
      </c>
      <c r="AC149" s="454">
        <f t="shared" si="79"/>
        <v>315.96771451860485</v>
      </c>
      <c r="AD149" s="456">
        <f>AD147</f>
        <v>3122</v>
      </c>
      <c r="AE149" s="456">
        <f>AE148</f>
        <v>3158</v>
      </c>
      <c r="AF149" s="456">
        <f>SUM(AF147:AF148)</f>
        <v>65</v>
      </c>
      <c r="AG149" s="454">
        <f t="shared" si="80"/>
        <v>8.0985415787497299</v>
      </c>
      <c r="AH149" s="456">
        <f>AH147</f>
        <v>69975</v>
      </c>
      <c r="AI149" s="456">
        <f>AI148</f>
        <v>72045</v>
      </c>
      <c r="AJ149" s="456">
        <f>SUM(AJ147:AJ148)</f>
        <v>2195</v>
      </c>
      <c r="AK149" s="454">
        <f t="shared" si="81"/>
        <v>273.48151946701012</v>
      </c>
      <c r="AL149" s="456">
        <f>AL147</f>
        <v>-82120.3</v>
      </c>
      <c r="AM149" s="456">
        <f>AM148</f>
        <v>-82064.399999999994</v>
      </c>
      <c r="AN149" s="456">
        <f>SUM(AN147:AN148)</f>
        <v>68.5</v>
      </c>
      <c r="AO149" s="454">
        <f t="shared" si="82"/>
        <v>8.5346168945285612</v>
      </c>
      <c r="AP149" s="456">
        <f>AP147</f>
        <v>3635.7864239999999</v>
      </c>
      <c r="AQ149" s="456">
        <f>AQ148</f>
        <v>3681.916193</v>
      </c>
      <c r="AR149" s="456">
        <f>SUM(AR147:AR148)</f>
        <v>56.563576000000012</v>
      </c>
      <c r="AS149" s="454">
        <f t="shared" si="83"/>
        <v>7.0474226473656989</v>
      </c>
      <c r="AT149" s="456">
        <f>AT147</f>
        <v>12982.764244</v>
      </c>
      <c r="AU149" s="456">
        <f>AU148</f>
        <v>13147.8</v>
      </c>
      <c r="AV149" s="456">
        <f>SUM(AV147:AV148)</f>
        <v>198.8357560000004</v>
      </c>
      <c r="AW149" s="454">
        <f t="shared" si="84"/>
        <v>24.773532881663684</v>
      </c>
      <c r="AX149" s="456">
        <f>AX147</f>
        <v>15.5</v>
      </c>
      <c r="AY149" s="456">
        <f>AY148</f>
        <v>15.6</v>
      </c>
      <c r="AZ149" s="456">
        <f>SUM(AZ147:AZ148)</f>
        <v>9.9999999999999645E-2</v>
      </c>
      <c r="BA149" s="454">
        <f t="shared" si="85"/>
        <v>1.2459294736538002E-2</v>
      </c>
      <c r="BB149" s="456">
        <f>BB147</f>
        <v>-83.13</v>
      </c>
      <c r="BC149" s="456">
        <f>BC148</f>
        <v>-83.54</v>
      </c>
      <c r="BD149" s="456">
        <f>SUM(BD147:BD148)</f>
        <v>-0.5</v>
      </c>
      <c r="BE149" s="455">
        <f>AVERAGE(BE147:BE148)</f>
        <v>-3.0036065000000001</v>
      </c>
      <c r="BF149" s="454">
        <f t="shared" si="86"/>
        <v>-6.2296473682690229E-2</v>
      </c>
      <c r="BG149" s="445" t="s">
        <v>1120</v>
      </c>
      <c r="BH149" s="445" t="s">
        <v>1028</v>
      </c>
      <c r="BI149" s="445">
        <f>SUM(BI147:BI148)</f>
        <v>-3</v>
      </c>
      <c r="BJ149" s="496" t="s">
        <v>1029</v>
      </c>
      <c r="BK149" s="496" t="s">
        <v>1030</v>
      </c>
      <c r="BL149" s="496">
        <f>SUM(BL147:BL148)</f>
        <v>0.60000000000582077</v>
      </c>
      <c r="BM149" s="496" t="s">
        <v>1004</v>
      </c>
      <c r="BN149" s="496" t="s">
        <v>1031</v>
      </c>
      <c r="BO149" s="496">
        <f>SUM(BO147:BO148)</f>
        <v>0</v>
      </c>
      <c r="BP149" s="445"/>
      <c r="BQ149" s="445"/>
      <c r="BR149" s="445"/>
      <c r="BS149" s="445"/>
      <c r="BT149" s="466" t="s">
        <v>723</v>
      </c>
      <c r="BU149" s="447"/>
      <c r="BV149" s="447"/>
      <c r="BW149" s="447"/>
      <c r="BX149" s="447"/>
      <c r="BY149" s="447"/>
      <c r="BZ149" s="447"/>
      <c r="CA149" s="447"/>
      <c r="CB149" s="447"/>
      <c r="CC149" s="447"/>
      <c r="CD149" s="447"/>
      <c r="CE149" s="447"/>
      <c r="CF149" s="447"/>
      <c r="CG149" s="447"/>
    </row>
    <row r="150" spans="1:85" s="449" customFormat="1">
      <c r="A150" s="500">
        <v>62006016</v>
      </c>
      <c r="B150" s="491" t="s">
        <v>906</v>
      </c>
      <c r="C150" s="500" t="s">
        <v>695</v>
      </c>
      <c r="D150" s="473" t="s">
        <v>794</v>
      </c>
      <c r="E150" s="448" t="s">
        <v>920</v>
      </c>
      <c r="F150" s="481" t="str">
        <f t="shared" si="68"/>
        <v>06/05/20</v>
      </c>
      <c r="G150" s="466" t="s">
        <v>921</v>
      </c>
      <c r="H150" s="466" t="s">
        <v>922</v>
      </c>
      <c r="I150" s="474"/>
      <c r="J150" s="467">
        <v>179.013182</v>
      </c>
      <c r="K150" s="467">
        <v>-203.137238</v>
      </c>
      <c r="L150" s="467">
        <v>-295.92188299999998</v>
      </c>
      <c r="M150" s="467">
        <v>181.937253</v>
      </c>
      <c r="N150" s="450">
        <v>4250</v>
      </c>
      <c r="O150" s="450">
        <v>38.71</v>
      </c>
      <c r="P150" s="450">
        <v>3.0499999999999999E-2</v>
      </c>
      <c r="Q150" s="450">
        <v>1.4999999999999999E-2</v>
      </c>
      <c r="R150" s="451">
        <v>9.5575450000000006E-2</v>
      </c>
      <c r="S150" s="451">
        <f>R150+R149</f>
        <v>8.12171193</v>
      </c>
      <c r="T150" s="492">
        <v>87</v>
      </c>
      <c r="U150" s="492">
        <v>99.3</v>
      </c>
      <c r="V150" s="455">
        <v>0</v>
      </c>
      <c r="W150" s="455">
        <v>-9019</v>
      </c>
      <c r="X150" s="455">
        <f>W150-V150</f>
        <v>-9019</v>
      </c>
      <c r="Y150" s="455">
        <f>X150/$R150</f>
        <v>-94365.237098020458</v>
      </c>
      <c r="Z150" s="476">
        <v>0</v>
      </c>
      <c r="AA150" s="455">
        <v>-8611</v>
      </c>
      <c r="AB150" s="455">
        <f>AA150-Z150</f>
        <v>-8611</v>
      </c>
      <c r="AC150" s="475">
        <f>AB150/$R150</f>
        <v>-90096.358426771723</v>
      </c>
      <c r="AD150" s="476">
        <v>0</v>
      </c>
      <c r="AE150" s="455">
        <v>501</v>
      </c>
      <c r="AF150" s="455">
        <f>AE150-AD150</f>
        <v>501</v>
      </c>
      <c r="AG150" s="475">
        <f>AF150/$R150</f>
        <v>5241.9318977833736</v>
      </c>
      <c r="AH150" s="476">
        <v>0</v>
      </c>
      <c r="AI150" s="455">
        <v>343</v>
      </c>
      <c r="AJ150" s="455">
        <f>AI150-AH150</f>
        <v>343</v>
      </c>
      <c r="AK150" s="475">
        <f>AJ150/$R150</f>
        <v>3588.7877064664617</v>
      </c>
      <c r="AL150" s="476">
        <v>-4846.3999999999996</v>
      </c>
      <c r="AM150" s="455">
        <v>-9973.6</v>
      </c>
      <c r="AN150" s="455">
        <f>AM150-AL150</f>
        <v>-5127.2000000000007</v>
      </c>
      <c r="AO150" s="475">
        <f>AN150/$R150</f>
        <v>-53645.575302025783</v>
      </c>
      <c r="AP150" s="476">
        <v>42.6</v>
      </c>
      <c r="AQ150" s="455">
        <v>1421.47</v>
      </c>
      <c r="AR150" s="455">
        <f>AQ150-AP150</f>
        <v>1378.8700000000001</v>
      </c>
      <c r="AS150" s="475">
        <f>AR150/$R150</f>
        <v>14427.031209374374</v>
      </c>
      <c r="AT150" s="476">
        <v>-1</v>
      </c>
      <c r="AU150" s="455">
        <v>-1.3</v>
      </c>
      <c r="AV150" s="455">
        <f>AU150-AT150</f>
        <v>-0.30000000000000004</v>
      </c>
      <c r="AW150" s="475">
        <f>AV150/$R150</f>
        <v>-3.1388813759181886</v>
      </c>
      <c r="AX150" s="476">
        <v>0.5</v>
      </c>
      <c r="AY150" s="455">
        <v>50</v>
      </c>
      <c r="AZ150" s="455">
        <f>AY150-AX150</f>
        <v>49.5</v>
      </c>
      <c r="BA150" s="475">
        <f>AZ150/$R150</f>
        <v>517.91542702650099</v>
      </c>
      <c r="BB150" s="476">
        <v>-0.26</v>
      </c>
      <c r="BC150" s="455">
        <v>-160.27000000000001</v>
      </c>
      <c r="BD150" s="455">
        <f>BC150-BB150</f>
        <v>-160.01000000000002</v>
      </c>
      <c r="BE150" s="455">
        <v>24.345616</v>
      </c>
      <c r="BF150" s="475">
        <f>BD150/$R150</f>
        <v>-1674.1746965355644</v>
      </c>
      <c r="BG150" s="443">
        <v>87</v>
      </c>
      <c r="BH150" s="443">
        <v>99.3</v>
      </c>
      <c r="BI150" s="443">
        <f>BH150-BG150</f>
        <v>12.299999999999997</v>
      </c>
      <c r="BJ150" s="495">
        <v>0.6</v>
      </c>
      <c r="BK150" s="495">
        <v>13192</v>
      </c>
      <c r="BL150" s="495">
        <f>BK150-BJ150</f>
        <v>13191.4</v>
      </c>
      <c r="BM150" s="495">
        <v>0</v>
      </c>
      <c r="BN150" s="495">
        <v>-12936.6</v>
      </c>
      <c r="BO150" s="495">
        <f>BN150-BM150</f>
        <v>-12936.6</v>
      </c>
      <c r="BP150" s="443"/>
      <c r="BQ150" s="443"/>
      <c r="BR150" s="443"/>
      <c r="BS150" s="443"/>
      <c r="BT150" s="466"/>
      <c r="BU150" s="447"/>
      <c r="BV150" s="447"/>
      <c r="BW150" s="447"/>
      <c r="BX150" s="447"/>
      <c r="BY150" s="447"/>
      <c r="BZ150" s="447"/>
      <c r="CA150" s="447"/>
      <c r="CB150" s="447"/>
      <c r="CC150" s="447"/>
      <c r="CD150" s="447"/>
      <c r="CE150" s="447"/>
      <c r="CF150" s="447"/>
      <c r="CG150" s="447"/>
    </row>
    <row r="151" spans="1:85" s="488" customFormat="1" ht="15.75">
      <c r="A151" s="480" t="s">
        <v>1244</v>
      </c>
      <c r="B151" s="483"/>
      <c r="C151" s="483"/>
      <c r="D151" s="484"/>
      <c r="E151" s="483"/>
      <c r="F151" s="483"/>
      <c r="G151" s="484"/>
      <c r="H151" s="484"/>
      <c r="I151" s="484"/>
      <c r="J151" s="484"/>
      <c r="K151" s="484"/>
      <c r="L151" s="484"/>
      <c r="M151" s="484"/>
      <c r="N151" s="484"/>
      <c r="O151" s="484"/>
      <c r="P151" s="485"/>
      <c r="Q151" s="486"/>
      <c r="R151" s="483"/>
      <c r="S151" s="483"/>
      <c r="T151" s="483"/>
      <c r="U151" s="483"/>
      <c r="V151" s="483"/>
      <c r="W151" s="483"/>
      <c r="X151" s="483"/>
      <c r="Y151" s="483"/>
      <c r="Z151" s="483"/>
      <c r="AA151" s="483"/>
      <c r="AB151" s="483"/>
      <c r="AC151" s="483"/>
      <c r="AD151" s="483"/>
      <c r="AE151" s="483"/>
      <c r="AF151" s="483"/>
      <c r="AG151" s="483"/>
      <c r="AH151" s="483"/>
      <c r="AI151" s="483"/>
      <c r="AJ151" s="483"/>
      <c r="AK151" s="483"/>
      <c r="AL151" s="483"/>
      <c r="AM151" s="483"/>
      <c r="AN151" s="483"/>
      <c r="AO151" s="483"/>
      <c r="AP151" s="483"/>
      <c r="AQ151" s="483"/>
      <c r="AR151" s="483"/>
      <c r="AS151" s="483"/>
      <c r="AT151" s="483"/>
      <c r="AU151" s="483"/>
      <c r="AV151" s="483"/>
      <c r="AW151" s="483"/>
      <c r="AX151" s="483"/>
      <c r="AY151" s="483"/>
      <c r="AZ151" s="483"/>
      <c r="BA151" s="483"/>
      <c r="BB151" s="483"/>
      <c r="BC151" s="483"/>
      <c r="BD151" s="483"/>
      <c r="BE151" s="483"/>
      <c r="BF151" s="483"/>
      <c r="BG151" s="483"/>
      <c r="BH151" s="483"/>
      <c r="BI151" s="483"/>
      <c r="BJ151" s="483"/>
      <c r="BK151" s="483"/>
      <c r="BL151" s="483"/>
      <c r="BM151" s="483"/>
      <c r="BN151" s="483"/>
      <c r="BO151" s="483"/>
      <c r="BP151" s="483"/>
      <c r="BQ151" s="483"/>
      <c r="BR151" s="483"/>
      <c r="BS151" s="483"/>
      <c r="BT151" s="483"/>
      <c r="BU151" s="483"/>
      <c r="BV151" s="483"/>
      <c r="BW151" s="483"/>
      <c r="BX151" s="483"/>
      <c r="BY151" s="483"/>
      <c r="BZ151" s="483"/>
      <c r="CA151" s="483"/>
      <c r="CB151" s="483"/>
      <c r="CC151" s="483"/>
      <c r="CD151" s="483"/>
      <c r="CE151" s="483"/>
      <c r="CF151" s="490"/>
      <c r="CG151" s="487"/>
    </row>
    <row r="152" spans="1:85" s="449" customFormat="1" ht="22.5">
      <c r="A152" s="500">
        <v>62006017</v>
      </c>
      <c r="B152" s="491" t="s">
        <v>832</v>
      </c>
      <c r="C152" s="491" t="s">
        <v>695</v>
      </c>
      <c r="D152" s="473" t="s">
        <v>752</v>
      </c>
      <c r="E152" s="448" t="s">
        <v>885</v>
      </c>
      <c r="F152" s="481" t="str">
        <f t="shared" si="68"/>
        <v>06/08/20</v>
      </c>
      <c r="G152" s="466" t="s">
        <v>886</v>
      </c>
      <c r="H152" s="466" t="s">
        <v>708</v>
      </c>
      <c r="I152" s="474"/>
      <c r="J152" s="467">
        <v>-16.495609999999999</v>
      </c>
      <c r="K152" s="467">
        <v>37.022759000000001</v>
      </c>
      <c r="L152" s="467">
        <v>29.298425000000002</v>
      </c>
      <c r="M152" s="467">
        <v>-2.5775730000000001</v>
      </c>
      <c r="N152" s="450">
        <v>4250</v>
      </c>
      <c r="O152" s="450">
        <v>38.71</v>
      </c>
      <c r="P152" s="450">
        <v>3.0499999999999999E-2</v>
      </c>
      <c r="Q152" s="450">
        <v>1.4999999999999999E-2</v>
      </c>
      <c r="R152" s="451">
        <v>3.5962610800000001</v>
      </c>
      <c r="S152" s="451">
        <f>R152+R151</f>
        <v>3.5962610800000001</v>
      </c>
      <c r="T152" s="492">
        <v>96.7</v>
      </c>
      <c r="U152" s="492">
        <v>93.2</v>
      </c>
      <c r="V152" s="455">
        <v>-8918</v>
      </c>
      <c r="W152" s="455">
        <v>-6180</v>
      </c>
      <c r="X152" s="455">
        <f>W152-V152</f>
        <v>2738</v>
      </c>
      <c r="Y152" s="455">
        <f t="shared" ref="Y152:Y173" si="87">X152/$R152</f>
        <v>761.34628134395621</v>
      </c>
      <c r="Z152" s="476">
        <v>-8508</v>
      </c>
      <c r="AA152" s="455">
        <v>-5764</v>
      </c>
      <c r="AB152" s="455">
        <f>AA152-Z152</f>
        <v>2744</v>
      </c>
      <c r="AC152" s="475">
        <f t="shared" ref="AC152:AC173" si="88">AB152/$R152</f>
        <v>763.01468079175163</v>
      </c>
      <c r="AD152" s="476">
        <v>519</v>
      </c>
      <c r="AE152" s="455">
        <v>774</v>
      </c>
      <c r="AF152" s="455">
        <f>AE152-AD152</f>
        <v>255</v>
      </c>
      <c r="AG152" s="475">
        <f t="shared" ref="AG152:AG173" si="89">AF152/$R152</f>
        <v>70.906976531303442</v>
      </c>
      <c r="AH152" s="476">
        <v>394</v>
      </c>
      <c r="AI152" s="455">
        <v>1977</v>
      </c>
      <c r="AJ152" s="455">
        <f>AI152-AH152</f>
        <v>1583</v>
      </c>
      <c r="AK152" s="475">
        <f t="shared" ref="AK152:AK173" si="90">AJ152/$R152</f>
        <v>440.1793876433465</v>
      </c>
      <c r="AL152" s="476">
        <v>-9943.2000000000007</v>
      </c>
      <c r="AM152" s="455">
        <v>-9842.5</v>
      </c>
      <c r="AN152" s="455">
        <f>AM152-AL152</f>
        <v>100.70000000000073</v>
      </c>
      <c r="AO152" s="475">
        <f t="shared" ref="AO152:AO173" si="91">AN152/$R152</f>
        <v>28.001304065499252</v>
      </c>
      <c r="AP152" s="476">
        <v>1445.6173659999999</v>
      </c>
      <c r="AQ152" s="455">
        <v>1537.6065819999999</v>
      </c>
      <c r="AR152" s="455">
        <f>AQ152-AP152</f>
        <v>91.989215999999942</v>
      </c>
      <c r="AS152" s="475">
        <f t="shared" ref="AS152:AS173" si="92">AR152/$R152</f>
        <v>25.579126196254901</v>
      </c>
      <c r="AT152" s="476">
        <v>-1.3</v>
      </c>
      <c r="AU152" s="455">
        <v>796.46581700000002</v>
      </c>
      <c r="AV152" s="455">
        <f>AU152-AT152</f>
        <v>797.76581699999997</v>
      </c>
      <c r="AW152" s="475">
        <f t="shared" ref="AW152:AW173" si="93">AV152/$R152</f>
        <v>221.83200809213773</v>
      </c>
      <c r="AX152" s="476">
        <v>50.3</v>
      </c>
      <c r="AY152" s="455">
        <v>50.8</v>
      </c>
      <c r="AZ152" s="455">
        <f>AY152-AX152</f>
        <v>0.5</v>
      </c>
      <c r="BA152" s="475">
        <f t="shared" ref="BA152:BA173" si="94">AZ152/$R152</f>
        <v>0.13903328731628128</v>
      </c>
      <c r="BB152" s="476">
        <v>-161.81</v>
      </c>
      <c r="BC152" s="455">
        <v>-162.84</v>
      </c>
      <c r="BD152" s="455">
        <f>BC152-BB152</f>
        <v>-1.0300000000000011</v>
      </c>
      <c r="BE152" s="455">
        <v>-7.4944030000000001</v>
      </c>
      <c r="BF152" s="475">
        <f t="shared" ref="BF152:BF173" si="95">BD152/$R152</f>
        <v>-0.28640857187153973</v>
      </c>
      <c r="BG152" s="443">
        <v>96.7</v>
      </c>
      <c r="BH152" s="443">
        <v>93.2</v>
      </c>
      <c r="BI152" s="443">
        <f>BH152-BG152</f>
        <v>-3.5</v>
      </c>
      <c r="BJ152" s="495">
        <v>13194</v>
      </c>
      <c r="BK152" s="495">
        <v>13194.5</v>
      </c>
      <c r="BL152" s="495">
        <f>BK152-BJ152</f>
        <v>0.5</v>
      </c>
      <c r="BM152" s="495">
        <v>-12936.6</v>
      </c>
      <c r="BN152" s="495">
        <v>-12936.6</v>
      </c>
      <c r="BO152" s="495">
        <f>BN152-BM152</f>
        <v>0</v>
      </c>
      <c r="BP152" s="443"/>
      <c r="BQ152" s="443"/>
      <c r="BR152" s="443"/>
      <c r="BS152" s="443"/>
      <c r="BT152" s="466" t="s">
        <v>723</v>
      </c>
      <c r="BU152" s="447">
        <v>2371.7407291599998</v>
      </c>
      <c r="BV152" s="447">
        <v>9.3254429999999999E-2</v>
      </c>
      <c r="BW152" s="447">
        <v>2050.73424626</v>
      </c>
      <c r="BX152" s="447">
        <v>2048.8236275099998</v>
      </c>
      <c r="BY152" s="447">
        <v>3.0361611000000002</v>
      </c>
      <c r="BZ152" s="447">
        <v>3.03200029</v>
      </c>
      <c r="CA152" s="447">
        <v>0.14512235000000001</v>
      </c>
      <c r="CB152" s="447">
        <v>3.5961916899999999</v>
      </c>
      <c r="CC152" s="447">
        <v>3.59098037</v>
      </c>
      <c r="CD152" s="447">
        <v>-7.8818299999999994E-3</v>
      </c>
      <c r="CE152" s="447">
        <v>0.13722971</v>
      </c>
      <c r="CF152" s="447">
        <v>0.63450154999999997</v>
      </c>
      <c r="CG152" s="447"/>
    </row>
    <row r="153" spans="1:85" s="449" customFormat="1" ht="22.5">
      <c r="A153" s="500">
        <v>62006017</v>
      </c>
      <c r="B153" s="491" t="s">
        <v>831</v>
      </c>
      <c r="C153" s="491" t="s">
        <v>696</v>
      </c>
      <c r="D153" s="473" t="s">
        <v>752</v>
      </c>
      <c r="E153" s="448" t="s">
        <v>885</v>
      </c>
      <c r="F153" s="481" t="str">
        <f t="shared" si="68"/>
        <v>06/08/20</v>
      </c>
      <c r="G153" s="466" t="s">
        <v>886</v>
      </c>
      <c r="H153" s="466" t="s">
        <v>708</v>
      </c>
      <c r="I153" s="474"/>
      <c r="J153" s="467">
        <v>-17.93083</v>
      </c>
      <c r="K153" s="467">
        <v>38.538497</v>
      </c>
      <c r="L153" s="467">
        <v>29.293371</v>
      </c>
      <c r="M153" s="467">
        <v>2.519196</v>
      </c>
      <c r="N153" s="450">
        <v>4250</v>
      </c>
      <c r="O153" s="450">
        <v>38.71</v>
      </c>
      <c r="P153" s="450">
        <v>3.0499999999999999E-2</v>
      </c>
      <c r="Q153" s="450">
        <v>1.4999999999999999E-2</v>
      </c>
      <c r="R153" s="451">
        <v>3.8664160999999999</v>
      </c>
      <c r="S153" s="451">
        <f>R153+S152</f>
        <v>7.46267718</v>
      </c>
      <c r="T153" s="492">
        <v>93.2</v>
      </c>
      <c r="U153" s="492">
        <v>90.3</v>
      </c>
      <c r="V153" s="455">
        <v>-6180</v>
      </c>
      <c r="W153" s="455">
        <v>-3689</v>
      </c>
      <c r="X153" s="455">
        <f>W153-V153</f>
        <v>2491</v>
      </c>
      <c r="Y153" s="455">
        <f t="shared" si="87"/>
        <v>644.26588747134588</v>
      </c>
      <c r="Z153" s="476">
        <v>-5763</v>
      </c>
      <c r="AA153" s="455">
        <v>-3264</v>
      </c>
      <c r="AB153" s="455">
        <f>AA153-Z153</f>
        <v>2499</v>
      </c>
      <c r="AC153" s="475">
        <f t="shared" si="88"/>
        <v>646.33498706980868</v>
      </c>
      <c r="AD153" s="476">
        <v>774</v>
      </c>
      <c r="AE153" s="455">
        <v>1030</v>
      </c>
      <c r="AF153" s="455">
        <f>AE153-AD153</f>
        <v>256</v>
      </c>
      <c r="AG153" s="475">
        <f t="shared" si="89"/>
        <v>66.211187150808726</v>
      </c>
      <c r="AH153" s="476">
        <v>1977</v>
      </c>
      <c r="AI153" s="455">
        <v>3233</v>
      </c>
      <c r="AJ153" s="455">
        <f>AI153-AH153</f>
        <v>1256</v>
      </c>
      <c r="AK153" s="475">
        <f t="shared" si="90"/>
        <v>324.84863695865533</v>
      </c>
      <c r="AL153" s="476">
        <v>-9842.5</v>
      </c>
      <c r="AM153" s="455">
        <v>-9694.2999999999993</v>
      </c>
      <c r="AN153" s="455">
        <f>AM153-AL153</f>
        <v>148.20000000000073</v>
      </c>
      <c r="AO153" s="475">
        <f t="shared" si="91"/>
        <v>38.330070061523053</v>
      </c>
      <c r="AP153" s="476">
        <v>1537.6467319999999</v>
      </c>
      <c r="AQ153" s="455">
        <v>1668.692591</v>
      </c>
      <c r="AR153" s="455">
        <f>AQ153-AP153</f>
        <v>131.04585900000006</v>
      </c>
      <c r="AS153" s="475">
        <f t="shared" si="92"/>
        <v>33.893366779638662</v>
      </c>
      <c r="AT153" s="476">
        <v>796.76732300000003</v>
      </c>
      <c r="AU153" s="455">
        <v>1625.4</v>
      </c>
      <c r="AV153" s="455">
        <f>AU153-AT153</f>
        <v>828.63267700000006</v>
      </c>
      <c r="AW153" s="475">
        <f t="shared" si="93"/>
        <v>214.31544240672909</v>
      </c>
      <c r="AX153" s="476">
        <v>50.8</v>
      </c>
      <c r="AY153" s="455">
        <v>51.7</v>
      </c>
      <c r="AZ153" s="455">
        <f>AY153-AX153</f>
        <v>0.90000000000000568</v>
      </c>
      <c r="BA153" s="475">
        <f t="shared" si="94"/>
        <v>0.23277370482706342</v>
      </c>
      <c r="BB153" s="476">
        <v>-162.84</v>
      </c>
      <c r="BC153" s="455">
        <v>-164.44</v>
      </c>
      <c r="BD153" s="455">
        <f>BC153-BB153</f>
        <v>-1.5999999999999943</v>
      </c>
      <c r="BE153" s="455">
        <v>-6.6319100000000004</v>
      </c>
      <c r="BF153" s="475">
        <f t="shared" si="95"/>
        <v>-0.41381991969255311</v>
      </c>
      <c r="BG153" s="443">
        <v>93.2</v>
      </c>
      <c r="BH153" s="443">
        <v>90.3</v>
      </c>
      <c r="BI153" s="443">
        <f>BH153-BG153</f>
        <v>-2.9000000000000057</v>
      </c>
      <c r="BJ153" s="495">
        <v>13194.5</v>
      </c>
      <c r="BK153" s="495">
        <v>13195.3</v>
      </c>
      <c r="BL153" s="495">
        <f>BK153-BJ153</f>
        <v>0.7999999999992724</v>
      </c>
      <c r="BM153" s="495">
        <v>-12936.6</v>
      </c>
      <c r="BN153" s="495">
        <v>-12936.6</v>
      </c>
      <c r="BO153" s="495">
        <f>BN153-BM153</f>
        <v>0</v>
      </c>
      <c r="BP153" s="443"/>
      <c r="BQ153" s="443"/>
      <c r="BR153" s="443"/>
      <c r="BS153" s="443"/>
      <c r="BT153" s="466" t="s">
        <v>723</v>
      </c>
      <c r="BU153" s="447">
        <v>1475.7640616000001</v>
      </c>
      <c r="BV153" s="447">
        <v>-0.97726409999999997</v>
      </c>
      <c r="BW153" s="447">
        <v>3382.85019513</v>
      </c>
      <c r="BX153" s="447">
        <v>3416.2358415600002</v>
      </c>
      <c r="BY153" s="447">
        <v>2.9811334399999998</v>
      </c>
      <c r="BZ153" s="447">
        <v>2.9953647499999998</v>
      </c>
      <c r="CA153" s="447">
        <v>0.16614651999999999</v>
      </c>
      <c r="CB153" s="447">
        <v>3.8662434600000002</v>
      </c>
      <c r="CC153" s="447">
        <v>3.8598304899999998</v>
      </c>
      <c r="CD153" s="447">
        <v>-0.64431885</v>
      </c>
      <c r="CE153" s="447">
        <v>-0.47511110000000001</v>
      </c>
      <c r="CF153" s="447">
        <v>0.72008472999999995</v>
      </c>
      <c r="CG153" s="447"/>
    </row>
    <row r="154" spans="1:85" s="449" customFormat="1" ht="22.5">
      <c r="A154" s="500">
        <v>62006017</v>
      </c>
      <c r="B154" s="491" t="s">
        <v>830</v>
      </c>
      <c r="C154" s="491" t="s">
        <v>698</v>
      </c>
      <c r="D154" s="473" t="s">
        <v>752</v>
      </c>
      <c r="E154" s="448" t="s">
        <v>885</v>
      </c>
      <c r="F154" s="481" t="str">
        <f t="shared" si="68"/>
        <v>06/08/20</v>
      </c>
      <c r="G154" s="466" t="s">
        <v>886</v>
      </c>
      <c r="H154" s="466" t="s">
        <v>708</v>
      </c>
      <c r="I154" s="474"/>
      <c r="J154" s="468">
        <f>AVERAGE(J152:J153)</f>
        <v>-17.21322</v>
      </c>
      <c r="K154" s="468">
        <f>AVERAGE(K152:K153)</f>
        <v>37.780628</v>
      </c>
      <c r="L154" s="468">
        <f>AVERAGE(L152:L153)</f>
        <v>29.295898000000001</v>
      </c>
      <c r="M154" s="468">
        <f>AVERAGE(M152:M153)</f>
        <v>-2.9188500000000062E-2</v>
      </c>
      <c r="N154" s="452"/>
      <c r="O154" s="450"/>
      <c r="P154" s="470"/>
      <c r="Q154" s="469"/>
      <c r="R154" s="453">
        <f>R153+R152</f>
        <v>7.46267718</v>
      </c>
      <c r="S154" s="453">
        <f>S153</f>
        <v>7.46267718</v>
      </c>
      <c r="T154" s="493">
        <f>T152</f>
        <v>96.7</v>
      </c>
      <c r="U154" s="493">
        <f>U153</f>
        <v>90.3</v>
      </c>
      <c r="V154" s="456">
        <f>V152</f>
        <v>-8918</v>
      </c>
      <c r="W154" s="456">
        <f>W153</f>
        <v>-3689</v>
      </c>
      <c r="X154" s="456">
        <f>SUM(X152:X153)</f>
        <v>5229</v>
      </c>
      <c r="Y154" s="456">
        <f t="shared" si="87"/>
        <v>700.68688138001437</v>
      </c>
      <c r="Z154" s="456">
        <f>Z152</f>
        <v>-8508</v>
      </c>
      <c r="AA154" s="456">
        <f>AA153</f>
        <v>-3264</v>
      </c>
      <c r="AB154" s="456">
        <f>SUM(AB152:AB153)</f>
        <v>5243</v>
      </c>
      <c r="AC154" s="454">
        <f t="shared" si="88"/>
        <v>702.56288373980021</v>
      </c>
      <c r="AD154" s="456">
        <f>AD152</f>
        <v>519</v>
      </c>
      <c r="AE154" s="456">
        <f>AE153</f>
        <v>1030</v>
      </c>
      <c r="AF154" s="456">
        <f>SUM(AF152:AF153)</f>
        <v>511</v>
      </c>
      <c r="AG154" s="454">
        <f t="shared" si="89"/>
        <v>68.474086132183459</v>
      </c>
      <c r="AH154" s="456">
        <f>AH152</f>
        <v>394</v>
      </c>
      <c r="AI154" s="456">
        <f>AI153</f>
        <v>3233</v>
      </c>
      <c r="AJ154" s="456">
        <f>SUM(AJ152:AJ153)</f>
        <v>2839</v>
      </c>
      <c r="AK154" s="454">
        <f t="shared" si="90"/>
        <v>380.42647853085879</v>
      </c>
      <c r="AL154" s="456">
        <f>AL152</f>
        <v>-9943.2000000000007</v>
      </c>
      <c r="AM154" s="456">
        <f>AM153</f>
        <v>-9694.2999999999993</v>
      </c>
      <c r="AN154" s="456">
        <f>SUM(AN152:AN153)</f>
        <v>248.90000000000146</v>
      </c>
      <c r="AO154" s="454">
        <f t="shared" si="91"/>
        <v>33.352641953621458</v>
      </c>
      <c r="AP154" s="456">
        <f>AP152</f>
        <v>1445.6173659999999</v>
      </c>
      <c r="AQ154" s="456">
        <f>AQ153</f>
        <v>1668.692591</v>
      </c>
      <c r="AR154" s="456">
        <f>SUM(AR152:AR153)</f>
        <v>223.03507500000001</v>
      </c>
      <c r="AS154" s="454">
        <f t="shared" si="92"/>
        <v>29.88673764392955</v>
      </c>
      <c r="AT154" s="456">
        <f>AT152</f>
        <v>-1.3</v>
      </c>
      <c r="AU154" s="456">
        <f>AU153</f>
        <v>1625.4</v>
      </c>
      <c r="AV154" s="456">
        <f>SUM(AV152:AV153)</f>
        <v>1626.398494</v>
      </c>
      <c r="AW154" s="454">
        <f t="shared" si="93"/>
        <v>217.93767233543929</v>
      </c>
      <c r="AX154" s="456">
        <f>AX152</f>
        <v>50.3</v>
      </c>
      <c r="AY154" s="456">
        <f>AY153</f>
        <v>51.7</v>
      </c>
      <c r="AZ154" s="456">
        <f>SUM(AZ152:AZ153)</f>
        <v>1.4000000000000057</v>
      </c>
      <c r="BA154" s="454">
        <f t="shared" si="94"/>
        <v>0.18760023597858561</v>
      </c>
      <c r="BB154" s="456">
        <f>BB152</f>
        <v>-161.81</v>
      </c>
      <c r="BC154" s="456">
        <f>BC153</f>
        <v>-164.44</v>
      </c>
      <c r="BD154" s="456">
        <f>SUM(BD152:BD153)</f>
        <v>-2.6299999999999955</v>
      </c>
      <c r="BE154" s="455">
        <f>AVERAGE(BE152:BE153)</f>
        <v>-7.0631564999999998</v>
      </c>
      <c r="BF154" s="454">
        <f t="shared" si="95"/>
        <v>-0.35242044330262662</v>
      </c>
      <c r="BG154" s="445" t="s">
        <v>1121</v>
      </c>
      <c r="BH154" s="445" t="s">
        <v>1122</v>
      </c>
      <c r="BI154" s="445">
        <f>SUM(BI152:BI153)</f>
        <v>-6.4000000000000057</v>
      </c>
      <c r="BJ154" s="496" t="s">
        <v>1123</v>
      </c>
      <c r="BK154" s="496" t="s">
        <v>978</v>
      </c>
      <c r="BL154" s="496">
        <f>SUM(BL152:BL153)</f>
        <v>1.2999999999992724</v>
      </c>
      <c r="BM154" s="496" t="s">
        <v>1124</v>
      </c>
      <c r="BN154" s="496" t="s">
        <v>1125</v>
      </c>
      <c r="BO154" s="496">
        <f>SUM(BO152:BO153)</f>
        <v>0</v>
      </c>
      <c r="BP154" s="445"/>
      <c r="BQ154" s="445"/>
      <c r="BR154" s="445"/>
      <c r="BS154" s="445"/>
      <c r="BT154" s="466" t="s">
        <v>723</v>
      </c>
      <c r="BU154" s="447"/>
      <c r="BV154" s="447"/>
      <c r="BW154" s="447"/>
      <c r="BX154" s="447"/>
      <c r="BY154" s="447"/>
      <c r="BZ154" s="447"/>
      <c r="CA154" s="447"/>
      <c r="CB154" s="447"/>
      <c r="CC154" s="447"/>
      <c r="CD154" s="447"/>
      <c r="CE154" s="447"/>
      <c r="CF154" s="447"/>
      <c r="CG154" s="447"/>
    </row>
    <row r="155" spans="1:85" s="449" customFormat="1" ht="22.5">
      <c r="A155" s="500">
        <v>62006017</v>
      </c>
      <c r="B155" s="491" t="s">
        <v>829</v>
      </c>
      <c r="C155" s="491" t="s">
        <v>697</v>
      </c>
      <c r="D155" s="473" t="s">
        <v>752</v>
      </c>
      <c r="E155" s="448" t="s">
        <v>885</v>
      </c>
      <c r="F155" s="481" t="str">
        <f t="shared" si="68"/>
        <v>06/08/20</v>
      </c>
      <c r="G155" s="466" t="s">
        <v>886</v>
      </c>
      <c r="H155" s="466" t="s">
        <v>708</v>
      </c>
      <c r="I155" s="474"/>
      <c r="J155" s="467">
        <v>-14.521599</v>
      </c>
      <c r="K155" s="467">
        <v>25.357749999999999</v>
      </c>
      <c r="L155" s="467">
        <v>29.292674999999999</v>
      </c>
      <c r="M155" s="467">
        <v>3.2799049999999998</v>
      </c>
      <c r="N155" s="450">
        <v>4250</v>
      </c>
      <c r="O155" s="450">
        <v>38.71</v>
      </c>
      <c r="P155" s="450">
        <v>3.0499999999999999E-2</v>
      </c>
      <c r="Q155" s="450">
        <v>1.4999999999999999E-2</v>
      </c>
      <c r="R155" s="451">
        <v>10.280925939999999</v>
      </c>
      <c r="S155" s="451">
        <f>R155+R154</f>
        <v>17.74360312</v>
      </c>
      <c r="T155" s="492">
        <v>90.2</v>
      </c>
      <c r="U155" s="492">
        <v>86.3</v>
      </c>
      <c r="V155" s="455">
        <v>-3675</v>
      </c>
      <c r="W155" s="455">
        <v>-368</v>
      </c>
      <c r="X155" s="455">
        <f>W155-V155</f>
        <v>3307</v>
      </c>
      <c r="Y155" s="455">
        <f t="shared" si="87"/>
        <v>321.66363412204487</v>
      </c>
      <c r="Z155" s="476">
        <v>-3250</v>
      </c>
      <c r="AA155" s="455">
        <v>58</v>
      </c>
      <c r="AB155" s="455">
        <f>AA155-Z155</f>
        <v>3308</v>
      </c>
      <c r="AC155" s="475">
        <f t="shared" si="88"/>
        <v>321.76090162555926</v>
      </c>
      <c r="AD155" s="476">
        <v>1030</v>
      </c>
      <c r="AE155" s="455">
        <v>1062</v>
      </c>
      <c r="AF155" s="455">
        <f>AE155-AD155</f>
        <v>32</v>
      </c>
      <c r="AG155" s="475">
        <f t="shared" si="89"/>
        <v>3.112560112460065</v>
      </c>
      <c r="AH155" s="476">
        <v>3233</v>
      </c>
      <c r="AI155" s="455">
        <v>5858</v>
      </c>
      <c r="AJ155" s="455">
        <f>AI155-AH155</f>
        <v>2625</v>
      </c>
      <c r="AK155" s="475">
        <f t="shared" si="90"/>
        <v>255.32719672523973</v>
      </c>
      <c r="AL155" s="476">
        <v>-9692.1</v>
      </c>
      <c r="AM155" s="455">
        <v>-9586.1257640000003</v>
      </c>
      <c r="AN155" s="455">
        <f>AM155-AL155</f>
        <v>105.97423600000002</v>
      </c>
      <c r="AO155" s="475">
        <f t="shared" si="91"/>
        <v>10.307849372563423</v>
      </c>
      <c r="AP155" s="476">
        <v>1670.457848</v>
      </c>
      <c r="AQ155" s="455">
        <v>1759.5348469999999</v>
      </c>
      <c r="AR155" s="455">
        <f>AQ155-AP155</f>
        <v>89.076998999999887</v>
      </c>
      <c r="AS155" s="475">
        <f t="shared" si="92"/>
        <v>8.6642973132826491</v>
      </c>
      <c r="AT155" s="476">
        <v>1637.0784839999999</v>
      </c>
      <c r="AU155" s="455">
        <v>2175.974236</v>
      </c>
      <c r="AV155" s="455">
        <f>AU155-AT155</f>
        <v>538.89575200000013</v>
      </c>
      <c r="AW155" s="475">
        <f t="shared" si="93"/>
        <v>52.417044451542871</v>
      </c>
      <c r="AX155" s="476">
        <v>51.8</v>
      </c>
      <c r="AY155" s="455">
        <v>52.6</v>
      </c>
      <c r="AZ155" s="455">
        <f>AY155-AX155</f>
        <v>0.80000000000000426</v>
      </c>
      <c r="BA155" s="475">
        <f t="shared" si="94"/>
        <v>7.7814002811502039E-2</v>
      </c>
      <c r="BB155" s="476">
        <v>-164.47</v>
      </c>
      <c r="BC155" s="455">
        <v>-165.77</v>
      </c>
      <c r="BD155" s="455">
        <f>BC155-BB155</f>
        <v>-1.3000000000000114</v>
      </c>
      <c r="BE155" s="455">
        <v>-6.1677900000000001</v>
      </c>
      <c r="BF155" s="475">
        <f t="shared" si="95"/>
        <v>-0.12644775456869126</v>
      </c>
      <c r="BG155" s="443">
        <v>90.2</v>
      </c>
      <c r="BH155" s="443">
        <v>86.3</v>
      </c>
      <c r="BI155" s="443">
        <f>BH155-BG155</f>
        <v>-3.9000000000000057</v>
      </c>
      <c r="BJ155" s="495">
        <v>13195.3</v>
      </c>
      <c r="BK155" s="495">
        <v>13196.1</v>
      </c>
      <c r="BL155" s="495">
        <f>BK155-BJ155</f>
        <v>0.80000000000109139</v>
      </c>
      <c r="BM155" s="495">
        <v>-12936.6</v>
      </c>
      <c r="BN155" s="495">
        <v>-12936.6</v>
      </c>
      <c r="BO155" s="495">
        <f>BN155-BM155</f>
        <v>0</v>
      </c>
      <c r="BP155" s="443"/>
      <c r="BQ155" s="443"/>
      <c r="BR155" s="443"/>
      <c r="BS155" s="443"/>
      <c r="BT155" s="466" t="s">
        <v>723</v>
      </c>
      <c r="BU155" s="447">
        <v>1875.32367686</v>
      </c>
      <c r="BV155" s="447">
        <v>3.5286717400000001</v>
      </c>
      <c r="BW155" s="447">
        <v>1352.8836916400001</v>
      </c>
      <c r="BX155" s="447">
        <v>1306.7719974300001</v>
      </c>
      <c r="BY155" s="447">
        <v>6.8777133900000003</v>
      </c>
      <c r="BZ155" s="447">
        <v>6.7904271400000003</v>
      </c>
      <c r="CA155" s="447">
        <v>0.23642114</v>
      </c>
      <c r="CB155" s="447">
        <v>10.2809294</v>
      </c>
      <c r="CC155" s="447">
        <v>10.25668044</v>
      </c>
      <c r="CD155" s="447">
        <v>1.03569669</v>
      </c>
      <c r="CE155" s="447">
        <v>1.285431</v>
      </c>
      <c r="CF155" s="447">
        <v>0.33398517</v>
      </c>
      <c r="CG155" s="447"/>
    </row>
    <row r="156" spans="1:85" s="449" customFormat="1" ht="22.5">
      <c r="A156" s="500">
        <v>62006017</v>
      </c>
      <c r="B156" s="491" t="s">
        <v>828</v>
      </c>
      <c r="C156" s="491" t="s">
        <v>699</v>
      </c>
      <c r="D156" s="473" t="s">
        <v>752</v>
      </c>
      <c r="E156" s="448" t="s">
        <v>885</v>
      </c>
      <c r="F156" s="481" t="str">
        <f t="shared" si="68"/>
        <v>06/08/20</v>
      </c>
      <c r="G156" s="466" t="s">
        <v>886</v>
      </c>
      <c r="H156" s="466" t="s">
        <v>708</v>
      </c>
      <c r="I156" s="474"/>
      <c r="J156" s="467">
        <v>-17.525312</v>
      </c>
      <c r="K156" s="467">
        <v>24.998685999999999</v>
      </c>
      <c r="L156" s="467">
        <v>29.292505999999999</v>
      </c>
      <c r="M156" s="467">
        <v>3.8150520000000001</v>
      </c>
      <c r="N156" s="450">
        <v>4250</v>
      </c>
      <c r="O156" s="450">
        <v>38.71</v>
      </c>
      <c r="P156" s="450">
        <v>3.0499999999999999E-2</v>
      </c>
      <c r="Q156" s="450">
        <v>1.4999999999999999E-2</v>
      </c>
      <c r="R156" s="451">
        <v>3.5978732199999999</v>
      </c>
      <c r="S156" s="451">
        <f>R156+R155</f>
        <v>13.87879916</v>
      </c>
      <c r="T156" s="492">
        <v>86.3</v>
      </c>
      <c r="U156" s="492">
        <v>84.3</v>
      </c>
      <c r="V156" s="455">
        <v>-319</v>
      </c>
      <c r="W156" s="455">
        <v>1303</v>
      </c>
      <c r="X156" s="455">
        <f>W156-V156</f>
        <v>1622</v>
      </c>
      <c r="Y156" s="455">
        <f t="shared" si="87"/>
        <v>450.82188860451288</v>
      </c>
      <c r="Z156" s="476">
        <v>107</v>
      </c>
      <c r="AA156" s="455">
        <v>1727</v>
      </c>
      <c r="AB156" s="455">
        <f>AA156-Z156</f>
        <v>1620</v>
      </c>
      <c r="AC156" s="475">
        <f t="shared" si="88"/>
        <v>450.26600464815715</v>
      </c>
      <c r="AD156" s="476">
        <v>1062</v>
      </c>
      <c r="AE156" s="455">
        <v>1116</v>
      </c>
      <c r="AF156" s="455">
        <f>AE156-AD156</f>
        <v>54</v>
      </c>
      <c r="AG156" s="475">
        <f t="shared" si="89"/>
        <v>15.008866821605238</v>
      </c>
      <c r="AH156" s="476">
        <v>5857</v>
      </c>
      <c r="AI156" s="455">
        <v>6865</v>
      </c>
      <c r="AJ156" s="455">
        <f>AI156-AH156</f>
        <v>1008</v>
      </c>
      <c r="AK156" s="475">
        <f t="shared" si="90"/>
        <v>280.16551400329774</v>
      </c>
      <c r="AL156" s="476">
        <v>-9543.5</v>
      </c>
      <c r="AM156" s="455">
        <v>-9476.7000000000007</v>
      </c>
      <c r="AN156" s="455">
        <f>AM156-AL156</f>
        <v>66.799999999999272</v>
      </c>
      <c r="AO156" s="475">
        <f t="shared" si="91"/>
        <v>18.566524142281832</v>
      </c>
      <c r="AP156" s="476">
        <v>1791.4970980000001</v>
      </c>
      <c r="AQ156" s="455">
        <v>1848.026736</v>
      </c>
      <c r="AR156" s="455">
        <f>AQ156-AP156</f>
        <v>56.529637999999977</v>
      </c>
      <c r="AS156" s="475">
        <f t="shared" si="92"/>
        <v>15.711959411399153</v>
      </c>
      <c r="AT156" s="476">
        <v>2180.9</v>
      </c>
      <c r="AU156" s="455">
        <v>2671.367362</v>
      </c>
      <c r="AV156" s="455">
        <f>AU156-AT156</f>
        <v>490.46736199999987</v>
      </c>
      <c r="AW156" s="475">
        <f t="shared" si="93"/>
        <v>136.32146882596376</v>
      </c>
      <c r="AX156" s="476">
        <v>53.2</v>
      </c>
      <c r="AY156" s="455">
        <v>53.8</v>
      </c>
      <c r="AZ156" s="455">
        <f>AY156-AX156</f>
        <v>0.59999999999999432</v>
      </c>
      <c r="BA156" s="475">
        <f t="shared" si="94"/>
        <v>0.16676518690672329</v>
      </c>
      <c r="BB156" s="476">
        <v>-166.12</v>
      </c>
      <c r="BC156" s="455">
        <v>-166.66</v>
      </c>
      <c r="BD156" s="455">
        <f>BC156-BB156</f>
        <v>-0.53999999999999204</v>
      </c>
      <c r="BE156" s="455">
        <v>-3.8110240000000002</v>
      </c>
      <c r="BF156" s="475">
        <f t="shared" si="95"/>
        <v>-0.15008866821605016</v>
      </c>
      <c r="BG156" s="443">
        <v>86.3</v>
      </c>
      <c r="BH156" s="443">
        <v>84.3</v>
      </c>
      <c r="BI156" s="443">
        <f>BH156-BG156</f>
        <v>-2</v>
      </c>
      <c r="BJ156" s="495">
        <v>13196.7</v>
      </c>
      <c r="BK156" s="495">
        <v>13197.1</v>
      </c>
      <c r="BL156" s="495">
        <f>BK156-BJ156</f>
        <v>0.3999999999996362</v>
      </c>
      <c r="BM156" s="495">
        <v>-12936.6</v>
      </c>
      <c r="BN156" s="495">
        <v>-12936.6</v>
      </c>
      <c r="BO156" s="495">
        <f>BN156-BM156</f>
        <v>0</v>
      </c>
      <c r="BP156" s="443"/>
      <c r="BQ156" s="443"/>
      <c r="BR156" s="443"/>
      <c r="BS156" s="443"/>
      <c r="BT156" s="466" t="s">
        <v>723</v>
      </c>
      <c r="BU156" s="447">
        <v>2366.85867388</v>
      </c>
      <c r="BV156" s="447">
        <v>0.22278756999999999</v>
      </c>
      <c r="BW156" s="447">
        <v>2053.3499434199998</v>
      </c>
      <c r="BX156" s="447">
        <v>2048.7855039999999</v>
      </c>
      <c r="BY156" s="447">
        <v>3.0360313699999999</v>
      </c>
      <c r="BZ156" s="447">
        <v>3.0319383499999999</v>
      </c>
      <c r="CA156" s="447">
        <v>0.19005068999999999</v>
      </c>
      <c r="CB156" s="447">
        <v>3.59780554</v>
      </c>
      <c r="CC156" s="447">
        <v>3.5909808600000002</v>
      </c>
      <c r="CD156" s="447">
        <v>-5.4979930000000003E-2</v>
      </c>
      <c r="CE156" s="447">
        <v>0.13499653</v>
      </c>
      <c r="CF156" s="447">
        <v>0.63449675000000005</v>
      </c>
      <c r="CG156" s="447"/>
    </row>
    <row r="157" spans="1:85" s="449" customFormat="1" ht="22.5">
      <c r="A157" s="500">
        <v>62006017</v>
      </c>
      <c r="B157" s="491" t="s">
        <v>239</v>
      </c>
      <c r="C157" s="491" t="s">
        <v>700</v>
      </c>
      <c r="D157" s="473" t="s">
        <v>752</v>
      </c>
      <c r="E157" s="448" t="s">
        <v>885</v>
      </c>
      <c r="F157" s="481" t="str">
        <f t="shared" si="68"/>
        <v>06/08/20</v>
      </c>
      <c r="G157" s="466" t="s">
        <v>886</v>
      </c>
      <c r="H157" s="466" t="s">
        <v>708</v>
      </c>
      <c r="I157" s="474"/>
      <c r="J157" s="467">
        <v>-18.082474000000001</v>
      </c>
      <c r="K157" s="467">
        <v>35.963653000000001</v>
      </c>
      <c r="L157" s="467">
        <v>29.291976999999999</v>
      </c>
      <c r="M157" s="467">
        <v>3.7978489999999998</v>
      </c>
      <c r="N157" s="450">
        <v>4250</v>
      </c>
      <c r="O157" s="450">
        <v>38.71</v>
      </c>
      <c r="P157" s="450">
        <v>3.0499999999999999E-2</v>
      </c>
      <c r="Q157" s="450">
        <v>1.4999999999999999E-2</v>
      </c>
      <c r="R157" s="451">
        <v>3.8630534299999999</v>
      </c>
      <c r="S157" s="451">
        <f>R157+R156</f>
        <v>7.4609266499999993</v>
      </c>
      <c r="T157" s="492">
        <v>84.3</v>
      </c>
      <c r="U157" s="492">
        <v>82.6</v>
      </c>
      <c r="V157" s="455">
        <v>1303</v>
      </c>
      <c r="W157" s="455">
        <v>2812</v>
      </c>
      <c r="X157" s="455">
        <f>W157-V157</f>
        <v>1509</v>
      </c>
      <c r="Y157" s="455">
        <f t="shared" si="87"/>
        <v>390.6236419826065</v>
      </c>
      <c r="Z157" s="476">
        <v>1727.67309</v>
      </c>
      <c r="AA157" s="455">
        <v>3236</v>
      </c>
      <c r="AB157" s="455">
        <f>AA157-Z157</f>
        <v>1508.32691</v>
      </c>
      <c r="AC157" s="475">
        <f t="shared" si="88"/>
        <v>390.44940416472576</v>
      </c>
      <c r="AD157" s="476">
        <v>1116</v>
      </c>
      <c r="AE157" s="455">
        <v>1158</v>
      </c>
      <c r="AF157" s="455">
        <f>AE157-AD157</f>
        <v>42</v>
      </c>
      <c r="AG157" s="475">
        <f t="shared" si="89"/>
        <v>10.872228603889644</v>
      </c>
      <c r="AH157" s="476">
        <v>6865</v>
      </c>
      <c r="AI157" s="455">
        <v>7669</v>
      </c>
      <c r="AJ157" s="455">
        <f>AI157-AH157</f>
        <v>804</v>
      </c>
      <c r="AK157" s="475">
        <f t="shared" si="90"/>
        <v>208.1255189887446</v>
      </c>
      <c r="AL157" s="476">
        <v>-9476.6326609999996</v>
      </c>
      <c r="AM157" s="455">
        <v>-9369.9</v>
      </c>
      <c r="AN157" s="455">
        <f>AM157-AL157</f>
        <v>106.73266100000001</v>
      </c>
      <c r="AO157" s="475">
        <f t="shared" si="91"/>
        <v>27.629092616510874</v>
      </c>
      <c r="AP157" s="476">
        <v>1848.04</v>
      </c>
      <c r="AQ157" s="455">
        <v>1937.086067</v>
      </c>
      <c r="AR157" s="455">
        <f>AQ157-AP157</f>
        <v>89.046066999999994</v>
      </c>
      <c r="AS157" s="475">
        <f t="shared" si="92"/>
        <v>23.050695159554135</v>
      </c>
      <c r="AT157" s="476">
        <v>2671.5</v>
      </c>
      <c r="AU157" s="455">
        <v>3223.0606720000001</v>
      </c>
      <c r="AV157" s="455">
        <f>AU157-AT157</f>
        <v>551.56067200000007</v>
      </c>
      <c r="AW157" s="475">
        <f t="shared" si="93"/>
        <v>142.7784217833094</v>
      </c>
      <c r="AX157" s="476">
        <v>53.8</v>
      </c>
      <c r="AY157" s="455">
        <v>54.6</v>
      </c>
      <c r="AZ157" s="455">
        <f>AY157-AX157</f>
        <v>0.80000000000000426</v>
      </c>
      <c r="BA157" s="475">
        <f t="shared" si="94"/>
        <v>0.20709006864551813</v>
      </c>
      <c r="BB157" s="476">
        <v>-166.66</v>
      </c>
      <c r="BC157" s="455">
        <v>-167.6</v>
      </c>
      <c r="BD157" s="455">
        <f>BC157-BB157</f>
        <v>-0.93999999999999773</v>
      </c>
      <c r="BE157" s="455">
        <v>-3.909179</v>
      </c>
      <c r="BF157" s="475">
        <f t="shared" si="95"/>
        <v>-0.24333083065848193</v>
      </c>
      <c r="BG157" s="443">
        <v>84.3</v>
      </c>
      <c r="BH157" s="443">
        <v>82.6</v>
      </c>
      <c r="BI157" s="443">
        <f>BH157-BG157</f>
        <v>-1.7000000000000028</v>
      </c>
      <c r="BJ157" s="495">
        <v>13197.1</v>
      </c>
      <c r="BK157" s="495">
        <v>13198</v>
      </c>
      <c r="BL157" s="495">
        <f>BK157-BJ157</f>
        <v>0.8999999999996362</v>
      </c>
      <c r="BM157" s="495">
        <v>-12936.6</v>
      </c>
      <c r="BN157" s="495">
        <v>-12936.6</v>
      </c>
      <c r="BO157" s="495">
        <f>BN157-BM157</f>
        <v>0</v>
      </c>
      <c r="BP157" s="443"/>
      <c r="BQ157" s="443"/>
      <c r="BR157" s="443"/>
      <c r="BS157" s="443"/>
      <c r="BT157" s="466" t="s">
        <v>723</v>
      </c>
      <c r="BU157" s="447">
        <v>1475.7703292000001</v>
      </c>
      <c r="BV157" s="447">
        <v>-1.2483453799999999</v>
      </c>
      <c r="BW157" s="447">
        <v>3373.5389808599998</v>
      </c>
      <c r="BX157" s="447">
        <v>3416.18476543</v>
      </c>
      <c r="BY157" s="447">
        <v>2.9864713300000001</v>
      </c>
      <c r="BZ157" s="447">
        <v>2.9952812</v>
      </c>
      <c r="CA157" s="447">
        <v>8.1475950000000005E-2</v>
      </c>
      <c r="CB157" s="447">
        <v>3.8629755000000001</v>
      </c>
      <c r="CC157" s="447">
        <v>3.85983067</v>
      </c>
      <c r="CD157" s="447">
        <v>-0.37670902000000001</v>
      </c>
      <c r="CE157" s="447">
        <v>-0.29412507999999998</v>
      </c>
      <c r="CF157" s="447">
        <v>0.72009208000000002</v>
      </c>
      <c r="CG157" s="447"/>
    </row>
    <row r="158" spans="1:85" s="449" customFormat="1" ht="22.5">
      <c r="A158" s="500">
        <v>62006017</v>
      </c>
      <c r="B158" s="491" t="s">
        <v>833</v>
      </c>
      <c r="C158" s="491" t="s">
        <v>701</v>
      </c>
      <c r="D158" s="473" t="s">
        <v>752</v>
      </c>
      <c r="E158" s="448" t="s">
        <v>885</v>
      </c>
      <c r="F158" s="481" t="str">
        <f t="shared" si="68"/>
        <v>06/08/20</v>
      </c>
      <c r="G158" s="466" t="s">
        <v>886</v>
      </c>
      <c r="H158" s="466" t="s">
        <v>708</v>
      </c>
      <c r="I158" s="474"/>
      <c r="J158" s="468">
        <f>AVERAGE(J156:J157)</f>
        <v>-17.803893000000002</v>
      </c>
      <c r="K158" s="468">
        <f>AVERAGE(K156:K157)</f>
        <v>30.4811695</v>
      </c>
      <c r="L158" s="468">
        <f>AVERAGE(L156:L157)</f>
        <v>29.292241499999999</v>
      </c>
      <c r="M158" s="468">
        <f>AVERAGE(M156:M157)</f>
        <v>3.8064505</v>
      </c>
      <c r="N158" s="452"/>
      <c r="O158" s="450"/>
      <c r="P158" s="470"/>
      <c r="Q158" s="469"/>
      <c r="R158" s="453">
        <f>R157+R156</f>
        <v>7.4609266499999993</v>
      </c>
      <c r="S158" s="453">
        <f>S157</f>
        <v>7.4609266499999993</v>
      </c>
      <c r="T158" s="493">
        <f>T156</f>
        <v>86.3</v>
      </c>
      <c r="U158" s="493">
        <f>U157</f>
        <v>82.6</v>
      </c>
      <c r="V158" s="456">
        <f>V156</f>
        <v>-319</v>
      </c>
      <c r="W158" s="456">
        <f>W157</f>
        <v>2812</v>
      </c>
      <c r="X158" s="456">
        <f>SUM(X156:X157)</f>
        <v>3131</v>
      </c>
      <c r="Y158" s="456">
        <f t="shared" si="87"/>
        <v>419.65296629742369</v>
      </c>
      <c r="Z158" s="456">
        <f>Z156</f>
        <v>107</v>
      </c>
      <c r="AA158" s="456">
        <f>AA157</f>
        <v>3236</v>
      </c>
      <c r="AB158" s="456">
        <f>SUM(AB156:AB157)</f>
        <v>3128.3269099999998</v>
      </c>
      <c r="AC158" s="454">
        <f t="shared" si="88"/>
        <v>419.29468774498673</v>
      </c>
      <c r="AD158" s="456">
        <f>AD156</f>
        <v>1062</v>
      </c>
      <c r="AE158" s="456">
        <f>AE157</f>
        <v>1158</v>
      </c>
      <c r="AF158" s="456">
        <f>SUM(AF156:AF157)</f>
        <v>96</v>
      </c>
      <c r="AG158" s="454">
        <f t="shared" si="89"/>
        <v>12.867034418573196</v>
      </c>
      <c r="AH158" s="456">
        <f>AH156</f>
        <v>5857</v>
      </c>
      <c r="AI158" s="456">
        <f>AI157</f>
        <v>7669</v>
      </c>
      <c r="AJ158" s="456">
        <f>SUM(AJ156:AJ157)</f>
        <v>1812</v>
      </c>
      <c r="AK158" s="454">
        <f t="shared" si="90"/>
        <v>242.86527465056906</v>
      </c>
      <c r="AL158" s="456">
        <f>AL156</f>
        <v>-9543.5</v>
      </c>
      <c r="AM158" s="456">
        <f>AM157</f>
        <v>-9369.9</v>
      </c>
      <c r="AN158" s="456">
        <f>SUM(AN156:AN157)</f>
        <v>173.53266099999928</v>
      </c>
      <c r="AO158" s="454">
        <f t="shared" si="91"/>
        <v>23.258861685766512</v>
      </c>
      <c r="AP158" s="456">
        <f>AP156</f>
        <v>1791.4970980000001</v>
      </c>
      <c r="AQ158" s="456">
        <f>AQ157</f>
        <v>1937.086067</v>
      </c>
      <c r="AR158" s="456">
        <f>SUM(AR156:AR157)</f>
        <v>145.57570499999997</v>
      </c>
      <c r="AS158" s="454">
        <f t="shared" si="92"/>
        <v>19.511745903573516</v>
      </c>
      <c r="AT158" s="456">
        <f>AT156</f>
        <v>2180.9</v>
      </c>
      <c r="AU158" s="456">
        <f>AU157</f>
        <v>3223.0606720000001</v>
      </c>
      <c r="AV158" s="456">
        <f>SUM(AV156:AV157)</f>
        <v>1042.0280339999999</v>
      </c>
      <c r="AW158" s="454">
        <f t="shared" si="93"/>
        <v>139.66469352704331</v>
      </c>
      <c r="AX158" s="456">
        <f>AX156</f>
        <v>53.2</v>
      </c>
      <c r="AY158" s="456">
        <f>AY157</f>
        <v>54.6</v>
      </c>
      <c r="AZ158" s="456">
        <f>SUM(AZ156:AZ157)</f>
        <v>1.3999999999999986</v>
      </c>
      <c r="BA158" s="454">
        <f t="shared" si="94"/>
        <v>0.18764425193752557</v>
      </c>
      <c r="BB158" s="456">
        <f>BB156</f>
        <v>-166.12</v>
      </c>
      <c r="BC158" s="456">
        <f>BC157</f>
        <v>-167.6</v>
      </c>
      <c r="BD158" s="456">
        <f>SUM(BD156:BD157)</f>
        <v>-1.4799999999999898</v>
      </c>
      <c r="BE158" s="455">
        <f>AVERAGE(BE156:BE157)</f>
        <v>-3.8601014999999999</v>
      </c>
      <c r="BF158" s="454">
        <f t="shared" si="95"/>
        <v>-0.19836678061966873</v>
      </c>
      <c r="BG158" s="445" t="s">
        <v>1126</v>
      </c>
      <c r="BH158" s="445" t="s">
        <v>1127</v>
      </c>
      <c r="BI158" s="445">
        <f>SUM(BI156:BI157)</f>
        <v>-3.7000000000000028</v>
      </c>
      <c r="BJ158" s="496" t="s">
        <v>1128</v>
      </c>
      <c r="BK158" s="496" t="s">
        <v>1129</v>
      </c>
      <c r="BL158" s="496">
        <f>SUM(BL156:BL157)</f>
        <v>1.2999999999992724</v>
      </c>
      <c r="BM158" s="496" t="s">
        <v>1130</v>
      </c>
      <c r="BN158" s="496" t="s">
        <v>1131</v>
      </c>
      <c r="BO158" s="496">
        <f>SUM(BO156:BO157)</f>
        <v>0</v>
      </c>
      <c r="BP158" s="445"/>
      <c r="BQ158" s="445"/>
      <c r="BR158" s="445"/>
      <c r="BS158" s="445"/>
      <c r="BT158" s="466" t="s">
        <v>723</v>
      </c>
      <c r="BU158" s="447"/>
      <c r="BV158" s="447"/>
      <c r="BW158" s="447"/>
      <c r="BX158" s="447"/>
      <c r="BY158" s="447"/>
      <c r="BZ158" s="447"/>
      <c r="CA158" s="447"/>
      <c r="CB158" s="447"/>
      <c r="CC158" s="447"/>
      <c r="CD158" s="447"/>
      <c r="CE158" s="447"/>
      <c r="CF158" s="447"/>
      <c r="CG158" s="447"/>
    </row>
    <row r="159" spans="1:85" s="449" customFormat="1" ht="22.5">
      <c r="A159" s="500">
        <v>62006017</v>
      </c>
      <c r="B159" s="491" t="s">
        <v>836</v>
      </c>
      <c r="C159" s="491" t="s">
        <v>770</v>
      </c>
      <c r="D159" s="473" t="s">
        <v>752</v>
      </c>
      <c r="E159" s="448" t="s">
        <v>885</v>
      </c>
      <c r="F159" s="481" t="str">
        <f t="shared" si="68"/>
        <v>06/08/20</v>
      </c>
      <c r="G159" s="466" t="s">
        <v>886</v>
      </c>
      <c r="H159" s="466" t="s">
        <v>708</v>
      </c>
      <c r="I159" s="474"/>
      <c r="J159" s="467">
        <v>-14.898562999999999</v>
      </c>
      <c r="K159" s="467">
        <v>28.656213999999999</v>
      </c>
      <c r="L159" s="467">
        <v>29.290610999999998</v>
      </c>
      <c r="M159" s="467">
        <v>5.2046979999999996</v>
      </c>
      <c r="N159" s="450">
        <v>4250</v>
      </c>
      <c r="O159" s="450">
        <v>38.71</v>
      </c>
      <c r="P159" s="450">
        <v>3.0499999999999999E-2</v>
      </c>
      <c r="Q159" s="450">
        <v>1.4999999999999999E-2</v>
      </c>
      <c r="R159" s="451">
        <v>1.7741114200000001</v>
      </c>
      <c r="S159" s="451">
        <f>R159+R158</f>
        <v>9.2350380699999999</v>
      </c>
      <c r="T159" s="492">
        <v>82.5</v>
      </c>
      <c r="U159" s="492">
        <v>78.7</v>
      </c>
      <c r="V159" s="455">
        <v>2874.6264299999998</v>
      </c>
      <c r="W159" s="455">
        <v>5960</v>
      </c>
      <c r="X159" s="455">
        <f>W159-V159-X160</f>
        <v>903.3735700000002</v>
      </c>
      <c r="Y159" s="455">
        <f t="shared" si="87"/>
        <v>509.1977650422881</v>
      </c>
      <c r="Z159" s="476">
        <v>3299</v>
      </c>
      <c r="AA159" s="455">
        <v>6391</v>
      </c>
      <c r="AB159" s="455">
        <f>AA159-Z159-AB160</f>
        <v>905</v>
      </c>
      <c r="AC159" s="475">
        <f t="shared" si="88"/>
        <v>510.11452257040315</v>
      </c>
      <c r="AD159" s="476">
        <v>1159</v>
      </c>
      <c r="AE159" s="455">
        <v>1259</v>
      </c>
      <c r="AF159" s="455">
        <f>AE159-AD159-AF160</f>
        <v>69</v>
      </c>
      <c r="AG159" s="475">
        <f t="shared" si="89"/>
        <v>38.892709455643995</v>
      </c>
      <c r="AH159" s="476">
        <v>7669</v>
      </c>
      <c r="AI159" s="455">
        <v>10242</v>
      </c>
      <c r="AJ159" s="455">
        <f>AI159-AH159-AJ160</f>
        <v>675</v>
      </c>
      <c r="AK159" s="475">
        <f t="shared" si="90"/>
        <v>380.47215771825648</v>
      </c>
      <c r="AL159" s="476">
        <v>-9358.7999999999993</v>
      </c>
      <c r="AM159" s="455">
        <v>-9284.9</v>
      </c>
      <c r="AN159" s="455">
        <f>AM159-AL159-AN160</f>
        <v>29.100000000000364</v>
      </c>
      <c r="AO159" s="475">
        <f t="shared" si="91"/>
        <v>16.402577466076153</v>
      </c>
      <c r="AP159" s="476">
        <v>1946.34</v>
      </c>
      <c r="AQ159" s="455">
        <v>2008.2158629999999</v>
      </c>
      <c r="AR159" s="455">
        <f>AQ159-AP159-AR160</f>
        <v>24.366097999999965</v>
      </c>
      <c r="AS159" s="475">
        <f t="shared" si="92"/>
        <v>13.734254638865897</v>
      </c>
      <c r="AT159" s="476">
        <v>3274.1</v>
      </c>
      <c r="AU159" s="455">
        <v>3608.1586309999998</v>
      </c>
      <c r="AV159" s="455">
        <f>AU159-AT159-AV160</f>
        <v>128.19906599999968</v>
      </c>
      <c r="AW159" s="475">
        <f t="shared" si="93"/>
        <v>72.261000382940807</v>
      </c>
      <c r="AX159" s="476">
        <v>54.7</v>
      </c>
      <c r="AY159" s="455">
        <v>55.2</v>
      </c>
      <c r="AZ159" s="455">
        <f>AY159-AX159-AZ160</f>
        <v>0.19999999999999574</v>
      </c>
      <c r="BA159" s="475">
        <f t="shared" si="94"/>
        <v>0.1127324911757773</v>
      </c>
      <c r="BB159" s="476">
        <v>-167.7</v>
      </c>
      <c r="BC159" s="455">
        <v>-168.37</v>
      </c>
      <c r="BD159" s="455">
        <f>BC159-BB159-BD160</f>
        <v>-0.27000000000001023</v>
      </c>
      <c r="BE159" s="455">
        <v>-3.967994</v>
      </c>
      <c r="BF159" s="475">
        <f t="shared" si="95"/>
        <v>-0.15218886308730836</v>
      </c>
      <c r="BG159" s="443">
        <v>82.5</v>
      </c>
      <c r="BH159" s="443">
        <v>78.7</v>
      </c>
      <c r="BI159" s="443">
        <f>BH159-BG159-BI160</f>
        <v>-1.0999999999999943</v>
      </c>
      <c r="BJ159" s="495">
        <v>13198.1</v>
      </c>
      <c r="BK159" s="495">
        <v>13198.7</v>
      </c>
      <c r="BL159" s="495">
        <f>BK159-BJ159-BL160</f>
        <v>0.2000000000007276</v>
      </c>
      <c r="BM159" s="495">
        <v>-12936.6</v>
      </c>
      <c r="BN159" s="495">
        <v>-12936.6</v>
      </c>
      <c r="BO159" s="495">
        <f>BN159-BM159-BO160</f>
        <v>0</v>
      </c>
      <c r="BP159" s="443"/>
      <c r="BQ159" s="443"/>
      <c r="BR159" s="443"/>
      <c r="BS159" s="443"/>
      <c r="BT159" s="466" t="s">
        <v>723</v>
      </c>
      <c r="BU159" s="447">
        <v>5475.8844948400001</v>
      </c>
      <c r="BV159" s="447">
        <v>-2.3865660399999999</v>
      </c>
      <c r="BW159" s="447">
        <v>2400.7209914099999</v>
      </c>
      <c r="BX159" s="447">
        <v>2459.4165925500001</v>
      </c>
      <c r="BY159" s="447">
        <v>3.0209715899999998</v>
      </c>
      <c r="BZ159" s="447">
        <v>3.0983246499999999</v>
      </c>
      <c r="CA159" s="447">
        <v>0.11228681</v>
      </c>
      <c r="CB159" s="447">
        <v>1.7740941800000001</v>
      </c>
      <c r="CC159" s="447">
        <v>1.7721043400000001</v>
      </c>
      <c r="CD159" s="447">
        <v>-2.67569773</v>
      </c>
      <c r="CE159" s="447">
        <v>-2.4966092</v>
      </c>
      <c r="CF159" s="447">
        <v>0.84360263999999996</v>
      </c>
      <c r="CG159" s="447"/>
    </row>
    <row r="160" spans="1:85" s="449" customFormat="1" ht="22.5">
      <c r="A160" s="500">
        <v>62006017</v>
      </c>
      <c r="B160" s="491" t="s">
        <v>837</v>
      </c>
      <c r="C160" s="491" t="s">
        <v>705</v>
      </c>
      <c r="D160" s="473" t="s">
        <v>752</v>
      </c>
      <c r="E160" s="448" t="s">
        <v>885</v>
      </c>
      <c r="F160" s="481" t="str">
        <f t="shared" si="68"/>
        <v>06/08/20</v>
      </c>
      <c r="G160" s="466" t="s">
        <v>886</v>
      </c>
      <c r="H160" s="466" t="s">
        <v>708</v>
      </c>
      <c r="I160" s="474"/>
      <c r="J160" s="467">
        <v>-10.859024</v>
      </c>
      <c r="K160" s="467">
        <v>22.692795</v>
      </c>
      <c r="L160" s="467">
        <v>29.288668999999999</v>
      </c>
      <c r="M160" s="467">
        <v>4.3830660000000004</v>
      </c>
      <c r="N160" s="450">
        <v>4250</v>
      </c>
      <c r="O160" s="450">
        <v>38.71</v>
      </c>
      <c r="P160" s="450">
        <v>3.0499999999999999E-2</v>
      </c>
      <c r="Q160" s="450">
        <v>1.4999999999999999E-2</v>
      </c>
      <c r="R160" s="451">
        <v>6.2477103500000002</v>
      </c>
      <c r="S160" s="451">
        <f>R160+R159</f>
        <v>8.0218217700000007</v>
      </c>
      <c r="T160" s="492">
        <v>81.8</v>
      </c>
      <c r="U160" s="492">
        <v>79.099999999999994</v>
      </c>
      <c r="V160" s="455">
        <v>3455</v>
      </c>
      <c r="W160" s="455">
        <v>5637</v>
      </c>
      <c r="X160" s="455">
        <f>W160-V160</f>
        <v>2182</v>
      </c>
      <c r="Y160" s="455">
        <f t="shared" si="87"/>
        <v>349.24794488912244</v>
      </c>
      <c r="Z160" s="476">
        <v>3880</v>
      </c>
      <c r="AA160" s="455">
        <v>6067</v>
      </c>
      <c r="AB160" s="455">
        <f>AA160-Z160</f>
        <v>2187</v>
      </c>
      <c r="AC160" s="475">
        <f t="shared" si="88"/>
        <v>350.04823807172812</v>
      </c>
      <c r="AD160" s="476">
        <v>1190</v>
      </c>
      <c r="AE160" s="455">
        <v>1221</v>
      </c>
      <c r="AF160" s="455">
        <f>AE160-AD160</f>
        <v>31</v>
      </c>
      <c r="AG160" s="475">
        <f t="shared" si="89"/>
        <v>4.9618177321552688</v>
      </c>
      <c r="AH160" s="476">
        <v>8129</v>
      </c>
      <c r="AI160" s="455">
        <v>10027</v>
      </c>
      <c r="AJ160" s="455">
        <f>AI160-AH160</f>
        <v>1898</v>
      </c>
      <c r="AK160" s="475">
        <f t="shared" si="90"/>
        <v>303.79129211711933</v>
      </c>
      <c r="AL160" s="476">
        <v>-9343</v>
      </c>
      <c r="AM160" s="455">
        <v>-9298.2000000000007</v>
      </c>
      <c r="AN160" s="455">
        <f>AM160-AL160</f>
        <v>44.799999999999272</v>
      </c>
      <c r="AO160" s="475">
        <f t="shared" si="91"/>
        <v>7.1706269161468521</v>
      </c>
      <c r="AP160" s="476">
        <v>1959.5061909999999</v>
      </c>
      <c r="AQ160" s="455">
        <v>1997.015956</v>
      </c>
      <c r="AR160" s="455">
        <f>AQ160-AP160</f>
        <v>37.509765000000016</v>
      </c>
      <c r="AS160" s="475">
        <f t="shared" si="92"/>
        <v>6.003761842128295</v>
      </c>
      <c r="AT160" s="476">
        <v>3346.5</v>
      </c>
      <c r="AU160" s="455">
        <v>3552.3595650000002</v>
      </c>
      <c r="AV160" s="455">
        <f>AU160-AT160</f>
        <v>205.8595650000002</v>
      </c>
      <c r="AW160" s="475">
        <f t="shared" si="93"/>
        <v>32.949601288734549</v>
      </c>
      <c r="AX160" s="476">
        <v>54.8</v>
      </c>
      <c r="AY160" s="455">
        <v>55.1</v>
      </c>
      <c r="AZ160" s="455">
        <f>AY160-AX160</f>
        <v>0.30000000000000426</v>
      </c>
      <c r="BA160" s="475">
        <f t="shared" si="94"/>
        <v>4.8017590956341991E-2</v>
      </c>
      <c r="BB160" s="476">
        <v>-167.85</v>
      </c>
      <c r="BC160" s="455">
        <v>-168.25</v>
      </c>
      <c r="BD160" s="455">
        <f>BC160-BB160</f>
        <v>-0.40000000000000568</v>
      </c>
      <c r="BE160" s="455">
        <v>-3.9975239999999999</v>
      </c>
      <c r="BF160" s="475">
        <f t="shared" si="95"/>
        <v>-6.4023454608455987E-2</v>
      </c>
      <c r="BG160" s="443">
        <v>81.8</v>
      </c>
      <c r="BH160" s="443">
        <v>79.099999999999994</v>
      </c>
      <c r="BI160" s="443">
        <f>BH160-BG160</f>
        <v>-2.7000000000000028</v>
      </c>
      <c r="BJ160" s="495">
        <v>13198.2</v>
      </c>
      <c r="BK160" s="495">
        <v>13198.6</v>
      </c>
      <c r="BL160" s="495">
        <f>BK160-BJ160</f>
        <v>0.3999999999996362</v>
      </c>
      <c r="BM160" s="495">
        <v>-12936.6</v>
      </c>
      <c r="BN160" s="495">
        <v>-12936.6</v>
      </c>
      <c r="BO160" s="495">
        <f>BN160-BM160</f>
        <v>0</v>
      </c>
      <c r="BP160" s="443"/>
      <c r="BQ160" s="443"/>
      <c r="BR160" s="443"/>
      <c r="BS160" s="443"/>
      <c r="BT160" s="466" t="s">
        <v>723</v>
      </c>
      <c r="BU160" s="447">
        <v>11289.602729849999</v>
      </c>
      <c r="BV160" s="447">
        <v>-0.59652760000000005</v>
      </c>
      <c r="BW160" s="447">
        <v>1132.00538334</v>
      </c>
      <c r="BX160" s="447">
        <v>1138.7986314899999</v>
      </c>
      <c r="BY160" s="447">
        <v>5.9002057299999997</v>
      </c>
      <c r="BZ160" s="447">
        <v>5.8927490999999996</v>
      </c>
      <c r="CA160" s="447">
        <v>0.20622138000000001</v>
      </c>
      <c r="CB160" s="447">
        <v>6.2477158800000003</v>
      </c>
      <c r="CC160" s="447">
        <v>6.2348582700000001</v>
      </c>
      <c r="CD160" s="447">
        <v>-7.958171E-2</v>
      </c>
      <c r="CE160" s="447">
        <v>0.12653897</v>
      </c>
      <c r="CF160" s="447">
        <v>0.41970787999999998</v>
      </c>
      <c r="CG160" s="447"/>
    </row>
    <row r="161" spans="1:85" s="449" customFormat="1" ht="22.5">
      <c r="A161" s="500">
        <v>62006017</v>
      </c>
      <c r="B161" s="491" t="s">
        <v>835</v>
      </c>
      <c r="C161" s="491" t="s">
        <v>703</v>
      </c>
      <c r="D161" s="473" t="s">
        <v>752</v>
      </c>
      <c r="E161" s="448" t="s">
        <v>885</v>
      </c>
      <c r="F161" s="481" t="str">
        <f t="shared" si="68"/>
        <v>06/08/20</v>
      </c>
      <c r="G161" s="466" t="s">
        <v>886</v>
      </c>
      <c r="H161" s="466" t="s">
        <v>708</v>
      </c>
      <c r="I161" s="474"/>
      <c r="J161" s="468">
        <f>AVERAGE(J159:J160)</f>
        <v>-12.8787935</v>
      </c>
      <c r="K161" s="468">
        <f>AVERAGE(K159:K160)</f>
        <v>25.674504499999998</v>
      </c>
      <c r="L161" s="468">
        <f>AVERAGE(L159:L160)</f>
        <v>29.289639999999999</v>
      </c>
      <c r="M161" s="468">
        <f>AVERAGE(M159:M160)</f>
        <v>4.793882</v>
      </c>
      <c r="N161" s="452"/>
      <c r="O161" s="450"/>
      <c r="P161" s="470"/>
      <c r="Q161" s="469"/>
      <c r="R161" s="453">
        <f>R160+R159</f>
        <v>8.0218217700000007</v>
      </c>
      <c r="S161" s="453">
        <f>S160</f>
        <v>8.0218217700000007</v>
      </c>
      <c r="T161" s="493">
        <f>T159</f>
        <v>82.5</v>
      </c>
      <c r="U161" s="493">
        <f>U160</f>
        <v>79.099999999999994</v>
      </c>
      <c r="V161" s="456">
        <f>V159</f>
        <v>2874.6264299999998</v>
      </c>
      <c r="W161" s="456">
        <f>W160</f>
        <v>5637</v>
      </c>
      <c r="X161" s="456">
        <f>SUM(X159:X160)</f>
        <v>3085.3735700000002</v>
      </c>
      <c r="Y161" s="456">
        <f t="shared" si="87"/>
        <v>384.62255313857463</v>
      </c>
      <c r="Z161" s="456">
        <f>Z159</f>
        <v>3299</v>
      </c>
      <c r="AA161" s="456">
        <f>AA160</f>
        <v>6067</v>
      </c>
      <c r="AB161" s="456">
        <f>SUM(AB159:AB160)</f>
        <v>3092</v>
      </c>
      <c r="AC161" s="454">
        <f t="shared" si="88"/>
        <v>385.44860365303276</v>
      </c>
      <c r="AD161" s="456">
        <f>AD159</f>
        <v>1159</v>
      </c>
      <c r="AE161" s="456">
        <f>AE160</f>
        <v>1221</v>
      </c>
      <c r="AF161" s="456">
        <f>SUM(AF159:AF160)</f>
        <v>100</v>
      </c>
      <c r="AG161" s="454">
        <f t="shared" si="89"/>
        <v>12.465996237161473</v>
      </c>
      <c r="AH161" s="456">
        <f>AH159</f>
        <v>7669</v>
      </c>
      <c r="AI161" s="456">
        <f>AI160</f>
        <v>10027</v>
      </c>
      <c r="AJ161" s="456">
        <f>SUM(AJ159:AJ160)</f>
        <v>2573</v>
      </c>
      <c r="AK161" s="454">
        <f t="shared" si="90"/>
        <v>320.7500831821647</v>
      </c>
      <c r="AL161" s="456">
        <f>AL159</f>
        <v>-9358.7999999999993</v>
      </c>
      <c r="AM161" s="456">
        <f>AM160</f>
        <v>-9298.2000000000007</v>
      </c>
      <c r="AN161" s="456">
        <f>SUM(AN159:AN160)</f>
        <v>73.899999999999636</v>
      </c>
      <c r="AO161" s="454">
        <f t="shared" si="91"/>
        <v>9.212371219262284</v>
      </c>
      <c r="AP161" s="456">
        <f>AP159</f>
        <v>1946.34</v>
      </c>
      <c r="AQ161" s="456">
        <f>AQ160</f>
        <v>1997.015956</v>
      </c>
      <c r="AR161" s="456">
        <f>SUM(AR159:AR160)</f>
        <v>61.875862999999981</v>
      </c>
      <c r="AS161" s="454">
        <f t="shared" si="92"/>
        <v>7.7134427532911864</v>
      </c>
      <c r="AT161" s="456">
        <f>AT159</f>
        <v>3274.1</v>
      </c>
      <c r="AU161" s="456">
        <f>AU160</f>
        <v>3552.3595650000002</v>
      </c>
      <c r="AV161" s="456">
        <f>SUM(AV159:AV160)</f>
        <v>334.05863099999988</v>
      </c>
      <c r="AW161" s="454">
        <f t="shared" si="93"/>
        <v>41.643736370373119</v>
      </c>
      <c r="AX161" s="456">
        <f>AX159</f>
        <v>54.7</v>
      </c>
      <c r="AY161" s="456">
        <f>AY160</f>
        <v>55.1</v>
      </c>
      <c r="AZ161" s="456">
        <f>SUM(AZ159:AZ160)</f>
        <v>0.5</v>
      </c>
      <c r="BA161" s="454">
        <f t="shared" si="94"/>
        <v>6.2329981185807369E-2</v>
      </c>
      <c r="BB161" s="456">
        <f>BB159</f>
        <v>-167.7</v>
      </c>
      <c r="BC161" s="456">
        <f>BC160</f>
        <v>-168.25</v>
      </c>
      <c r="BD161" s="456">
        <f>SUM(BD159:BD160)</f>
        <v>-0.67000000000001592</v>
      </c>
      <c r="BE161" s="455">
        <f>AVERAGE(BE159:BE160)</f>
        <v>-3.9827589999999997</v>
      </c>
      <c r="BF161" s="454">
        <f t="shared" si="95"/>
        <v>-8.3522174788983855E-2</v>
      </c>
      <c r="BG161" s="445" t="s">
        <v>1005</v>
      </c>
      <c r="BH161" s="445" t="s">
        <v>1132</v>
      </c>
      <c r="BI161" s="445">
        <f>SUM(BI159:BI160)</f>
        <v>-3.7999999999999972</v>
      </c>
      <c r="BJ161" s="496" t="s">
        <v>1133</v>
      </c>
      <c r="BK161" s="496" t="s">
        <v>1134</v>
      </c>
      <c r="BL161" s="496">
        <f>SUM(BL159:BL160)</f>
        <v>0.6000000000003638</v>
      </c>
      <c r="BM161" s="496" t="s">
        <v>1135</v>
      </c>
      <c r="BN161" s="496" t="s">
        <v>1136</v>
      </c>
      <c r="BO161" s="496">
        <f>SUM(BO159:BO160)</f>
        <v>0</v>
      </c>
      <c r="BP161" s="445"/>
      <c r="BQ161" s="445"/>
      <c r="BR161" s="445"/>
      <c r="BS161" s="445"/>
      <c r="BT161" s="466" t="s">
        <v>723</v>
      </c>
      <c r="BU161" s="447"/>
      <c r="BV161" s="447"/>
      <c r="BW161" s="447"/>
      <c r="BX161" s="447"/>
      <c r="BY161" s="447"/>
      <c r="BZ161" s="447"/>
      <c r="CA161" s="447"/>
      <c r="CB161" s="447"/>
      <c r="CC161" s="447"/>
      <c r="CD161" s="447"/>
      <c r="CE161" s="447"/>
      <c r="CF161" s="447"/>
      <c r="CG161" s="447"/>
    </row>
    <row r="162" spans="1:85" s="449" customFormat="1" ht="22.5">
      <c r="A162" s="500">
        <v>62006018</v>
      </c>
      <c r="B162" s="491" t="s">
        <v>838</v>
      </c>
      <c r="C162" s="491" t="s">
        <v>695</v>
      </c>
      <c r="D162" s="473" t="s">
        <v>756</v>
      </c>
      <c r="E162" s="448" t="s">
        <v>887</v>
      </c>
      <c r="F162" s="481" t="str">
        <f t="shared" si="68"/>
        <v>06/08/20</v>
      </c>
      <c r="G162" s="466" t="s">
        <v>888</v>
      </c>
      <c r="H162" s="466" t="s">
        <v>708</v>
      </c>
      <c r="I162" s="474"/>
      <c r="J162" s="467">
        <v>-49.259608</v>
      </c>
      <c r="K162" s="467">
        <v>94.597318999999999</v>
      </c>
      <c r="L162" s="467">
        <v>287.48620399999999</v>
      </c>
      <c r="M162" s="467">
        <v>100.77735</v>
      </c>
      <c r="N162" s="450">
        <v>4250</v>
      </c>
      <c r="O162" s="450">
        <v>38.71</v>
      </c>
      <c r="P162" s="450">
        <v>3.0499999999999999E-2</v>
      </c>
      <c r="Q162" s="450">
        <v>1.4999999999999999E-2</v>
      </c>
      <c r="R162" s="451">
        <v>131.49459483000001</v>
      </c>
      <c r="S162" s="451">
        <f>R162+R161</f>
        <v>139.51641660000001</v>
      </c>
      <c r="T162" s="492">
        <v>78.7</v>
      </c>
      <c r="U162" s="492">
        <v>28.4</v>
      </c>
      <c r="V162" s="455">
        <v>6006</v>
      </c>
      <c r="W162" s="455">
        <v>45477</v>
      </c>
      <c r="X162" s="455">
        <f>W162-V162</f>
        <v>39471</v>
      </c>
      <c r="Y162" s="455">
        <f t="shared" si="87"/>
        <v>300.17203407508305</v>
      </c>
      <c r="Z162" s="476">
        <v>6441</v>
      </c>
      <c r="AA162" s="455">
        <v>45942</v>
      </c>
      <c r="AB162" s="455">
        <f>AA162-Z162</f>
        <v>39501</v>
      </c>
      <c r="AC162" s="475">
        <f t="shared" si="88"/>
        <v>300.40018033492578</v>
      </c>
      <c r="AD162" s="476">
        <v>1259</v>
      </c>
      <c r="AE162" s="455">
        <v>1265</v>
      </c>
      <c r="AF162" s="455">
        <f>AE162-AD162</f>
        <v>6</v>
      </c>
      <c r="AG162" s="475">
        <f t="shared" si="89"/>
        <v>4.5629251968546482E-2</v>
      </c>
      <c r="AH162" s="476">
        <v>10241</v>
      </c>
      <c r="AI162" s="455">
        <v>44955</v>
      </c>
      <c r="AJ162" s="455">
        <f>AI162-AH162</f>
        <v>34714</v>
      </c>
      <c r="AK162" s="475">
        <f t="shared" si="90"/>
        <v>263.99564213935378</v>
      </c>
      <c r="AL162" s="476">
        <v>-9252</v>
      </c>
      <c r="AM162" s="455">
        <v>-8396.7999999999993</v>
      </c>
      <c r="AN162" s="455">
        <f>AM162-AL162</f>
        <v>855.20000000000073</v>
      </c>
      <c r="AO162" s="475">
        <f t="shared" si="91"/>
        <v>6.5036893805834977</v>
      </c>
      <c r="AP162" s="476">
        <v>2032.67</v>
      </c>
      <c r="AQ162" s="455">
        <v>2748.1319309999999</v>
      </c>
      <c r="AR162" s="455">
        <f>AQ162-AP162</f>
        <v>715.46193099999982</v>
      </c>
      <c r="AS162" s="475">
        <f t="shared" si="92"/>
        <v>5.4409987872503018</v>
      </c>
      <c r="AT162" s="476">
        <v>3620.7</v>
      </c>
      <c r="AU162" s="455">
        <v>7463.3</v>
      </c>
      <c r="AV162" s="455">
        <f>AU162-AT162</f>
        <v>3842.6000000000004</v>
      </c>
      <c r="AW162" s="475">
        <f t="shared" si="93"/>
        <v>29.222493935722788</v>
      </c>
      <c r="AX162" s="476">
        <v>55.6</v>
      </c>
      <c r="AY162" s="455">
        <v>59.2</v>
      </c>
      <c r="AZ162" s="455">
        <f>AY162-AX162</f>
        <v>3.6000000000000014</v>
      </c>
      <c r="BA162" s="475">
        <f t="shared" si="94"/>
        <v>2.7377551181127901E-2</v>
      </c>
      <c r="BB162" s="476">
        <v>-168.89</v>
      </c>
      <c r="BC162" s="455">
        <v>-177.27</v>
      </c>
      <c r="BD162" s="455">
        <f>BC162-BB162</f>
        <v>-8.3800000000000239</v>
      </c>
      <c r="BE162" s="455">
        <v>-40.532933999999997</v>
      </c>
      <c r="BF162" s="475">
        <f t="shared" si="95"/>
        <v>-6.3728855249403429E-2</v>
      </c>
      <c r="BG162" s="443">
        <v>78.7</v>
      </c>
      <c r="BH162" s="443">
        <v>28.4</v>
      </c>
      <c r="BI162" s="443">
        <f>BH162-BG162</f>
        <v>-50.300000000000004</v>
      </c>
      <c r="BJ162" s="495">
        <v>13199.1</v>
      </c>
      <c r="BK162" s="495">
        <v>13206.2</v>
      </c>
      <c r="BL162" s="495">
        <f>BK162-BJ162</f>
        <v>7.1000000000003638</v>
      </c>
      <c r="BM162" s="495">
        <v>-12936.6</v>
      </c>
      <c r="BN162" s="495">
        <v>-12936.6</v>
      </c>
      <c r="BO162" s="495">
        <f>BN162-BM162</f>
        <v>0</v>
      </c>
      <c r="BP162" s="443"/>
      <c r="BQ162" s="443"/>
      <c r="BR162" s="443"/>
      <c r="BS162" s="443"/>
      <c r="BT162" s="466" t="s">
        <v>723</v>
      </c>
      <c r="BU162" s="447">
        <v>17.428242300000001</v>
      </c>
      <c r="BV162" s="447">
        <v>50.262492960000003</v>
      </c>
      <c r="BW162" s="447">
        <v>873.25348310000004</v>
      </c>
      <c r="BX162" s="447">
        <v>581.15200000000004</v>
      </c>
      <c r="BY162" s="447">
        <v>98.945206900000002</v>
      </c>
      <c r="BZ162" s="447">
        <v>98.317524669999997</v>
      </c>
      <c r="CA162" s="447">
        <v>0.28614722999999997</v>
      </c>
      <c r="CB162" s="447">
        <v>131.49476060000001</v>
      </c>
      <c r="CC162" s="447">
        <v>131.11956559999999</v>
      </c>
      <c r="CD162" s="447">
        <v>0.35004157000000002</v>
      </c>
      <c r="CE162" s="447">
        <v>0.63842354000000001</v>
      </c>
      <c r="CF162" s="447">
        <v>8.4020799999999993E-3</v>
      </c>
      <c r="CG162" s="447"/>
    </row>
    <row r="163" spans="1:85" s="449" customFormat="1" ht="22.5">
      <c r="A163" s="500">
        <v>62006019</v>
      </c>
      <c r="B163" s="491" t="s">
        <v>839</v>
      </c>
      <c r="C163" s="491" t="s">
        <v>771</v>
      </c>
      <c r="D163" s="473" t="s">
        <v>760</v>
      </c>
      <c r="E163" s="448" t="s">
        <v>889</v>
      </c>
      <c r="F163" s="481" t="str">
        <f t="shared" si="68"/>
        <v>06/08/20</v>
      </c>
      <c r="G163" s="466" t="s">
        <v>890</v>
      </c>
      <c r="H163" s="466" t="s">
        <v>1311</v>
      </c>
      <c r="I163" s="474"/>
      <c r="J163" s="467">
        <v>-9.5726790000000008</v>
      </c>
      <c r="K163" s="467">
        <v>11.358561999999999</v>
      </c>
      <c r="L163" s="467">
        <v>29.266473000000001</v>
      </c>
      <c r="M163" s="467">
        <v>12.244092999999999</v>
      </c>
      <c r="N163" s="450">
        <v>4250</v>
      </c>
      <c r="O163" s="450">
        <v>38.71</v>
      </c>
      <c r="P163" s="450">
        <v>3.0499999999999999E-2</v>
      </c>
      <c r="Q163" s="450">
        <v>1.4999999999999999E-2</v>
      </c>
      <c r="R163" s="451">
        <v>1.7741857299999999</v>
      </c>
      <c r="S163" s="451">
        <f>R163+R162</f>
        <v>133.26878056000001</v>
      </c>
      <c r="T163" s="492">
        <v>24.8</v>
      </c>
      <c r="U163" s="492">
        <v>24.8</v>
      </c>
      <c r="V163" s="455">
        <v>45504</v>
      </c>
      <c r="W163" s="455">
        <v>48094</v>
      </c>
      <c r="X163" s="455">
        <f>W163-V163-X164</f>
        <v>654.78478100000211</v>
      </c>
      <c r="Y163" s="455">
        <f t="shared" si="87"/>
        <v>369.06213928346847</v>
      </c>
      <c r="Z163" s="476">
        <v>45970</v>
      </c>
      <c r="AA163" s="455">
        <v>48563.395681000002</v>
      </c>
      <c r="AB163" s="455">
        <f>AA163-Z163-AB164</f>
        <v>655.39568100000179</v>
      </c>
      <c r="AC163" s="475">
        <f t="shared" si="88"/>
        <v>369.4064662553688</v>
      </c>
      <c r="AD163" s="476">
        <v>1266</v>
      </c>
      <c r="AE163" s="455">
        <v>1320</v>
      </c>
      <c r="AF163" s="455">
        <f>AE163-AD163-AF164</f>
        <v>38</v>
      </c>
      <c r="AG163" s="475">
        <f t="shared" si="89"/>
        <v>21.418276202683696</v>
      </c>
      <c r="AH163" s="476">
        <v>44954</v>
      </c>
      <c r="AI163" s="455">
        <v>47114</v>
      </c>
      <c r="AJ163" s="455">
        <f>AI163-AH163-AJ164</f>
        <v>450</v>
      </c>
      <c r="AK163" s="475">
        <f t="shared" si="90"/>
        <v>253.63748134757009</v>
      </c>
      <c r="AL163" s="476">
        <v>-8369.6</v>
      </c>
      <c r="AM163" s="455">
        <v>-8302.7000000000007</v>
      </c>
      <c r="AN163" s="455">
        <f>AM163-AL163-AN164</f>
        <v>27.899999999999636</v>
      </c>
      <c r="AO163" s="475">
        <f t="shared" si="91"/>
        <v>15.725523843549141</v>
      </c>
      <c r="AP163" s="476">
        <v>2768.89</v>
      </c>
      <c r="AQ163" s="455">
        <v>2824.8420409999999</v>
      </c>
      <c r="AR163" s="455">
        <f>AQ163-AP163-AR164</f>
        <v>23.572157000000061</v>
      </c>
      <c r="AS163" s="475">
        <f t="shared" si="92"/>
        <v>13.286183403132243</v>
      </c>
      <c r="AT163" s="476">
        <v>7463.1</v>
      </c>
      <c r="AU163" s="455">
        <v>7766.7</v>
      </c>
      <c r="AV163" s="455">
        <f>AU163-AT163-AV164</f>
        <v>135.82265199999983</v>
      </c>
      <c r="AW163" s="475">
        <f t="shared" si="93"/>
        <v>76.554923029394359</v>
      </c>
      <c r="AX163" s="476">
        <v>59.4</v>
      </c>
      <c r="AY163" s="455">
        <v>59.6</v>
      </c>
      <c r="AZ163" s="455">
        <f>AY163-AX163-AZ164</f>
        <v>0</v>
      </c>
      <c r="BA163" s="475">
        <f t="shared" si="94"/>
        <v>0</v>
      </c>
      <c r="BB163" s="476">
        <v>-177.74</v>
      </c>
      <c r="BC163" s="455">
        <v>-178.49</v>
      </c>
      <c r="BD163" s="455">
        <f>BC163-BB163-BD164</f>
        <v>-0.28999999999999204</v>
      </c>
      <c r="BE163" s="455">
        <v>-4.488537</v>
      </c>
      <c r="BF163" s="475">
        <f t="shared" si="95"/>
        <v>-0.16345526575731847</v>
      </c>
      <c r="BG163" s="443">
        <v>24.8</v>
      </c>
      <c r="BH163" s="443">
        <v>24.8</v>
      </c>
      <c r="BI163" s="443">
        <f>BH163-BG163-BI164</f>
        <v>0</v>
      </c>
      <c r="BJ163" s="495">
        <v>13206.6</v>
      </c>
      <c r="BK163" s="495">
        <v>13207.2</v>
      </c>
      <c r="BL163" s="495">
        <f>BK163-BJ163-BL164</f>
        <v>0.30000000000109139</v>
      </c>
      <c r="BM163" s="495">
        <v>-12936.6</v>
      </c>
      <c r="BN163" s="495">
        <v>-12936.6</v>
      </c>
      <c r="BO163" s="495">
        <f>BN163-BM163-BO164</f>
        <v>0</v>
      </c>
      <c r="BP163" s="443"/>
      <c r="BQ163" s="443"/>
      <c r="BR163" s="443"/>
      <c r="BS163" s="443"/>
      <c r="BT163" s="466" t="s">
        <v>723</v>
      </c>
      <c r="BU163" s="447">
        <v>5450.3362978599998</v>
      </c>
      <c r="BV163" s="447">
        <v>-4.1246111900000004</v>
      </c>
      <c r="BW163" s="447">
        <v>2358.2420243199999</v>
      </c>
      <c r="BX163" s="447">
        <v>2459.6948743399998</v>
      </c>
      <c r="BY163" s="447">
        <v>3.0253569800000002</v>
      </c>
      <c r="BZ163" s="447">
        <v>3.0989737399999999</v>
      </c>
      <c r="CA163" s="447">
        <v>0.11030474999999999</v>
      </c>
      <c r="CB163" s="447">
        <v>1.77415437</v>
      </c>
      <c r="CC163" s="447">
        <v>1.7721995500000001</v>
      </c>
      <c r="CD163" s="447">
        <v>-2.5463134699999999</v>
      </c>
      <c r="CE163" s="447">
        <v>-2.3755205199999998</v>
      </c>
      <c r="CF163" s="447">
        <v>0.84361717000000003</v>
      </c>
      <c r="CG163" s="447"/>
    </row>
    <row r="164" spans="1:85" s="449" customFormat="1" ht="22.5">
      <c r="A164" s="500">
        <v>62006019</v>
      </c>
      <c r="B164" s="491" t="s">
        <v>840</v>
      </c>
      <c r="C164" s="491" t="s">
        <v>696</v>
      </c>
      <c r="D164" s="473" t="s">
        <v>760</v>
      </c>
      <c r="E164" s="448" t="s">
        <v>889</v>
      </c>
      <c r="F164" s="481" t="str">
        <f t="shared" ref="F164:F227" si="96">LEFT(E164,8)</f>
        <v>06/08/20</v>
      </c>
      <c r="G164" s="466" t="s">
        <v>890</v>
      </c>
      <c r="H164" s="524" t="s">
        <v>1311</v>
      </c>
      <c r="I164" s="474"/>
      <c r="J164" s="467">
        <v>-6.8216020000000004</v>
      </c>
      <c r="K164" s="467">
        <v>10.152138000000001</v>
      </c>
      <c r="L164" s="467">
        <v>29.263722000000001</v>
      </c>
      <c r="M164" s="467">
        <v>9.3687769999999997</v>
      </c>
      <c r="N164" s="450">
        <v>4250</v>
      </c>
      <c r="O164" s="450">
        <v>38.71</v>
      </c>
      <c r="P164" s="450">
        <v>3.0499999999999999E-2</v>
      </c>
      <c r="Q164" s="450">
        <v>1.4999999999999999E-2</v>
      </c>
      <c r="R164" s="451">
        <v>6.2519422799999997</v>
      </c>
      <c r="S164" s="451">
        <f>R164+R163</f>
        <v>8.026128009999999</v>
      </c>
      <c r="T164" s="492">
        <v>24.8</v>
      </c>
      <c r="U164" s="492">
        <v>24.8</v>
      </c>
      <c r="V164" s="455">
        <v>45953</v>
      </c>
      <c r="W164" s="455">
        <v>47888.215218999998</v>
      </c>
      <c r="X164" s="455">
        <f>W164-V164</f>
        <v>1935.2152189999979</v>
      </c>
      <c r="Y164" s="455">
        <f t="shared" si="87"/>
        <v>309.53824145030302</v>
      </c>
      <c r="Z164" s="476">
        <v>46419</v>
      </c>
      <c r="AA164" s="455">
        <v>48357</v>
      </c>
      <c r="AB164" s="455">
        <f>AA164-Z164</f>
        <v>1938</v>
      </c>
      <c r="AC164" s="475">
        <f t="shared" si="88"/>
        <v>309.98366798741466</v>
      </c>
      <c r="AD164" s="476">
        <v>1280</v>
      </c>
      <c r="AE164" s="455">
        <v>1296</v>
      </c>
      <c r="AF164" s="455">
        <f>AE164-AD164</f>
        <v>16</v>
      </c>
      <c r="AG164" s="475">
        <f t="shared" si="89"/>
        <v>2.559204689266581</v>
      </c>
      <c r="AH164" s="476">
        <v>45278</v>
      </c>
      <c r="AI164" s="455">
        <v>46988</v>
      </c>
      <c r="AJ164" s="455">
        <f>AI164-AH164</f>
        <v>1710</v>
      </c>
      <c r="AK164" s="475">
        <f t="shared" si="90"/>
        <v>273.51500116536585</v>
      </c>
      <c r="AL164" s="476">
        <v>-8354</v>
      </c>
      <c r="AM164" s="455">
        <v>-8315</v>
      </c>
      <c r="AN164" s="455">
        <f>AM164-AL164</f>
        <v>39</v>
      </c>
      <c r="AO164" s="475">
        <f t="shared" si="91"/>
        <v>6.2380614300872912</v>
      </c>
      <c r="AP164" s="476">
        <v>2782.082265</v>
      </c>
      <c r="AQ164" s="455">
        <v>2814.462149</v>
      </c>
      <c r="AR164" s="455">
        <f>AQ164-AP164</f>
        <v>32.379883999999947</v>
      </c>
      <c r="AS164" s="475">
        <f t="shared" si="92"/>
        <v>5.1791719356692383</v>
      </c>
      <c r="AT164" s="476">
        <v>7556.122652</v>
      </c>
      <c r="AU164" s="455">
        <v>7723.9</v>
      </c>
      <c r="AV164" s="455">
        <f>AU164-AT164</f>
        <v>167.77734799999962</v>
      </c>
      <c r="AW164" s="475">
        <f t="shared" si="93"/>
        <v>26.836035984644379</v>
      </c>
      <c r="AX164" s="476">
        <v>59.4</v>
      </c>
      <c r="AY164" s="455">
        <v>59.6</v>
      </c>
      <c r="AZ164" s="455">
        <f>AY164-AX164</f>
        <v>0.20000000000000284</v>
      </c>
      <c r="BA164" s="475">
        <f t="shared" si="94"/>
        <v>3.199005861583272E-2</v>
      </c>
      <c r="BB164" s="476">
        <v>-177.9</v>
      </c>
      <c r="BC164" s="455">
        <v>-178.36</v>
      </c>
      <c r="BD164" s="455">
        <f>BC164-BB164</f>
        <v>-0.46000000000000796</v>
      </c>
      <c r="BE164" s="455">
        <v>-4.4783229999999996</v>
      </c>
      <c r="BF164" s="475">
        <f t="shared" si="95"/>
        <v>-7.3577134816415479E-2</v>
      </c>
      <c r="BG164" s="443">
        <v>24.8</v>
      </c>
      <c r="BH164" s="443">
        <v>24.8</v>
      </c>
      <c r="BI164" s="443">
        <f>BH164-BG164</f>
        <v>0</v>
      </c>
      <c r="BJ164" s="495">
        <v>13206.7</v>
      </c>
      <c r="BK164" s="495">
        <v>13207</v>
      </c>
      <c r="BL164" s="495">
        <f>BK164-BJ164</f>
        <v>0.2999999999992724</v>
      </c>
      <c r="BM164" s="495">
        <v>-12936.6</v>
      </c>
      <c r="BN164" s="495">
        <v>-12936.6</v>
      </c>
      <c r="BO164" s="495">
        <f>BN164-BM164</f>
        <v>0</v>
      </c>
      <c r="BP164" s="443"/>
      <c r="BQ164" s="443"/>
      <c r="BR164" s="443"/>
      <c r="BS164" s="443"/>
      <c r="BT164" s="466" t="s">
        <v>723</v>
      </c>
      <c r="BU164" s="447">
        <v>11290.734611710001</v>
      </c>
      <c r="BV164" s="447">
        <v>-5.6790924800000004</v>
      </c>
      <c r="BW164" s="447">
        <v>1074.4969714199999</v>
      </c>
      <c r="BX164" s="447">
        <v>1139.19278304</v>
      </c>
      <c r="BY164" s="447">
        <v>5.8143388600000003</v>
      </c>
      <c r="BZ164" s="447">
        <v>5.89500724</v>
      </c>
      <c r="CA164" s="447">
        <v>0.25961582999999999</v>
      </c>
      <c r="CB164" s="447">
        <v>6.2519417500000003</v>
      </c>
      <c r="CC164" s="447">
        <v>6.2357527499999996</v>
      </c>
      <c r="CD164" s="447">
        <v>-1.6506219900000001</v>
      </c>
      <c r="CE164" s="447">
        <v>-1.3684187400000001</v>
      </c>
      <c r="CF164" s="447">
        <v>0.41977209999999998</v>
      </c>
      <c r="CG164" s="447"/>
    </row>
    <row r="165" spans="1:85" s="449" customFormat="1" ht="22.5">
      <c r="A165" s="500">
        <v>62006019</v>
      </c>
      <c r="B165" s="491" t="s">
        <v>834</v>
      </c>
      <c r="C165" s="491" t="s">
        <v>698</v>
      </c>
      <c r="D165" s="473" t="s">
        <v>760</v>
      </c>
      <c r="E165" s="448" t="s">
        <v>889</v>
      </c>
      <c r="F165" s="481" t="str">
        <f t="shared" si="96"/>
        <v>06/08/20</v>
      </c>
      <c r="G165" s="466" t="s">
        <v>890</v>
      </c>
      <c r="H165" s="524" t="s">
        <v>1311</v>
      </c>
      <c r="I165" s="474"/>
      <c r="J165" s="468">
        <f>AVERAGE(J163:J164)</f>
        <v>-8.1971404999999997</v>
      </c>
      <c r="K165" s="468">
        <f>AVERAGE(K163:K164)</f>
        <v>10.75535</v>
      </c>
      <c r="L165" s="468">
        <f>AVERAGE(L163:L164)</f>
        <v>29.265097500000003</v>
      </c>
      <c r="M165" s="468">
        <f>AVERAGE(M163:M164)</f>
        <v>10.806435</v>
      </c>
      <c r="N165" s="452"/>
      <c r="O165" s="450"/>
      <c r="P165" s="470"/>
      <c r="Q165" s="469"/>
      <c r="R165" s="453">
        <f>R164+R163</f>
        <v>8.026128009999999</v>
      </c>
      <c r="S165" s="453">
        <f>S164</f>
        <v>8.026128009999999</v>
      </c>
      <c r="T165" s="493">
        <f>T163</f>
        <v>24.8</v>
      </c>
      <c r="U165" s="493">
        <f>U164</f>
        <v>24.8</v>
      </c>
      <c r="V165" s="456">
        <f>V163</f>
        <v>45504</v>
      </c>
      <c r="W165" s="456">
        <f>W164</f>
        <v>47888.215218999998</v>
      </c>
      <c r="X165" s="456">
        <f>SUM(X163:X164)</f>
        <v>2590</v>
      </c>
      <c r="Y165" s="456">
        <f t="shared" si="87"/>
        <v>322.69607421823321</v>
      </c>
      <c r="Z165" s="456">
        <f>Z163</f>
        <v>45970</v>
      </c>
      <c r="AA165" s="456">
        <f>AA164</f>
        <v>48357</v>
      </c>
      <c r="AB165" s="456">
        <f>SUM(AB163:AB164)</f>
        <v>2593.3956810000018</v>
      </c>
      <c r="AC165" s="454">
        <f t="shared" si="88"/>
        <v>323.11915256881156</v>
      </c>
      <c r="AD165" s="456">
        <f>AD163</f>
        <v>1266</v>
      </c>
      <c r="AE165" s="456">
        <f>AE164</f>
        <v>1296</v>
      </c>
      <c r="AF165" s="456">
        <f>SUM(AF163:AF164)</f>
        <v>54</v>
      </c>
      <c r="AG165" s="454">
        <f t="shared" si="89"/>
        <v>6.728026257831889</v>
      </c>
      <c r="AH165" s="456">
        <f>AH163</f>
        <v>44954</v>
      </c>
      <c r="AI165" s="456">
        <f>AI164</f>
        <v>46988</v>
      </c>
      <c r="AJ165" s="456">
        <f>SUM(AJ163:AJ164)</f>
        <v>2160</v>
      </c>
      <c r="AK165" s="454">
        <f t="shared" si="90"/>
        <v>269.12105031327559</v>
      </c>
      <c r="AL165" s="456">
        <f>AL163</f>
        <v>-8369.6</v>
      </c>
      <c r="AM165" s="456">
        <f>AM164</f>
        <v>-8315</v>
      </c>
      <c r="AN165" s="456">
        <f>SUM(AN163:AN164)</f>
        <v>66.899999999999636</v>
      </c>
      <c r="AO165" s="454">
        <f t="shared" si="91"/>
        <v>8.3352769749805731</v>
      </c>
      <c r="AP165" s="456">
        <f>AP163</f>
        <v>2768.89</v>
      </c>
      <c r="AQ165" s="456">
        <f>AQ164</f>
        <v>2814.462149</v>
      </c>
      <c r="AR165" s="456">
        <f>SUM(AR163:AR164)</f>
        <v>55.952041000000008</v>
      </c>
      <c r="AS165" s="454">
        <f t="shared" si="92"/>
        <v>6.9712370560608612</v>
      </c>
      <c r="AT165" s="456">
        <f>AT163</f>
        <v>7463.1</v>
      </c>
      <c r="AU165" s="456">
        <f>AU164</f>
        <v>7723.9</v>
      </c>
      <c r="AV165" s="456">
        <f>SUM(AV163:AV164)</f>
        <v>303.59999999999945</v>
      </c>
      <c r="AW165" s="454">
        <f t="shared" si="93"/>
        <v>37.826458738476994</v>
      </c>
      <c r="AX165" s="456">
        <f>AX163</f>
        <v>59.4</v>
      </c>
      <c r="AY165" s="456">
        <f>AY164</f>
        <v>59.6</v>
      </c>
      <c r="AZ165" s="456">
        <f>SUM(AZ163:AZ164)</f>
        <v>0.20000000000000284</v>
      </c>
      <c r="BA165" s="454">
        <f t="shared" si="94"/>
        <v>2.491861576974809E-2</v>
      </c>
      <c r="BB165" s="456">
        <f>BB163</f>
        <v>-177.74</v>
      </c>
      <c r="BC165" s="456">
        <f>BC164</f>
        <v>-178.36</v>
      </c>
      <c r="BD165" s="456">
        <f>SUM(BD163:BD164)</f>
        <v>-0.75</v>
      </c>
      <c r="BE165" s="455">
        <f>AVERAGE(BE163:BE164)</f>
        <v>-4.4834300000000002</v>
      </c>
      <c r="BF165" s="454">
        <f t="shared" si="95"/>
        <v>-9.3444809136554022E-2</v>
      </c>
      <c r="BG165" s="445" t="s">
        <v>1121</v>
      </c>
      <c r="BH165" s="445" t="s">
        <v>1122</v>
      </c>
      <c r="BI165" s="445">
        <f>SUM(BI163:BI164)</f>
        <v>0</v>
      </c>
      <c r="BJ165" s="496" t="s">
        <v>1123</v>
      </c>
      <c r="BK165" s="496" t="s">
        <v>978</v>
      </c>
      <c r="BL165" s="496">
        <f>SUM(BL163:BL164)</f>
        <v>0.6000000000003638</v>
      </c>
      <c r="BM165" s="496" t="s">
        <v>1124</v>
      </c>
      <c r="BN165" s="496" t="s">
        <v>1125</v>
      </c>
      <c r="BO165" s="496">
        <f>SUM(BO163:BO164)</f>
        <v>0</v>
      </c>
      <c r="BP165" s="445"/>
      <c r="BQ165" s="445"/>
      <c r="BR165" s="445"/>
      <c r="BS165" s="445"/>
      <c r="BT165" s="466" t="s">
        <v>723</v>
      </c>
      <c r="BU165" s="447"/>
      <c r="BV165" s="447"/>
      <c r="BW165" s="447"/>
      <c r="BX165" s="447"/>
      <c r="BY165" s="447"/>
      <c r="BZ165" s="447"/>
      <c r="CA165" s="447"/>
      <c r="CB165" s="447"/>
      <c r="CC165" s="447"/>
      <c r="CD165" s="447"/>
      <c r="CE165" s="447"/>
      <c r="CF165" s="447"/>
      <c r="CG165" s="447"/>
    </row>
    <row r="166" spans="1:85" s="449" customFormat="1" ht="22.5">
      <c r="A166" s="500">
        <v>62006019</v>
      </c>
      <c r="B166" s="491" t="s">
        <v>841</v>
      </c>
      <c r="C166" s="491" t="s">
        <v>697</v>
      </c>
      <c r="D166" s="473" t="s">
        <v>760</v>
      </c>
      <c r="E166" s="448" t="s">
        <v>889</v>
      </c>
      <c r="F166" s="481" t="str">
        <f t="shared" si="96"/>
        <v>06/08/20</v>
      </c>
      <c r="G166" s="466" t="s">
        <v>890</v>
      </c>
      <c r="H166" s="466" t="s">
        <v>708</v>
      </c>
      <c r="I166" s="474"/>
      <c r="J166" s="467">
        <v>-14.155946999999999</v>
      </c>
      <c r="K166" s="467">
        <v>14.832115</v>
      </c>
      <c r="L166" s="467">
        <v>29.257705999999999</v>
      </c>
      <c r="M166" s="467">
        <v>6.9552420000000001</v>
      </c>
      <c r="N166" s="450">
        <v>4250</v>
      </c>
      <c r="O166" s="450">
        <v>38.71</v>
      </c>
      <c r="P166" s="450">
        <v>3.0499999999999999E-2</v>
      </c>
      <c r="Q166" s="450">
        <v>1.4999999999999999E-2</v>
      </c>
      <c r="R166" s="451">
        <v>3.59738779</v>
      </c>
      <c r="S166" s="451">
        <f>R166+R165</f>
        <v>11.6235158</v>
      </c>
      <c r="T166" s="492">
        <v>24.7</v>
      </c>
      <c r="U166" s="492">
        <v>23.2</v>
      </c>
      <c r="V166" s="455">
        <v>48134</v>
      </c>
      <c r="W166" s="455">
        <v>49273</v>
      </c>
      <c r="X166" s="455">
        <f>W166-V166</f>
        <v>1139</v>
      </c>
      <c r="Y166" s="455">
        <f t="shared" si="87"/>
        <v>316.61863176557898</v>
      </c>
      <c r="Z166" s="476">
        <v>48608</v>
      </c>
      <c r="AA166" s="455">
        <v>49752</v>
      </c>
      <c r="AB166" s="455">
        <f>AA166-Z166</f>
        <v>1144</v>
      </c>
      <c r="AC166" s="475">
        <f t="shared" si="88"/>
        <v>318.00852918333834</v>
      </c>
      <c r="AD166" s="476">
        <v>1320</v>
      </c>
      <c r="AE166" s="455">
        <v>1326</v>
      </c>
      <c r="AF166" s="455">
        <f>AE166-AD166</f>
        <v>6</v>
      </c>
      <c r="AG166" s="475">
        <f t="shared" si="89"/>
        <v>1.6678769013112151</v>
      </c>
      <c r="AH166" s="476">
        <v>47113</v>
      </c>
      <c r="AI166" s="455">
        <v>47886</v>
      </c>
      <c r="AJ166" s="455">
        <f>AI166-AH166</f>
        <v>773</v>
      </c>
      <c r="AK166" s="475">
        <f t="shared" si="90"/>
        <v>214.87814078559487</v>
      </c>
      <c r="AL166" s="476">
        <v>-8262.7000000000007</v>
      </c>
      <c r="AM166" s="455">
        <v>-8205.7000000000007</v>
      </c>
      <c r="AN166" s="455">
        <f>AM166-AL166</f>
        <v>57</v>
      </c>
      <c r="AO166" s="475">
        <f t="shared" si="91"/>
        <v>15.844830562456544</v>
      </c>
      <c r="AP166" s="476">
        <v>2854.9416219999998</v>
      </c>
      <c r="AQ166" s="455">
        <v>2902.651331</v>
      </c>
      <c r="AR166" s="455">
        <f>AQ166-AP166</f>
        <v>47.709709000000203</v>
      </c>
      <c r="AS166" s="475">
        <f t="shared" si="92"/>
        <v>13.26232026823002</v>
      </c>
      <c r="AT166" s="476">
        <v>7766.4</v>
      </c>
      <c r="AU166" s="455">
        <v>8066.8</v>
      </c>
      <c r="AV166" s="455">
        <f>AU166-AT166</f>
        <v>300.40000000000055</v>
      </c>
      <c r="AW166" s="475">
        <f t="shared" si="93"/>
        <v>83.505036858981654</v>
      </c>
      <c r="AX166" s="476">
        <v>59.9</v>
      </c>
      <c r="AY166" s="455">
        <v>60.1</v>
      </c>
      <c r="AZ166" s="455">
        <f>AY166-AX166</f>
        <v>0.20000000000000284</v>
      </c>
      <c r="BA166" s="475">
        <f t="shared" si="94"/>
        <v>5.5595896710374626E-2</v>
      </c>
      <c r="BB166" s="476">
        <v>-179.23</v>
      </c>
      <c r="BC166" s="455">
        <v>-179.88</v>
      </c>
      <c r="BD166" s="455">
        <f>BC166-BB166</f>
        <v>-0.65000000000000568</v>
      </c>
      <c r="BE166" s="455">
        <v>-4.6248659999999999</v>
      </c>
      <c r="BF166" s="475">
        <f t="shared" si="95"/>
        <v>-0.18068666430871655</v>
      </c>
      <c r="BG166" s="443">
        <v>24.7</v>
      </c>
      <c r="BH166" s="443">
        <v>23.2</v>
      </c>
      <c r="BI166" s="443">
        <f>BH166-BG166</f>
        <v>-1.5</v>
      </c>
      <c r="BJ166" s="495">
        <v>13207.7</v>
      </c>
      <c r="BK166" s="495">
        <v>13208.2</v>
      </c>
      <c r="BL166" s="495">
        <f>BK166-BJ166</f>
        <v>0.5</v>
      </c>
      <c r="BM166" s="495">
        <v>-12936.6</v>
      </c>
      <c r="BN166" s="495">
        <v>-12936.6</v>
      </c>
      <c r="BO166" s="495">
        <f>BN166-BM166</f>
        <v>0</v>
      </c>
      <c r="BP166" s="443"/>
      <c r="BQ166" s="443"/>
      <c r="BR166" s="443"/>
      <c r="BS166" s="443"/>
      <c r="BT166" s="466" t="s">
        <v>723</v>
      </c>
      <c r="BU166" s="447">
        <v>2368.1268613000002</v>
      </c>
      <c r="BV166" s="447">
        <v>-1.2648712799999999</v>
      </c>
      <c r="BW166" s="447">
        <v>2022.8919207199999</v>
      </c>
      <c r="BX166" s="447">
        <v>2048.8066881300001</v>
      </c>
      <c r="BY166" s="447">
        <v>3.0224561300000001</v>
      </c>
      <c r="BZ166" s="447">
        <v>3.0319835199999998</v>
      </c>
      <c r="CA166" s="447">
        <v>0.17784427</v>
      </c>
      <c r="CB166" s="447">
        <v>3.59736703</v>
      </c>
      <c r="CC166" s="447">
        <v>3.59098067</v>
      </c>
      <c r="CD166" s="447">
        <v>-0.49362499999999998</v>
      </c>
      <c r="CE166" s="447">
        <v>-0.31422960999999999</v>
      </c>
      <c r="CF166" s="447">
        <v>0.63449522999999997</v>
      </c>
      <c r="CG166" s="447"/>
    </row>
    <row r="167" spans="1:85" s="449" customFormat="1" ht="22.5">
      <c r="A167" s="500">
        <v>62006019</v>
      </c>
      <c r="B167" s="491" t="s">
        <v>234</v>
      </c>
      <c r="C167" s="491" t="s">
        <v>699</v>
      </c>
      <c r="D167" s="473" t="s">
        <v>760</v>
      </c>
      <c r="E167" s="448" t="s">
        <v>889</v>
      </c>
      <c r="F167" s="481" t="str">
        <f t="shared" si="96"/>
        <v>06/08/20</v>
      </c>
      <c r="G167" s="466" t="s">
        <v>890</v>
      </c>
      <c r="H167" s="466" t="s">
        <v>708</v>
      </c>
      <c r="I167" s="474"/>
      <c r="J167" s="467">
        <v>-16.715432</v>
      </c>
      <c r="K167" s="467">
        <v>17.752998000000002</v>
      </c>
      <c r="L167" s="467">
        <v>29.255354000000001</v>
      </c>
      <c r="M167" s="467">
        <v>5.566522</v>
      </c>
      <c r="N167" s="450">
        <v>4250</v>
      </c>
      <c r="O167" s="450">
        <v>38.71</v>
      </c>
      <c r="P167" s="450">
        <v>3.0499999999999999E-2</v>
      </c>
      <c r="Q167" s="450">
        <v>1.4999999999999999E-2</v>
      </c>
      <c r="R167" s="451">
        <v>3.8641895900000001</v>
      </c>
      <c r="S167" s="451">
        <f>R167+R166</f>
        <v>7.4615773799999996</v>
      </c>
      <c r="T167" s="492">
        <v>23.2</v>
      </c>
      <c r="U167" s="492">
        <v>21.5</v>
      </c>
      <c r="V167" s="455">
        <v>49273</v>
      </c>
      <c r="W167" s="455">
        <v>50474</v>
      </c>
      <c r="X167" s="455">
        <f>W167-V167</f>
        <v>1201</v>
      </c>
      <c r="Y167" s="455">
        <f t="shared" si="87"/>
        <v>310.80255562719424</v>
      </c>
      <c r="Z167" s="476">
        <v>49752</v>
      </c>
      <c r="AA167" s="455">
        <v>50962</v>
      </c>
      <c r="AB167" s="455">
        <f>AA167-Z167</f>
        <v>1210</v>
      </c>
      <c r="AC167" s="475">
        <f t="shared" si="88"/>
        <v>313.13163389584099</v>
      </c>
      <c r="AD167" s="476">
        <v>1326</v>
      </c>
      <c r="AE167" s="455">
        <v>1342</v>
      </c>
      <c r="AF167" s="455">
        <f>AE167-AD167</f>
        <v>16</v>
      </c>
      <c r="AG167" s="475">
        <f t="shared" si="89"/>
        <v>4.1405835887053355</v>
      </c>
      <c r="AH167" s="476">
        <v>47886</v>
      </c>
      <c r="AI167" s="455">
        <v>48599</v>
      </c>
      <c r="AJ167" s="455">
        <f>AI167-AH167</f>
        <v>713</v>
      </c>
      <c r="AK167" s="475">
        <f t="shared" si="90"/>
        <v>184.51475617168151</v>
      </c>
      <c r="AL167" s="476">
        <v>-8205.7000000000007</v>
      </c>
      <c r="AM167" s="455">
        <v>-8110.2644380000002</v>
      </c>
      <c r="AN167" s="455">
        <f>AM167-AL167</f>
        <v>95.435562000000573</v>
      </c>
      <c r="AO167" s="475">
        <f t="shared" si="91"/>
        <v>24.697432612254559</v>
      </c>
      <c r="AP167" s="476">
        <v>2902.6714160000001</v>
      </c>
      <c r="AQ167" s="455">
        <v>2982.2406679999999</v>
      </c>
      <c r="AR167" s="455">
        <f>AQ167-AP167</f>
        <v>79.569251999999778</v>
      </c>
      <c r="AS167" s="475">
        <f t="shared" si="92"/>
        <v>20.591446187297393</v>
      </c>
      <c r="AT167" s="476">
        <v>8066.9</v>
      </c>
      <c r="AU167" s="455">
        <v>8441.3355620000002</v>
      </c>
      <c r="AV167" s="455">
        <f>AU167-AT167</f>
        <v>374.43556200000057</v>
      </c>
      <c r="AW167" s="475">
        <f t="shared" si="93"/>
        <v>96.898858940303853</v>
      </c>
      <c r="AX167" s="476">
        <v>60.1</v>
      </c>
      <c r="AY167" s="455">
        <v>60.4</v>
      </c>
      <c r="AZ167" s="455">
        <f>AY167-AX167</f>
        <v>0.29999999999999716</v>
      </c>
      <c r="BA167" s="475">
        <f t="shared" si="94"/>
        <v>7.7635942288224305E-2</v>
      </c>
      <c r="BB167" s="476">
        <v>-179.88</v>
      </c>
      <c r="BC167" s="455">
        <v>-180.99</v>
      </c>
      <c r="BD167" s="455">
        <f>BC167-BB167</f>
        <v>-1.1100000000000136</v>
      </c>
      <c r="BE167" s="455">
        <v>-4.6147650000000002</v>
      </c>
      <c r="BF167" s="475">
        <f t="shared" si="95"/>
        <v>-0.28725298646643621</v>
      </c>
      <c r="BG167" s="443">
        <v>23.2</v>
      </c>
      <c r="BH167" s="443">
        <v>21.5</v>
      </c>
      <c r="BI167" s="443">
        <f>BH167-BG167</f>
        <v>-1.6999999999999993</v>
      </c>
      <c r="BJ167" s="495">
        <v>13208.2</v>
      </c>
      <c r="BK167" s="495">
        <v>13209.1</v>
      </c>
      <c r="BL167" s="495">
        <f>BK167-BJ167</f>
        <v>0.8999999999996362</v>
      </c>
      <c r="BM167" s="495">
        <v>-12936.6</v>
      </c>
      <c r="BN167" s="495">
        <v>-12936.6</v>
      </c>
      <c r="BO167" s="495">
        <f>BN167-BM167</f>
        <v>0</v>
      </c>
      <c r="BP167" s="443"/>
      <c r="BQ167" s="443"/>
      <c r="BR167" s="443"/>
      <c r="BS167" s="443"/>
      <c r="BT167" s="466" t="s">
        <v>723</v>
      </c>
      <c r="BU167" s="447">
        <v>1476.03174038</v>
      </c>
      <c r="BV167" s="447">
        <v>-1.5450773200000001</v>
      </c>
      <c r="BW167" s="447">
        <v>3363.4475693899999</v>
      </c>
      <c r="BX167" s="447">
        <v>3416.23097955</v>
      </c>
      <c r="BY167" s="447">
        <v>2.9819343800000002</v>
      </c>
      <c r="BZ167" s="447">
        <v>2.9953529799999998</v>
      </c>
      <c r="CA167" s="447">
        <v>0.11030191</v>
      </c>
      <c r="CB167" s="447">
        <v>3.8640884400000002</v>
      </c>
      <c r="CC167" s="447">
        <v>3.8598309799999999</v>
      </c>
      <c r="CD167" s="447">
        <v>-0.56079460000000003</v>
      </c>
      <c r="CE167" s="447">
        <v>-0.44798044999999997</v>
      </c>
      <c r="CF167" s="447">
        <v>0.72008691000000002</v>
      </c>
      <c r="CG167" s="447"/>
    </row>
    <row r="168" spans="1:85" s="449" customFormat="1" ht="22.5">
      <c r="A168" s="500">
        <v>62006019</v>
      </c>
      <c r="B168" s="491" t="s">
        <v>842</v>
      </c>
      <c r="C168" s="491" t="s">
        <v>704</v>
      </c>
      <c r="D168" s="473" t="s">
        <v>760</v>
      </c>
      <c r="E168" s="448" t="s">
        <v>889</v>
      </c>
      <c r="F168" s="481" t="str">
        <f t="shared" si="96"/>
        <v>06/08/20</v>
      </c>
      <c r="G168" s="466" t="s">
        <v>890</v>
      </c>
      <c r="H168" s="466" t="s">
        <v>708</v>
      </c>
      <c r="I168" s="474"/>
      <c r="J168" s="468">
        <f>AVERAGE(J166:J167)</f>
        <v>-15.435689499999999</v>
      </c>
      <c r="K168" s="468">
        <f>AVERAGE(K166:K167)</f>
        <v>16.2925565</v>
      </c>
      <c r="L168" s="468">
        <f>AVERAGE(L166:L167)</f>
        <v>29.256529999999998</v>
      </c>
      <c r="M168" s="468">
        <f>AVERAGE(M166:M167)</f>
        <v>6.2608820000000005</v>
      </c>
      <c r="N168" s="452"/>
      <c r="O168" s="450"/>
      <c r="P168" s="470"/>
      <c r="Q168" s="469"/>
      <c r="R168" s="453">
        <f>R167+R166</f>
        <v>7.4615773799999996</v>
      </c>
      <c r="S168" s="453">
        <f>S167</f>
        <v>7.4615773799999996</v>
      </c>
      <c r="T168" s="493">
        <f>T166</f>
        <v>24.7</v>
      </c>
      <c r="U168" s="493">
        <f>U167</f>
        <v>21.5</v>
      </c>
      <c r="V168" s="456">
        <f>V166</f>
        <v>48134</v>
      </c>
      <c r="W168" s="456">
        <f>W167</f>
        <v>50474</v>
      </c>
      <c r="X168" s="456">
        <f>SUM(X166:X167)</f>
        <v>2340</v>
      </c>
      <c r="Y168" s="456">
        <f t="shared" si="87"/>
        <v>313.60661168939055</v>
      </c>
      <c r="Z168" s="456">
        <f>Z166</f>
        <v>48608</v>
      </c>
      <c r="AA168" s="456">
        <f>AA167</f>
        <v>50962</v>
      </c>
      <c r="AB168" s="456">
        <f>SUM(AB166:AB167)</f>
        <v>2354</v>
      </c>
      <c r="AC168" s="454">
        <f t="shared" si="88"/>
        <v>315.48289056274587</v>
      </c>
      <c r="AD168" s="456">
        <f>AD166</f>
        <v>1320</v>
      </c>
      <c r="AE168" s="456">
        <f>AE167</f>
        <v>1342</v>
      </c>
      <c r="AF168" s="456">
        <f>SUM(AF166:AF167)</f>
        <v>22</v>
      </c>
      <c r="AG168" s="454">
        <f t="shared" si="89"/>
        <v>2.9484382295583726</v>
      </c>
      <c r="AH168" s="456">
        <f>AH166</f>
        <v>47113</v>
      </c>
      <c r="AI168" s="456">
        <f>AI167</f>
        <v>48599</v>
      </c>
      <c r="AJ168" s="456">
        <f>SUM(AJ166:AJ167)</f>
        <v>1486</v>
      </c>
      <c r="AK168" s="454">
        <f t="shared" si="90"/>
        <v>199.15360041471553</v>
      </c>
      <c r="AL168" s="456">
        <f>AL166</f>
        <v>-8262.7000000000007</v>
      </c>
      <c r="AM168" s="456">
        <f>AM167</f>
        <v>-8110.2644380000002</v>
      </c>
      <c r="AN168" s="456">
        <f>SUM(AN166:AN167)</f>
        <v>152.43556200000057</v>
      </c>
      <c r="AO168" s="454">
        <f t="shared" si="91"/>
        <v>20.429401752046239</v>
      </c>
      <c r="AP168" s="456">
        <f>AP166</f>
        <v>2854.9416219999998</v>
      </c>
      <c r="AQ168" s="456">
        <f>AQ167</f>
        <v>2982.2406679999999</v>
      </c>
      <c r="AR168" s="456">
        <f>SUM(AR166:AR167)</f>
        <v>127.27896099999998</v>
      </c>
      <c r="AS168" s="454">
        <f t="shared" si="92"/>
        <v>17.057916110494052</v>
      </c>
      <c r="AT168" s="456">
        <f>AT166</f>
        <v>7766.4</v>
      </c>
      <c r="AU168" s="456">
        <f>AU167</f>
        <v>8441.3355620000002</v>
      </c>
      <c r="AV168" s="456">
        <f>SUM(AV166:AV167)</f>
        <v>674.83556200000112</v>
      </c>
      <c r="AW168" s="454">
        <f t="shared" si="93"/>
        <v>90.441407712105132</v>
      </c>
      <c r="AX168" s="456">
        <f>AX166</f>
        <v>59.9</v>
      </c>
      <c r="AY168" s="456">
        <f>AY167</f>
        <v>60.4</v>
      </c>
      <c r="AZ168" s="456">
        <f>SUM(AZ166:AZ167)</f>
        <v>0.5</v>
      </c>
      <c r="BA168" s="454">
        <f t="shared" si="94"/>
        <v>6.7009959762690294E-2</v>
      </c>
      <c r="BB168" s="456">
        <f>BB166</f>
        <v>-179.23</v>
      </c>
      <c r="BC168" s="456">
        <f>BC167</f>
        <v>-180.99</v>
      </c>
      <c r="BD168" s="456">
        <f>SUM(BD166:BD167)</f>
        <v>-1.7600000000000193</v>
      </c>
      <c r="BE168" s="455">
        <f>AVERAGE(BE166:BE167)</f>
        <v>-4.6198154999999996</v>
      </c>
      <c r="BF168" s="454">
        <f t="shared" si="95"/>
        <v>-0.2358750583646724</v>
      </c>
      <c r="BG168" s="445" t="s">
        <v>1137</v>
      </c>
      <c r="BH168" s="445" t="s">
        <v>1138</v>
      </c>
      <c r="BI168" s="445">
        <f>SUM(BI166:BI167)</f>
        <v>-3.1999999999999993</v>
      </c>
      <c r="BJ168" s="496" t="s">
        <v>1139</v>
      </c>
      <c r="BK168" s="496" t="s">
        <v>1140</v>
      </c>
      <c r="BL168" s="496">
        <f>SUM(BL166:BL167)</f>
        <v>1.3999999999996362</v>
      </c>
      <c r="BM168" s="496" t="s">
        <v>1141</v>
      </c>
      <c r="BN168" s="496" t="s">
        <v>1142</v>
      </c>
      <c r="BO168" s="496">
        <f>SUM(BO166:BO167)</f>
        <v>0</v>
      </c>
      <c r="BP168" s="445"/>
      <c r="BQ168" s="445"/>
      <c r="BR168" s="445"/>
      <c r="BS168" s="445"/>
      <c r="BT168" s="466" t="s">
        <v>723</v>
      </c>
      <c r="BU168" s="447"/>
      <c r="BV168" s="447"/>
      <c r="BW168" s="447"/>
      <c r="BX168" s="447"/>
      <c r="BY168" s="447"/>
      <c r="BZ168" s="447"/>
      <c r="CA168" s="447"/>
      <c r="CB168" s="447"/>
      <c r="CC168" s="447"/>
      <c r="CD168" s="447"/>
      <c r="CE168" s="447"/>
      <c r="CF168" s="447"/>
      <c r="CG168" s="447"/>
    </row>
    <row r="169" spans="1:85" s="449" customFormat="1" ht="22.5">
      <c r="A169" s="500">
        <v>62006019</v>
      </c>
      <c r="B169" s="491" t="s">
        <v>56</v>
      </c>
      <c r="C169" s="491" t="s">
        <v>700</v>
      </c>
      <c r="D169" s="473" t="s">
        <v>760</v>
      </c>
      <c r="E169" s="448" t="s">
        <v>889</v>
      </c>
      <c r="F169" s="481" t="str">
        <f t="shared" si="96"/>
        <v>06/08/20</v>
      </c>
      <c r="G169" s="466" t="s">
        <v>890</v>
      </c>
      <c r="H169" s="466" t="s">
        <v>708</v>
      </c>
      <c r="I169" s="474"/>
      <c r="J169" s="467">
        <v>-13.949801000000001</v>
      </c>
      <c r="K169" s="467">
        <v>14.900471</v>
      </c>
      <c r="L169" s="467">
        <v>29.251604</v>
      </c>
      <c r="M169" s="467">
        <v>4.1704650000000001</v>
      </c>
      <c r="N169" s="450">
        <v>4250</v>
      </c>
      <c r="O169" s="450">
        <v>38.71</v>
      </c>
      <c r="P169" s="450">
        <v>3.0499999999999999E-2</v>
      </c>
      <c r="Q169" s="450">
        <v>1.4999999999999999E-2</v>
      </c>
      <c r="R169" s="451">
        <v>10.28346245</v>
      </c>
      <c r="S169" s="451">
        <f>R169+R168</f>
        <v>17.74503983</v>
      </c>
      <c r="T169" s="492">
        <v>21.5</v>
      </c>
      <c r="U169" s="492">
        <v>17.600000000000001</v>
      </c>
      <c r="V169" s="455">
        <v>50482</v>
      </c>
      <c r="W169" s="455">
        <v>53250</v>
      </c>
      <c r="X169" s="455">
        <f>W169-V169</f>
        <v>2768</v>
      </c>
      <c r="Y169" s="455">
        <f t="shared" si="87"/>
        <v>269.17004009675748</v>
      </c>
      <c r="Z169" s="476">
        <v>50971</v>
      </c>
      <c r="AA169" s="455">
        <v>53746</v>
      </c>
      <c r="AB169" s="455">
        <f>AA169-Z169</f>
        <v>2775</v>
      </c>
      <c r="AC169" s="475">
        <f t="shared" si="88"/>
        <v>269.85074467792703</v>
      </c>
      <c r="AD169" s="476">
        <v>1342</v>
      </c>
      <c r="AE169" s="455">
        <v>1344</v>
      </c>
      <c r="AF169" s="455">
        <f>AE169-AD169</f>
        <v>2</v>
      </c>
      <c r="AG169" s="475">
        <f t="shared" si="89"/>
        <v>0.19448702319129876</v>
      </c>
      <c r="AH169" s="476">
        <v>48599</v>
      </c>
      <c r="AI169" s="455">
        <v>50948</v>
      </c>
      <c r="AJ169" s="455">
        <f>AI169-AH169</f>
        <v>2349</v>
      </c>
      <c r="AK169" s="475">
        <f t="shared" si="90"/>
        <v>228.4250087381804</v>
      </c>
      <c r="AL169" s="476">
        <v>-8108.5</v>
      </c>
      <c r="AM169" s="455">
        <v>-8025.2</v>
      </c>
      <c r="AN169" s="455">
        <f>AM169-AL169</f>
        <v>83.300000000000182</v>
      </c>
      <c r="AO169" s="475">
        <f t="shared" si="91"/>
        <v>8.1003845159176109</v>
      </c>
      <c r="AP169" s="476">
        <v>2983.7308950000001</v>
      </c>
      <c r="AQ169" s="455">
        <v>3053.2400189999998</v>
      </c>
      <c r="AR169" s="455">
        <f>AQ169-AP169</f>
        <v>69.509123999999701</v>
      </c>
      <c r="AS169" s="475">
        <f t="shared" si="92"/>
        <v>6.7593113056974019</v>
      </c>
      <c r="AT169" s="476">
        <v>8447.6089489999995</v>
      </c>
      <c r="AU169" s="455">
        <v>8777</v>
      </c>
      <c r="AV169" s="455">
        <f>AU169-AT169</f>
        <v>329.39105100000052</v>
      </c>
      <c r="AW169" s="475">
        <f t="shared" si="93"/>
        <v>32.03114248742169</v>
      </c>
      <c r="AX169" s="476">
        <v>60.4</v>
      </c>
      <c r="AY169" s="455">
        <v>60.6</v>
      </c>
      <c r="AZ169" s="455">
        <f>AY169-AX169</f>
        <v>0.20000000000000284</v>
      </c>
      <c r="BA169" s="475">
        <f t="shared" si="94"/>
        <v>1.9448702319130151E-2</v>
      </c>
      <c r="BB169" s="476">
        <v>-181.01</v>
      </c>
      <c r="BC169" s="455">
        <v>-181.98</v>
      </c>
      <c r="BD169" s="455">
        <f>BC169-BB169</f>
        <v>-0.96999999999999886</v>
      </c>
      <c r="BE169" s="455">
        <v>-4.5539740000000002</v>
      </c>
      <c r="BF169" s="475">
        <f t="shared" si="95"/>
        <v>-9.4326206247779792E-2</v>
      </c>
      <c r="BG169" s="443">
        <v>21.5</v>
      </c>
      <c r="BH169" s="443">
        <v>17.600000000000001</v>
      </c>
      <c r="BI169" s="443">
        <f>BH169-BG169</f>
        <v>-3.8999999999999986</v>
      </c>
      <c r="BJ169" s="495">
        <v>13209.1</v>
      </c>
      <c r="BK169" s="495">
        <v>13209.8</v>
      </c>
      <c r="BL169" s="495">
        <f>BK169-BJ169</f>
        <v>0.69999999999890861</v>
      </c>
      <c r="BM169" s="495">
        <v>-12936.6</v>
      </c>
      <c r="BN169" s="495">
        <v>-12936.6</v>
      </c>
      <c r="BO169" s="495">
        <f>BN169-BM169</f>
        <v>0</v>
      </c>
      <c r="BP169" s="443"/>
      <c r="BQ169" s="443"/>
      <c r="BR169" s="443"/>
      <c r="BS169" s="443"/>
      <c r="BT169" s="466" t="s">
        <v>723</v>
      </c>
      <c r="BU169" s="447">
        <v>1875.2828452900001</v>
      </c>
      <c r="BV169" s="447">
        <v>2.1680739400000002</v>
      </c>
      <c r="BW169" s="447">
        <v>1335.1030058599999</v>
      </c>
      <c r="BX169" s="447">
        <v>1306.7712391600001</v>
      </c>
      <c r="BY169" s="447">
        <v>6.8334394200000004</v>
      </c>
      <c r="BZ169" s="447">
        <v>6.79041242</v>
      </c>
      <c r="CA169" s="447">
        <v>0.26112354999999998</v>
      </c>
      <c r="CB169" s="447">
        <v>10.28346294</v>
      </c>
      <c r="CC169" s="447">
        <v>10.25668033</v>
      </c>
      <c r="CD169" s="447">
        <v>0.37017421</v>
      </c>
      <c r="CE169" s="447">
        <v>0.63364335000000005</v>
      </c>
      <c r="CF169" s="447">
        <v>0.33398576000000002</v>
      </c>
      <c r="CG169" s="447"/>
    </row>
    <row r="170" spans="1:85" s="449" customFormat="1" ht="22.5">
      <c r="A170" s="500">
        <v>62006019</v>
      </c>
      <c r="B170" s="491" t="s">
        <v>843</v>
      </c>
      <c r="C170" s="491" t="s">
        <v>702</v>
      </c>
      <c r="D170" s="473" t="s">
        <v>760</v>
      </c>
      <c r="E170" s="448" t="s">
        <v>889</v>
      </c>
      <c r="F170" s="481" t="str">
        <f t="shared" si="96"/>
        <v>06/08/20</v>
      </c>
      <c r="G170" s="466" t="s">
        <v>890</v>
      </c>
      <c r="H170" s="466" t="s">
        <v>708</v>
      </c>
      <c r="I170" s="474"/>
      <c r="J170" s="467">
        <v>-16.542808000000001</v>
      </c>
      <c r="K170" s="467">
        <v>16.590114</v>
      </c>
      <c r="L170" s="467">
        <v>29.245763</v>
      </c>
      <c r="M170" s="467">
        <v>4.1702300000000001</v>
      </c>
      <c r="N170" s="450">
        <v>4250</v>
      </c>
      <c r="O170" s="450">
        <v>38.71</v>
      </c>
      <c r="P170" s="450">
        <v>3.0499999999999999E-2</v>
      </c>
      <c r="Q170" s="450">
        <v>1.4999999999999999E-2</v>
      </c>
      <c r="R170" s="451">
        <v>3.5966684099999999</v>
      </c>
      <c r="S170" s="451">
        <f>R170+R169</f>
        <v>13.88013086</v>
      </c>
      <c r="T170" s="492">
        <v>17.600000000000001</v>
      </c>
      <c r="U170" s="492">
        <v>15.8</v>
      </c>
      <c r="V170" s="455">
        <v>53291</v>
      </c>
      <c r="W170" s="455">
        <v>54486</v>
      </c>
      <c r="X170" s="455">
        <f>W170-V170</f>
        <v>1195</v>
      </c>
      <c r="Y170" s="455">
        <f t="shared" si="87"/>
        <v>332.25192421894684</v>
      </c>
      <c r="Z170" s="476">
        <v>53789</v>
      </c>
      <c r="AA170" s="455">
        <v>54985</v>
      </c>
      <c r="AB170" s="455">
        <f>AA170-Z170</f>
        <v>1196</v>
      </c>
      <c r="AC170" s="475">
        <f t="shared" si="88"/>
        <v>332.52995930197523</v>
      </c>
      <c r="AD170" s="476">
        <v>1344</v>
      </c>
      <c r="AE170" s="455">
        <v>1350</v>
      </c>
      <c r="AF170" s="455">
        <f>AE170-AD170</f>
        <v>6</v>
      </c>
      <c r="AG170" s="475">
        <f t="shared" si="89"/>
        <v>1.6682104981704444</v>
      </c>
      <c r="AH170" s="476">
        <v>50947</v>
      </c>
      <c r="AI170" s="455">
        <v>51746</v>
      </c>
      <c r="AJ170" s="455">
        <f>AI170-AH170</f>
        <v>799</v>
      </c>
      <c r="AK170" s="475">
        <f t="shared" si="90"/>
        <v>222.15003133969751</v>
      </c>
      <c r="AL170" s="476">
        <v>-7985.3</v>
      </c>
      <c r="AM170" s="455">
        <v>-7927.5680679999996</v>
      </c>
      <c r="AN170" s="455">
        <f>AM170-AL170</f>
        <v>57.731932000000597</v>
      </c>
      <c r="AO170" s="475">
        <f t="shared" si="91"/>
        <v>16.051502507010536</v>
      </c>
      <c r="AP170" s="476">
        <v>3083.5201120000002</v>
      </c>
      <c r="AQ170" s="455">
        <v>3132.1327729999998</v>
      </c>
      <c r="AR170" s="455">
        <f>AQ170-AP170</f>
        <v>48.612660999999662</v>
      </c>
      <c r="AS170" s="475">
        <f t="shared" si="92"/>
        <v>13.516025237366728</v>
      </c>
      <c r="AT170" s="476">
        <v>8776.7999999999993</v>
      </c>
      <c r="AU170" s="455">
        <v>9106.3638640000008</v>
      </c>
      <c r="AV170" s="455">
        <f>AU170-AT170</f>
        <v>329.56386400000156</v>
      </c>
      <c r="AW170" s="475">
        <f t="shared" si="93"/>
        <v>91.630316290403201</v>
      </c>
      <c r="AX170" s="476">
        <v>60.8</v>
      </c>
      <c r="AY170" s="455">
        <v>61</v>
      </c>
      <c r="AZ170" s="455">
        <f>AY170-AX170</f>
        <v>0.20000000000000284</v>
      </c>
      <c r="BA170" s="475">
        <f t="shared" si="94"/>
        <v>5.560701660568227E-2</v>
      </c>
      <c r="BB170" s="476">
        <v>-182.72</v>
      </c>
      <c r="BC170" s="455">
        <v>-183.36</v>
      </c>
      <c r="BD170" s="455">
        <f>BC170-BB170</f>
        <v>-0.64000000000001478</v>
      </c>
      <c r="BE170" s="455">
        <v>-4.5729329999999999</v>
      </c>
      <c r="BF170" s="475">
        <f t="shared" si="95"/>
        <v>-0.17794245313818485</v>
      </c>
      <c r="BG170" s="443">
        <v>17.600000000000001</v>
      </c>
      <c r="BH170" s="443">
        <v>15.8</v>
      </c>
      <c r="BI170" s="443">
        <f>BH170-BG170</f>
        <v>-1.8000000000000007</v>
      </c>
      <c r="BJ170" s="495">
        <v>13210.4</v>
      </c>
      <c r="BK170" s="495">
        <v>13210.9</v>
      </c>
      <c r="BL170" s="495">
        <f>BK170-BJ170</f>
        <v>0.5</v>
      </c>
      <c r="BM170" s="495">
        <v>-12936.6</v>
      </c>
      <c r="BN170" s="495">
        <v>-12936.6</v>
      </c>
      <c r="BO170" s="495">
        <f>BN170-BM170</f>
        <v>0</v>
      </c>
      <c r="BP170" s="443"/>
      <c r="BQ170" s="443"/>
      <c r="BR170" s="443"/>
      <c r="BS170" s="443"/>
      <c r="BT170" s="466" t="s">
        <v>723</v>
      </c>
      <c r="BU170" s="447">
        <v>2367.8780926999998</v>
      </c>
      <c r="BV170" s="447">
        <v>-0.81573443999999995</v>
      </c>
      <c r="BW170" s="447">
        <v>2032.0759731600001</v>
      </c>
      <c r="BX170" s="447">
        <v>2048.7886478</v>
      </c>
      <c r="BY170" s="447">
        <v>3.0293345899999999</v>
      </c>
      <c r="BZ170" s="447">
        <v>3.03194688</v>
      </c>
      <c r="CA170" s="447">
        <v>0.15768372999999999</v>
      </c>
      <c r="CB170" s="447">
        <v>3.5966428600000002</v>
      </c>
      <c r="CC170" s="447">
        <v>3.5909804699999999</v>
      </c>
      <c r="CD170" s="447">
        <v>-0.24405294</v>
      </c>
      <c r="CE170" s="447">
        <v>-8.6158929999999995E-2</v>
      </c>
      <c r="CF170" s="447">
        <v>0.63449451999999995</v>
      </c>
      <c r="CG170" s="447"/>
    </row>
    <row r="171" spans="1:85" s="449" customFormat="1" ht="22.5">
      <c r="A171" s="500">
        <v>62006019</v>
      </c>
      <c r="B171" s="491" t="s">
        <v>844</v>
      </c>
      <c r="C171" s="491" t="s">
        <v>705</v>
      </c>
      <c r="D171" s="473" t="s">
        <v>760</v>
      </c>
      <c r="E171" s="448" t="s">
        <v>889</v>
      </c>
      <c r="F171" s="481" t="str">
        <f t="shared" si="96"/>
        <v>06/08/20</v>
      </c>
      <c r="G171" s="466" t="s">
        <v>890</v>
      </c>
      <c r="H171" s="466" t="s">
        <v>708</v>
      </c>
      <c r="I171" s="474"/>
      <c r="J171" s="467">
        <v>-18.142040999999999</v>
      </c>
      <c r="K171" s="467">
        <v>22.759371000000002</v>
      </c>
      <c r="L171" s="467">
        <v>29.243455999999998</v>
      </c>
      <c r="M171" s="467">
        <v>3.5940729999999999</v>
      </c>
      <c r="N171" s="450">
        <v>4250</v>
      </c>
      <c r="O171" s="450">
        <v>38.71</v>
      </c>
      <c r="P171" s="450">
        <v>3.0499999999999999E-2</v>
      </c>
      <c r="Q171" s="450">
        <v>1.4999999999999999E-2</v>
      </c>
      <c r="R171" s="451">
        <v>3.8643871700000001</v>
      </c>
      <c r="S171" s="451">
        <f>R171+R170</f>
        <v>7.46105558</v>
      </c>
      <c r="T171" s="492">
        <v>15.8</v>
      </c>
      <c r="U171" s="492">
        <v>14</v>
      </c>
      <c r="V171" s="455">
        <v>54486</v>
      </c>
      <c r="W171" s="455">
        <v>55735</v>
      </c>
      <c r="X171" s="455">
        <f>W171-V171</f>
        <v>1249</v>
      </c>
      <c r="Y171" s="455">
        <f t="shared" si="87"/>
        <v>323.20778044607783</v>
      </c>
      <c r="Z171" s="476">
        <v>54985</v>
      </c>
      <c r="AA171" s="455">
        <v>56234</v>
      </c>
      <c r="AB171" s="455">
        <f>AA171-Z171</f>
        <v>1249</v>
      </c>
      <c r="AC171" s="475">
        <f t="shared" si="88"/>
        <v>323.20778044607783</v>
      </c>
      <c r="AD171" s="476">
        <v>1350</v>
      </c>
      <c r="AE171" s="455">
        <v>1367</v>
      </c>
      <c r="AF171" s="455">
        <f>AE171-AD171</f>
        <v>17</v>
      </c>
      <c r="AG171" s="475">
        <f t="shared" si="89"/>
        <v>4.3991451301707949</v>
      </c>
      <c r="AH171" s="476">
        <v>51746</v>
      </c>
      <c r="AI171" s="455">
        <v>52477</v>
      </c>
      <c r="AJ171" s="455">
        <f>AI171-AH171</f>
        <v>731</v>
      </c>
      <c r="AK171" s="475">
        <f t="shared" si="90"/>
        <v>189.16324059734418</v>
      </c>
      <c r="AL171" s="476">
        <v>-7927.5029400000003</v>
      </c>
      <c r="AM171" s="455">
        <v>-7831.8</v>
      </c>
      <c r="AN171" s="455">
        <f>AM171-AL171</f>
        <v>95.702940000000126</v>
      </c>
      <c r="AO171" s="475">
        <f t="shared" si="91"/>
        <v>24.765360143766372</v>
      </c>
      <c r="AP171" s="476">
        <v>3132.1588240000001</v>
      </c>
      <c r="AQ171" s="455">
        <v>3212.3494089999999</v>
      </c>
      <c r="AR171" s="455">
        <f>AQ171-AP171</f>
        <v>80.190584999999828</v>
      </c>
      <c r="AS171" s="475">
        <f t="shared" si="92"/>
        <v>20.751177734605672</v>
      </c>
      <c r="AT171" s="476">
        <v>9106.4941190000009</v>
      </c>
      <c r="AU171" s="455">
        <v>9509.7999999999993</v>
      </c>
      <c r="AV171" s="455">
        <f>AU171-AT171</f>
        <v>403.30588099999841</v>
      </c>
      <c r="AW171" s="475">
        <f t="shared" si="93"/>
        <v>104.36477072766971</v>
      </c>
      <c r="AX171" s="476">
        <v>61</v>
      </c>
      <c r="AY171" s="455">
        <v>61.3</v>
      </c>
      <c r="AZ171" s="455">
        <f>AY171-AX171</f>
        <v>0.29999999999999716</v>
      </c>
      <c r="BA171" s="475">
        <f t="shared" si="94"/>
        <v>7.7631972885366232E-2</v>
      </c>
      <c r="BB171" s="476">
        <v>-183.36</v>
      </c>
      <c r="BC171" s="455">
        <v>-184.46</v>
      </c>
      <c r="BD171" s="455">
        <f>BC171-BB171</f>
        <v>-1.0999999999999943</v>
      </c>
      <c r="BE171" s="455">
        <v>-4.5592899999999998</v>
      </c>
      <c r="BF171" s="475">
        <f t="shared" si="95"/>
        <v>-0.28465056724634408</v>
      </c>
      <c r="BG171" s="443">
        <v>15.8</v>
      </c>
      <c r="BH171" s="443">
        <v>14</v>
      </c>
      <c r="BI171" s="443">
        <f>BH171-BG171</f>
        <v>-1.8000000000000007</v>
      </c>
      <c r="BJ171" s="495">
        <v>13210.9</v>
      </c>
      <c r="BK171" s="495">
        <v>13211.7</v>
      </c>
      <c r="BL171" s="495">
        <f>BK171-BJ171</f>
        <v>0.80000000000109139</v>
      </c>
      <c r="BM171" s="495">
        <v>-12936.6</v>
      </c>
      <c r="BN171" s="495">
        <v>-12936.6</v>
      </c>
      <c r="BO171" s="495">
        <f>BN171-BM171</f>
        <v>0</v>
      </c>
      <c r="BP171" s="443"/>
      <c r="BQ171" s="443"/>
      <c r="BR171" s="443"/>
      <c r="BS171" s="443"/>
      <c r="BT171" s="466" t="s">
        <v>723</v>
      </c>
      <c r="BU171" s="447">
        <v>1475.60977146</v>
      </c>
      <c r="BV171" s="447">
        <v>-1.25319556</v>
      </c>
      <c r="BW171" s="447">
        <v>3373.3778620100002</v>
      </c>
      <c r="BX171" s="447">
        <v>3416.18939572</v>
      </c>
      <c r="BY171" s="447">
        <v>2.97845038</v>
      </c>
      <c r="BZ171" s="447">
        <v>2.9952823099999999</v>
      </c>
      <c r="CA171" s="447">
        <v>0.11507101</v>
      </c>
      <c r="CB171" s="447">
        <v>3.86427225</v>
      </c>
      <c r="CC171" s="447">
        <v>3.8598307100000002</v>
      </c>
      <c r="CD171" s="447">
        <v>-0.68084509000000004</v>
      </c>
      <c r="CE171" s="447">
        <v>-0.56194809000000001</v>
      </c>
      <c r="CF171" s="447">
        <v>0.72009299000000004</v>
      </c>
      <c r="CG171" s="447"/>
    </row>
    <row r="172" spans="1:85" s="449" customFormat="1" ht="22.5">
      <c r="A172" s="500">
        <v>62006019</v>
      </c>
      <c r="B172" s="491" t="s">
        <v>845</v>
      </c>
      <c r="C172" s="491" t="s">
        <v>703</v>
      </c>
      <c r="D172" s="473" t="s">
        <v>760</v>
      </c>
      <c r="E172" s="448" t="s">
        <v>889</v>
      </c>
      <c r="F172" s="481" t="str">
        <f t="shared" si="96"/>
        <v>06/08/20</v>
      </c>
      <c r="G172" s="466" t="s">
        <v>890</v>
      </c>
      <c r="H172" s="466" t="s">
        <v>708</v>
      </c>
      <c r="I172" s="474"/>
      <c r="J172" s="468">
        <f>AVERAGE(J170:J171)</f>
        <v>-17.3424245</v>
      </c>
      <c r="K172" s="468">
        <f>AVERAGE(K170:K171)</f>
        <v>19.674742500000001</v>
      </c>
      <c r="L172" s="468">
        <f>AVERAGE(L170:L171)</f>
        <v>29.244609499999999</v>
      </c>
      <c r="M172" s="468">
        <f>AVERAGE(M170:M171)</f>
        <v>3.8821515</v>
      </c>
      <c r="N172" s="452"/>
      <c r="O172" s="450"/>
      <c r="P172" s="470"/>
      <c r="Q172" s="469"/>
      <c r="R172" s="453">
        <f>R171+R170</f>
        <v>7.46105558</v>
      </c>
      <c r="S172" s="453">
        <f>S171</f>
        <v>7.46105558</v>
      </c>
      <c r="T172" s="493">
        <f>T170</f>
        <v>17.600000000000001</v>
      </c>
      <c r="U172" s="493">
        <f>U171</f>
        <v>14</v>
      </c>
      <c r="V172" s="456">
        <f>V170</f>
        <v>53291</v>
      </c>
      <c r="W172" s="456">
        <f>W171</f>
        <v>55735</v>
      </c>
      <c r="X172" s="456">
        <f>SUM(X170:X171)</f>
        <v>2444</v>
      </c>
      <c r="Y172" s="456">
        <f t="shared" si="87"/>
        <v>327.56759064378929</v>
      </c>
      <c r="Z172" s="456">
        <f>Z170</f>
        <v>53789</v>
      </c>
      <c r="AA172" s="456">
        <f>AA171</f>
        <v>56234</v>
      </c>
      <c r="AB172" s="456">
        <f>SUM(AB170:AB171)</f>
        <v>2445</v>
      </c>
      <c r="AC172" s="454">
        <f t="shared" si="88"/>
        <v>327.70161993619672</v>
      </c>
      <c r="AD172" s="456">
        <f>AD170</f>
        <v>1344</v>
      </c>
      <c r="AE172" s="456">
        <f>AE171</f>
        <v>1367</v>
      </c>
      <c r="AF172" s="456">
        <f>SUM(AF170:AF171)</f>
        <v>23</v>
      </c>
      <c r="AG172" s="454">
        <f t="shared" si="89"/>
        <v>3.0826737253711758</v>
      </c>
      <c r="AH172" s="456">
        <f>AH170</f>
        <v>50947</v>
      </c>
      <c r="AI172" s="456">
        <f>AI171</f>
        <v>52477</v>
      </c>
      <c r="AJ172" s="456">
        <f>SUM(AJ170:AJ171)</f>
        <v>1530</v>
      </c>
      <c r="AK172" s="454">
        <f t="shared" si="90"/>
        <v>205.06481738338692</v>
      </c>
      <c r="AL172" s="456">
        <f>AL170</f>
        <v>-7985.3</v>
      </c>
      <c r="AM172" s="456">
        <f>AM171</f>
        <v>-7831.8</v>
      </c>
      <c r="AN172" s="456">
        <f>SUM(AN170:AN171)</f>
        <v>153.43487200000072</v>
      </c>
      <c r="AO172" s="454">
        <f t="shared" si="91"/>
        <v>20.564767324786597</v>
      </c>
      <c r="AP172" s="456">
        <f>AP170</f>
        <v>3083.5201120000002</v>
      </c>
      <c r="AQ172" s="456">
        <f>AQ171</f>
        <v>3212.3494089999999</v>
      </c>
      <c r="AR172" s="456">
        <f>SUM(AR170:AR171)</f>
        <v>128.80324599999949</v>
      </c>
      <c r="AS172" s="454">
        <f t="shared" si="92"/>
        <v>17.263407921161672</v>
      </c>
      <c r="AT172" s="456">
        <f>AT170</f>
        <v>8776.7999999999993</v>
      </c>
      <c r="AU172" s="456">
        <f>AU171</f>
        <v>9509.7999999999993</v>
      </c>
      <c r="AV172" s="456">
        <f>SUM(AV170:AV171)</f>
        <v>732.86974499999997</v>
      </c>
      <c r="AW172" s="454">
        <f t="shared" si="93"/>
        <v>98.226013349172774</v>
      </c>
      <c r="AX172" s="456">
        <f>AX170</f>
        <v>60.8</v>
      </c>
      <c r="AY172" s="456">
        <f>AY171</f>
        <v>61.3</v>
      </c>
      <c r="AZ172" s="456">
        <f>SUM(AZ170:AZ171)</f>
        <v>0.5</v>
      </c>
      <c r="BA172" s="454">
        <f t="shared" si="94"/>
        <v>6.7014646203721218E-2</v>
      </c>
      <c r="BB172" s="456">
        <f>BB170</f>
        <v>-182.72</v>
      </c>
      <c r="BC172" s="456">
        <f>BC171</f>
        <v>-184.46</v>
      </c>
      <c r="BD172" s="456">
        <f>SUM(BD170:BD171)</f>
        <v>-1.7400000000000091</v>
      </c>
      <c r="BE172" s="455">
        <f>AVERAGE(BE170:BE171)</f>
        <v>-4.5661114999999999</v>
      </c>
      <c r="BF172" s="454">
        <f t="shared" si="95"/>
        <v>-0.23321096878895106</v>
      </c>
      <c r="BG172" s="445" t="s">
        <v>1005</v>
      </c>
      <c r="BH172" s="445" t="s">
        <v>1132</v>
      </c>
      <c r="BI172" s="445">
        <f>SUM(BI170:BI171)</f>
        <v>-3.6000000000000014</v>
      </c>
      <c r="BJ172" s="496" t="s">
        <v>1133</v>
      </c>
      <c r="BK172" s="496" t="s">
        <v>1134</v>
      </c>
      <c r="BL172" s="496">
        <f>SUM(BL170:BL171)</f>
        <v>1.3000000000010914</v>
      </c>
      <c r="BM172" s="496" t="s">
        <v>1135</v>
      </c>
      <c r="BN172" s="496" t="s">
        <v>1136</v>
      </c>
      <c r="BO172" s="496">
        <f>SUM(BO170:BO171)</f>
        <v>0</v>
      </c>
      <c r="BP172" s="445"/>
      <c r="BQ172" s="445"/>
      <c r="BR172" s="445"/>
      <c r="BS172" s="445"/>
      <c r="BT172" s="466" t="s">
        <v>723</v>
      </c>
      <c r="BU172" s="447"/>
      <c r="BV172" s="447"/>
      <c r="BW172" s="447"/>
      <c r="BX172" s="447"/>
      <c r="BY172" s="447"/>
      <c r="BZ172" s="447"/>
      <c r="CA172" s="447"/>
      <c r="CB172" s="447"/>
      <c r="CC172" s="447"/>
      <c r="CD172" s="447"/>
      <c r="CE172" s="447"/>
      <c r="CF172" s="447"/>
      <c r="CG172" s="447"/>
    </row>
    <row r="173" spans="1:85" s="449" customFormat="1" ht="22.5">
      <c r="A173" s="500">
        <v>62006020</v>
      </c>
      <c r="B173" s="491" t="s">
        <v>838</v>
      </c>
      <c r="C173" s="491" t="s">
        <v>695</v>
      </c>
      <c r="D173" s="473" t="s">
        <v>763</v>
      </c>
      <c r="E173" s="448" t="s">
        <v>891</v>
      </c>
      <c r="F173" s="481" t="str">
        <f t="shared" si="96"/>
        <v>06/08/20</v>
      </c>
      <c r="G173" s="466" t="s">
        <v>892</v>
      </c>
      <c r="H173" s="466" t="s">
        <v>708</v>
      </c>
      <c r="I173" s="474"/>
      <c r="J173" s="467">
        <v>-10.104049</v>
      </c>
      <c r="K173" s="467">
        <v>12.042424</v>
      </c>
      <c r="L173" s="467">
        <v>29.234508000000002</v>
      </c>
      <c r="M173" s="467">
        <v>5.2365190000000004</v>
      </c>
      <c r="N173" s="450">
        <v>4250</v>
      </c>
      <c r="O173" s="450">
        <v>38.71</v>
      </c>
      <c r="P173" s="450">
        <v>3.0499999999999999E-2</v>
      </c>
      <c r="Q173" s="450">
        <v>1.4999999999999999E-2</v>
      </c>
      <c r="R173" s="451">
        <v>17.66500654</v>
      </c>
      <c r="S173" s="451">
        <f>R173+R172+R169+R168+R165+R162+R161+R158+R155+R154</f>
        <v>215.61817633000004</v>
      </c>
      <c r="T173" s="492">
        <v>14</v>
      </c>
      <c r="U173" s="492">
        <v>5.3</v>
      </c>
      <c r="V173" s="455">
        <v>55756</v>
      </c>
      <c r="W173" s="455">
        <v>61212</v>
      </c>
      <c r="X173" s="455">
        <f>W173-V173</f>
        <v>5456</v>
      </c>
      <c r="Y173" s="455">
        <f t="shared" si="87"/>
        <v>308.85921200457136</v>
      </c>
      <c r="Z173" s="476">
        <v>56253</v>
      </c>
      <c r="AA173" s="455">
        <v>61708</v>
      </c>
      <c r="AB173" s="455">
        <f>AA173-Z173</f>
        <v>5455</v>
      </c>
      <c r="AC173" s="475">
        <f t="shared" si="88"/>
        <v>308.80260291146203</v>
      </c>
      <c r="AD173" s="476">
        <v>1367</v>
      </c>
      <c r="AE173" s="455">
        <v>1369</v>
      </c>
      <c r="AF173" s="455">
        <f>AE173-AD173</f>
        <v>2</v>
      </c>
      <c r="AG173" s="475">
        <f t="shared" si="89"/>
        <v>0.11321818621868453</v>
      </c>
      <c r="AH173" s="476">
        <v>52476</v>
      </c>
      <c r="AI173" s="455">
        <v>57263</v>
      </c>
      <c r="AJ173" s="455">
        <f>AI173-AH173</f>
        <v>4787</v>
      </c>
      <c r="AK173" s="475">
        <f t="shared" si="90"/>
        <v>270.98772871442139</v>
      </c>
      <c r="AL173" s="476">
        <v>-7812.7</v>
      </c>
      <c r="AM173" s="455">
        <v>-7701.9</v>
      </c>
      <c r="AN173" s="455">
        <f>AM173-AL173</f>
        <v>110.80000000000018</v>
      </c>
      <c r="AO173" s="475">
        <f t="shared" si="91"/>
        <v>6.2722875165151333</v>
      </c>
      <c r="AP173" s="476">
        <v>3227.13</v>
      </c>
      <c r="AQ173" s="455">
        <v>3320.8</v>
      </c>
      <c r="AR173" s="455">
        <f>AQ173-AP173</f>
        <v>93.670000000000073</v>
      </c>
      <c r="AS173" s="475">
        <f t="shared" si="92"/>
        <v>5.3025737515520941</v>
      </c>
      <c r="AT173" s="476">
        <v>9510.4</v>
      </c>
      <c r="AU173" s="455">
        <v>10060.299999999999</v>
      </c>
      <c r="AV173" s="455">
        <f>AU173-AT173</f>
        <v>549.89999999999964</v>
      </c>
      <c r="AW173" s="475">
        <f t="shared" si="93"/>
        <v>31.129340300827288</v>
      </c>
      <c r="AX173" s="476">
        <v>61.4</v>
      </c>
      <c r="AY173" s="455">
        <v>61.7</v>
      </c>
      <c r="AZ173" s="455">
        <f>AY173-AX173</f>
        <v>0.30000000000000426</v>
      </c>
      <c r="BA173" s="475">
        <f t="shared" si="94"/>
        <v>1.6982727932802921E-2</v>
      </c>
      <c r="BB173" s="476">
        <v>-184.8</v>
      </c>
      <c r="BC173" s="455">
        <v>-186.08</v>
      </c>
      <c r="BD173" s="455">
        <f>BC173-BB173</f>
        <v>-1.2800000000000011</v>
      </c>
      <c r="BE173" s="455">
        <v>-4.5276199999999998</v>
      </c>
      <c r="BF173" s="475">
        <f t="shared" si="95"/>
        <v>-7.2459639179958166E-2</v>
      </c>
      <c r="BG173" s="443">
        <v>14</v>
      </c>
      <c r="BH173" s="443">
        <v>5.3</v>
      </c>
      <c r="BI173" s="443">
        <f>BH173-BG173</f>
        <v>-8.6999999999999993</v>
      </c>
      <c r="BJ173" s="495">
        <v>13212</v>
      </c>
      <c r="BK173" s="495">
        <v>13213</v>
      </c>
      <c r="BL173" s="495">
        <f>BK173-BJ173</f>
        <v>1</v>
      </c>
      <c r="BM173" s="495">
        <v>-12936.6</v>
      </c>
      <c r="BN173" s="495">
        <v>-12936.6</v>
      </c>
      <c r="BO173" s="495">
        <f>BN173-BM173</f>
        <v>0</v>
      </c>
      <c r="BP173" s="443"/>
      <c r="BQ173" s="443"/>
      <c r="BR173" s="443"/>
      <c r="BS173" s="443"/>
      <c r="BT173" s="466" t="s">
        <v>723</v>
      </c>
      <c r="BU173" s="447">
        <v>121.65134127</v>
      </c>
      <c r="BV173" s="447">
        <v>6.5897774800000004</v>
      </c>
      <c r="BW173" s="447">
        <v>619.44862361000003</v>
      </c>
      <c r="BX173" s="447">
        <v>581.15200000000004</v>
      </c>
      <c r="BY173" s="447">
        <v>13.54391203</v>
      </c>
      <c r="BZ173" s="447">
        <v>14.539947440000001</v>
      </c>
      <c r="CA173" s="447">
        <v>-4.5353020600000002</v>
      </c>
      <c r="CB173" s="447">
        <v>17.665011199999999</v>
      </c>
      <c r="CC173" s="447">
        <v>18.504234109999999</v>
      </c>
      <c r="CD173" s="447">
        <v>-2.4852853700000002</v>
      </c>
      <c r="CE173" s="447">
        <v>-6.8503370099999996</v>
      </c>
      <c r="CF173" s="447">
        <v>5.6813910000000002E-2</v>
      </c>
      <c r="CG173" s="447"/>
    </row>
    <row r="174" spans="1:85" s="449" customFormat="1" ht="22.5">
      <c r="A174" s="500">
        <v>62006021</v>
      </c>
      <c r="B174" s="491" t="s">
        <v>914</v>
      </c>
      <c r="C174" s="491" t="s">
        <v>695</v>
      </c>
      <c r="D174" s="473" t="s">
        <v>766</v>
      </c>
      <c r="E174" s="448" t="s">
        <v>923</v>
      </c>
      <c r="F174" s="536" t="str">
        <f t="shared" si="96"/>
        <v>06/08/20</v>
      </c>
      <c r="G174" s="466" t="s">
        <v>924</v>
      </c>
      <c r="H174" s="466" t="s">
        <v>708</v>
      </c>
      <c r="I174" s="474"/>
      <c r="J174" s="467">
        <v>21.630282000000001</v>
      </c>
      <c r="K174" s="467">
        <v>-20.163976999999999</v>
      </c>
      <c r="L174" s="467">
        <v>-35.547815999999997</v>
      </c>
      <c r="M174" s="467">
        <v>21.200569999999999</v>
      </c>
      <c r="N174" s="450">
        <v>4250</v>
      </c>
      <c r="O174" s="450">
        <v>38.71</v>
      </c>
      <c r="P174" s="450">
        <v>3.0499999999999999E-2</v>
      </c>
      <c r="Q174" s="450">
        <v>1.4999999999999999E-2</v>
      </c>
      <c r="R174" s="451">
        <v>1.173688E-2</v>
      </c>
      <c r="S174" s="451">
        <f>R174+R173</f>
        <v>17.676743420000001</v>
      </c>
      <c r="T174" s="492"/>
      <c r="U174" s="492"/>
      <c r="V174" s="455">
        <v>13</v>
      </c>
      <c r="W174" s="455">
        <v>-76641</v>
      </c>
      <c r="X174" s="455">
        <f>W174-V174</f>
        <v>-76654</v>
      </c>
      <c r="Y174" s="455">
        <f>X174/$R174</f>
        <v>-6531037.2092072172</v>
      </c>
      <c r="Z174" s="476">
        <v>14</v>
      </c>
      <c r="AA174" s="455">
        <v>-76491</v>
      </c>
      <c r="AB174" s="455">
        <f>AA174-Z174</f>
        <v>-76505</v>
      </c>
      <c r="AC174" s="475">
        <f>AB174/$R174</f>
        <v>-6518342.1829310684</v>
      </c>
      <c r="AD174" s="476">
        <v>0</v>
      </c>
      <c r="AE174" s="455">
        <v>1645</v>
      </c>
      <c r="AF174" s="455">
        <f>AE174-AD174</f>
        <v>1645</v>
      </c>
      <c r="AG174" s="475">
        <f>AF174/$R174</f>
        <v>140156.49814942302</v>
      </c>
      <c r="AH174" s="476">
        <v>0</v>
      </c>
      <c r="AI174" s="455">
        <v>1360</v>
      </c>
      <c r="AJ174" s="455">
        <f>AI174-AH174</f>
        <v>1360</v>
      </c>
      <c r="AK174" s="475">
        <f>AJ174/$R174</f>
        <v>115874.06533934061</v>
      </c>
      <c r="AL174" s="476">
        <v>12.61894</v>
      </c>
      <c r="AM174" s="455">
        <v>-79743.3</v>
      </c>
      <c r="AN174" s="455">
        <f>AM174-AL174</f>
        <v>-79755.918940000003</v>
      </c>
      <c r="AO174" s="475">
        <f>AN174/$R174</f>
        <v>-6795325.4135681717</v>
      </c>
      <c r="AP174" s="476">
        <v>9.2275759999999991</v>
      </c>
      <c r="AQ174" s="455">
        <v>730.93</v>
      </c>
      <c r="AR174" s="455">
        <f>AQ174-AP174</f>
        <v>721.70242399999995</v>
      </c>
      <c r="AS174" s="475">
        <f>AR174/$R174</f>
        <v>61490.14252510036</v>
      </c>
      <c r="AT174" s="476">
        <v>-0.1</v>
      </c>
      <c r="AU174" s="455">
        <v>-21.6</v>
      </c>
      <c r="AV174" s="455">
        <f>AU174-AT174</f>
        <v>-21.5</v>
      </c>
      <c r="AW174" s="475">
        <f>AV174/$R174</f>
        <v>-1831.8326505851639</v>
      </c>
      <c r="AX174" s="476">
        <v>0</v>
      </c>
      <c r="AY174" s="455">
        <v>7.6</v>
      </c>
      <c r="AZ174" s="455">
        <f>AY174-AX174</f>
        <v>7.6</v>
      </c>
      <c r="BA174" s="475">
        <f>AZ174/$R174</f>
        <v>647.53154160219754</v>
      </c>
      <c r="BB174" s="476">
        <v>-0.29189399999999999</v>
      </c>
      <c r="BC174" s="455">
        <v>-35.729999999999997</v>
      </c>
      <c r="BD174" s="455">
        <f>BC174-BB174</f>
        <v>-35.438105999999998</v>
      </c>
      <c r="BE174" s="455">
        <v>4.3078830000000004</v>
      </c>
      <c r="BF174" s="475">
        <f>BD174/$R174</f>
        <v>-3019.3804486371164</v>
      </c>
      <c r="BG174" s="443" t="s">
        <v>1143</v>
      </c>
      <c r="BH174" s="443" t="s">
        <v>1144</v>
      </c>
      <c r="BI174" s="443" t="e">
        <f>BH174-BG174</f>
        <v>#VALUE!</v>
      </c>
      <c r="BJ174" s="495">
        <v>0.2</v>
      </c>
      <c r="BK174" s="495">
        <v>85983.1</v>
      </c>
      <c r="BL174" s="495">
        <f>BK174-BJ174</f>
        <v>85982.900000000009</v>
      </c>
      <c r="BM174" s="495">
        <v>0</v>
      </c>
      <c r="BN174" s="495">
        <v>-85788.1</v>
      </c>
      <c r="BO174" s="495">
        <f>BN174-BM174</f>
        <v>-85788.1</v>
      </c>
      <c r="BP174" s="443"/>
      <c r="BQ174" s="443"/>
      <c r="BR174" s="443"/>
      <c r="BS174" s="443"/>
      <c r="BT174" s="466"/>
      <c r="BU174" s="447"/>
      <c r="BV174" s="447"/>
      <c r="BW174" s="447"/>
      <c r="BX174" s="447"/>
      <c r="BY174" s="447"/>
      <c r="BZ174" s="447"/>
      <c r="CA174" s="447"/>
      <c r="CB174" s="447"/>
      <c r="CC174" s="447"/>
      <c r="CD174" s="447"/>
      <c r="CE174" s="447"/>
      <c r="CF174" s="447"/>
      <c r="CG174" s="447"/>
    </row>
    <row r="175" spans="1:85" s="520" customFormat="1" ht="15.75">
      <c r="A175" s="535" t="s">
        <v>1247</v>
      </c>
      <c r="B175" s="537"/>
      <c r="C175" s="537"/>
      <c r="D175" s="538"/>
      <c r="E175" s="537"/>
      <c r="F175" s="537"/>
      <c r="G175" s="538"/>
      <c r="H175" s="538"/>
      <c r="I175" s="538"/>
      <c r="J175" s="538"/>
      <c r="K175" s="538"/>
      <c r="L175" s="538"/>
      <c r="M175" s="538"/>
      <c r="N175" s="538"/>
      <c r="O175" s="538"/>
      <c r="P175" s="539"/>
      <c r="Q175" s="540"/>
      <c r="R175" s="537"/>
      <c r="S175" s="537"/>
      <c r="T175" s="537"/>
      <c r="U175" s="537"/>
      <c r="V175" s="537"/>
      <c r="W175" s="537"/>
      <c r="X175" s="537"/>
      <c r="Y175" s="537"/>
      <c r="Z175" s="537"/>
      <c r="AA175" s="537"/>
      <c r="AB175" s="537"/>
      <c r="AC175" s="537"/>
      <c r="AD175" s="537"/>
      <c r="AE175" s="537"/>
      <c r="AF175" s="537"/>
      <c r="AG175" s="537"/>
      <c r="AH175" s="537"/>
      <c r="AI175" s="537"/>
      <c r="AJ175" s="537"/>
      <c r="AK175" s="537"/>
      <c r="AL175" s="537"/>
      <c r="AM175" s="537"/>
      <c r="AN175" s="537"/>
      <c r="AO175" s="537"/>
      <c r="AP175" s="537"/>
      <c r="AQ175" s="537"/>
      <c r="AR175" s="537"/>
      <c r="AS175" s="537"/>
      <c r="AT175" s="537"/>
      <c r="AU175" s="537"/>
      <c r="AV175" s="537"/>
      <c r="AW175" s="537"/>
      <c r="AX175" s="537"/>
      <c r="AY175" s="537"/>
      <c r="AZ175" s="537"/>
      <c r="BA175" s="537"/>
      <c r="BB175" s="537"/>
      <c r="BC175" s="537"/>
      <c r="BD175" s="537"/>
      <c r="BE175" s="537"/>
      <c r="BF175" s="537"/>
      <c r="BG175" s="537"/>
      <c r="BH175" s="537"/>
      <c r="BI175" s="537"/>
      <c r="BJ175" s="537"/>
      <c r="BK175" s="537"/>
      <c r="BL175" s="537"/>
      <c r="BM175" s="537"/>
      <c r="BN175" s="537"/>
      <c r="BO175" s="537"/>
      <c r="BP175" s="537"/>
      <c r="BQ175" s="537"/>
      <c r="BR175" s="537"/>
      <c r="BS175" s="537"/>
      <c r="BT175" s="537"/>
      <c r="BU175" s="537"/>
      <c r="BV175" s="537"/>
      <c r="BW175" s="537"/>
      <c r="BX175" s="537"/>
      <c r="BY175" s="537"/>
      <c r="BZ175" s="537"/>
      <c r="CA175" s="537"/>
      <c r="CB175" s="537"/>
      <c r="CC175" s="537"/>
      <c r="CD175" s="537"/>
      <c r="CE175" s="537"/>
      <c r="CF175" s="542"/>
      <c r="CG175" s="541"/>
    </row>
    <row r="176" spans="1:85" s="449" customFormat="1" ht="22.5">
      <c r="A176" s="546">
        <v>62006022</v>
      </c>
      <c r="B176" s="543" t="s">
        <v>818</v>
      </c>
      <c r="C176" s="543" t="s">
        <v>695</v>
      </c>
      <c r="D176" s="521" t="s">
        <v>945</v>
      </c>
      <c r="E176" s="513" t="s">
        <v>946</v>
      </c>
      <c r="F176" s="536" t="str">
        <f t="shared" si="96"/>
        <v>06/10/20</v>
      </c>
      <c r="G176" s="524" t="s">
        <v>947</v>
      </c>
      <c r="H176" s="524" t="s">
        <v>948</v>
      </c>
      <c r="I176" s="532"/>
      <c r="J176" s="531">
        <v>25.261123000000001</v>
      </c>
      <c r="K176" s="531">
        <v>35.346564000000001</v>
      </c>
      <c r="L176" s="531">
        <v>28.856089999999998</v>
      </c>
      <c r="M176" s="531">
        <v>27.979595</v>
      </c>
      <c r="N176" s="528">
        <v>4250</v>
      </c>
      <c r="O176" s="528">
        <v>38.71</v>
      </c>
      <c r="P176" s="528">
        <v>3.0499999999999999E-2</v>
      </c>
      <c r="Q176" s="528">
        <v>1.4999999999999999E-2</v>
      </c>
      <c r="R176" s="529">
        <v>10.272778479999999</v>
      </c>
      <c r="S176" s="529">
        <f t="shared" ref="S176:S196" si="97">R176+R175</f>
        <v>10.272778479999999</v>
      </c>
      <c r="T176" s="544">
        <v>99</v>
      </c>
      <c r="U176" s="544">
        <v>96.7</v>
      </c>
      <c r="V176" s="530">
        <v>79</v>
      </c>
      <c r="W176" s="530">
        <v>2126</v>
      </c>
      <c r="X176" s="530">
        <f t="shared" ref="X176:X196" si="98">W176-V176</f>
        <v>2047</v>
      </c>
      <c r="Y176" s="530">
        <f t="shared" ref="Y176:Y196" si="99">X176/$R176</f>
        <v>199.26449343624901</v>
      </c>
      <c r="Z176" s="534">
        <v>88</v>
      </c>
      <c r="AA176" s="530">
        <v>2145</v>
      </c>
      <c r="AB176" s="530">
        <f t="shared" ref="AB176:AB196" si="100">AA176-Z176</f>
        <v>2057</v>
      </c>
      <c r="AC176" s="533">
        <f t="shared" ref="AC176:AC196" si="101">AB176/$R176</f>
        <v>200.23793991126732</v>
      </c>
      <c r="AD176" s="534">
        <v>0</v>
      </c>
      <c r="AE176" s="530">
        <v>11</v>
      </c>
      <c r="AF176" s="530">
        <f t="shared" ref="AF176:AF196" si="102">AE176-AD176</f>
        <v>11</v>
      </c>
      <c r="AG176" s="533">
        <f t="shared" ref="AG176:AG196" si="103">AF176/$R176</f>
        <v>1.0707911225201461</v>
      </c>
      <c r="AH176" s="534">
        <v>1</v>
      </c>
      <c r="AI176" s="530">
        <v>1936</v>
      </c>
      <c r="AJ176" s="530">
        <f t="shared" ref="AJ176:AJ196" si="104">AI176-AH176</f>
        <v>1935</v>
      </c>
      <c r="AK176" s="533">
        <f t="shared" ref="AK176:AK196" si="105">AJ176/$R176</f>
        <v>188.3618929160439</v>
      </c>
      <c r="AL176" s="534">
        <v>76</v>
      </c>
      <c r="AM176" s="530">
        <v>173.6</v>
      </c>
      <c r="AN176" s="530">
        <f t="shared" ref="AN176:AN196" si="106">AM176-AL176</f>
        <v>97.6</v>
      </c>
      <c r="AO176" s="533">
        <f t="shared" ref="AO176:AO196" si="107">AN176/$R176</f>
        <v>9.5008375961787515</v>
      </c>
      <c r="AP176" s="534">
        <v>57.062798000000001</v>
      </c>
      <c r="AQ176" s="530">
        <v>137.08233999999999</v>
      </c>
      <c r="AR176" s="530">
        <f t="shared" ref="AR176:AR196" si="108">AQ176-AP176</f>
        <v>80.019541999999987</v>
      </c>
      <c r="AS176" s="533">
        <f t="shared" ref="AS176:AS196" si="109">AR176/$R176</f>
        <v>7.7894741092479967</v>
      </c>
      <c r="AT176" s="534">
        <v>0.1</v>
      </c>
      <c r="AU176" s="530">
        <v>0.2</v>
      </c>
      <c r="AV176" s="530">
        <f t="shared" ref="AV176:AV196" si="110">AU176-AT176</f>
        <v>0.1</v>
      </c>
      <c r="AW176" s="533">
        <f t="shared" ref="AW176:AW196" si="111">AV176/$R176</f>
        <v>9.7344647501831465E-3</v>
      </c>
      <c r="AX176" s="534">
        <v>1.1000000000000001</v>
      </c>
      <c r="AY176" s="530">
        <v>2</v>
      </c>
      <c r="AZ176" s="530">
        <f t="shared" ref="AZ176:AZ196" si="112">AY176-AX176</f>
        <v>0.89999999999999991</v>
      </c>
      <c r="BA176" s="533">
        <f t="shared" ref="BA176:BA196" si="113">AZ176/$R176</f>
        <v>8.7610182751648308E-2</v>
      </c>
      <c r="BB176" s="534">
        <v>-15.98</v>
      </c>
      <c r="BC176" s="530">
        <v>-24.38</v>
      </c>
      <c r="BD176" s="530">
        <f t="shared" ref="BD176:BD196" si="114">BC176-BB176</f>
        <v>-8.3999999999999986</v>
      </c>
      <c r="BE176" s="530">
        <v>-39.105575000000002</v>
      </c>
      <c r="BF176" s="533">
        <f t="shared" ref="BF176:BF196" si="115">BD176/$R176</f>
        <v>-0.81769503901538421</v>
      </c>
      <c r="BG176" s="527">
        <v>99</v>
      </c>
      <c r="BH176" s="527">
        <v>96.7</v>
      </c>
      <c r="BI176" s="527">
        <f t="shared" ref="BI176:BI196" si="116">BH176-BG176</f>
        <v>-2.2999999999999972</v>
      </c>
      <c r="BJ176" s="545">
        <v>1.6</v>
      </c>
      <c r="BK176" s="545">
        <v>2.4</v>
      </c>
      <c r="BL176" s="545">
        <f t="shared" ref="BL176:BL196" si="117">BK176-BJ176</f>
        <v>0.79999999999999982</v>
      </c>
      <c r="BM176" s="545">
        <v>0</v>
      </c>
      <c r="BN176" s="545">
        <v>0</v>
      </c>
      <c r="BO176" s="545">
        <f t="shared" ref="BO176:BO196" si="118">BN176-BM176</f>
        <v>0</v>
      </c>
      <c r="BP176" s="527"/>
      <c r="BQ176" s="527"/>
      <c r="BR176" s="527"/>
      <c r="BS176" s="527"/>
      <c r="BT176" s="524" t="s">
        <v>723</v>
      </c>
      <c r="BU176" s="512">
        <v>1884.6073761</v>
      </c>
      <c r="BV176" s="512">
        <v>1.26128412</v>
      </c>
      <c r="BW176" s="512">
        <v>1323.2780615700001</v>
      </c>
      <c r="BX176" s="512">
        <v>1306.79565551</v>
      </c>
      <c r="BY176" s="512">
        <v>6.8435167100000003</v>
      </c>
      <c r="BZ176" s="512">
        <v>6.7835764200000002</v>
      </c>
      <c r="CA176" s="512">
        <v>0.32925641</v>
      </c>
      <c r="CB176" s="512">
        <v>10.27277423</v>
      </c>
      <c r="CC176" s="512">
        <v>10.239061469999999</v>
      </c>
      <c r="CD176" s="512">
        <v>0.54949711999999995</v>
      </c>
      <c r="CE176" s="512">
        <v>0.88360894000000001</v>
      </c>
      <c r="CF176" s="512">
        <v>0.33432956000000003</v>
      </c>
      <c r="CG176" s="512"/>
    </row>
    <row r="177" spans="1:85" s="449" customFormat="1" ht="22.5">
      <c r="A177" s="546">
        <v>62006022</v>
      </c>
      <c r="B177" s="543" t="s">
        <v>818</v>
      </c>
      <c r="C177" s="543" t="s">
        <v>696</v>
      </c>
      <c r="D177" s="521" t="s">
        <v>945</v>
      </c>
      <c r="E177" s="513" t="s">
        <v>946</v>
      </c>
      <c r="F177" s="536" t="str">
        <f t="shared" si="96"/>
        <v>06/10/20</v>
      </c>
      <c r="G177" s="524" t="s">
        <v>947</v>
      </c>
      <c r="H177" s="524" t="s">
        <v>948</v>
      </c>
      <c r="I177" s="532"/>
      <c r="J177" s="531">
        <v>24.421762000000001</v>
      </c>
      <c r="K177" s="531">
        <v>36.894592000000003</v>
      </c>
      <c r="L177" s="531">
        <v>28.865894999999998</v>
      </c>
      <c r="M177" s="531">
        <v>31.106171</v>
      </c>
      <c r="N177" s="528">
        <v>4250</v>
      </c>
      <c r="O177" s="528">
        <v>38.71</v>
      </c>
      <c r="P177" s="528">
        <v>3.0499999999999999E-2</v>
      </c>
      <c r="Q177" s="528">
        <v>1.4999999999999999E-2</v>
      </c>
      <c r="R177" s="529">
        <v>10.275433169999999</v>
      </c>
      <c r="S177" s="529">
        <f t="shared" si="97"/>
        <v>20.548211649999999</v>
      </c>
      <c r="T177" s="544">
        <v>96.7</v>
      </c>
      <c r="U177" s="544">
        <v>94.5</v>
      </c>
      <c r="V177" s="530">
        <v>2126</v>
      </c>
      <c r="W177" s="530">
        <v>4042</v>
      </c>
      <c r="X177" s="530">
        <f t="shared" si="98"/>
        <v>1916</v>
      </c>
      <c r="Y177" s="530">
        <f t="shared" si="99"/>
        <v>186.46415857133155</v>
      </c>
      <c r="Z177" s="534">
        <v>2145</v>
      </c>
      <c r="AA177" s="530">
        <v>4069</v>
      </c>
      <c r="AB177" s="530">
        <f t="shared" si="100"/>
        <v>1924</v>
      </c>
      <c r="AC177" s="533">
        <f t="shared" si="101"/>
        <v>187.2427145570156</v>
      </c>
      <c r="AD177" s="534">
        <v>11</v>
      </c>
      <c r="AE177" s="530">
        <v>15</v>
      </c>
      <c r="AF177" s="530">
        <f t="shared" si="102"/>
        <v>4</v>
      </c>
      <c r="AG177" s="533">
        <f t="shared" si="103"/>
        <v>0.3892779928420283</v>
      </c>
      <c r="AH177" s="534">
        <v>1936</v>
      </c>
      <c r="AI177" s="530">
        <v>3751</v>
      </c>
      <c r="AJ177" s="530">
        <f t="shared" si="104"/>
        <v>1815</v>
      </c>
      <c r="AK177" s="533">
        <f t="shared" si="105"/>
        <v>176.63488925207034</v>
      </c>
      <c r="AL177" s="534">
        <v>173.6</v>
      </c>
      <c r="AM177" s="530">
        <v>268.31985600000002</v>
      </c>
      <c r="AN177" s="530">
        <f t="shared" si="106"/>
        <v>94.719856000000021</v>
      </c>
      <c r="AO177" s="533">
        <f t="shared" si="107"/>
        <v>9.2180888564914909</v>
      </c>
      <c r="AP177" s="534">
        <v>137.10237100000001</v>
      </c>
      <c r="AQ177" s="530">
        <v>214.461986</v>
      </c>
      <c r="AR177" s="530">
        <f t="shared" si="108"/>
        <v>77.359614999999991</v>
      </c>
      <c r="AS177" s="533">
        <f t="shared" si="109"/>
        <v>7.5285989135580156</v>
      </c>
      <c r="AT177" s="534">
        <v>0.2</v>
      </c>
      <c r="AU177" s="530">
        <v>0.2</v>
      </c>
      <c r="AV177" s="530">
        <f t="shared" si="110"/>
        <v>0</v>
      </c>
      <c r="AW177" s="533">
        <f t="shared" si="111"/>
        <v>0</v>
      </c>
      <c r="AX177" s="534">
        <v>2</v>
      </c>
      <c r="AY177" s="530">
        <v>2.9</v>
      </c>
      <c r="AZ177" s="530">
        <f t="shared" si="112"/>
        <v>0.89999999999999991</v>
      </c>
      <c r="BA177" s="533">
        <f t="shared" si="113"/>
        <v>8.7587548389456357E-2</v>
      </c>
      <c r="BB177" s="534">
        <v>-24.38</v>
      </c>
      <c r="BC177" s="530">
        <v>-29.43</v>
      </c>
      <c r="BD177" s="530">
        <f t="shared" si="114"/>
        <v>-5.0500000000000007</v>
      </c>
      <c r="BE177" s="530">
        <v>-23.507701000000001</v>
      </c>
      <c r="BF177" s="533">
        <f t="shared" si="115"/>
        <v>-0.49146346596306079</v>
      </c>
      <c r="BG177" s="527">
        <v>96.7</v>
      </c>
      <c r="BH177" s="527">
        <v>94.5</v>
      </c>
      <c r="BI177" s="527">
        <f t="shared" si="116"/>
        <v>-2.2000000000000028</v>
      </c>
      <c r="BJ177" s="545">
        <v>2.4</v>
      </c>
      <c r="BK177" s="545">
        <v>3.1</v>
      </c>
      <c r="BL177" s="545">
        <f t="shared" si="117"/>
        <v>0.70000000000000018</v>
      </c>
      <c r="BM177" s="545">
        <v>0</v>
      </c>
      <c r="BN177" s="545">
        <v>0</v>
      </c>
      <c r="BO177" s="545">
        <f t="shared" si="118"/>
        <v>0</v>
      </c>
      <c r="BP177" s="527"/>
      <c r="BQ177" s="527"/>
      <c r="BR177" s="527"/>
      <c r="BS177" s="527"/>
      <c r="BT177" s="524" t="s">
        <v>723</v>
      </c>
      <c r="BU177" s="512">
        <v>1881.9193649399999</v>
      </c>
      <c r="BV177" s="512">
        <v>-0.44341058</v>
      </c>
      <c r="BW177" s="512">
        <v>1300.99958341</v>
      </c>
      <c r="BX177" s="512">
        <v>1306.79404643</v>
      </c>
      <c r="BY177" s="512">
        <v>6.8101315900000001</v>
      </c>
      <c r="BZ177" s="512">
        <v>6.7835593899999997</v>
      </c>
      <c r="CA177" s="512">
        <v>0.35518752999999997</v>
      </c>
      <c r="CB177" s="512">
        <v>10.275428809999999</v>
      </c>
      <c r="CC177" s="512">
        <v>10.239060950000001</v>
      </c>
      <c r="CD177" s="512">
        <v>3.6384760000000002E-2</v>
      </c>
      <c r="CE177" s="512">
        <v>0.39171481000000002</v>
      </c>
      <c r="CF177" s="512">
        <v>0.33432986999999997</v>
      </c>
      <c r="CG177" s="512"/>
    </row>
    <row r="178" spans="1:85" s="449" customFormat="1" ht="22.5">
      <c r="A178" s="546">
        <v>62006022</v>
      </c>
      <c r="B178" s="543" t="s">
        <v>818</v>
      </c>
      <c r="C178" s="543" t="s">
        <v>697</v>
      </c>
      <c r="D178" s="521" t="s">
        <v>945</v>
      </c>
      <c r="E178" s="513" t="s">
        <v>946</v>
      </c>
      <c r="F178" s="536" t="str">
        <f t="shared" si="96"/>
        <v>06/10/20</v>
      </c>
      <c r="G178" s="524" t="s">
        <v>947</v>
      </c>
      <c r="H178" s="524" t="s">
        <v>948</v>
      </c>
      <c r="I178" s="532"/>
      <c r="J178" s="531">
        <v>24.034818999999999</v>
      </c>
      <c r="K178" s="531">
        <v>37.845101</v>
      </c>
      <c r="L178" s="531">
        <v>28.872413999999999</v>
      </c>
      <c r="M178" s="531">
        <v>31.516085</v>
      </c>
      <c r="N178" s="528">
        <v>4250</v>
      </c>
      <c r="O178" s="528">
        <v>38.71</v>
      </c>
      <c r="P178" s="528">
        <v>3.0499999999999999E-2</v>
      </c>
      <c r="Q178" s="528">
        <v>1.4999999999999999E-2</v>
      </c>
      <c r="R178" s="529">
        <v>10.267661289999999</v>
      </c>
      <c r="S178" s="529">
        <f t="shared" si="97"/>
        <v>20.543094459999999</v>
      </c>
      <c r="T178" s="544">
        <v>94.5</v>
      </c>
      <c r="U178" s="544">
        <v>92.3</v>
      </c>
      <c r="V178" s="530">
        <v>4042</v>
      </c>
      <c r="W178" s="530">
        <v>5932</v>
      </c>
      <c r="X178" s="530">
        <f t="shared" si="98"/>
        <v>1890</v>
      </c>
      <c r="Y178" s="530">
        <f t="shared" si="99"/>
        <v>184.07307629447524</v>
      </c>
      <c r="Z178" s="534">
        <v>4069</v>
      </c>
      <c r="AA178" s="530">
        <v>5969</v>
      </c>
      <c r="AB178" s="530">
        <f t="shared" si="100"/>
        <v>1900</v>
      </c>
      <c r="AC178" s="533">
        <f t="shared" si="101"/>
        <v>185.04700791508094</v>
      </c>
      <c r="AD178" s="534">
        <v>15</v>
      </c>
      <c r="AE178" s="530">
        <v>17</v>
      </c>
      <c r="AF178" s="530">
        <f t="shared" si="102"/>
        <v>2</v>
      </c>
      <c r="AG178" s="533">
        <f t="shared" si="103"/>
        <v>0.19478632412113783</v>
      </c>
      <c r="AH178" s="534">
        <v>3751</v>
      </c>
      <c r="AI178" s="530">
        <v>5549</v>
      </c>
      <c r="AJ178" s="530">
        <f t="shared" si="104"/>
        <v>1798</v>
      </c>
      <c r="AK178" s="533">
        <f t="shared" si="105"/>
        <v>175.11290538490292</v>
      </c>
      <c r="AL178" s="534">
        <v>268.39999999999998</v>
      </c>
      <c r="AM178" s="530">
        <v>356.1</v>
      </c>
      <c r="AN178" s="530">
        <f t="shared" si="106"/>
        <v>87.700000000000045</v>
      </c>
      <c r="AO178" s="533">
        <f t="shared" si="107"/>
        <v>8.5413803127118975</v>
      </c>
      <c r="AP178" s="534">
        <v>214.482024</v>
      </c>
      <c r="AQ178" s="530">
        <v>285.48</v>
      </c>
      <c r="AR178" s="530">
        <f t="shared" si="108"/>
        <v>70.997976000000023</v>
      </c>
      <c r="AS178" s="533">
        <f t="shared" si="109"/>
        <v>6.9147173825403847</v>
      </c>
      <c r="AT178" s="534">
        <v>0.2</v>
      </c>
      <c r="AU178" s="530">
        <v>0.2</v>
      </c>
      <c r="AV178" s="530">
        <f t="shared" si="110"/>
        <v>0</v>
      </c>
      <c r="AW178" s="533">
        <f t="shared" si="111"/>
        <v>0</v>
      </c>
      <c r="AX178" s="534">
        <v>2.9</v>
      </c>
      <c r="AY178" s="530">
        <v>3.8</v>
      </c>
      <c r="AZ178" s="530">
        <f t="shared" si="112"/>
        <v>0.89999999999999991</v>
      </c>
      <c r="BA178" s="533">
        <f t="shared" si="113"/>
        <v>8.7653845854512011E-2</v>
      </c>
      <c r="BB178" s="534">
        <v>-29.43</v>
      </c>
      <c r="BC178" s="530">
        <v>-32.39</v>
      </c>
      <c r="BD178" s="530">
        <f t="shared" si="114"/>
        <v>-2.9600000000000009</v>
      </c>
      <c r="BE178" s="530">
        <v>-13.787182</v>
      </c>
      <c r="BF178" s="533">
        <f t="shared" si="115"/>
        <v>-0.28828375969928405</v>
      </c>
      <c r="BG178" s="527">
        <v>94.5</v>
      </c>
      <c r="BH178" s="527">
        <v>92.3</v>
      </c>
      <c r="BI178" s="527">
        <f t="shared" si="116"/>
        <v>-2.2000000000000028</v>
      </c>
      <c r="BJ178" s="545">
        <v>3.1</v>
      </c>
      <c r="BK178" s="545">
        <v>3.9</v>
      </c>
      <c r="BL178" s="545">
        <f t="shared" si="117"/>
        <v>0.79999999999999982</v>
      </c>
      <c r="BM178" s="545">
        <v>0</v>
      </c>
      <c r="BN178" s="545">
        <v>0</v>
      </c>
      <c r="BO178" s="545">
        <f t="shared" si="118"/>
        <v>0</v>
      </c>
      <c r="BP178" s="527"/>
      <c r="BQ178" s="527"/>
      <c r="BR178" s="527"/>
      <c r="BS178" s="527"/>
      <c r="BT178" s="524" t="s">
        <v>723</v>
      </c>
      <c r="BU178" s="512">
        <v>1879.6207784999999</v>
      </c>
      <c r="BV178" s="512">
        <v>-0.72449991000000002</v>
      </c>
      <c r="BW178" s="512">
        <v>1297.3201364500001</v>
      </c>
      <c r="BX178" s="512">
        <v>1306.78781299</v>
      </c>
      <c r="BY178" s="512">
        <v>6.7969298199999999</v>
      </c>
      <c r="BZ178" s="512">
        <v>6.7835477199999996</v>
      </c>
      <c r="CA178" s="512">
        <v>0.27949001000000001</v>
      </c>
      <c r="CB178" s="512">
        <v>10.267678160000001</v>
      </c>
      <c r="CC178" s="512">
        <v>10.23906101</v>
      </c>
      <c r="CD178" s="512">
        <v>-8.2055260000000005E-2</v>
      </c>
      <c r="CE178" s="512">
        <v>0.19727286999999999</v>
      </c>
      <c r="CF178" s="512">
        <v>0.33432888999999999</v>
      </c>
      <c r="CG178" s="512"/>
    </row>
    <row r="179" spans="1:85" s="519" customFormat="1">
      <c r="A179" s="546">
        <v>62006023</v>
      </c>
      <c r="B179" s="543" t="s">
        <v>932</v>
      </c>
      <c r="C179" s="543" t="s">
        <v>695</v>
      </c>
      <c r="D179" s="521" t="s">
        <v>736</v>
      </c>
      <c r="E179" s="513" t="s">
        <v>949</v>
      </c>
      <c r="F179" s="536" t="str">
        <f t="shared" si="96"/>
        <v>06/11/20</v>
      </c>
      <c r="G179" s="524" t="s">
        <v>950</v>
      </c>
      <c r="H179" s="524" t="s">
        <v>708</v>
      </c>
      <c r="I179" s="532"/>
      <c r="J179" s="531">
        <v>25.161570000000001</v>
      </c>
      <c r="K179" s="531">
        <v>37.598022999999998</v>
      </c>
      <c r="L179" s="531">
        <v>29.400660999999999</v>
      </c>
      <c r="M179" s="531">
        <v>28.453547</v>
      </c>
      <c r="N179" s="528">
        <v>4250</v>
      </c>
      <c r="O179" s="528">
        <v>38.71</v>
      </c>
      <c r="P179" s="528">
        <v>3.0499999999999999E-2</v>
      </c>
      <c r="Q179" s="528">
        <v>1.4999999999999999E-2</v>
      </c>
      <c r="R179" s="529">
        <v>8.0274372500000002</v>
      </c>
      <c r="S179" s="529">
        <f t="shared" si="97"/>
        <v>18.295098539999998</v>
      </c>
      <c r="T179" s="544">
        <v>92</v>
      </c>
      <c r="U179" s="544">
        <v>89.6</v>
      </c>
      <c r="V179" s="530">
        <v>6327</v>
      </c>
      <c r="W179" s="530">
        <v>8423</v>
      </c>
      <c r="X179" s="530">
        <f t="shared" si="98"/>
        <v>2096</v>
      </c>
      <c r="Y179" s="530">
        <f t="shared" si="99"/>
        <v>261.10450131516131</v>
      </c>
      <c r="Z179" s="534">
        <v>6409</v>
      </c>
      <c r="AA179" s="530">
        <v>8511</v>
      </c>
      <c r="AB179" s="530">
        <f t="shared" si="100"/>
        <v>2102</v>
      </c>
      <c r="AC179" s="533">
        <f t="shared" si="101"/>
        <v>261.85193786472763</v>
      </c>
      <c r="AD179" s="534">
        <v>16</v>
      </c>
      <c r="AE179" s="530">
        <v>74</v>
      </c>
      <c r="AF179" s="530">
        <f t="shared" si="102"/>
        <v>58</v>
      </c>
      <c r="AG179" s="533">
        <f t="shared" si="103"/>
        <v>7.2252199791409142</v>
      </c>
      <c r="AH179" s="534">
        <v>5572</v>
      </c>
      <c r="AI179" s="530">
        <v>7519</v>
      </c>
      <c r="AJ179" s="530">
        <f t="shared" si="104"/>
        <v>1947</v>
      </c>
      <c r="AK179" s="533">
        <f t="shared" si="105"/>
        <v>242.54316033426483</v>
      </c>
      <c r="AL179" s="534">
        <v>710.6</v>
      </c>
      <c r="AM179" s="530">
        <v>799.2</v>
      </c>
      <c r="AN179" s="530">
        <f t="shared" si="106"/>
        <v>88.600000000000023</v>
      </c>
      <c r="AO179" s="533">
        <f t="shared" si="107"/>
        <v>11.037146381929055</v>
      </c>
      <c r="AP179" s="534">
        <v>561.24142099999995</v>
      </c>
      <c r="AQ179" s="530">
        <v>637.14538700000003</v>
      </c>
      <c r="AR179" s="530">
        <f t="shared" si="108"/>
        <v>75.903966000000082</v>
      </c>
      <c r="AS179" s="533">
        <f t="shared" si="109"/>
        <v>9.4555664075729879</v>
      </c>
      <c r="AT179" s="534">
        <v>0.8</v>
      </c>
      <c r="AU179" s="530">
        <v>0.9</v>
      </c>
      <c r="AV179" s="530">
        <f t="shared" si="110"/>
        <v>9.9999999999999978E-2</v>
      </c>
      <c r="AW179" s="533">
        <f t="shared" si="111"/>
        <v>1.2457275826105021E-2</v>
      </c>
      <c r="AX179" s="534">
        <v>20.100000000000001</v>
      </c>
      <c r="AY179" s="530">
        <v>20.8</v>
      </c>
      <c r="AZ179" s="530">
        <f t="shared" si="112"/>
        <v>0.69999999999999929</v>
      </c>
      <c r="BA179" s="533">
        <f t="shared" si="113"/>
        <v>8.7200930782735081E-2</v>
      </c>
      <c r="BB179" s="534">
        <v>-15.415713</v>
      </c>
      <c r="BC179" s="530">
        <v>-36.26</v>
      </c>
      <c r="BD179" s="530">
        <f t="shared" si="114"/>
        <v>-20.844286999999998</v>
      </c>
      <c r="BE179" s="530">
        <v>-124.79862799999999</v>
      </c>
      <c r="BF179" s="533">
        <f t="shared" si="115"/>
        <v>-2.5966303255749521</v>
      </c>
      <c r="BG179" s="527">
        <v>92</v>
      </c>
      <c r="BH179" s="527">
        <v>89.6</v>
      </c>
      <c r="BI179" s="527">
        <f t="shared" si="116"/>
        <v>-2.4000000000000057</v>
      </c>
      <c r="BJ179" s="545">
        <v>64.7</v>
      </c>
      <c r="BK179" s="545">
        <v>65.3</v>
      </c>
      <c r="BL179" s="545">
        <f t="shared" si="117"/>
        <v>0.59999999999999432</v>
      </c>
      <c r="BM179" s="545">
        <v>0</v>
      </c>
      <c r="BN179" s="545">
        <v>0</v>
      </c>
      <c r="BO179" s="545">
        <f t="shared" si="118"/>
        <v>0</v>
      </c>
      <c r="BP179" s="527"/>
      <c r="BQ179" s="527"/>
      <c r="BR179" s="527"/>
      <c r="BS179" s="527"/>
      <c r="BT179" s="524" t="s">
        <v>723</v>
      </c>
      <c r="BU179" s="512">
        <v>9026.8836093600003</v>
      </c>
      <c r="BV179" s="512">
        <v>-3.2027397899999999</v>
      </c>
      <c r="BW179" s="512">
        <v>3483.4952633799999</v>
      </c>
      <c r="BX179" s="512">
        <v>3598.7539893899998</v>
      </c>
      <c r="BY179" s="512">
        <v>8.9016165600000008</v>
      </c>
      <c r="BZ179" s="512">
        <v>8.9938089100000003</v>
      </c>
      <c r="CA179" s="512">
        <v>0.2424405</v>
      </c>
      <c r="CB179" s="512">
        <v>8.0273667599999996</v>
      </c>
      <c r="CC179" s="512">
        <v>8.0079522399999998</v>
      </c>
      <c r="CD179" s="512">
        <v>-1.2806324600000001</v>
      </c>
      <c r="CE179" s="512">
        <v>-1.0250646400000001</v>
      </c>
      <c r="CF179" s="512">
        <v>0.56578951</v>
      </c>
      <c r="CG179" s="512"/>
    </row>
    <row r="180" spans="1:85" s="519" customFormat="1">
      <c r="A180" s="546">
        <v>62006023</v>
      </c>
      <c r="B180" s="543" t="s">
        <v>933</v>
      </c>
      <c r="C180" s="543" t="s">
        <v>696</v>
      </c>
      <c r="D180" s="521" t="s">
        <v>736</v>
      </c>
      <c r="E180" s="513" t="s">
        <v>949</v>
      </c>
      <c r="F180" s="536" t="str">
        <f t="shared" si="96"/>
        <v>06/11/20</v>
      </c>
      <c r="G180" s="524" t="s">
        <v>950</v>
      </c>
      <c r="H180" s="524" t="s">
        <v>708</v>
      </c>
      <c r="I180" s="532"/>
      <c r="J180" s="531">
        <v>24.269962</v>
      </c>
      <c r="K180" s="531">
        <v>39.526622000000003</v>
      </c>
      <c r="L180" s="531">
        <v>29.386427999999999</v>
      </c>
      <c r="M180" s="531">
        <v>31.695702000000001</v>
      </c>
      <c r="N180" s="528">
        <v>4250</v>
      </c>
      <c r="O180" s="528">
        <v>38.71</v>
      </c>
      <c r="P180" s="528">
        <v>3.0499999999999999E-2</v>
      </c>
      <c r="Q180" s="528">
        <v>1.4999999999999999E-2</v>
      </c>
      <c r="R180" s="529">
        <v>8.0269055300000005</v>
      </c>
      <c r="S180" s="529">
        <f t="shared" si="97"/>
        <v>16.054342779999999</v>
      </c>
      <c r="T180" s="544">
        <v>89.6</v>
      </c>
      <c r="U180" s="544">
        <v>87.2</v>
      </c>
      <c r="V180" s="530">
        <v>8423</v>
      </c>
      <c r="W180" s="530">
        <v>10431</v>
      </c>
      <c r="X180" s="530">
        <f t="shared" si="98"/>
        <v>2008</v>
      </c>
      <c r="Y180" s="530">
        <f t="shared" si="99"/>
        <v>250.15866855480482</v>
      </c>
      <c r="Z180" s="534">
        <v>8511</v>
      </c>
      <c r="AA180" s="530">
        <v>10526</v>
      </c>
      <c r="AB180" s="530">
        <f t="shared" si="100"/>
        <v>2015</v>
      </c>
      <c r="AC180" s="533">
        <f t="shared" si="101"/>
        <v>251.03073562646</v>
      </c>
      <c r="AD180" s="534">
        <v>74</v>
      </c>
      <c r="AE180" s="530">
        <v>129</v>
      </c>
      <c r="AF180" s="530">
        <f t="shared" si="102"/>
        <v>55</v>
      </c>
      <c r="AG180" s="533">
        <f t="shared" si="103"/>
        <v>6.8519555630051121</v>
      </c>
      <c r="AH180" s="534">
        <v>7519</v>
      </c>
      <c r="AI180" s="530">
        <v>9387</v>
      </c>
      <c r="AJ180" s="530">
        <f t="shared" si="104"/>
        <v>1868</v>
      </c>
      <c r="AK180" s="533">
        <f t="shared" si="105"/>
        <v>232.71732712170089</v>
      </c>
      <c r="AL180" s="534">
        <v>799.25385100000005</v>
      </c>
      <c r="AM180" s="530">
        <v>882.4</v>
      </c>
      <c r="AN180" s="530">
        <f t="shared" si="106"/>
        <v>83.146148999999923</v>
      </c>
      <c r="AO180" s="533">
        <f t="shared" si="107"/>
        <v>10.358431239690935</v>
      </c>
      <c r="AP180" s="534">
        <v>637.17076999999995</v>
      </c>
      <c r="AQ180" s="530">
        <v>706.91504999999995</v>
      </c>
      <c r="AR180" s="530">
        <f t="shared" si="108"/>
        <v>69.744280000000003</v>
      </c>
      <c r="AS180" s="533">
        <f t="shared" si="109"/>
        <v>8.6888128606142949</v>
      </c>
      <c r="AT180" s="534">
        <v>0.9</v>
      </c>
      <c r="AU180" s="530">
        <v>1</v>
      </c>
      <c r="AV180" s="530">
        <f t="shared" si="110"/>
        <v>9.9999999999999978E-2</v>
      </c>
      <c r="AW180" s="533">
        <f t="shared" si="111"/>
        <v>1.2458101023645656E-2</v>
      </c>
      <c r="AX180" s="534">
        <v>20.8</v>
      </c>
      <c r="AY180" s="530">
        <v>21.4</v>
      </c>
      <c r="AZ180" s="530">
        <f t="shared" si="112"/>
        <v>0.59999999999999787</v>
      </c>
      <c r="BA180" s="533">
        <f t="shared" si="113"/>
        <v>7.4748606141873689E-2</v>
      </c>
      <c r="BB180" s="534">
        <v>-36.265380999999998</v>
      </c>
      <c r="BC180" s="530">
        <v>-50.07</v>
      </c>
      <c r="BD180" s="530">
        <f t="shared" si="114"/>
        <v>-13.804619000000002</v>
      </c>
      <c r="BE180" s="530">
        <v>-82.892090999999994</v>
      </c>
      <c r="BF180" s="533">
        <f t="shared" si="115"/>
        <v>-1.7197933809493833</v>
      </c>
      <c r="BG180" s="527">
        <v>89.6</v>
      </c>
      <c r="BH180" s="527">
        <v>87.2</v>
      </c>
      <c r="BI180" s="527">
        <f t="shared" si="116"/>
        <v>-2.3999999999999915</v>
      </c>
      <c r="BJ180" s="545">
        <v>65.3</v>
      </c>
      <c r="BK180" s="545">
        <v>65.900000000000006</v>
      </c>
      <c r="BL180" s="545">
        <f t="shared" si="117"/>
        <v>0.60000000000000853</v>
      </c>
      <c r="BM180" s="545">
        <v>0</v>
      </c>
      <c r="BN180" s="545">
        <v>0</v>
      </c>
      <c r="BO180" s="545">
        <f t="shared" si="118"/>
        <v>0</v>
      </c>
      <c r="BP180" s="527"/>
      <c r="BQ180" s="527"/>
      <c r="BR180" s="527"/>
      <c r="BS180" s="527"/>
      <c r="BT180" s="524" t="s">
        <v>723</v>
      </c>
      <c r="BU180" s="512">
        <v>9038.5759199299991</v>
      </c>
      <c r="BV180" s="512">
        <v>-3.1727598700000001</v>
      </c>
      <c r="BW180" s="512">
        <v>3484.5151820999999</v>
      </c>
      <c r="BX180" s="512">
        <v>3598.69307157</v>
      </c>
      <c r="BY180" s="512">
        <v>8.9025054299999997</v>
      </c>
      <c r="BZ180" s="512">
        <v>8.99376146</v>
      </c>
      <c r="CA180" s="512">
        <v>0.23575363999999999</v>
      </c>
      <c r="CB180" s="512">
        <v>8.0268303900000006</v>
      </c>
      <c r="CC180" s="512">
        <v>8.0079513599999999</v>
      </c>
      <c r="CD180" s="512">
        <v>-1.2632302500000001</v>
      </c>
      <c r="CE180" s="512">
        <v>-1.01465914</v>
      </c>
      <c r="CF180" s="512">
        <v>0.56577560999999998</v>
      </c>
      <c r="CG180" s="512"/>
    </row>
    <row r="181" spans="1:85" s="519" customFormat="1">
      <c r="A181" s="546">
        <v>62006023</v>
      </c>
      <c r="B181" s="543" t="s">
        <v>934</v>
      </c>
      <c r="C181" s="543" t="s">
        <v>697</v>
      </c>
      <c r="D181" s="521" t="s">
        <v>736</v>
      </c>
      <c r="E181" s="513" t="s">
        <v>949</v>
      </c>
      <c r="F181" s="536" t="str">
        <f t="shared" si="96"/>
        <v>06/11/20</v>
      </c>
      <c r="G181" s="524" t="s">
        <v>950</v>
      </c>
      <c r="H181" s="524" t="s">
        <v>708</v>
      </c>
      <c r="I181" s="532"/>
      <c r="J181" s="531">
        <v>23.865501999999999</v>
      </c>
      <c r="K181" s="531">
        <v>40.604593000000001</v>
      </c>
      <c r="L181" s="531">
        <v>29.385626999999999</v>
      </c>
      <c r="M181" s="531">
        <v>32.396104000000001</v>
      </c>
      <c r="N181" s="528">
        <v>4250</v>
      </c>
      <c r="O181" s="528">
        <v>38.71</v>
      </c>
      <c r="P181" s="528">
        <v>3.0499999999999999E-2</v>
      </c>
      <c r="Q181" s="528">
        <v>1.4999999999999999E-2</v>
      </c>
      <c r="R181" s="529">
        <v>8.02667368</v>
      </c>
      <c r="S181" s="529">
        <f t="shared" si="97"/>
        <v>16.053579210000002</v>
      </c>
      <c r="T181" s="544">
        <v>87.2</v>
      </c>
      <c r="U181" s="544">
        <v>84.9</v>
      </c>
      <c r="V181" s="530">
        <v>10431</v>
      </c>
      <c r="W181" s="530">
        <v>12413</v>
      </c>
      <c r="X181" s="530">
        <f t="shared" si="98"/>
        <v>1982</v>
      </c>
      <c r="Y181" s="530">
        <f t="shared" si="99"/>
        <v>246.92669454577853</v>
      </c>
      <c r="Z181" s="534">
        <v>10526</v>
      </c>
      <c r="AA181" s="530">
        <v>12515</v>
      </c>
      <c r="AB181" s="530">
        <f t="shared" si="100"/>
        <v>1989</v>
      </c>
      <c r="AC181" s="533">
        <f t="shared" si="101"/>
        <v>247.7987868070401</v>
      </c>
      <c r="AD181" s="534">
        <v>129</v>
      </c>
      <c r="AE181" s="530">
        <v>184</v>
      </c>
      <c r="AF181" s="530">
        <f t="shared" si="102"/>
        <v>55</v>
      </c>
      <c r="AG181" s="533">
        <f t="shared" si="103"/>
        <v>6.8521534813409781</v>
      </c>
      <c r="AH181" s="534">
        <v>9387</v>
      </c>
      <c r="AI181" s="530">
        <v>11240</v>
      </c>
      <c r="AJ181" s="530">
        <f t="shared" si="104"/>
        <v>1853</v>
      </c>
      <c r="AK181" s="533">
        <f t="shared" si="105"/>
        <v>230.85528001681513</v>
      </c>
      <c r="AL181" s="534">
        <v>882.4</v>
      </c>
      <c r="AM181" s="530">
        <v>954.6</v>
      </c>
      <c r="AN181" s="530">
        <f t="shared" si="106"/>
        <v>72.200000000000045</v>
      </c>
      <c r="AO181" s="533">
        <f t="shared" si="107"/>
        <v>8.9950087518694346</v>
      </c>
      <c r="AP181" s="534">
        <v>706.93505400000004</v>
      </c>
      <c r="AQ181" s="530">
        <v>765.96470799999997</v>
      </c>
      <c r="AR181" s="530">
        <f t="shared" si="108"/>
        <v>59.029653999999937</v>
      </c>
      <c r="AS181" s="533">
        <f t="shared" si="109"/>
        <v>7.3541863483355083</v>
      </c>
      <c r="AT181" s="534">
        <v>1</v>
      </c>
      <c r="AU181" s="530">
        <v>1</v>
      </c>
      <c r="AV181" s="530">
        <f t="shared" si="110"/>
        <v>0</v>
      </c>
      <c r="AW181" s="533">
        <f t="shared" si="111"/>
        <v>0</v>
      </c>
      <c r="AX181" s="534">
        <v>21.4</v>
      </c>
      <c r="AY181" s="530">
        <v>22</v>
      </c>
      <c r="AZ181" s="530">
        <f t="shared" si="112"/>
        <v>0.60000000000000142</v>
      </c>
      <c r="BA181" s="533">
        <f t="shared" si="113"/>
        <v>7.4750765250992668E-2</v>
      </c>
      <c r="BB181" s="534">
        <v>-50.08</v>
      </c>
      <c r="BC181" s="530">
        <v>-54.28</v>
      </c>
      <c r="BD181" s="530">
        <f t="shared" si="114"/>
        <v>-4.2000000000000028</v>
      </c>
      <c r="BE181" s="530">
        <v>-25.221471999999999</v>
      </c>
      <c r="BF181" s="533">
        <f t="shared" si="115"/>
        <v>-0.52325535675694779</v>
      </c>
      <c r="BG181" s="527">
        <v>87.2</v>
      </c>
      <c r="BH181" s="527">
        <v>84.9</v>
      </c>
      <c r="BI181" s="527">
        <f t="shared" si="116"/>
        <v>-2.2999999999999972</v>
      </c>
      <c r="BJ181" s="545">
        <v>65.900000000000006</v>
      </c>
      <c r="BK181" s="545">
        <v>66.5</v>
      </c>
      <c r="BL181" s="545">
        <f t="shared" si="117"/>
        <v>0.59999999999999432</v>
      </c>
      <c r="BM181" s="545">
        <v>0</v>
      </c>
      <c r="BN181" s="545">
        <v>0</v>
      </c>
      <c r="BO181" s="545">
        <f t="shared" si="118"/>
        <v>0</v>
      </c>
      <c r="BP181" s="527"/>
      <c r="BQ181" s="527"/>
      <c r="BR181" s="527"/>
      <c r="BS181" s="527"/>
      <c r="BT181" s="524" t="s">
        <v>723</v>
      </c>
      <c r="BU181" s="512">
        <v>9035.5142251300003</v>
      </c>
      <c r="BV181" s="512">
        <v>-3.1879313699999998</v>
      </c>
      <c r="BW181" s="512">
        <v>3483.9448034900001</v>
      </c>
      <c r="BX181" s="512">
        <v>3598.66786538</v>
      </c>
      <c r="BY181" s="512">
        <v>8.9028932100000002</v>
      </c>
      <c r="BZ181" s="512">
        <v>8.9936633700000002</v>
      </c>
      <c r="CA181" s="512">
        <v>0.23301314000000001</v>
      </c>
      <c r="CB181" s="512">
        <v>8.0266118500000001</v>
      </c>
      <c r="CC181" s="512">
        <v>8.0079522700000005</v>
      </c>
      <c r="CD181" s="512">
        <v>-1.2549467400000001</v>
      </c>
      <c r="CE181" s="512">
        <v>-1.00926783</v>
      </c>
      <c r="CF181" s="512">
        <v>0.56577412000000005</v>
      </c>
      <c r="CG181" s="512"/>
    </row>
    <row r="182" spans="1:85" s="519" customFormat="1">
      <c r="A182" s="546">
        <v>62006023</v>
      </c>
      <c r="B182" s="543" t="s">
        <v>935</v>
      </c>
      <c r="C182" s="543" t="s">
        <v>699</v>
      </c>
      <c r="D182" s="521" t="s">
        <v>736</v>
      </c>
      <c r="E182" s="513" t="s">
        <v>949</v>
      </c>
      <c r="F182" s="536" t="str">
        <f t="shared" si="96"/>
        <v>06/11/20</v>
      </c>
      <c r="G182" s="524" t="s">
        <v>950</v>
      </c>
      <c r="H182" s="524" t="s">
        <v>708</v>
      </c>
      <c r="I182" s="532"/>
      <c r="J182" s="531">
        <v>23.785547999999999</v>
      </c>
      <c r="K182" s="531">
        <v>41.249391000000003</v>
      </c>
      <c r="L182" s="531">
        <v>29.386548000000001</v>
      </c>
      <c r="M182" s="531">
        <v>32.695351000000002</v>
      </c>
      <c r="N182" s="528">
        <v>4250</v>
      </c>
      <c r="O182" s="528">
        <v>38.71</v>
      </c>
      <c r="P182" s="528">
        <v>3.0499999999999999E-2</v>
      </c>
      <c r="Q182" s="528">
        <v>1.4999999999999999E-2</v>
      </c>
      <c r="R182" s="529">
        <v>8.0266351500000006</v>
      </c>
      <c r="S182" s="529">
        <f t="shared" si="97"/>
        <v>16.053308829999999</v>
      </c>
      <c r="T182" s="544">
        <v>84.9</v>
      </c>
      <c r="U182" s="544">
        <v>82.5</v>
      </c>
      <c r="V182" s="530">
        <v>12413</v>
      </c>
      <c r="W182" s="530">
        <v>14384</v>
      </c>
      <c r="X182" s="530">
        <f t="shared" si="98"/>
        <v>1971</v>
      </c>
      <c r="Y182" s="530">
        <f t="shared" si="99"/>
        <v>245.55744258539019</v>
      </c>
      <c r="Z182" s="534">
        <v>12515</v>
      </c>
      <c r="AA182" s="530">
        <v>14494</v>
      </c>
      <c r="AB182" s="530">
        <f t="shared" si="100"/>
        <v>1979</v>
      </c>
      <c r="AC182" s="533">
        <f t="shared" si="101"/>
        <v>246.55412423971953</v>
      </c>
      <c r="AD182" s="534">
        <v>184</v>
      </c>
      <c r="AE182" s="530">
        <v>239</v>
      </c>
      <c r="AF182" s="530">
        <f t="shared" si="102"/>
        <v>55</v>
      </c>
      <c r="AG182" s="533">
        <f t="shared" si="103"/>
        <v>6.8521863735141864</v>
      </c>
      <c r="AH182" s="534">
        <v>11240</v>
      </c>
      <c r="AI182" s="530">
        <v>13086</v>
      </c>
      <c r="AJ182" s="530">
        <f t="shared" si="104"/>
        <v>1846</v>
      </c>
      <c r="AK182" s="533">
        <f t="shared" si="105"/>
        <v>229.98429173649433</v>
      </c>
      <c r="AL182" s="534">
        <v>954.6</v>
      </c>
      <c r="AM182" s="530">
        <v>1022.4</v>
      </c>
      <c r="AN182" s="530">
        <f t="shared" si="106"/>
        <v>67.799999999999955</v>
      </c>
      <c r="AO182" s="533">
        <f t="shared" si="107"/>
        <v>8.4468770204411179</v>
      </c>
      <c r="AP182" s="534">
        <v>765.98467100000005</v>
      </c>
      <c r="AQ182" s="530">
        <v>821.03441399999997</v>
      </c>
      <c r="AR182" s="530">
        <f t="shared" si="108"/>
        <v>55.049742999999921</v>
      </c>
      <c r="AS182" s="533">
        <f t="shared" si="109"/>
        <v>6.8583836154555895</v>
      </c>
      <c r="AT182" s="534">
        <v>1</v>
      </c>
      <c r="AU182" s="530">
        <v>1.1000000000000001</v>
      </c>
      <c r="AV182" s="530">
        <f t="shared" si="110"/>
        <v>0.10000000000000009</v>
      </c>
      <c r="AW182" s="533">
        <f t="shared" si="111"/>
        <v>1.2458520679116713E-2</v>
      </c>
      <c r="AX182" s="534">
        <v>22</v>
      </c>
      <c r="AY182" s="530">
        <v>22.6</v>
      </c>
      <c r="AZ182" s="530">
        <f t="shared" si="112"/>
        <v>0.60000000000000142</v>
      </c>
      <c r="BA182" s="533">
        <f t="shared" si="113"/>
        <v>7.4751124074700387E-2</v>
      </c>
      <c r="BB182" s="534">
        <v>-54.28</v>
      </c>
      <c r="BC182" s="530">
        <v>-56.66</v>
      </c>
      <c r="BD182" s="530">
        <f t="shared" si="114"/>
        <v>-2.3799999999999955</v>
      </c>
      <c r="BE182" s="530">
        <v>-14.297552</v>
      </c>
      <c r="BF182" s="533">
        <f t="shared" si="115"/>
        <v>-0.29651279216297693</v>
      </c>
      <c r="BG182" s="527">
        <v>84.9</v>
      </c>
      <c r="BH182" s="527">
        <v>82.5</v>
      </c>
      <c r="BI182" s="527">
        <f t="shared" si="116"/>
        <v>-2.4000000000000057</v>
      </c>
      <c r="BJ182" s="545">
        <v>66.5</v>
      </c>
      <c r="BK182" s="545">
        <v>67.099999999999994</v>
      </c>
      <c r="BL182" s="545">
        <f t="shared" si="117"/>
        <v>0.59999999999999432</v>
      </c>
      <c r="BM182" s="545">
        <v>0</v>
      </c>
      <c r="BN182" s="545">
        <v>0</v>
      </c>
      <c r="BO182" s="545">
        <f t="shared" si="118"/>
        <v>0</v>
      </c>
      <c r="BP182" s="527"/>
      <c r="BQ182" s="527"/>
      <c r="BR182" s="527"/>
      <c r="BS182" s="527"/>
      <c r="BT182" s="524" t="s">
        <v>723</v>
      </c>
      <c r="BU182" s="512">
        <v>9036.8600747199998</v>
      </c>
      <c r="BV182" s="512">
        <v>-3.2609537300000002</v>
      </c>
      <c r="BW182" s="512">
        <v>3481.23727547</v>
      </c>
      <c r="BX182" s="512">
        <v>3598.58548286</v>
      </c>
      <c r="BY182" s="512">
        <v>8.9048108799999994</v>
      </c>
      <c r="BZ182" s="512">
        <v>8.9935629600000002</v>
      </c>
      <c r="CA182" s="512">
        <v>0.23271828</v>
      </c>
      <c r="CB182" s="512">
        <v>8.0265885600000004</v>
      </c>
      <c r="CC182" s="512">
        <v>8.0079525900000004</v>
      </c>
      <c r="CD182" s="512">
        <v>-1.2317134199999999</v>
      </c>
      <c r="CE182" s="512">
        <v>-0.9868401</v>
      </c>
      <c r="CF182" s="512">
        <v>0.56575885999999997</v>
      </c>
      <c r="CG182" s="512"/>
    </row>
    <row r="183" spans="1:85" s="519" customFormat="1">
      <c r="A183" s="546">
        <v>62006023</v>
      </c>
      <c r="B183" s="543" t="s">
        <v>936</v>
      </c>
      <c r="C183" s="543" t="s">
        <v>700</v>
      </c>
      <c r="D183" s="521" t="s">
        <v>736</v>
      </c>
      <c r="E183" s="513" t="s">
        <v>949</v>
      </c>
      <c r="F183" s="536" t="str">
        <f t="shared" si="96"/>
        <v>06/11/20</v>
      </c>
      <c r="G183" s="524" t="s">
        <v>950</v>
      </c>
      <c r="H183" s="524" t="s">
        <v>708</v>
      </c>
      <c r="I183" s="532"/>
      <c r="J183" s="531">
        <v>23.775379999999998</v>
      </c>
      <c r="K183" s="531">
        <v>41.903066000000003</v>
      </c>
      <c r="L183" s="531">
        <v>29.387350000000001</v>
      </c>
      <c r="M183" s="531">
        <v>32.764884000000002</v>
      </c>
      <c r="N183" s="528">
        <v>4250</v>
      </c>
      <c r="O183" s="528">
        <v>38.71</v>
      </c>
      <c r="P183" s="528">
        <v>3.0499999999999999E-2</v>
      </c>
      <c r="Q183" s="528">
        <v>1.4999999999999999E-2</v>
      </c>
      <c r="R183" s="529">
        <v>8.0261424199999993</v>
      </c>
      <c r="S183" s="529">
        <f t="shared" si="97"/>
        <v>16.05277757</v>
      </c>
      <c r="T183" s="544">
        <v>82.5</v>
      </c>
      <c r="U183" s="544">
        <v>80.2</v>
      </c>
      <c r="V183" s="530">
        <v>14384</v>
      </c>
      <c r="W183" s="530">
        <v>16349</v>
      </c>
      <c r="X183" s="530">
        <f t="shared" si="98"/>
        <v>1965</v>
      </c>
      <c r="Y183" s="530">
        <f t="shared" si="99"/>
        <v>244.82496038240001</v>
      </c>
      <c r="Z183" s="534">
        <v>14494</v>
      </c>
      <c r="AA183" s="530">
        <v>16466</v>
      </c>
      <c r="AB183" s="530">
        <f t="shared" si="100"/>
        <v>1972</v>
      </c>
      <c r="AC183" s="533">
        <f t="shared" si="101"/>
        <v>245.69711036849509</v>
      </c>
      <c r="AD183" s="534">
        <v>239</v>
      </c>
      <c r="AE183" s="530">
        <v>294</v>
      </c>
      <c r="AF183" s="530">
        <f t="shared" si="102"/>
        <v>55</v>
      </c>
      <c r="AG183" s="533">
        <f t="shared" si="103"/>
        <v>6.8526070336040714</v>
      </c>
      <c r="AH183" s="534">
        <v>13086</v>
      </c>
      <c r="AI183" s="530">
        <v>14929</v>
      </c>
      <c r="AJ183" s="530">
        <f t="shared" si="104"/>
        <v>1843</v>
      </c>
      <c r="AK183" s="533">
        <f t="shared" si="105"/>
        <v>229.62463205331463</v>
      </c>
      <c r="AL183" s="534">
        <v>1022.4</v>
      </c>
      <c r="AM183" s="530">
        <v>1087.9000000000001</v>
      </c>
      <c r="AN183" s="530">
        <f t="shared" si="106"/>
        <v>65.500000000000114</v>
      </c>
      <c r="AO183" s="533">
        <f t="shared" si="107"/>
        <v>8.1608320127466811</v>
      </c>
      <c r="AP183" s="534">
        <v>821.05436299999997</v>
      </c>
      <c r="AQ183" s="530">
        <v>873.90418699999998</v>
      </c>
      <c r="AR183" s="530">
        <f t="shared" si="108"/>
        <v>52.849824000000012</v>
      </c>
      <c r="AS183" s="533">
        <f t="shared" si="109"/>
        <v>6.584710466675225</v>
      </c>
      <c r="AT183" s="534">
        <v>1.1000000000000001</v>
      </c>
      <c r="AU183" s="530">
        <v>1.1000000000000001</v>
      </c>
      <c r="AV183" s="530">
        <f t="shared" si="110"/>
        <v>0</v>
      </c>
      <c r="AW183" s="533">
        <f t="shared" si="111"/>
        <v>0</v>
      </c>
      <c r="AX183" s="534">
        <v>22.6</v>
      </c>
      <c r="AY183" s="530">
        <v>23.2</v>
      </c>
      <c r="AZ183" s="530">
        <f t="shared" si="112"/>
        <v>0.59999999999999787</v>
      </c>
      <c r="BA183" s="533">
        <f t="shared" si="113"/>
        <v>7.4755713093862336E-2</v>
      </c>
      <c r="BB183" s="534">
        <v>-56.66</v>
      </c>
      <c r="BC183" s="530">
        <v>-58.43</v>
      </c>
      <c r="BD183" s="530">
        <f t="shared" si="114"/>
        <v>-1.7700000000000031</v>
      </c>
      <c r="BE183" s="530">
        <v>-10.601604999999999</v>
      </c>
      <c r="BF183" s="533">
        <f t="shared" si="115"/>
        <v>-0.22052935362689505</v>
      </c>
      <c r="BG183" s="527">
        <v>82.5</v>
      </c>
      <c r="BH183" s="527">
        <v>80.2</v>
      </c>
      <c r="BI183" s="527">
        <f t="shared" si="116"/>
        <v>-2.2999999999999972</v>
      </c>
      <c r="BJ183" s="545">
        <v>67.099999999999994</v>
      </c>
      <c r="BK183" s="545">
        <v>67.7</v>
      </c>
      <c r="BL183" s="545">
        <f t="shared" si="117"/>
        <v>0.60000000000000853</v>
      </c>
      <c r="BM183" s="545">
        <v>0</v>
      </c>
      <c r="BN183" s="545">
        <v>0</v>
      </c>
      <c r="BO183" s="545">
        <f t="shared" si="118"/>
        <v>0</v>
      </c>
      <c r="BP183" s="527"/>
      <c r="BQ183" s="527"/>
      <c r="BR183" s="527"/>
      <c r="BS183" s="527"/>
      <c r="BT183" s="524" t="s">
        <v>723</v>
      </c>
      <c r="BU183" s="512">
        <v>9036.3787098600005</v>
      </c>
      <c r="BV183" s="512">
        <v>-3.1733893000000002</v>
      </c>
      <c r="BW183" s="512">
        <v>3484.4035235400002</v>
      </c>
      <c r="BX183" s="512">
        <v>3598.6011471299998</v>
      </c>
      <c r="BY183" s="512">
        <v>8.9036311999999995</v>
      </c>
      <c r="BZ183" s="512">
        <v>8.9936269499999995</v>
      </c>
      <c r="CA183" s="512">
        <v>0.22684846</v>
      </c>
      <c r="CB183" s="512">
        <v>8.0261189000000002</v>
      </c>
      <c r="CC183" s="512">
        <v>8.0079529800000007</v>
      </c>
      <c r="CD183" s="512">
        <v>-1.23991717</v>
      </c>
      <c r="CE183" s="512">
        <v>-1.00066134</v>
      </c>
      <c r="CF183" s="512">
        <v>0.56576314999999999</v>
      </c>
      <c r="CG183" s="512"/>
    </row>
    <row r="184" spans="1:85" s="519" customFormat="1">
      <c r="A184" s="546">
        <v>62006023</v>
      </c>
      <c r="B184" s="543" t="s">
        <v>937</v>
      </c>
      <c r="C184" s="543" t="s">
        <v>702</v>
      </c>
      <c r="D184" s="521" t="s">
        <v>736</v>
      </c>
      <c r="E184" s="513" t="s">
        <v>949</v>
      </c>
      <c r="F184" s="536" t="str">
        <f t="shared" si="96"/>
        <v>06/11/20</v>
      </c>
      <c r="G184" s="524" t="s">
        <v>950</v>
      </c>
      <c r="H184" s="524" t="s">
        <v>708</v>
      </c>
      <c r="I184" s="532"/>
      <c r="J184" s="531">
        <v>23.797566</v>
      </c>
      <c r="K184" s="531">
        <v>41.778205</v>
      </c>
      <c r="L184" s="531">
        <v>29.387816999999998</v>
      </c>
      <c r="M184" s="531">
        <v>32.845537999999998</v>
      </c>
      <c r="N184" s="528">
        <v>4250</v>
      </c>
      <c r="O184" s="528">
        <v>38.71</v>
      </c>
      <c r="P184" s="528">
        <v>3.0499999999999999E-2</v>
      </c>
      <c r="Q184" s="528">
        <v>1.4999999999999999E-2</v>
      </c>
      <c r="R184" s="529">
        <v>8.0266108299999992</v>
      </c>
      <c r="S184" s="529">
        <f t="shared" si="97"/>
        <v>16.052753249999999</v>
      </c>
      <c r="T184" s="544">
        <v>80.2</v>
      </c>
      <c r="U184" s="544">
        <v>77.900000000000006</v>
      </c>
      <c r="V184" s="530">
        <v>16349</v>
      </c>
      <c r="W184" s="530">
        <v>18310</v>
      </c>
      <c r="X184" s="530">
        <f t="shared" si="98"/>
        <v>1961</v>
      </c>
      <c r="Y184" s="530">
        <f t="shared" si="99"/>
        <v>244.31233076239729</v>
      </c>
      <c r="Z184" s="534">
        <v>16466</v>
      </c>
      <c r="AA184" s="530">
        <v>18434</v>
      </c>
      <c r="AB184" s="530">
        <f t="shared" si="100"/>
        <v>1968</v>
      </c>
      <c r="AC184" s="533">
        <f t="shared" si="101"/>
        <v>245.18442985231914</v>
      </c>
      <c r="AD184" s="534">
        <v>294</v>
      </c>
      <c r="AE184" s="530">
        <v>348</v>
      </c>
      <c r="AF184" s="530">
        <f t="shared" si="102"/>
        <v>54</v>
      </c>
      <c r="AG184" s="533">
        <f t="shared" si="103"/>
        <v>6.7276215508258304</v>
      </c>
      <c r="AH184" s="534">
        <v>14929</v>
      </c>
      <c r="AI184" s="530">
        <v>16768</v>
      </c>
      <c r="AJ184" s="530">
        <f t="shared" si="104"/>
        <v>1839</v>
      </c>
      <c r="AK184" s="533">
        <f t="shared" si="105"/>
        <v>229.11288948090188</v>
      </c>
      <c r="AL184" s="534">
        <v>1087.9414870000001</v>
      </c>
      <c r="AM184" s="530">
        <v>1152.678003</v>
      </c>
      <c r="AN184" s="530">
        <f t="shared" si="106"/>
        <v>64.736515999999938</v>
      </c>
      <c r="AO184" s="533">
        <f t="shared" si="107"/>
        <v>8.0652366697589031</v>
      </c>
      <c r="AP184" s="534">
        <v>873.92414900000006</v>
      </c>
      <c r="AQ184" s="530">
        <v>926.03340100000003</v>
      </c>
      <c r="AR184" s="530">
        <f t="shared" si="108"/>
        <v>52.109251999999969</v>
      </c>
      <c r="AS184" s="533">
        <f t="shared" si="109"/>
        <v>6.4920616065298855</v>
      </c>
      <c r="AT184" s="534">
        <v>1.1000000000000001</v>
      </c>
      <c r="AU184" s="530">
        <v>1.2</v>
      </c>
      <c r="AV184" s="530">
        <f t="shared" si="110"/>
        <v>9.9999999999999867E-2</v>
      </c>
      <c r="AW184" s="533">
        <f t="shared" si="111"/>
        <v>1.2458558427455226E-2</v>
      </c>
      <c r="AX184" s="534">
        <v>23.2</v>
      </c>
      <c r="AY184" s="530">
        <v>23.9</v>
      </c>
      <c r="AZ184" s="530">
        <f t="shared" si="112"/>
        <v>0.69999999999999929</v>
      </c>
      <c r="BA184" s="533">
        <f t="shared" si="113"/>
        <v>8.7209908992186599E-2</v>
      </c>
      <c r="BB184" s="534">
        <v>-58.43</v>
      </c>
      <c r="BC184" s="530">
        <v>-59.85</v>
      </c>
      <c r="BD184" s="530">
        <f t="shared" si="114"/>
        <v>-1.4200000000000017</v>
      </c>
      <c r="BE184" s="530">
        <v>-8.5131840000000008</v>
      </c>
      <c r="BF184" s="533">
        <f t="shared" si="115"/>
        <v>-0.17691152966986465</v>
      </c>
      <c r="BG184" s="527">
        <v>80.2</v>
      </c>
      <c r="BH184" s="527">
        <v>77.900000000000006</v>
      </c>
      <c r="BI184" s="527">
        <f t="shared" si="116"/>
        <v>-2.2999999999999972</v>
      </c>
      <c r="BJ184" s="545">
        <v>67.7</v>
      </c>
      <c r="BK184" s="545">
        <v>68.3</v>
      </c>
      <c r="BL184" s="545">
        <f t="shared" si="117"/>
        <v>0.59999999999999432</v>
      </c>
      <c r="BM184" s="545">
        <v>0</v>
      </c>
      <c r="BN184" s="545">
        <v>0</v>
      </c>
      <c r="BO184" s="545">
        <f t="shared" si="118"/>
        <v>0</v>
      </c>
      <c r="BP184" s="527"/>
      <c r="BQ184" s="527"/>
      <c r="BR184" s="527"/>
      <c r="BS184" s="527"/>
      <c r="BT184" s="524" t="s">
        <v>723</v>
      </c>
      <c r="BU184" s="512">
        <v>9034.6145450599997</v>
      </c>
      <c r="BV184" s="512">
        <v>-3.1492382000000001</v>
      </c>
      <c r="BW184" s="512">
        <v>3485.1771218600002</v>
      </c>
      <c r="BX184" s="512">
        <v>3598.5025385700001</v>
      </c>
      <c r="BY184" s="512">
        <v>8.9067352</v>
      </c>
      <c r="BZ184" s="512">
        <v>8.9934361099999993</v>
      </c>
      <c r="CA184" s="512">
        <v>0.23256755000000001</v>
      </c>
      <c r="CB184" s="512">
        <v>8.02657636</v>
      </c>
      <c r="CC184" s="512">
        <v>8.0079524600000003</v>
      </c>
      <c r="CD184" s="512">
        <v>-1.2082623100000001</v>
      </c>
      <c r="CE184" s="512">
        <v>-0.96404656</v>
      </c>
      <c r="CF184" s="512">
        <v>0.56574438000000005</v>
      </c>
      <c r="CG184" s="512"/>
    </row>
    <row r="185" spans="1:85" s="519" customFormat="1">
      <c r="A185" s="546">
        <v>62006023</v>
      </c>
      <c r="B185" s="543" t="s">
        <v>938</v>
      </c>
      <c r="C185" s="543" t="s">
        <v>705</v>
      </c>
      <c r="D185" s="521" t="s">
        <v>736</v>
      </c>
      <c r="E185" s="513" t="s">
        <v>949</v>
      </c>
      <c r="F185" s="536" t="str">
        <f t="shared" si="96"/>
        <v>06/11/20</v>
      </c>
      <c r="G185" s="524" t="s">
        <v>950</v>
      </c>
      <c r="H185" s="524" t="s">
        <v>708</v>
      </c>
      <c r="I185" s="532"/>
      <c r="J185" s="531">
        <v>23.812443999999999</v>
      </c>
      <c r="K185" s="531">
        <v>41.698708000000003</v>
      </c>
      <c r="L185" s="531">
        <v>29.389143000000001</v>
      </c>
      <c r="M185" s="531">
        <v>32.998683</v>
      </c>
      <c r="N185" s="528">
        <v>4250</v>
      </c>
      <c r="O185" s="528">
        <v>38.71</v>
      </c>
      <c r="P185" s="528">
        <v>3.0499999999999999E-2</v>
      </c>
      <c r="Q185" s="528">
        <v>1.4999999999999999E-2</v>
      </c>
      <c r="R185" s="529">
        <v>8.0262460799999999</v>
      </c>
      <c r="S185" s="529">
        <f t="shared" si="97"/>
        <v>16.052856909999999</v>
      </c>
      <c r="T185" s="544">
        <v>77.900000000000006</v>
      </c>
      <c r="U185" s="544">
        <v>75.5</v>
      </c>
      <c r="V185" s="530">
        <v>18310</v>
      </c>
      <c r="W185" s="530">
        <v>20269</v>
      </c>
      <c r="X185" s="530">
        <f t="shared" si="98"/>
        <v>1959</v>
      </c>
      <c r="Y185" s="530">
        <f t="shared" si="99"/>
        <v>244.07425096041911</v>
      </c>
      <c r="Z185" s="534">
        <v>18434</v>
      </c>
      <c r="AA185" s="530">
        <v>20400</v>
      </c>
      <c r="AB185" s="530">
        <f t="shared" si="100"/>
        <v>1966</v>
      </c>
      <c r="AC185" s="533">
        <f t="shared" si="101"/>
        <v>244.94638968258496</v>
      </c>
      <c r="AD185" s="534">
        <v>348</v>
      </c>
      <c r="AE185" s="530">
        <v>402</v>
      </c>
      <c r="AF185" s="530">
        <f t="shared" si="102"/>
        <v>54</v>
      </c>
      <c r="AG185" s="533">
        <f t="shared" si="103"/>
        <v>6.727927285279546</v>
      </c>
      <c r="AH185" s="534">
        <v>16768</v>
      </c>
      <c r="AI185" s="530">
        <v>18606</v>
      </c>
      <c r="AJ185" s="530">
        <f t="shared" si="104"/>
        <v>1838</v>
      </c>
      <c r="AK185" s="533">
        <f t="shared" si="105"/>
        <v>228.99871019155196</v>
      </c>
      <c r="AL185" s="534">
        <v>1152.7</v>
      </c>
      <c r="AM185" s="530">
        <v>1217</v>
      </c>
      <c r="AN185" s="530">
        <f t="shared" si="106"/>
        <v>64.299999999999955</v>
      </c>
      <c r="AO185" s="533">
        <f t="shared" si="107"/>
        <v>8.0112171193236019</v>
      </c>
      <c r="AP185" s="534">
        <v>926.05</v>
      </c>
      <c r="AQ185" s="530">
        <v>977.83345999999995</v>
      </c>
      <c r="AR185" s="530">
        <f t="shared" si="108"/>
        <v>51.783459999999991</v>
      </c>
      <c r="AS185" s="533">
        <f t="shared" si="109"/>
        <v>6.4517658048181836</v>
      </c>
      <c r="AT185" s="534">
        <v>1.2</v>
      </c>
      <c r="AU185" s="530">
        <v>1.2</v>
      </c>
      <c r="AV185" s="530">
        <f t="shared" si="110"/>
        <v>0</v>
      </c>
      <c r="AW185" s="533">
        <f t="shared" si="111"/>
        <v>0</v>
      </c>
      <c r="AX185" s="534">
        <v>23.9</v>
      </c>
      <c r="AY185" s="530">
        <v>24.5</v>
      </c>
      <c r="AZ185" s="530">
        <f t="shared" si="112"/>
        <v>0.60000000000000142</v>
      </c>
      <c r="BA185" s="533">
        <f t="shared" si="113"/>
        <v>7.4754747614217354E-2</v>
      </c>
      <c r="BB185" s="534">
        <v>-59.85</v>
      </c>
      <c r="BC185" s="530">
        <v>-61.04</v>
      </c>
      <c r="BD185" s="530">
        <f t="shared" si="114"/>
        <v>-1.1899999999999977</v>
      </c>
      <c r="BE185" s="530">
        <v>-7.1593559999999998</v>
      </c>
      <c r="BF185" s="533">
        <f t="shared" si="115"/>
        <v>-0.14826358276819712</v>
      </c>
      <c r="BG185" s="527">
        <v>77.900000000000006</v>
      </c>
      <c r="BH185" s="527">
        <v>75.5</v>
      </c>
      <c r="BI185" s="527">
        <f t="shared" si="116"/>
        <v>-2.4000000000000057</v>
      </c>
      <c r="BJ185" s="545">
        <v>68.3</v>
      </c>
      <c r="BK185" s="545">
        <v>68.900000000000006</v>
      </c>
      <c r="BL185" s="545">
        <f t="shared" si="117"/>
        <v>0.60000000000000853</v>
      </c>
      <c r="BM185" s="545">
        <v>0</v>
      </c>
      <c r="BN185" s="545">
        <v>0</v>
      </c>
      <c r="BO185" s="545">
        <f t="shared" si="118"/>
        <v>0</v>
      </c>
      <c r="BP185" s="527"/>
      <c r="BQ185" s="527"/>
      <c r="BR185" s="527"/>
      <c r="BS185" s="527"/>
      <c r="BT185" s="524" t="s">
        <v>723</v>
      </c>
      <c r="BU185" s="512">
        <v>9034.50980437</v>
      </c>
      <c r="BV185" s="512">
        <v>-3.1058922199999999</v>
      </c>
      <c r="BW185" s="512">
        <v>3486.7398220199998</v>
      </c>
      <c r="BX185" s="512">
        <v>3598.5055253099999</v>
      </c>
      <c r="BY185" s="512">
        <v>8.9055969099999999</v>
      </c>
      <c r="BZ185" s="512">
        <v>8.9934468899999995</v>
      </c>
      <c r="CA185" s="512">
        <v>0.22753899</v>
      </c>
      <c r="CB185" s="512">
        <v>8.0261732200000004</v>
      </c>
      <c r="CC185" s="512">
        <v>8.0079520100000003</v>
      </c>
      <c r="CD185" s="512">
        <v>-1.2162416899999999</v>
      </c>
      <c r="CE185" s="512">
        <v>-0.97682217999999998</v>
      </c>
      <c r="CF185" s="512">
        <v>0.56574683000000003</v>
      </c>
      <c r="CG185" s="512"/>
    </row>
    <row r="186" spans="1:85" s="519" customFormat="1">
      <c r="A186" s="546">
        <v>62006023</v>
      </c>
      <c r="B186" s="543" t="s">
        <v>939</v>
      </c>
      <c r="C186" s="543" t="s">
        <v>788</v>
      </c>
      <c r="D186" s="521" t="s">
        <v>736</v>
      </c>
      <c r="E186" s="513" t="s">
        <v>949</v>
      </c>
      <c r="F186" s="536" t="str">
        <f t="shared" si="96"/>
        <v>06/11/20</v>
      </c>
      <c r="G186" s="524" t="s">
        <v>950</v>
      </c>
      <c r="H186" s="524" t="s">
        <v>708</v>
      </c>
      <c r="I186" s="532"/>
      <c r="J186" s="531">
        <v>23.769252999999999</v>
      </c>
      <c r="K186" s="531">
        <v>41.798886000000003</v>
      </c>
      <c r="L186" s="531">
        <v>29.389727000000001</v>
      </c>
      <c r="M186" s="531">
        <v>33.134970000000003</v>
      </c>
      <c r="N186" s="528">
        <v>4250</v>
      </c>
      <c r="O186" s="528">
        <v>38.71</v>
      </c>
      <c r="P186" s="528">
        <v>3.0499999999999999E-2</v>
      </c>
      <c r="Q186" s="528">
        <v>1.4999999999999999E-2</v>
      </c>
      <c r="R186" s="529">
        <v>8.02707792</v>
      </c>
      <c r="S186" s="529">
        <f t="shared" si="97"/>
        <v>16.053324</v>
      </c>
      <c r="T186" s="544">
        <v>75.5</v>
      </c>
      <c r="U186" s="544">
        <v>73.099999999999994</v>
      </c>
      <c r="V186" s="530">
        <v>20269</v>
      </c>
      <c r="W186" s="530">
        <v>22224</v>
      </c>
      <c r="X186" s="530">
        <f t="shared" si="98"/>
        <v>1955</v>
      </c>
      <c r="Y186" s="530">
        <f t="shared" si="99"/>
        <v>243.55064439190096</v>
      </c>
      <c r="Z186" s="534">
        <v>20400</v>
      </c>
      <c r="AA186" s="530">
        <v>22363</v>
      </c>
      <c r="AB186" s="530">
        <f t="shared" si="100"/>
        <v>1963</v>
      </c>
      <c r="AC186" s="533">
        <f t="shared" si="101"/>
        <v>244.54727106971947</v>
      </c>
      <c r="AD186" s="534">
        <v>402</v>
      </c>
      <c r="AE186" s="530">
        <v>456</v>
      </c>
      <c r="AF186" s="530">
        <f t="shared" si="102"/>
        <v>54</v>
      </c>
      <c r="AG186" s="533">
        <f t="shared" si="103"/>
        <v>6.7272300752750134</v>
      </c>
      <c r="AH186" s="534">
        <v>18606</v>
      </c>
      <c r="AI186" s="530">
        <v>20442</v>
      </c>
      <c r="AJ186" s="530">
        <f t="shared" si="104"/>
        <v>1836</v>
      </c>
      <c r="AK186" s="533">
        <f t="shared" si="105"/>
        <v>228.72582255935046</v>
      </c>
      <c r="AL186" s="534">
        <v>1217</v>
      </c>
      <c r="AM186" s="530">
        <v>1281.3</v>
      </c>
      <c r="AN186" s="530">
        <f t="shared" si="106"/>
        <v>64.299999999999955</v>
      </c>
      <c r="AO186" s="533">
        <f t="shared" si="107"/>
        <v>8.0103869229663527</v>
      </c>
      <c r="AP186" s="534">
        <v>977.85345199999995</v>
      </c>
      <c r="AQ186" s="530">
        <v>1029.643235</v>
      </c>
      <c r="AR186" s="530">
        <f t="shared" si="108"/>
        <v>51.789783000000057</v>
      </c>
      <c r="AS186" s="533">
        <f t="shared" si="109"/>
        <v>6.4518849220290182</v>
      </c>
      <c r="AT186" s="534">
        <v>1.2</v>
      </c>
      <c r="AU186" s="530">
        <v>1.2</v>
      </c>
      <c r="AV186" s="530">
        <f t="shared" si="110"/>
        <v>0</v>
      </c>
      <c r="AW186" s="533">
        <f t="shared" si="111"/>
        <v>0</v>
      </c>
      <c r="AX186" s="534">
        <v>24.5</v>
      </c>
      <c r="AY186" s="530">
        <v>25</v>
      </c>
      <c r="AZ186" s="530">
        <f t="shared" si="112"/>
        <v>0.5</v>
      </c>
      <c r="BA186" s="533">
        <f t="shared" si="113"/>
        <v>6.2289167363657534E-2</v>
      </c>
      <c r="BB186" s="534">
        <v>-61.04</v>
      </c>
      <c r="BC186" s="530">
        <v>-62.08</v>
      </c>
      <c r="BD186" s="530">
        <f t="shared" si="114"/>
        <v>-1.0399999999999991</v>
      </c>
      <c r="BE186" s="530">
        <v>-6.2340289999999996</v>
      </c>
      <c r="BF186" s="533">
        <f t="shared" si="115"/>
        <v>-0.12956146811640756</v>
      </c>
      <c r="BG186" s="527">
        <v>75.5</v>
      </c>
      <c r="BH186" s="527">
        <v>73.099999999999994</v>
      </c>
      <c r="BI186" s="527">
        <f t="shared" si="116"/>
        <v>-2.4000000000000057</v>
      </c>
      <c r="BJ186" s="545">
        <v>68.900000000000006</v>
      </c>
      <c r="BK186" s="545">
        <v>69.5</v>
      </c>
      <c r="BL186" s="545">
        <f t="shared" si="117"/>
        <v>0.59999999999999432</v>
      </c>
      <c r="BM186" s="545">
        <v>0</v>
      </c>
      <c r="BN186" s="545">
        <v>0</v>
      </c>
      <c r="BO186" s="545">
        <f t="shared" si="118"/>
        <v>0</v>
      </c>
      <c r="BP186" s="527"/>
      <c r="BQ186" s="527"/>
      <c r="BR186" s="527"/>
      <c r="BS186" s="527"/>
      <c r="BT186" s="524" t="s">
        <v>723</v>
      </c>
      <c r="BU186" s="512">
        <v>9032.7284857100003</v>
      </c>
      <c r="BV186" s="512">
        <v>-3.10242672</v>
      </c>
      <c r="BW186" s="512">
        <v>3486.7902778600001</v>
      </c>
      <c r="BX186" s="512">
        <v>3598.4288975300001</v>
      </c>
      <c r="BY186" s="512">
        <v>8.9027423999999993</v>
      </c>
      <c r="BZ186" s="512">
        <v>8.9933405799999999</v>
      </c>
      <c r="CA186" s="512">
        <v>0.23755069000000001</v>
      </c>
      <c r="CB186" s="512">
        <v>8.0269738099999994</v>
      </c>
      <c r="CC186" s="512">
        <v>8.0079508599999993</v>
      </c>
      <c r="CD186" s="512">
        <v>-1.25761166</v>
      </c>
      <c r="CE186" s="512">
        <v>-1.0073918900000001</v>
      </c>
      <c r="CF186" s="512">
        <v>0.56573227999999998</v>
      </c>
      <c r="CG186" s="512"/>
    </row>
    <row r="187" spans="1:85" s="519" customFormat="1">
      <c r="A187" s="546">
        <v>62006023</v>
      </c>
      <c r="B187" s="543" t="s">
        <v>940</v>
      </c>
      <c r="C187" s="543" t="s">
        <v>943</v>
      </c>
      <c r="D187" s="521" t="s">
        <v>736</v>
      </c>
      <c r="E187" s="513" t="s">
        <v>949</v>
      </c>
      <c r="F187" s="536" t="str">
        <f t="shared" si="96"/>
        <v>06/11/20</v>
      </c>
      <c r="G187" s="524" t="s">
        <v>950</v>
      </c>
      <c r="H187" s="524" t="s">
        <v>708</v>
      </c>
      <c r="I187" s="532"/>
      <c r="J187" s="531">
        <v>23.805111</v>
      </c>
      <c r="K187" s="531">
        <v>41.649653999999998</v>
      </c>
      <c r="L187" s="531">
        <v>29.392676000000002</v>
      </c>
      <c r="M187" s="531">
        <v>33.264087000000004</v>
      </c>
      <c r="N187" s="528">
        <v>4250</v>
      </c>
      <c r="O187" s="528">
        <v>38.71</v>
      </c>
      <c r="P187" s="528">
        <v>3.0499999999999999E-2</v>
      </c>
      <c r="Q187" s="528">
        <v>1.4999999999999999E-2</v>
      </c>
      <c r="R187" s="529">
        <v>8.0260290800000007</v>
      </c>
      <c r="S187" s="529">
        <f t="shared" si="97"/>
        <v>16.053107000000001</v>
      </c>
      <c r="T187" s="544">
        <v>73.099999999999994</v>
      </c>
      <c r="U187" s="544">
        <v>70.7</v>
      </c>
      <c r="V187" s="530">
        <v>22224</v>
      </c>
      <c r="W187" s="530">
        <v>24179</v>
      </c>
      <c r="X187" s="530">
        <f t="shared" si="98"/>
        <v>1955</v>
      </c>
      <c r="Y187" s="530">
        <f t="shared" si="99"/>
        <v>243.58247154519404</v>
      </c>
      <c r="Z187" s="534">
        <v>22363</v>
      </c>
      <c r="AA187" s="530">
        <v>24325</v>
      </c>
      <c r="AB187" s="530">
        <f t="shared" si="100"/>
        <v>1962</v>
      </c>
      <c r="AC187" s="533">
        <f t="shared" si="101"/>
        <v>244.45463384740188</v>
      </c>
      <c r="AD187" s="534">
        <v>456</v>
      </c>
      <c r="AE187" s="530">
        <v>510</v>
      </c>
      <c r="AF187" s="530">
        <f t="shared" si="102"/>
        <v>54</v>
      </c>
      <c r="AG187" s="533">
        <f t="shared" si="103"/>
        <v>6.7281091884606026</v>
      </c>
      <c r="AH187" s="534">
        <v>20442</v>
      </c>
      <c r="AI187" s="530">
        <v>22276</v>
      </c>
      <c r="AJ187" s="530">
        <f t="shared" si="104"/>
        <v>1834</v>
      </c>
      <c r="AK187" s="533">
        <f t="shared" si="105"/>
        <v>228.50652317845822</v>
      </c>
      <c r="AL187" s="534">
        <v>1281.3</v>
      </c>
      <c r="AM187" s="530">
        <v>1345.6</v>
      </c>
      <c r="AN187" s="530">
        <f t="shared" si="106"/>
        <v>64.299999999999955</v>
      </c>
      <c r="AO187" s="533">
        <f t="shared" si="107"/>
        <v>8.0114337188521567</v>
      </c>
      <c r="AP187" s="534">
        <v>1029.6632059999999</v>
      </c>
      <c r="AQ187" s="530">
        <v>1081.5229420000001</v>
      </c>
      <c r="AR187" s="530">
        <f t="shared" si="108"/>
        <v>51.859736000000112</v>
      </c>
      <c r="AS187" s="533">
        <f t="shared" si="109"/>
        <v>6.4614438202359601</v>
      </c>
      <c r="AT187" s="534">
        <v>1.2</v>
      </c>
      <c r="AU187" s="530">
        <v>1.2</v>
      </c>
      <c r="AV187" s="530">
        <f t="shared" si="110"/>
        <v>0</v>
      </c>
      <c r="AW187" s="533">
        <f t="shared" si="111"/>
        <v>0</v>
      </c>
      <c r="AX187" s="534">
        <v>25</v>
      </c>
      <c r="AY187" s="530">
        <v>25.6</v>
      </c>
      <c r="AZ187" s="530">
        <f t="shared" si="112"/>
        <v>0.60000000000000142</v>
      </c>
      <c r="BA187" s="533">
        <f t="shared" si="113"/>
        <v>7.4756768760673539E-2</v>
      </c>
      <c r="BB187" s="534">
        <v>-62.08</v>
      </c>
      <c r="BC187" s="530">
        <v>-63</v>
      </c>
      <c r="BD187" s="530">
        <f t="shared" si="114"/>
        <v>-0.92000000000000171</v>
      </c>
      <c r="BE187" s="530">
        <v>-5.5079779999999996</v>
      </c>
      <c r="BF187" s="533">
        <f t="shared" si="115"/>
        <v>-0.1146270454330327</v>
      </c>
      <c r="BG187" s="527">
        <v>73.099999999999994</v>
      </c>
      <c r="BH187" s="527">
        <v>70.7</v>
      </c>
      <c r="BI187" s="527">
        <f t="shared" si="116"/>
        <v>-2.3999999999999915</v>
      </c>
      <c r="BJ187" s="545">
        <v>69.5</v>
      </c>
      <c r="BK187" s="545">
        <v>70.099999999999994</v>
      </c>
      <c r="BL187" s="545">
        <f t="shared" si="117"/>
        <v>0.59999999999999432</v>
      </c>
      <c r="BM187" s="545">
        <v>0</v>
      </c>
      <c r="BN187" s="545">
        <v>0</v>
      </c>
      <c r="BO187" s="545">
        <f t="shared" si="118"/>
        <v>0</v>
      </c>
      <c r="BP187" s="527"/>
      <c r="BQ187" s="527"/>
      <c r="BR187" s="527"/>
      <c r="BS187" s="527"/>
      <c r="BT187" s="524" t="s">
        <v>723</v>
      </c>
      <c r="BU187" s="512">
        <v>9032.8334674599992</v>
      </c>
      <c r="BV187" s="512">
        <v>-3.1544444399999998</v>
      </c>
      <c r="BW187" s="512">
        <v>3484.9181164699999</v>
      </c>
      <c r="BX187" s="512">
        <v>3598.42854549</v>
      </c>
      <c r="BY187" s="512">
        <v>8.9035652899999995</v>
      </c>
      <c r="BZ187" s="512">
        <v>8.9933311800000002</v>
      </c>
      <c r="CA187" s="512">
        <v>0.22530668000000001</v>
      </c>
      <c r="CB187" s="512">
        <v>8.0259942899999999</v>
      </c>
      <c r="CC187" s="512">
        <v>8.0079518400000005</v>
      </c>
      <c r="CD187" s="512">
        <v>-1.2357798200000001</v>
      </c>
      <c r="CE187" s="512">
        <v>-0.99813834000000001</v>
      </c>
      <c r="CF187" s="512">
        <v>0.56573572000000005</v>
      </c>
      <c r="CG187" s="512"/>
    </row>
    <row r="188" spans="1:85" s="519" customFormat="1">
      <c r="A188" s="546">
        <v>62006023</v>
      </c>
      <c r="B188" s="543" t="s">
        <v>941</v>
      </c>
      <c r="C188" s="543" t="s">
        <v>944</v>
      </c>
      <c r="D188" s="521" t="s">
        <v>736</v>
      </c>
      <c r="E188" s="513" t="s">
        <v>949</v>
      </c>
      <c r="F188" s="536" t="str">
        <f t="shared" si="96"/>
        <v>06/11/20</v>
      </c>
      <c r="G188" s="524" t="s">
        <v>950</v>
      </c>
      <c r="H188" s="524" t="s">
        <v>708</v>
      </c>
      <c r="I188" s="532"/>
      <c r="J188" s="531">
        <v>23.894134000000001</v>
      </c>
      <c r="K188" s="531">
        <v>41.400123999999998</v>
      </c>
      <c r="L188" s="531">
        <v>29.394321999999999</v>
      </c>
      <c r="M188" s="531">
        <v>33.329196000000003</v>
      </c>
      <c r="N188" s="528">
        <v>4250</v>
      </c>
      <c r="O188" s="528">
        <v>38.71</v>
      </c>
      <c r="P188" s="528">
        <v>3.0499999999999999E-2</v>
      </c>
      <c r="Q188" s="528">
        <v>1.4999999999999999E-2</v>
      </c>
      <c r="R188" s="529">
        <v>8.0269273400000003</v>
      </c>
      <c r="S188" s="529">
        <f t="shared" si="97"/>
        <v>16.052956420000001</v>
      </c>
      <c r="T188" s="544">
        <v>70.7</v>
      </c>
      <c r="U188" s="544">
        <v>68.3</v>
      </c>
      <c r="V188" s="530">
        <v>24179</v>
      </c>
      <c r="W188" s="530">
        <v>26131</v>
      </c>
      <c r="X188" s="530">
        <f t="shared" si="98"/>
        <v>1952</v>
      </c>
      <c r="Y188" s="530">
        <f t="shared" si="99"/>
        <v>243.18147123031014</v>
      </c>
      <c r="Z188" s="534">
        <v>24325</v>
      </c>
      <c r="AA188" s="530">
        <v>26283.258546000001</v>
      </c>
      <c r="AB188" s="530">
        <f t="shared" si="100"/>
        <v>1958.2585460000009</v>
      </c>
      <c r="AC188" s="533">
        <f t="shared" si="101"/>
        <v>243.96116509508616</v>
      </c>
      <c r="AD188" s="534">
        <v>510</v>
      </c>
      <c r="AE188" s="530">
        <v>565</v>
      </c>
      <c r="AF188" s="530">
        <f t="shared" si="102"/>
        <v>55</v>
      </c>
      <c r="AG188" s="533">
        <f t="shared" si="103"/>
        <v>6.8519369455261563</v>
      </c>
      <c r="AH188" s="534">
        <v>22276</v>
      </c>
      <c r="AI188" s="530">
        <v>24107</v>
      </c>
      <c r="AJ188" s="530">
        <f t="shared" si="104"/>
        <v>1831</v>
      </c>
      <c r="AK188" s="533">
        <f t="shared" si="105"/>
        <v>228.10720995015259</v>
      </c>
      <c r="AL188" s="534">
        <v>1345.6</v>
      </c>
      <c r="AM188" s="530">
        <v>1409.7</v>
      </c>
      <c r="AN188" s="530">
        <f t="shared" si="106"/>
        <v>64.100000000000136</v>
      </c>
      <c r="AO188" s="533">
        <f t="shared" si="107"/>
        <v>7.9856210583314109</v>
      </c>
      <c r="AP188" s="534">
        <v>1081.542942</v>
      </c>
      <c r="AQ188" s="530">
        <v>1133.2825809999999</v>
      </c>
      <c r="AR188" s="530">
        <f t="shared" si="108"/>
        <v>51.739638999999897</v>
      </c>
      <c r="AS188" s="533">
        <f t="shared" si="109"/>
        <v>6.4457589820415508</v>
      </c>
      <c r="AT188" s="534">
        <v>1.2</v>
      </c>
      <c r="AU188" s="530">
        <v>1.2</v>
      </c>
      <c r="AV188" s="530">
        <f t="shared" si="110"/>
        <v>0</v>
      </c>
      <c r="AW188" s="533">
        <f t="shared" si="111"/>
        <v>0</v>
      </c>
      <c r="AX188" s="534">
        <v>25.6</v>
      </c>
      <c r="AY188" s="530">
        <v>26.2</v>
      </c>
      <c r="AZ188" s="530">
        <f t="shared" si="112"/>
        <v>0.59999999999999787</v>
      </c>
      <c r="BA188" s="533">
        <f t="shared" si="113"/>
        <v>7.4748403042103256E-2</v>
      </c>
      <c r="BB188" s="534">
        <v>-63</v>
      </c>
      <c r="BC188" s="530">
        <v>-63.84</v>
      </c>
      <c r="BD188" s="530">
        <f t="shared" si="114"/>
        <v>-0.84000000000000341</v>
      </c>
      <c r="BE188" s="530">
        <v>-4.9995250000000002</v>
      </c>
      <c r="BF188" s="533">
        <f t="shared" si="115"/>
        <v>-0.10464776425894537</v>
      </c>
      <c r="BG188" s="527">
        <v>70.7</v>
      </c>
      <c r="BH188" s="527">
        <v>68.3</v>
      </c>
      <c r="BI188" s="527">
        <f t="shared" si="116"/>
        <v>-2.4000000000000057</v>
      </c>
      <c r="BJ188" s="545">
        <v>70.099999999999994</v>
      </c>
      <c r="BK188" s="545">
        <v>70.599999999999994</v>
      </c>
      <c r="BL188" s="545">
        <f t="shared" si="117"/>
        <v>0.5</v>
      </c>
      <c r="BM188" s="545">
        <v>0</v>
      </c>
      <c r="BN188" s="545">
        <v>0</v>
      </c>
      <c r="BO188" s="545">
        <f t="shared" si="118"/>
        <v>0</v>
      </c>
      <c r="BP188" s="527"/>
      <c r="BQ188" s="527"/>
      <c r="BR188" s="527"/>
      <c r="BS188" s="527"/>
      <c r="BT188" s="524" t="s">
        <v>723</v>
      </c>
      <c r="BU188" s="512">
        <v>9032.5819643100003</v>
      </c>
      <c r="BV188" s="512">
        <v>-3.0913243000000001</v>
      </c>
      <c r="BW188" s="512">
        <v>3487.1132576099999</v>
      </c>
      <c r="BX188" s="512">
        <v>3598.34992302</v>
      </c>
      <c r="BY188" s="512">
        <v>8.9053355399999994</v>
      </c>
      <c r="BZ188" s="512">
        <v>8.9931895199999996</v>
      </c>
      <c r="CA188" s="512">
        <v>0.23666922000000001</v>
      </c>
      <c r="CB188" s="512">
        <v>8.0269032100000004</v>
      </c>
      <c r="CC188" s="512">
        <v>8.0079508500000003</v>
      </c>
      <c r="CD188" s="512">
        <v>-1.2255360099999999</v>
      </c>
      <c r="CE188" s="512">
        <v>-0.97689459999999995</v>
      </c>
      <c r="CF188" s="512">
        <v>0.56572306999999999</v>
      </c>
      <c r="CG188" s="512"/>
    </row>
    <row r="189" spans="1:85" s="519" customFormat="1" ht="22.5">
      <c r="A189" s="546">
        <v>62006024</v>
      </c>
      <c r="B189" s="547" t="s">
        <v>974</v>
      </c>
      <c r="C189" s="543" t="s">
        <v>695</v>
      </c>
      <c r="D189" s="521" t="s">
        <v>739</v>
      </c>
      <c r="E189" s="513" t="s">
        <v>951</v>
      </c>
      <c r="F189" s="536" t="str">
        <f t="shared" si="96"/>
        <v>06/11/20</v>
      </c>
      <c r="G189" s="524" t="s">
        <v>952</v>
      </c>
      <c r="H189" s="524" t="s">
        <v>708</v>
      </c>
      <c r="I189" s="532"/>
      <c r="J189" s="531">
        <v>22.068380999999999</v>
      </c>
      <c r="K189" s="531">
        <v>48.657865999999999</v>
      </c>
      <c r="L189" s="531">
        <v>29.403231999999999</v>
      </c>
      <c r="M189" s="531">
        <v>31.194237999999999</v>
      </c>
      <c r="N189" s="528">
        <v>4250</v>
      </c>
      <c r="O189" s="528">
        <v>38.71</v>
      </c>
      <c r="P189" s="528">
        <v>3.0499999999999999E-2</v>
      </c>
      <c r="Q189" s="528">
        <v>1.4999999999999999E-2</v>
      </c>
      <c r="R189" s="529">
        <v>7.7524794000000004</v>
      </c>
      <c r="S189" s="529">
        <f t="shared" si="97"/>
        <v>15.779406740000001</v>
      </c>
      <c r="T189" s="544">
        <v>68.3</v>
      </c>
      <c r="U189" s="544">
        <v>66.099999999999994</v>
      </c>
      <c r="V189" s="530">
        <v>26171</v>
      </c>
      <c r="W189" s="530">
        <v>27889</v>
      </c>
      <c r="X189" s="530">
        <f t="shared" si="98"/>
        <v>1718</v>
      </c>
      <c r="Y189" s="530">
        <f t="shared" si="99"/>
        <v>221.60652242429691</v>
      </c>
      <c r="Z189" s="534">
        <v>26330</v>
      </c>
      <c r="AA189" s="530">
        <v>28057</v>
      </c>
      <c r="AB189" s="530">
        <f t="shared" si="100"/>
        <v>1727</v>
      </c>
      <c r="AC189" s="533">
        <f t="shared" si="101"/>
        <v>222.76744134270126</v>
      </c>
      <c r="AD189" s="534">
        <v>565</v>
      </c>
      <c r="AE189" s="530">
        <v>629</v>
      </c>
      <c r="AF189" s="530">
        <f t="shared" si="102"/>
        <v>64</v>
      </c>
      <c r="AG189" s="533">
        <f t="shared" si="103"/>
        <v>8.2554234197642629</v>
      </c>
      <c r="AH189" s="534">
        <v>24108</v>
      </c>
      <c r="AI189" s="530">
        <v>25671</v>
      </c>
      <c r="AJ189" s="530">
        <f t="shared" si="104"/>
        <v>1563</v>
      </c>
      <c r="AK189" s="533">
        <f t="shared" si="105"/>
        <v>201.61291882955535</v>
      </c>
      <c r="AL189" s="534">
        <v>1448.7</v>
      </c>
      <c r="AM189" s="530">
        <v>1536.8</v>
      </c>
      <c r="AN189" s="530">
        <f t="shared" si="106"/>
        <v>88.099999999999909</v>
      </c>
      <c r="AO189" s="533">
        <f t="shared" si="107"/>
        <v>11.364106301269231</v>
      </c>
      <c r="AP189" s="534">
        <v>1161.81</v>
      </c>
      <c r="AQ189" s="530">
        <v>1232.52</v>
      </c>
      <c r="AR189" s="530">
        <f t="shared" si="108"/>
        <v>70.710000000000036</v>
      </c>
      <c r="AS189" s="533">
        <f t="shared" si="109"/>
        <v>9.120952968930176</v>
      </c>
      <c r="AT189" s="534">
        <v>1.2</v>
      </c>
      <c r="AU189" s="530">
        <v>1.1000000000000001</v>
      </c>
      <c r="AV189" s="530">
        <f t="shared" si="110"/>
        <v>-9.9999999999999867E-2</v>
      </c>
      <c r="AW189" s="533">
        <f t="shared" si="111"/>
        <v>-1.2899099093381643E-2</v>
      </c>
      <c r="AX189" s="534">
        <v>26.7</v>
      </c>
      <c r="AY189" s="530">
        <v>27.5</v>
      </c>
      <c r="AZ189" s="530">
        <f t="shared" si="112"/>
        <v>0.80000000000000071</v>
      </c>
      <c r="BA189" s="533">
        <f t="shared" si="113"/>
        <v>0.10319279274705337</v>
      </c>
      <c r="BB189" s="534">
        <v>-64.540000000000006</v>
      </c>
      <c r="BC189" s="530">
        <v>-65.55</v>
      </c>
      <c r="BD189" s="530">
        <f t="shared" si="114"/>
        <v>-1.0099999999999909</v>
      </c>
      <c r="BE189" s="530">
        <v>-4.2668819999999998</v>
      </c>
      <c r="BF189" s="533">
        <f t="shared" si="115"/>
        <v>-0.13028090084315358</v>
      </c>
      <c r="BG189" s="527">
        <v>68.3</v>
      </c>
      <c r="BH189" s="527">
        <v>66.099999999999994</v>
      </c>
      <c r="BI189" s="527">
        <f t="shared" si="116"/>
        <v>-2.2000000000000028</v>
      </c>
      <c r="BJ189" s="545">
        <v>71.2</v>
      </c>
      <c r="BK189" s="545">
        <v>72</v>
      </c>
      <c r="BL189" s="545">
        <f t="shared" si="117"/>
        <v>0.79999999999999716</v>
      </c>
      <c r="BM189" s="545">
        <v>0</v>
      </c>
      <c r="BN189" s="545">
        <v>0</v>
      </c>
      <c r="BO189" s="545">
        <f t="shared" si="118"/>
        <v>0</v>
      </c>
      <c r="BP189" s="527"/>
      <c r="BQ189" s="527"/>
      <c r="BR189" s="527"/>
      <c r="BS189" s="527"/>
      <c r="BT189" s="524" t="s">
        <v>723</v>
      </c>
      <c r="BU189" s="512">
        <v>1659.0497552300001</v>
      </c>
      <c r="BV189" s="512">
        <v>-2.1299899</v>
      </c>
      <c r="BW189" s="512">
        <v>5108.5836529500002</v>
      </c>
      <c r="BX189" s="512">
        <v>5219.7641011200003</v>
      </c>
      <c r="BY189" s="512">
        <v>8.84614981</v>
      </c>
      <c r="BZ189" s="512">
        <v>9.0321642499999992</v>
      </c>
      <c r="CA189" s="512">
        <v>0.25974438</v>
      </c>
      <c r="CB189" s="512">
        <v>7.7524223000000001</v>
      </c>
      <c r="CC189" s="512">
        <v>7.7323379900000004</v>
      </c>
      <c r="CD189" s="512">
        <v>-2.3679790600000001</v>
      </c>
      <c r="CE189" s="512">
        <v>-2.0594669300000001</v>
      </c>
      <c r="CF189" s="512">
        <v>0.73999570000000003</v>
      </c>
      <c r="CG189" s="512"/>
    </row>
    <row r="190" spans="1:85" s="519" customFormat="1" ht="22.5">
      <c r="A190" s="546">
        <v>62006025</v>
      </c>
      <c r="B190" s="547" t="s">
        <v>973</v>
      </c>
      <c r="C190" s="543" t="s">
        <v>695</v>
      </c>
      <c r="D190" s="521" t="s">
        <v>739</v>
      </c>
      <c r="E190" s="513" t="s">
        <v>953</v>
      </c>
      <c r="F190" s="536" t="str">
        <f t="shared" si="96"/>
        <v>06/11/20</v>
      </c>
      <c r="G190" s="524" t="s">
        <v>954</v>
      </c>
      <c r="H190" s="524" t="s">
        <v>708</v>
      </c>
      <c r="I190" s="532"/>
      <c r="J190" s="531">
        <v>23.095635999999999</v>
      </c>
      <c r="K190" s="531">
        <v>43.056486999999997</v>
      </c>
      <c r="L190" s="531">
        <v>29.405418999999998</v>
      </c>
      <c r="M190" s="531">
        <v>31.359000000000002</v>
      </c>
      <c r="N190" s="528">
        <v>4250</v>
      </c>
      <c r="O190" s="528">
        <v>38.71</v>
      </c>
      <c r="P190" s="528">
        <v>3.0499999999999999E-2</v>
      </c>
      <c r="Q190" s="528">
        <v>1.4999999999999999E-2</v>
      </c>
      <c r="R190" s="529">
        <v>7.7597499699999997</v>
      </c>
      <c r="S190" s="529">
        <f t="shared" si="97"/>
        <v>15.51222937</v>
      </c>
      <c r="T190" s="544">
        <v>66.099999999999994</v>
      </c>
      <c r="U190" s="544">
        <v>63.8</v>
      </c>
      <c r="V190" s="530">
        <v>27944</v>
      </c>
      <c r="W190" s="530">
        <v>29802</v>
      </c>
      <c r="X190" s="530">
        <f t="shared" si="98"/>
        <v>1858</v>
      </c>
      <c r="Y190" s="530">
        <f t="shared" si="99"/>
        <v>239.44070455661861</v>
      </c>
      <c r="Z190" s="534">
        <v>28118</v>
      </c>
      <c r="AA190" s="530">
        <v>29986</v>
      </c>
      <c r="AB190" s="530">
        <f t="shared" si="100"/>
        <v>1868</v>
      </c>
      <c r="AC190" s="533">
        <f t="shared" si="101"/>
        <v>240.72940587285444</v>
      </c>
      <c r="AD190" s="534">
        <v>629</v>
      </c>
      <c r="AE190" s="530">
        <v>695</v>
      </c>
      <c r="AF190" s="530">
        <f t="shared" si="102"/>
        <v>66</v>
      </c>
      <c r="AG190" s="533">
        <f t="shared" si="103"/>
        <v>8.5054286871565274</v>
      </c>
      <c r="AH190" s="534">
        <v>25672</v>
      </c>
      <c r="AI190" s="530">
        <v>27372</v>
      </c>
      <c r="AJ190" s="530">
        <f t="shared" si="104"/>
        <v>1700</v>
      </c>
      <c r="AK190" s="533">
        <f t="shared" si="105"/>
        <v>219.07922376009236</v>
      </c>
      <c r="AL190" s="534">
        <v>1590.440008</v>
      </c>
      <c r="AM190" s="530">
        <v>1679.7</v>
      </c>
      <c r="AN190" s="530">
        <f t="shared" si="106"/>
        <v>89.259992000000011</v>
      </c>
      <c r="AO190" s="533">
        <f t="shared" si="107"/>
        <v>11.502946917760033</v>
      </c>
      <c r="AP190" s="534">
        <v>1276.1220020000001</v>
      </c>
      <c r="AQ190" s="530">
        <v>1347.9519150000001</v>
      </c>
      <c r="AR190" s="530">
        <f t="shared" si="108"/>
        <v>71.829913000000033</v>
      </c>
      <c r="AS190" s="533">
        <f t="shared" si="109"/>
        <v>9.2567303428205729</v>
      </c>
      <c r="AT190" s="534">
        <v>1.1000000000000001</v>
      </c>
      <c r="AU190" s="530">
        <v>1</v>
      </c>
      <c r="AV190" s="530">
        <f t="shared" si="110"/>
        <v>-0.10000000000000009</v>
      </c>
      <c r="AW190" s="533">
        <f t="shared" si="111"/>
        <v>-1.2887013162358386E-2</v>
      </c>
      <c r="AX190" s="534">
        <v>27.9</v>
      </c>
      <c r="AY190" s="530">
        <v>28.6</v>
      </c>
      <c r="AZ190" s="530">
        <f t="shared" si="112"/>
        <v>0.70000000000000284</v>
      </c>
      <c r="BA190" s="533">
        <f t="shared" si="113"/>
        <v>9.0209092136508989E-2</v>
      </c>
      <c r="BB190" s="534">
        <v>-66.09</v>
      </c>
      <c r="BC190" s="530">
        <v>-66.98</v>
      </c>
      <c r="BD190" s="530">
        <f t="shared" si="114"/>
        <v>-0.89000000000000057</v>
      </c>
      <c r="BE190" s="530">
        <v>-3.6463969999999999</v>
      </c>
      <c r="BF190" s="533">
        <f t="shared" si="115"/>
        <v>-0.11469441714498961</v>
      </c>
      <c r="BG190" s="527">
        <v>66.099999999999994</v>
      </c>
      <c r="BH190" s="527">
        <v>63.8</v>
      </c>
      <c r="BI190" s="527">
        <f t="shared" si="116"/>
        <v>-2.2999999999999972</v>
      </c>
      <c r="BJ190" s="545">
        <v>72.5</v>
      </c>
      <c r="BK190" s="545">
        <v>73.3</v>
      </c>
      <c r="BL190" s="545">
        <f t="shared" si="117"/>
        <v>0.79999999999999716</v>
      </c>
      <c r="BM190" s="545">
        <v>0</v>
      </c>
      <c r="BN190" s="545">
        <v>0</v>
      </c>
      <c r="BO190" s="545">
        <f t="shared" si="118"/>
        <v>0</v>
      </c>
      <c r="BP190" s="527"/>
      <c r="BQ190" s="527"/>
      <c r="BR190" s="527"/>
      <c r="BS190" s="527"/>
      <c r="BT190" s="524" t="s">
        <v>723</v>
      </c>
      <c r="BU190" s="512">
        <v>1658.7477775499999</v>
      </c>
      <c r="BV190" s="512">
        <v>-2.1330504700000001</v>
      </c>
      <c r="BW190" s="512">
        <v>5108.3843118499999</v>
      </c>
      <c r="BX190" s="512">
        <v>5219.7236519400003</v>
      </c>
      <c r="BY190" s="512">
        <v>8.8454559899999996</v>
      </c>
      <c r="BZ190" s="512">
        <v>9.0320845300000006</v>
      </c>
      <c r="CA190" s="512">
        <v>0.35448011000000001</v>
      </c>
      <c r="CB190" s="512">
        <v>7.7597463400000004</v>
      </c>
      <c r="CC190" s="512">
        <v>7.73233675</v>
      </c>
      <c r="CD190" s="512">
        <v>-2.4718395900000001</v>
      </c>
      <c r="CE190" s="512">
        <v>-2.0662842499999998</v>
      </c>
      <c r="CF190" s="512">
        <v>0.73999402000000003</v>
      </c>
      <c r="CG190" s="512"/>
    </row>
    <row r="191" spans="1:85" s="519" customFormat="1" ht="22.5">
      <c r="A191" s="546">
        <v>62006026</v>
      </c>
      <c r="B191" s="547" t="s">
        <v>975</v>
      </c>
      <c r="C191" s="543" t="s">
        <v>695</v>
      </c>
      <c r="D191" s="521" t="s">
        <v>739</v>
      </c>
      <c r="E191" s="513" t="s">
        <v>955</v>
      </c>
      <c r="F191" s="536" t="str">
        <f t="shared" si="96"/>
        <v>06/11/20</v>
      </c>
      <c r="G191" s="524" t="s">
        <v>956</v>
      </c>
      <c r="H191" s="524" t="s">
        <v>708</v>
      </c>
      <c r="I191" s="532"/>
      <c r="J191" s="531">
        <v>22.350743999999999</v>
      </c>
      <c r="K191" s="531">
        <v>45.843372000000002</v>
      </c>
      <c r="L191" s="531">
        <v>29.403276999999999</v>
      </c>
      <c r="M191" s="531">
        <v>31.845172999999999</v>
      </c>
      <c r="N191" s="528">
        <v>4250</v>
      </c>
      <c r="O191" s="528">
        <v>38.71</v>
      </c>
      <c r="P191" s="528">
        <v>3.0499999999999999E-2</v>
      </c>
      <c r="Q191" s="528">
        <v>1.4999999999999999E-2</v>
      </c>
      <c r="R191" s="529">
        <v>7.7602214700000003</v>
      </c>
      <c r="S191" s="529">
        <f t="shared" si="97"/>
        <v>15.519971439999999</v>
      </c>
      <c r="T191" s="544">
        <v>63.7</v>
      </c>
      <c r="U191" s="544">
        <v>61.4</v>
      </c>
      <c r="V191" s="530">
        <v>29818</v>
      </c>
      <c r="W191" s="530">
        <v>31670</v>
      </c>
      <c r="X191" s="530">
        <f t="shared" si="98"/>
        <v>1852</v>
      </c>
      <c r="Y191" s="530">
        <f t="shared" si="99"/>
        <v>238.65298267060925</v>
      </c>
      <c r="Z191" s="534">
        <v>30003</v>
      </c>
      <c r="AA191" s="530">
        <v>31865</v>
      </c>
      <c r="AB191" s="530">
        <f t="shared" si="100"/>
        <v>1862</v>
      </c>
      <c r="AC191" s="533">
        <f t="shared" si="101"/>
        <v>239.94160568718922</v>
      </c>
      <c r="AD191" s="534">
        <v>695</v>
      </c>
      <c r="AE191" s="530">
        <v>758</v>
      </c>
      <c r="AF191" s="530">
        <f t="shared" si="102"/>
        <v>63</v>
      </c>
      <c r="AG191" s="533">
        <f t="shared" si="103"/>
        <v>8.1183250044537711</v>
      </c>
      <c r="AH191" s="534">
        <v>27372</v>
      </c>
      <c r="AI191" s="530">
        <v>29069</v>
      </c>
      <c r="AJ191" s="530">
        <f t="shared" si="104"/>
        <v>1697</v>
      </c>
      <c r="AK191" s="533">
        <f t="shared" si="105"/>
        <v>218.67932591361983</v>
      </c>
      <c r="AL191" s="534">
        <v>1694.7</v>
      </c>
      <c r="AM191" s="530">
        <v>1784</v>
      </c>
      <c r="AN191" s="530">
        <f t="shared" si="106"/>
        <v>89.299999999999955</v>
      </c>
      <c r="AO191" s="533">
        <f t="shared" si="107"/>
        <v>11.507403538059069</v>
      </c>
      <c r="AP191" s="534">
        <v>1360.09</v>
      </c>
      <c r="AQ191" s="530">
        <v>1432.041397</v>
      </c>
      <c r="AR191" s="530">
        <f t="shared" si="108"/>
        <v>71.951397000000043</v>
      </c>
      <c r="AS191" s="533">
        <f t="shared" si="109"/>
        <v>9.2718226249282605</v>
      </c>
      <c r="AT191" s="534">
        <v>1</v>
      </c>
      <c r="AU191" s="530">
        <v>0.9</v>
      </c>
      <c r="AV191" s="530">
        <f t="shared" si="110"/>
        <v>-9.9999999999999978E-2</v>
      </c>
      <c r="AW191" s="533">
        <f t="shared" si="111"/>
        <v>-1.2886230165799633E-2</v>
      </c>
      <c r="AX191" s="534">
        <v>28.8</v>
      </c>
      <c r="AY191" s="530">
        <v>29.5</v>
      </c>
      <c r="AZ191" s="530">
        <f t="shared" si="112"/>
        <v>0.69999999999999929</v>
      </c>
      <c r="BA191" s="533">
        <f t="shared" si="113"/>
        <v>9.0203611160597358E-2</v>
      </c>
      <c r="BB191" s="534">
        <v>-67.12</v>
      </c>
      <c r="BC191" s="530">
        <v>-67.94</v>
      </c>
      <c r="BD191" s="530">
        <f t="shared" si="114"/>
        <v>-0.81999999999999318</v>
      </c>
      <c r="BE191" s="530">
        <v>-3.6683759999999999</v>
      </c>
      <c r="BF191" s="533">
        <f t="shared" si="115"/>
        <v>-0.10566708735955614</v>
      </c>
      <c r="BG191" s="527">
        <v>63.7</v>
      </c>
      <c r="BH191" s="527">
        <v>61.4</v>
      </c>
      <c r="BI191" s="527">
        <f t="shared" si="116"/>
        <v>-2.3000000000000043</v>
      </c>
      <c r="BJ191" s="545">
        <v>73.400000000000006</v>
      </c>
      <c r="BK191" s="545">
        <v>74.3</v>
      </c>
      <c r="BL191" s="545">
        <f t="shared" si="117"/>
        <v>0.89999999999999147</v>
      </c>
      <c r="BM191" s="545">
        <v>0</v>
      </c>
      <c r="BN191" s="545">
        <v>0</v>
      </c>
      <c r="BO191" s="545">
        <f t="shared" si="118"/>
        <v>0</v>
      </c>
      <c r="BP191" s="527"/>
      <c r="BQ191" s="527"/>
      <c r="BR191" s="527"/>
      <c r="BS191" s="527"/>
      <c r="BT191" s="524" t="s">
        <v>723</v>
      </c>
      <c r="BU191" s="512">
        <v>1659.22109572</v>
      </c>
      <c r="BV191" s="512">
        <v>-2.1383282000000001</v>
      </c>
      <c r="BW191" s="512">
        <v>5108.2011657399999</v>
      </c>
      <c r="BX191" s="512">
        <v>5219.8180060000004</v>
      </c>
      <c r="BY191" s="512">
        <v>8.8456878999999997</v>
      </c>
      <c r="BZ191" s="512">
        <v>9.0322563200000001</v>
      </c>
      <c r="CA191" s="512">
        <v>0.35956199999999999</v>
      </c>
      <c r="CB191" s="512">
        <v>7.7601409500000003</v>
      </c>
      <c r="CC191" s="512">
        <v>7.7323383999999997</v>
      </c>
      <c r="CD191" s="512">
        <v>-2.4762911600000002</v>
      </c>
      <c r="CE191" s="512">
        <v>-2.0655793899999999</v>
      </c>
      <c r="CF191" s="512">
        <v>0.73999872</v>
      </c>
      <c r="CG191" s="512"/>
    </row>
    <row r="192" spans="1:85" s="519" customFormat="1" ht="22.5">
      <c r="A192" s="546">
        <v>62006027</v>
      </c>
      <c r="B192" s="547" t="s">
        <v>976</v>
      </c>
      <c r="C192" s="543" t="s">
        <v>695</v>
      </c>
      <c r="D192" s="521" t="s">
        <v>739</v>
      </c>
      <c r="E192" s="513" t="s">
        <v>957</v>
      </c>
      <c r="F192" s="536" t="str">
        <f t="shared" si="96"/>
        <v>06/11/20</v>
      </c>
      <c r="G192" s="524" t="s">
        <v>958</v>
      </c>
      <c r="H192" s="524" t="s">
        <v>959</v>
      </c>
      <c r="I192" s="532"/>
      <c r="J192" s="531">
        <v>21.984034999999999</v>
      </c>
      <c r="K192" s="531">
        <v>48.402566</v>
      </c>
      <c r="L192" s="531">
        <v>29.402771000000001</v>
      </c>
      <c r="M192" s="531">
        <v>31.702075000000001</v>
      </c>
      <c r="N192" s="528">
        <v>4250</v>
      </c>
      <c r="O192" s="528">
        <v>38.71</v>
      </c>
      <c r="P192" s="528">
        <v>3.0499999999999999E-2</v>
      </c>
      <c r="Q192" s="528">
        <v>1.4999999999999999E-2</v>
      </c>
      <c r="R192" s="529">
        <v>7.75794988</v>
      </c>
      <c r="S192" s="529">
        <f t="shared" si="97"/>
        <v>15.518171349999999</v>
      </c>
      <c r="T192" s="544">
        <v>61.4</v>
      </c>
      <c r="U192" s="544">
        <v>59</v>
      </c>
      <c r="V192" s="530">
        <v>31686</v>
      </c>
      <c r="W192" s="530">
        <v>33613</v>
      </c>
      <c r="X192" s="530">
        <f t="shared" si="98"/>
        <v>1927</v>
      </c>
      <c r="Y192" s="530">
        <f t="shared" si="99"/>
        <v>248.39036469774152</v>
      </c>
      <c r="Z192" s="534">
        <v>31883</v>
      </c>
      <c r="AA192" s="530">
        <v>33819</v>
      </c>
      <c r="AB192" s="530">
        <f t="shared" si="100"/>
        <v>1936</v>
      </c>
      <c r="AC192" s="533">
        <f t="shared" si="101"/>
        <v>249.55046499991053</v>
      </c>
      <c r="AD192" s="534">
        <v>758</v>
      </c>
      <c r="AE192" s="530">
        <v>830</v>
      </c>
      <c r="AF192" s="530">
        <f t="shared" si="102"/>
        <v>72</v>
      </c>
      <c r="AG192" s="533">
        <f t="shared" si="103"/>
        <v>9.280802417352044</v>
      </c>
      <c r="AH192" s="534">
        <v>29069</v>
      </c>
      <c r="AI192" s="530">
        <v>30832</v>
      </c>
      <c r="AJ192" s="530">
        <f t="shared" si="104"/>
        <v>1763</v>
      </c>
      <c r="AK192" s="533">
        <f t="shared" si="105"/>
        <v>227.25075919155074</v>
      </c>
      <c r="AL192" s="534">
        <v>1799.614184</v>
      </c>
      <c r="AM192" s="530">
        <v>1889.2</v>
      </c>
      <c r="AN192" s="530">
        <f t="shared" si="106"/>
        <v>89.585816000000023</v>
      </c>
      <c r="AO192" s="533">
        <f t="shared" si="107"/>
        <v>11.547614690184107</v>
      </c>
      <c r="AP192" s="534">
        <v>1444.7214180000001</v>
      </c>
      <c r="AQ192" s="530">
        <v>1516.911065</v>
      </c>
      <c r="AR192" s="530">
        <f t="shared" si="108"/>
        <v>72.189646999999923</v>
      </c>
      <c r="AS192" s="533">
        <f t="shared" si="109"/>
        <v>9.305247922019305</v>
      </c>
      <c r="AT192" s="534">
        <v>0.9</v>
      </c>
      <c r="AU192" s="530">
        <v>0.9</v>
      </c>
      <c r="AV192" s="530">
        <f t="shared" si="110"/>
        <v>0</v>
      </c>
      <c r="AW192" s="533">
        <f t="shared" si="111"/>
        <v>0</v>
      </c>
      <c r="AX192" s="534">
        <v>29.6</v>
      </c>
      <c r="AY192" s="530">
        <v>30.4</v>
      </c>
      <c r="AZ192" s="530">
        <f t="shared" si="112"/>
        <v>0.79999999999999716</v>
      </c>
      <c r="BA192" s="533">
        <f t="shared" si="113"/>
        <v>0.10312002685946679</v>
      </c>
      <c r="BB192" s="534">
        <v>-68.08</v>
      </c>
      <c r="BC192" s="530">
        <v>-68.86</v>
      </c>
      <c r="BD192" s="530">
        <f t="shared" si="114"/>
        <v>-0.78000000000000114</v>
      </c>
      <c r="BE192" s="530">
        <v>-3.2947289999999998</v>
      </c>
      <c r="BF192" s="533">
        <f t="shared" si="115"/>
        <v>-0.10054202618798062</v>
      </c>
      <c r="BG192" s="527">
        <v>61.4</v>
      </c>
      <c r="BH192" s="527">
        <v>59</v>
      </c>
      <c r="BI192" s="527">
        <f t="shared" si="116"/>
        <v>-2.3999999999999986</v>
      </c>
      <c r="BJ192" s="545">
        <v>74.400000000000006</v>
      </c>
      <c r="BK192" s="545">
        <v>75.3</v>
      </c>
      <c r="BL192" s="545">
        <f t="shared" si="117"/>
        <v>0.89999999999999147</v>
      </c>
      <c r="BM192" s="545">
        <v>0</v>
      </c>
      <c r="BN192" s="545">
        <v>0</v>
      </c>
      <c r="BO192" s="545">
        <f t="shared" si="118"/>
        <v>0</v>
      </c>
      <c r="BP192" s="527"/>
      <c r="BQ192" s="527"/>
      <c r="BR192" s="527"/>
      <c r="BS192" s="527"/>
      <c r="BT192" s="524" t="s">
        <v>723</v>
      </c>
      <c r="BU192" s="512">
        <v>1659.2750717199999</v>
      </c>
      <c r="BV192" s="512">
        <v>-0.12355417</v>
      </c>
      <c r="BW192" s="512">
        <v>5213.3665309999997</v>
      </c>
      <c r="BX192" s="512">
        <v>5219.8158308900001</v>
      </c>
      <c r="BY192" s="512">
        <v>9.0613588699999994</v>
      </c>
      <c r="BZ192" s="512">
        <v>9.0322613700000005</v>
      </c>
      <c r="CA192" s="512">
        <v>0.33020521000000003</v>
      </c>
      <c r="CB192" s="512">
        <v>7.7578705299999999</v>
      </c>
      <c r="CC192" s="512">
        <v>7.7323379399999999</v>
      </c>
      <c r="CD192" s="512">
        <v>-8.0285200000000008E-3</v>
      </c>
      <c r="CE192" s="512">
        <v>0.32215082</v>
      </c>
      <c r="CF192" s="512">
        <v>0.73999888000000003</v>
      </c>
      <c r="CG192" s="512"/>
    </row>
    <row r="193" spans="1:85" s="519" customFormat="1" ht="22.5">
      <c r="A193" s="546">
        <v>62006028</v>
      </c>
      <c r="B193" s="547" t="s">
        <v>977</v>
      </c>
      <c r="C193" s="543" t="s">
        <v>695</v>
      </c>
      <c r="D193" s="521" t="s">
        <v>739</v>
      </c>
      <c r="E193" s="513" t="s">
        <v>960</v>
      </c>
      <c r="F193" s="536" t="str">
        <f t="shared" si="96"/>
        <v>06/11/20</v>
      </c>
      <c r="G193" s="524" t="s">
        <v>961</v>
      </c>
      <c r="H193" s="524" t="s">
        <v>708</v>
      </c>
      <c r="I193" s="532"/>
      <c r="J193" s="531">
        <v>22.32319</v>
      </c>
      <c r="K193" s="531">
        <v>45.170369000000001</v>
      </c>
      <c r="L193" s="531">
        <v>29.40297</v>
      </c>
      <c r="M193" s="531">
        <v>31.715831999999999</v>
      </c>
      <c r="N193" s="528">
        <v>4250</v>
      </c>
      <c r="O193" s="528">
        <v>38.71</v>
      </c>
      <c r="P193" s="528">
        <v>3.0499999999999999E-2</v>
      </c>
      <c r="Q193" s="528">
        <v>1.4999999999999999E-2</v>
      </c>
      <c r="R193" s="529">
        <v>7.7527130599999996</v>
      </c>
      <c r="S193" s="529">
        <f t="shared" si="97"/>
        <v>15.51066294</v>
      </c>
      <c r="T193" s="544">
        <v>59</v>
      </c>
      <c r="U193" s="544">
        <v>56.7</v>
      </c>
      <c r="V193" s="530">
        <v>33631</v>
      </c>
      <c r="W193" s="530">
        <v>35403</v>
      </c>
      <c r="X193" s="530">
        <f t="shared" si="98"/>
        <v>1772</v>
      </c>
      <c r="Y193" s="530">
        <f t="shared" si="99"/>
        <v>228.56514697320682</v>
      </c>
      <c r="Z193" s="534">
        <v>33839</v>
      </c>
      <c r="AA193" s="530">
        <v>35620</v>
      </c>
      <c r="AB193" s="530">
        <f t="shared" si="100"/>
        <v>1781</v>
      </c>
      <c r="AC193" s="533">
        <f t="shared" si="101"/>
        <v>229.726030902529</v>
      </c>
      <c r="AD193" s="534">
        <v>829</v>
      </c>
      <c r="AE193" s="530">
        <v>901</v>
      </c>
      <c r="AF193" s="530">
        <f t="shared" si="102"/>
        <v>72</v>
      </c>
      <c r="AG193" s="533">
        <f t="shared" si="103"/>
        <v>9.2870714345772534</v>
      </c>
      <c r="AH193" s="534">
        <v>30833</v>
      </c>
      <c r="AI193" s="530">
        <v>32442</v>
      </c>
      <c r="AJ193" s="530">
        <f t="shared" si="104"/>
        <v>1609</v>
      </c>
      <c r="AK193" s="533">
        <f t="shared" si="105"/>
        <v>207.54024914215</v>
      </c>
      <c r="AL193" s="534">
        <v>1906.1</v>
      </c>
      <c r="AM193" s="530">
        <v>1994.7</v>
      </c>
      <c r="AN193" s="530">
        <f t="shared" si="106"/>
        <v>88.600000000000136</v>
      </c>
      <c r="AO193" s="533">
        <f t="shared" si="107"/>
        <v>11.42825734866036</v>
      </c>
      <c r="AP193" s="534">
        <v>1530.630977</v>
      </c>
      <c r="AQ193" s="530">
        <v>1601.9105300000001</v>
      </c>
      <c r="AR193" s="530">
        <f t="shared" si="108"/>
        <v>71.279553000000078</v>
      </c>
      <c r="AS193" s="533">
        <f t="shared" si="109"/>
        <v>9.1941430629963339</v>
      </c>
      <c r="AT193" s="534">
        <v>0.9</v>
      </c>
      <c r="AU193" s="530">
        <v>0.8</v>
      </c>
      <c r="AV193" s="530">
        <f t="shared" si="110"/>
        <v>-9.9999999999999978E-2</v>
      </c>
      <c r="AW193" s="533">
        <f t="shared" si="111"/>
        <v>-1.2898710325801737E-2</v>
      </c>
      <c r="AX193" s="534">
        <v>30.5</v>
      </c>
      <c r="AY193" s="530">
        <v>31.3</v>
      </c>
      <c r="AZ193" s="530">
        <f t="shared" si="112"/>
        <v>0.80000000000000071</v>
      </c>
      <c r="BA193" s="533">
        <f t="shared" si="113"/>
        <v>0.10318968260641401</v>
      </c>
      <c r="BB193" s="534">
        <v>-69</v>
      </c>
      <c r="BC193" s="530">
        <v>-69.739999999999995</v>
      </c>
      <c r="BD193" s="530">
        <f t="shared" si="114"/>
        <v>-0.73999999999999488</v>
      </c>
      <c r="BE193" s="530">
        <v>-3.1692610000000001</v>
      </c>
      <c r="BF193" s="533">
        <f t="shared" si="115"/>
        <v>-9.5450456410932222E-2</v>
      </c>
      <c r="BG193" s="527">
        <v>59</v>
      </c>
      <c r="BH193" s="527">
        <v>56.7</v>
      </c>
      <c r="BI193" s="527">
        <f t="shared" si="116"/>
        <v>-2.2999999999999972</v>
      </c>
      <c r="BJ193" s="545">
        <v>75.400000000000006</v>
      </c>
      <c r="BK193" s="545">
        <v>76.2</v>
      </c>
      <c r="BL193" s="545">
        <f t="shared" si="117"/>
        <v>0.79999999999999716</v>
      </c>
      <c r="BM193" s="545">
        <v>0</v>
      </c>
      <c r="BN193" s="545">
        <v>0</v>
      </c>
      <c r="BO193" s="545">
        <f t="shared" si="118"/>
        <v>0</v>
      </c>
      <c r="BP193" s="527"/>
      <c r="BQ193" s="527"/>
      <c r="BR193" s="527"/>
      <c r="BS193" s="527"/>
      <c r="BT193" s="524" t="s">
        <v>723</v>
      </c>
      <c r="BU193" s="512">
        <v>1659.1823881600001</v>
      </c>
      <c r="BV193" s="512">
        <v>-0.13698852</v>
      </c>
      <c r="BW193" s="512">
        <v>5212.6586234599999</v>
      </c>
      <c r="BX193" s="512">
        <v>5219.8091626200003</v>
      </c>
      <c r="BY193" s="512">
        <v>9.0598528900000002</v>
      </c>
      <c r="BZ193" s="512">
        <v>9.0322457600000003</v>
      </c>
      <c r="CA193" s="512">
        <v>0.26289948000000002</v>
      </c>
      <c r="CB193" s="512">
        <v>7.75266638</v>
      </c>
      <c r="CC193" s="512">
        <v>7.7323380999999998</v>
      </c>
      <c r="CD193" s="512">
        <v>4.2621060000000002E-2</v>
      </c>
      <c r="CE193" s="512">
        <v>0.30565081</v>
      </c>
      <c r="CF193" s="512">
        <v>0.73999815999999996</v>
      </c>
      <c r="CG193" s="512"/>
    </row>
    <row r="194" spans="1:85" s="519" customFormat="1">
      <c r="A194" s="546">
        <v>62006029</v>
      </c>
      <c r="B194" s="543" t="s">
        <v>942</v>
      </c>
      <c r="C194" s="543" t="s">
        <v>695</v>
      </c>
      <c r="D194" s="521" t="s">
        <v>962</v>
      </c>
      <c r="E194" s="513" t="s">
        <v>963</v>
      </c>
      <c r="F194" s="536" t="str">
        <f t="shared" si="96"/>
        <v>06/11/20</v>
      </c>
      <c r="G194" s="524" t="s">
        <v>964</v>
      </c>
      <c r="H194" s="524" t="s">
        <v>965</v>
      </c>
      <c r="I194" s="532"/>
      <c r="J194" s="531">
        <v>25.797079</v>
      </c>
      <c r="K194" s="531">
        <v>36.075499000000001</v>
      </c>
      <c r="L194" s="531">
        <v>29.402743000000001</v>
      </c>
      <c r="M194" s="531">
        <v>30.458407000000001</v>
      </c>
      <c r="N194" s="528">
        <v>4250</v>
      </c>
      <c r="O194" s="528">
        <v>38.71</v>
      </c>
      <c r="P194" s="528">
        <v>3.0499999999999999E-2</v>
      </c>
      <c r="Q194" s="528">
        <v>1.4999999999999999E-2</v>
      </c>
      <c r="R194" s="529">
        <v>9.2066751199999999</v>
      </c>
      <c r="S194" s="529">
        <f t="shared" si="97"/>
        <v>16.959388179999998</v>
      </c>
      <c r="T194" s="544">
        <v>56.1</v>
      </c>
      <c r="U194" s="544">
        <v>53.8</v>
      </c>
      <c r="V194" s="530">
        <v>35896.88839</v>
      </c>
      <c r="W194" s="530">
        <v>37755</v>
      </c>
      <c r="X194" s="530">
        <f t="shared" si="98"/>
        <v>1858.1116099999999</v>
      </c>
      <c r="Y194" s="530">
        <f t="shared" si="99"/>
        <v>201.82221983303782</v>
      </c>
      <c r="Z194" s="534">
        <v>36161.88839</v>
      </c>
      <c r="AA194" s="530">
        <v>38027.145315000002</v>
      </c>
      <c r="AB194" s="530">
        <f t="shared" si="100"/>
        <v>1865.2569250000015</v>
      </c>
      <c r="AC194" s="533">
        <f t="shared" si="101"/>
        <v>202.59832140139659</v>
      </c>
      <c r="AD194" s="534">
        <v>901</v>
      </c>
      <c r="AE194" s="530">
        <v>901</v>
      </c>
      <c r="AF194" s="530">
        <f t="shared" si="102"/>
        <v>0</v>
      </c>
      <c r="AG194" s="533">
        <f t="shared" si="103"/>
        <v>0</v>
      </c>
      <c r="AH194" s="534">
        <v>32756</v>
      </c>
      <c r="AI194" s="530">
        <v>34536</v>
      </c>
      <c r="AJ194" s="530">
        <f t="shared" si="104"/>
        <v>1780</v>
      </c>
      <c r="AK194" s="533">
        <f t="shared" si="105"/>
        <v>193.33798323492923</v>
      </c>
      <c r="AL194" s="534">
        <v>2166.5</v>
      </c>
      <c r="AM194" s="530">
        <v>2243.8000000000002</v>
      </c>
      <c r="AN194" s="530">
        <f t="shared" si="106"/>
        <v>77.300000000000182</v>
      </c>
      <c r="AO194" s="533">
        <f t="shared" si="107"/>
        <v>8.3960820809326204</v>
      </c>
      <c r="AP194" s="534">
        <v>1709.5788789999999</v>
      </c>
      <c r="AQ194" s="530">
        <v>1774.0385450000001</v>
      </c>
      <c r="AR194" s="530">
        <f t="shared" si="108"/>
        <v>64.459666000000198</v>
      </c>
      <c r="AS194" s="533">
        <f t="shared" si="109"/>
        <v>7.0014055193467275</v>
      </c>
      <c r="AT194" s="534">
        <v>0.8</v>
      </c>
      <c r="AU194" s="530">
        <v>0.7</v>
      </c>
      <c r="AV194" s="530">
        <f t="shared" si="110"/>
        <v>-0.10000000000000009</v>
      </c>
      <c r="AW194" s="533">
        <f t="shared" si="111"/>
        <v>-1.0861684451400528E-2</v>
      </c>
      <c r="AX194" s="534">
        <v>34.799999999999997</v>
      </c>
      <c r="AY194" s="530">
        <v>35.200000000000003</v>
      </c>
      <c r="AZ194" s="530">
        <f t="shared" si="112"/>
        <v>0.40000000000000568</v>
      </c>
      <c r="BA194" s="533">
        <f t="shared" si="113"/>
        <v>4.3446737805602688E-2</v>
      </c>
      <c r="BB194" s="534">
        <v>-72.959999999999994</v>
      </c>
      <c r="BC194" s="530">
        <v>-73.39</v>
      </c>
      <c r="BD194" s="530">
        <f t="shared" si="114"/>
        <v>-0.43000000000000682</v>
      </c>
      <c r="BE194" s="530">
        <v>-2.532991</v>
      </c>
      <c r="BF194" s="533">
        <f t="shared" si="115"/>
        <v>-4.6705243141022972E-2</v>
      </c>
      <c r="BG194" s="527">
        <v>56.1</v>
      </c>
      <c r="BH194" s="527">
        <v>53.8</v>
      </c>
      <c r="BI194" s="527">
        <f t="shared" si="116"/>
        <v>-2.3000000000000043</v>
      </c>
      <c r="BJ194" s="545">
        <v>80.2</v>
      </c>
      <c r="BK194" s="545">
        <v>80.8</v>
      </c>
      <c r="BL194" s="545">
        <f t="shared" si="117"/>
        <v>0.59999999999999432</v>
      </c>
      <c r="BM194" s="545">
        <v>0</v>
      </c>
      <c r="BN194" s="545">
        <v>0</v>
      </c>
      <c r="BO194" s="545">
        <f t="shared" si="118"/>
        <v>0</v>
      </c>
      <c r="BP194" s="527"/>
      <c r="BQ194" s="527"/>
      <c r="BR194" s="527"/>
      <c r="BS194" s="527"/>
      <c r="BT194" s="524" t="s">
        <v>723</v>
      </c>
      <c r="BU194" s="512">
        <v>7875.9227012399997</v>
      </c>
      <c r="BV194" s="512">
        <v>10.230944129999999</v>
      </c>
      <c r="BW194" s="512">
        <v>542.05405390999999</v>
      </c>
      <c r="BX194" s="512">
        <v>491.74400000000003</v>
      </c>
      <c r="BY194" s="512">
        <v>6.2581401000000003</v>
      </c>
      <c r="BZ194" s="512">
        <v>6.2222275500000004</v>
      </c>
      <c r="CA194" s="512">
        <v>0.28517013000000002</v>
      </c>
      <c r="CB194" s="512">
        <v>9.2041439399999998</v>
      </c>
      <c r="CC194" s="512">
        <v>9.1779711099999997</v>
      </c>
      <c r="CD194" s="512">
        <v>0.29031965999999998</v>
      </c>
      <c r="CE194" s="512">
        <v>0.57716542000000004</v>
      </c>
      <c r="CF194" s="512">
        <v>9.5053970000000002E-2</v>
      </c>
      <c r="CG194" s="512"/>
    </row>
    <row r="195" spans="1:85" s="519" customFormat="1" ht="22.5">
      <c r="A195" s="546">
        <v>62006030</v>
      </c>
      <c r="B195" s="543" t="s">
        <v>838</v>
      </c>
      <c r="C195" s="543" t="s">
        <v>695</v>
      </c>
      <c r="D195" s="521" t="s">
        <v>966</v>
      </c>
      <c r="E195" s="513" t="s">
        <v>967</v>
      </c>
      <c r="F195" s="536" t="str">
        <f t="shared" si="96"/>
        <v>06/11/20</v>
      </c>
      <c r="G195" s="524" t="s">
        <v>968</v>
      </c>
      <c r="H195" s="524" t="s">
        <v>969</v>
      </c>
      <c r="I195" s="532"/>
      <c r="J195" s="531">
        <v>-83.666364000000002</v>
      </c>
      <c r="K195" s="531">
        <v>-115.79444700000001</v>
      </c>
      <c r="L195" s="531">
        <v>-94.329418000000004</v>
      </c>
      <c r="M195" s="531">
        <v>-110.18163699999999</v>
      </c>
      <c r="N195" s="528">
        <v>4250</v>
      </c>
      <c r="O195" s="528">
        <v>38.71</v>
      </c>
      <c r="P195" s="528">
        <v>3.0499999999999999E-2</v>
      </c>
      <c r="Q195" s="528">
        <v>1.4999999999999999E-2</v>
      </c>
      <c r="R195" s="529">
        <v>89.380062690000003</v>
      </c>
      <c r="S195" s="529">
        <f t="shared" si="97"/>
        <v>98.586737810000002</v>
      </c>
      <c r="T195" s="544">
        <v>51.7</v>
      </c>
      <c r="U195" s="544">
        <v>2.6</v>
      </c>
      <c r="V195" s="530">
        <v>39228</v>
      </c>
      <c r="W195" s="530">
        <v>74449</v>
      </c>
      <c r="X195" s="530">
        <f t="shared" si="98"/>
        <v>35221</v>
      </c>
      <c r="Y195" s="530">
        <f t="shared" si="99"/>
        <v>394.05879723040948</v>
      </c>
      <c r="Z195" s="534">
        <v>39511</v>
      </c>
      <c r="AA195" s="530">
        <v>74789</v>
      </c>
      <c r="AB195" s="530">
        <f t="shared" si="100"/>
        <v>35278</v>
      </c>
      <c r="AC195" s="533">
        <f t="shared" si="101"/>
        <v>394.69652334386831</v>
      </c>
      <c r="AD195" s="534">
        <v>1482</v>
      </c>
      <c r="AE195" s="530">
        <v>1488</v>
      </c>
      <c r="AF195" s="530">
        <f t="shared" si="102"/>
        <v>6</v>
      </c>
      <c r="AG195" s="533">
        <f t="shared" si="103"/>
        <v>6.7129064574613359E-2</v>
      </c>
      <c r="AH195" s="534">
        <v>34682</v>
      </c>
      <c r="AI195" s="530">
        <v>69375</v>
      </c>
      <c r="AJ195" s="530">
        <f t="shared" si="104"/>
        <v>34693</v>
      </c>
      <c r="AK195" s="533">
        <f t="shared" si="105"/>
        <v>388.15143954784349</v>
      </c>
      <c r="AL195" s="534">
        <v>2323.4</v>
      </c>
      <c r="AM195" s="530">
        <v>2828.4</v>
      </c>
      <c r="AN195" s="530">
        <f t="shared" si="106"/>
        <v>505</v>
      </c>
      <c r="AO195" s="533">
        <f t="shared" si="107"/>
        <v>5.650029601696624</v>
      </c>
      <c r="AP195" s="534">
        <v>1835.4582109999999</v>
      </c>
      <c r="AQ195" s="530">
        <v>2248.3000000000002</v>
      </c>
      <c r="AR195" s="530">
        <f t="shared" si="108"/>
        <v>412.84178900000029</v>
      </c>
      <c r="AS195" s="533">
        <f t="shared" si="109"/>
        <v>4.6189471854799864</v>
      </c>
      <c r="AT195" s="534">
        <v>0.7</v>
      </c>
      <c r="AU195" s="530">
        <v>-0.1</v>
      </c>
      <c r="AV195" s="530">
        <f t="shared" si="110"/>
        <v>-0.79999999999999993</v>
      </c>
      <c r="AW195" s="533">
        <f t="shared" si="111"/>
        <v>-8.9505419432817802E-3</v>
      </c>
      <c r="AX195" s="534">
        <v>36</v>
      </c>
      <c r="AY195" s="530">
        <v>39.6</v>
      </c>
      <c r="AZ195" s="530">
        <f t="shared" si="112"/>
        <v>3.6000000000000014</v>
      </c>
      <c r="BA195" s="533">
        <f t="shared" si="113"/>
        <v>4.0277438744768031E-2</v>
      </c>
      <c r="BB195" s="534">
        <v>-74.069999999999993</v>
      </c>
      <c r="BC195" s="530">
        <v>-77.19</v>
      </c>
      <c r="BD195" s="530">
        <f t="shared" si="114"/>
        <v>-3.1200000000000045</v>
      </c>
      <c r="BE195" s="530">
        <v>7.2887529999999998</v>
      </c>
      <c r="BF195" s="533">
        <f t="shared" si="115"/>
        <v>-3.4907113578798998E-2</v>
      </c>
      <c r="BG195" s="527">
        <v>51.7</v>
      </c>
      <c r="BH195" s="527">
        <v>2.6</v>
      </c>
      <c r="BI195" s="527">
        <f t="shared" si="116"/>
        <v>-49.1</v>
      </c>
      <c r="BJ195" s="545">
        <v>81.8</v>
      </c>
      <c r="BK195" s="545">
        <v>86.7</v>
      </c>
      <c r="BL195" s="545">
        <f t="shared" si="117"/>
        <v>4.9000000000000057</v>
      </c>
      <c r="BM195" s="545">
        <v>0</v>
      </c>
      <c r="BN195" s="545">
        <v>0</v>
      </c>
      <c r="BO195" s="545">
        <f t="shared" si="118"/>
        <v>0</v>
      </c>
      <c r="BP195" s="527"/>
      <c r="BQ195" s="527"/>
      <c r="BR195" s="527"/>
      <c r="BS195" s="527"/>
      <c r="BT195" s="524" t="s">
        <v>723</v>
      </c>
      <c r="BU195" s="512">
        <v>25.449309289999999</v>
      </c>
      <c r="BV195" s="512">
        <v>38.389798820000003</v>
      </c>
      <c r="BW195" s="512">
        <v>804.25508364999996</v>
      </c>
      <c r="BX195" s="512">
        <v>581.15200000000004</v>
      </c>
      <c r="BY195" s="512">
        <v>67.287498279999994</v>
      </c>
      <c r="BZ195" s="512">
        <v>67.711055740000006</v>
      </c>
      <c r="CA195" s="512">
        <v>-0.53974871999999996</v>
      </c>
      <c r="CB195" s="512">
        <v>89.380159950000007</v>
      </c>
      <c r="CC195" s="512">
        <v>89.865206259999994</v>
      </c>
      <c r="CD195" s="512">
        <v>-8.6327920000000002E-2</v>
      </c>
      <c r="CE195" s="512">
        <v>-0.62553663000000004</v>
      </c>
      <c r="CF195" s="512">
        <v>1.2199949999999999E-2</v>
      </c>
      <c r="CG195" s="512"/>
    </row>
    <row r="196" spans="1:85" s="519" customFormat="1">
      <c r="A196" s="546">
        <v>62006031</v>
      </c>
      <c r="B196" s="543" t="s">
        <v>907</v>
      </c>
      <c r="C196" s="543" t="s">
        <v>695</v>
      </c>
      <c r="D196" s="521" t="s">
        <v>970</v>
      </c>
      <c r="E196" s="513" t="s">
        <v>971</v>
      </c>
      <c r="F196" s="536" t="str">
        <f t="shared" si="96"/>
        <v>06/11/20</v>
      </c>
      <c r="G196" s="524" t="s">
        <v>972</v>
      </c>
      <c r="H196" s="524" t="s">
        <v>708</v>
      </c>
      <c r="I196" s="532"/>
      <c r="J196" s="531">
        <v>-42.396963</v>
      </c>
      <c r="K196" s="531">
        <v>-89.715800000000002</v>
      </c>
      <c r="L196" s="531">
        <v>-56.910167999999999</v>
      </c>
      <c r="M196" s="531">
        <v>-42.811514000000003</v>
      </c>
      <c r="N196" s="528">
        <v>4250</v>
      </c>
      <c r="O196" s="528">
        <v>38.71</v>
      </c>
      <c r="P196" s="528">
        <v>3.0499999999999999E-2</v>
      </c>
      <c r="Q196" s="528">
        <v>1.4999999999999999E-2</v>
      </c>
      <c r="R196" s="529">
        <v>1.083021E-2</v>
      </c>
      <c r="S196" s="529">
        <f t="shared" si="97"/>
        <v>89.390892899999997</v>
      </c>
      <c r="T196" s="544"/>
      <c r="U196" s="544"/>
      <c r="V196" s="530">
        <v>74449</v>
      </c>
      <c r="W196" s="530">
        <v>-4420</v>
      </c>
      <c r="X196" s="530">
        <f t="shared" si="98"/>
        <v>-78869</v>
      </c>
      <c r="Y196" s="530">
        <f t="shared" si="99"/>
        <v>-7282314.9320280952</v>
      </c>
      <c r="Z196" s="534">
        <v>74789</v>
      </c>
      <c r="AA196" s="530">
        <v>-3826</v>
      </c>
      <c r="AB196" s="530">
        <f t="shared" si="100"/>
        <v>-78615</v>
      </c>
      <c r="AC196" s="533">
        <f t="shared" si="101"/>
        <v>-7258862.016525995</v>
      </c>
      <c r="AD196" s="534">
        <v>1488</v>
      </c>
      <c r="AE196" s="530">
        <v>1512</v>
      </c>
      <c r="AF196" s="530">
        <f t="shared" si="102"/>
        <v>24</v>
      </c>
      <c r="AG196" s="533">
        <f t="shared" si="103"/>
        <v>2216.0235120094626</v>
      </c>
      <c r="AH196" s="534">
        <v>69375</v>
      </c>
      <c r="AI196" s="530">
        <v>69448</v>
      </c>
      <c r="AJ196" s="530">
        <f t="shared" si="104"/>
        <v>73</v>
      </c>
      <c r="AK196" s="533">
        <f t="shared" si="105"/>
        <v>6740.4048490287814</v>
      </c>
      <c r="AL196" s="534">
        <v>2828.5</v>
      </c>
      <c r="AM196" s="530">
        <v>-76104.600000000006</v>
      </c>
      <c r="AN196" s="530">
        <f t="shared" si="106"/>
        <v>-78933.100000000006</v>
      </c>
      <c r="AO196" s="533">
        <f t="shared" si="107"/>
        <v>-7288233.5614914214</v>
      </c>
      <c r="AP196" s="534">
        <v>2247.08</v>
      </c>
      <c r="AQ196" s="530">
        <v>2877.48</v>
      </c>
      <c r="AR196" s="530">
        <f t="shared" si="108"/>
        <v>630.40000000000009</v>
      </c>
      <c r="AS196" s="533">
        <f t="shared" si="109"/>
        <v>58207.550915448555</v>
      </c>
      <c r="AT196" s="534">
        <v>-0.1</v>
      </c>
      <c r="AU196" s="530">
        <v>-10.6</v>
      </c>
      <c r="AV196" s="530">
        <f t="shared" si="110"/>
        <v>-10.5</v>
      </c>
      <c r="AW196" s="533">
        <f t="shared" si="111"/>
        <v>-969.5102865041398</v>
      </c>
      <c r="AX196" s="534">
        <v>39.6</v>
      </c>
      <c r="AY196" s="530">
        <v>56.7</v>
      </c>
      <c r="AZ196" s="530">
        <f t="shared" si="112"/>
        <v>17.100000000000001</v>
      </c>
      <c r="BA196" s="533">
        <f t="shared" si="113"/>
        <v>1578.9167523067422</v>
      </c>
      <c r="BB196" s="534">
        <v>-50.994869000000001</v>
      </c>
      <c r="BC196" s="530">
        <v>-95.29</v>
      </c>
      <c r="BD196" s="530">
        <f t="shared" si="114"/>
        <v>-44.295131000000005</v>
      </c>
      <c r="BE196" s="530">
        <v>7.1173019999999996</v>
      </c>
      <c r="BF196" s="533">
        <f t="shared" si="115"/>
        <v>-4089.9604901474677</v>
      </c>
      <c r="BG196" s="527" t="s">
        <v>1145</v>
      </c>
      <c r="BH196" s="527" t="s">
        <v>1146</v>
      </c>
      <c r="BI196" s="527" t="e">
        <f t="shared" si="116"/>
        <v>#VALUE!</v>
      </c>
      <c r="BJ196" s="545">
        <v>87.6</v>
      </c>
      <c r="BK196" s="545">
        <v>85782.9</v>
      </c>
      <c r="BL196" s="545">
        <f t="shared" si="117"/>
        <v>85695.299999999988</v>
      </c>
      <c r="BM196" s="545">
        <v>0</v>
      </c>
      <c r="BN196" s="545">
        <v>-85118.8</v>
      </c>
      <c r="BO196" s="545">
        <f t="shared" si="118"/>
        <v>-85118.8</v>
      </c>
      <c r="BP196" s="527"/>
      <c r="BQ196" s="527"/>
      <c r="BR196" s="527"/>
      <c r="BS196" s="527"/>
      <c r="BT196" s="524"/>
      <c r="BU196" s="512"/>
      <c r="BV196" s="512"/>
      <c r="BW196" s="512"/>
      <c r="BX196" s="512"/>
      <c r="BY196" s="512"/>
      <c r="BZ196" s="512"/>
      <c r="CA196" s="512"/>
      <c r="CB196" s="512"/>
      <c r="CC196" s="512"/>
      <c r="CD196" s="512"/>
      <c r="CE196" s="512"/>
      <c r="CF196" s="512"/>
      <c r="CG196" s="512"/>
    </row>
    <row r="197" spans="1:85" s="520" customFormat="1" ht="15.75">
      <c r="A197" s="535" t="s">
        <v>1246</v>
      </c>
      <c r="B197" s="537"/>
      <c r="C197" s="537"/>
      <c r="D197" s="538"/>
      <c r="E197" s="537"/>
      <c r="F197" s="537"/>
      <c r="G197" s="538"/>
      <c r="H197" s="538"/>
      <c r="I197" s="538"/>
      <c r="J197" s="538"/>
      <c r="K197" s="538"/>
      <c r="L197" s="538"/>
      <c r="M197" s="538"/>
      <c r="N197" s="538"/>
      <c r="O197" s="538"/>
      <c r="P197" s="539"/>
      <c r="Q197" s="540"/>
      <c r="R197" s="537"/>
      <c r="S197" s="537"/>
      <c r="T197" s="537"/>
      <c r="U197" s="537"/>
      <c r="V197" s="537"/>
      <c r="W197" s="537"/>
      <c r="X197" s="537"/>
      <c r="Y197" s="537"/>
      <c r="Z197" s="537"/>
      <c r="AA197" s="537"/>
      <c r="AB197" s="537"/>
      <c r="AC197" s="537"/>
      <c r="AD197" s="537"/>
      <c r="AE197" s="537"/>
      <c r="AF197" s="537"/>
      <c r="AG197" s="537"/>
      <c r="AH197" s="537"/>
      <c r="AI197" s="537"/>
      <c r="AJ197" s="537"/>
      <c r="AK197" s="537"/>
      <c r="AL197" s="537"/>
      <c r="AM197" s="537"/>
      <c r="AN197" s="537"/>
      <c r="AO197" s="537"/>
      <c r="AP197" s="537"/>
      <c r="AQ197" s="537"/>
      <c r="AR197" s="537"/>
      <c r="AS197" s="537"/>
      <c r="AT197" s="537"/>
      <c r="AU197" s="537"/>
      <c r="AV197" s="537"/>
      <c r="AW197" s="537"/>
      <c r="AX197" s="537"/>
      <c r="AY197" s="537"/>
      <c r="AZ197" s="537"/>
      <c r="BA197" s="537"/>
      <c r="BB197" s="537"/>
      <c r="BC197" s="537"/>
      <c r="BD197" s="537"/>
      <c r="BE197" s="537"/>
      <c r="BF197" s="537"/>
      <c r="BG197" s="537"/>
      <c r="BH197" s="537"/>
      <c r="BI197" s="537"/>
      <c r="BJ197" s="537"/>
      <c r="BK197" s="537"/>
      <c r="BL197" s="537"/>
      <c r="BM197" s="537"/>
      <c r="BN197" s="537"/>
      <c r="BO197" s="537"/>
      <c r="BP197" s="537"/>
      <c r="BQ197" s="537"/>
      <c r="BR197" s="537"/>
      <c r="BS197" s="537"/>
      <c r="BT197" s="537"/>
      <c r="BU197" s="537"/>
      <c r="BV197" s="537"/>
      <c r="BW197" s="537"/>
      <c r="BX197" s="537"/>
      <c r="BY197" s="537"/>
      <c r="BZ197" s="537"/>
      <c r="CA197" s="537"/>
      <c r="CB197" s="537"/>
      <c r="CC197" s="537"/>
      <c r="CD197" s="537"/>
      <c r="CE197" s="537"/>
      <c r="CF197" s="542"/>
      <c r="CG197" s="541"/>
    </row>
    <row r="198" spans="1:85" s="519" customFormat="1">
      <c r="A198" s="546">
        <v>62006032</v>
      </c>
      <c r="B198" s="543" t="s">
        <v>832</v>
      </c>
      <c r="C198" s="543" t="s">
        <v>695</v>
      </c>
      <c r="D198" s="521" t="s">
        <v>752</v>
      </c>
      <c r="E198" s="513" t="s">
        <v>979</v>
      </c>
      <c r="F198" s="536" t="str">
        <f t="shared" si="96"/>
        <v>06/12/20</v>
      </c>
      <c r="G198" s="524" t="s">
        <v>980</v>
      </c>
      <c r="H198" s="524" t="s">
        <v>708</v>
      </c>
      <c r="I198" s="532"/>
      <c r="J198" s="531">
        <v>24.143381000000002</v>
      </c>
      <c r="K198" s="531">
        <v>40.275343999999997</v>
      </c>
      <c r="L198" s="531">
        <v>29.572938000000001</v>
      </c>
      <c r="M198" s="531">
        <v>25.726333</v>
      </c>
      <c r="N198" s="528">
        <v>4250</v>
      </c>
      <c r="O198" s="528">
        <v>38.71</v>
      </c>
      <c r="P198" s="528">
        <v>3.0499999999999999E-2</v>
      </c>
      <c r="Q198" s="528">
        <v>1.4999999999999999E-2</v>
      </c>
      <c r="R198" s="529">
        <v>3.5950512699999999</v>
      </c>
      <c r="S198" s="529">
        <f>R198+R197</f>
        <v>3.5950512699999999</v>
      </c>
      <c r="T198" s="544">
        <v>99.8</v>
      </c>
      <c r="U198" s="544">
        <v>98.9</v>
      </c>
      <c r="V198" s="530">
        <v>22</v>
      </c>
      <c r="W198" s="530">
        <v>854</v>
      </c>
      <c r="X198" s="530">
        <f>W198-V198</f>
        <v>832</v>
      </c>
      <c r="Y198" s="530">
        <f t="shared" ref="Y198:Y220" si="119">X198/$R198</f>
        <v>231.4292446794507</v>
      </c>
      <c r="Z198" s="534">
        <v>22</v>
      </c>
      <c r="AA198" s="530">
        <v>855</v>
      </c>
      <c r="AB198" s="530">
        <f>AA198-Z198</f>
        <v>833</v>
      </c>
      <c r="AC198" s="533">
        <f t="shared" ref="AC198:AC220" si="120">AB198/$R198</f>
        <v>231.70740482930583</v>
      </c>
      <c r="AD198" s="534">
        <v>0</v>
      </c>
      <c r="AE198" s="530">
        <v>42</v>
      </c>
      <c r="AF198" s="530">
        <f>AE198-AD198</f>
        <v>42</v>
      </c>
      <c r="AG198" s="533">
        <f t="shared" ref="AG198:AG220" si="121">AF198/$R198</f>
        <v>11.682726293914579</v>
      </c>
      <c r="AH198" s="534">
        <v>0</v>
      </c>
      <c r="AI198" s="530">
        <v>729</v>
      </c>
      <c r="AJ198" s="530">
        <f>AI198-AH198</f>
        <v>729</v>
      </c>
      <c r="AK198" s="533">
        <f t="shared" ref="AK198:AK220" si="122">AJ198/$R198</f>
        <v>202.77874924437447</v>
      </c>
      <c r="AL198" s="534">
        <v>21.6</v>
      </c>
      <c r="AM198" s="530">
        <v>81.204054999999997</v>
      </c>
      <c r="AN198" s="530">
        <f>AM198-AL198</f>
        <v>59.604054999999995</v>
      </c>
      <c r="AO198" s="533">
        <f t="shared" ref="AO198:AO220" si="123">AN198/$R198</f>
        <v>16.579472870772157</v>
      </c>
      <c r="AP198" s="534">
        <v>17.710564999999999</v>
      </c>
      <c r="AQ198" s="530">
        <v>66.100406000000007</v>
      </c>
      <c r="AR198" s="530">
        <f>AQ198-AP198</f>
        <v>48.389841000000004</v>
      </c>
      <c r="AS198" s="533">
        <f t="shared" ref="AS198:AS220" si="124">AR198/$R198</f>
        <v>13.4601254240249</v>
      </c>
      <c r="AT198" s="534">
        <v>0</v>
      </c>
      <c r="AU198" s="530">
        <v>0.2</v>
      </c>
      <c r="AV198" s="530">
        <f>AU198-AT198</f>
        <v>0.2</v>
      </c>
      <c r="AW198" s="533">
        <f t="shared" ref="AW198:AW220" si="125">AV198/$R198</f>
        <v>5.5632029971021811E-2</v>
      </c>
      <c r="AX198" s="534">
        <v>0.1</v>
      </c>
      <c r="AY198" s="530">
        <v>0.5</v>
      </c>
      <c r="AZ198" s="530">
        <f>AY198-AX198</f>
        <v>0.4</v>
      </c>
      <c r="BA198" s="533">
        <f t="shared" ref="BA198:BA220" si="126">AZ198/$R198</f>
        <v>0.11126405994204362</v>
      </c>
      <c r="BB198" s="534">
        <v>-1.96</v>
      </c>
      <c r="BC198" s="530">
        <v>-4.54</v>
      </c>
      <c r="BD198" s="530">
        <f>BC198-BB198</f>
        <v>-2.58</v>
      </c>
      <c r="BE198" s="530">
        <v>-18.393363000000001</v>
      </c>
      <c r="BF198" s="533">
        <f t="shared" ref="BF198:BF220" si="127">BD198/$R198</f>
        <v>-0.71765318662618127</v>
      </c>
      <c r="BG198" s="527">
        <v>99.8</v>
      </c>
      <c r="BH198" s="527">
        <v>98.9</v>
      </c>
      <c r="BI198" s="527">
        <f>BH198-BG198</f>
        <v>-0.89999999999999147</v>
      </c>
      <c r="BJ198" s="545">
        <v>0.3</v>
      </c>
      <c r="BK198" s="545">
        <v>0.8</v>
      </c>
      <c r="BL198" s="545">
        <f>BK198-BJ198</f>
        <v>0.5</v>
      </c>
      <c r="BM198" s="545">
        <v>0</v>
      </c>
      <c r="BN198" s="545">
        <v>0</v>
      </c>
      <c r="BO198" s="545">
        <f>BN198-BM198</f>
        <v>0</v>
      </c>
      <c r="BP198" s="527"/>
      <c r="BQ198" s="527"/>
      <c r="BR198" s="527"/>
      <c r="BS198" s="527"/>
      <c r="BT198" s="524" t="s">
        <v>723</v>
      </c>
      <c r="BU198" s="512">
        <v>2373.2915815199999</v>
      </c>
      <c r="BV198" s="512">
        <v>0.45980552000000002</v>
      </c>
      <c r="BW198" s="512">
        <v>2058.3042915199999</v>
      </c>
      <c r="BX198" s="512">
        <v>2048.8834124800001</v>
      </c>
      <c r="BY198" s="512">
        <v>3.0390539900000002</v>
      </c>
      <c r="BZ198" s="512">
        <v>3.03208031</v>
      </c>
      <c r="CA198" s="512">
        <v>0.11166937</v>
      </c>
      <c r="CB198" s="512">
        <v>3.5949906899999999</v>
      </c>
      <c r="CC198" s="512">
        <v>3.59098067</v>
      </c>
      <c r="CD198" s="512">
        <v>0.11805554</v>
      </c>
      <c r="CE198" s="512">
        <v>0.22999643</v>
      </c>
      <c r="CF198" s="512">
        <v>0.63451159999999995</v>
      </c>
      <c r="CG198" s="512"/>
    </row>
    <row r="199" spans="1:85" s="519" customFormat="1">
      <c r="A199" s="546">
        <v>62006032</v>
      </c>
      <c r="B199" s="543" t="s">
        <v>831</v>
      </c>
      <c r="C199" s="543" t="s">
        <v>696</v>
      </c>
      <c r="D199" s="521" t="s">
        <v>752</v>
      </c>
      <c r="E199" s="513" t="s">
        <v>979</v>
      </c>
      <c r="F199" s="536" t="str">
        <f t="shared" si="96"/>
        <v>06/12/20</v>
      </c>
      <c r="G199" s="524" t="s">
        <v>980</v>
      </c>
      <c r="H199" s="524" t="s">
        <v>708</v>
      </c>
      <c r="I199" s="532"/>
      <c r="J199" s="531">
        <v>21.76061</v>
      </c>
      <c r="K199" s="531">
        <v>45.665196000000002</v>
      </c>
      <c r="L199" s="531">
        <v>29.562498999999999</v>
      </c>
      <c r="M199" s="531">
        <v>28.146321</v>
      </c>
      <c r="N199" s="528">
        <v>4250</v>
      </c>
      <c r="O199" s="528">
        <v>38.71</v>
      </c>
      <c r="P199" s="528">
        <v>3.0499999999999999E-2</v>
      </c>
      <c r="Q199" s="528">
        <v>1.4999999999999999E-2</v>
      </c>
      <c r="R199" s="529">
        <v>3.86262477</v>
      </c>
      <c r="S199" s="529">
        <f>R199+R198</f>
        <v>7.45767604</v>
      </c>
      <c r="T199" s="544">
        <v>98.9</v>
      </c>
      <c r="U199" s="544">
        <v>98.1</v>
      </c>
      <c r="V199" s="530">
        <v>854</v>
      </c>
      <c r="W199" s="530">
        <v>1539</v>
      </c>
      <c r="X199" s="530">
        <f>W199-V199</f>
        <v>685</v>
      </c>
      <c r="Y199" s="530">
        <f t="shared" si="119"/>
        <v>177.34054970087089</v>
      </c>
      <c r="Z199" s="534">
        <v>855</v>
      </c>
      <c r="AA199" s="530">
        <v>1543</v>
      </c>
      <c r="AB199" s="530">
        <f>AA199-Z199</f>
        <v>688</v>
      </c>
      <c r="AC199" s="533">
        <f t="shared" si="120"/>
        <v>178.11722364116667</v>
      </c>
      <c r="AD199" s="534">
        <v>42</v>
      </c>
      <c r="AE199" s="530">
        <v>72</v>
      </c>
      <c r="AF199" s="530">
        <f>AE199-AD199</f>
        <v>30</v>
      </c>
      <c r="AG199" s="533">
        <f t="shared" si="121"/>
        <v>7.7667394029578496</v>
      </c>
      <c r="AH199" s="534">
        <v>729</v>
      </c>
      <c r="AI199" s="530">
        <v>1287</v>
      </c>
      <c r="AJ199" s="530">
        <f>AI199-AH199</f>
        <v>558</v>
      </c>
      <c r="AK199" s="533">
        <f t="shared" si="122"/>
        <v>144.46135289501601</v>
      </c>
      <c r="AL199" s="534">
        <v>81.3</v>
      </c>
      <c r="AM199" s="530">
        <v>178.5</v>
      </c>
      <c r="AN199" s="530">
        <f>AM199-AL199</f>
        <v>97.2</v>
      </c>
      <c r="AO199" s="533">
        <f t="shared" si="123"/>
        <v>25.164235665583433</v>
      </c>
      <c r="AP199" s="534">
        <v>66.110202999999998</v>
      </c>
      <c r="AQ199" s="530">
        <v>144.309944</v>
      </c>
      <c r="AR199" s="530">
        <f>AQ199-AP199</f>
        <v>78.199741000000003</v>
      </c>
      <c r="AS199" s="533">
        <f t="shared" si="124"/>
        <v>20.245233657526615</v>
      </c>
      <c r="AT199" s="534">
        <v>0.2</v>
      </c>
      <c r="AU199" s="530">
        <v>0.5</v>
      </c>
      <c r="AV199" s="530">
        <f>AU199-AT199</f>
        <v>0.3</v>
      </c>
      <c r="AW199" s="533">
        <f t="shared" si="125"/>
        <v>7.7667394029578493E-2</v>
      </c>
      <c r="AX199" s="534">
        <v>0.5</v>
      </c>
      <c r="AY199" s="530">
        <v>1.2</v>
      </c>
      <c r="AZ199" s="530">
        <f>AY199-AX199</f>
        <v>0.7</v>
      </c>
      <c r="BA199" s="533">
        <f t="shared" si="126"/>
        <v>0.1812239194023498</v>
      </c>
      <c r="BB199" s="534">
        <v>-4.54</v>
      </c>
      <c r="BC199" s="530">
        <v>-6.7</v>
      </c>
      <c r="BD199" s="530">
        <f>BC199-BB199</f>
        <v>-2.16</v>
      </c>
      <c r="BE199" s="530">
        <v>-8.9750340000000008</v>
      </c>
      <c r="BF199" s="533">
        <f t="shared" si="127"/>
        <v>-0.55920523701296521</v>
      </c>
      <c r="BG199" s="527">
        <v>98.9</v>
      </c>
      <c r="BH199" s="527">
        <v>98.1</v>
      </c>
      <c r="BI199" s="527">
        <f>BH199-BG199</f>
        <v>-0.80000000000001137</v>
      </c>
      <c r="BJ199" s="545">
        <v>0.8</v>
      </c>
      <c r="BK199" s="545">
        <v>1.6</v>
      </c>
      <c r="BL199" s="545">
        <f>BK199-BJ199</f>
        <v>0.8</v>
      </c>
      <c r="BM199" s="545">
        <v>0</v>
      </c>
      <c r="BN199" s="545">
        <v>0</v>
      </c>
      <c r="BO199" s="545">
        <f>BN199-BM199</f>
        <v>0</v>
      </c>
      <c r="BP199" s="527"/>
      <c r="BQ199" s="527"/>
      <c r="BR199" s="527"/>
      <c r="BS199" s="527"/>
      <c r="BT199" s="524" t="s">
        <v>723</v>
      </c>
      <c r="BU199" s="512">
        <v>1477.1976901</v>
      </c>
      <c r="BV199" s="512">
        <v>-1.1970935300000001</v>
      </c>
      <c r="BW199" s="512">
        <v>3375.4193284100002</v>
      </c>
      <c r="BX199" s="512">
        <v>3416.3158240100001</v>
      </c>
      <c r="BY199" s="512">
        <v>2.9790429600000001</v>
      </c>
      <c r="BZ199" s="512">
        <v>2.9954685400000001</v>
      </c>
      <c r="CA199" s="512">
        <v>6.748345E-2</v>
      </c>
      <c r="CB199" s="512">
        <v>3.8624359899999998</v>
      </c>
      <c r="CC199" s="512">
        <v>3.8598312400000001</v>
      </c>
      <c r="CD199" s="512">
        <v>-0.61922632</v>
      </c>
      <c r="CE199" s="512">
        <v>-0.54834735999999995</v>
      </c>
      <c r="CF199" s="512">
        <v>0.72008287000000004</v>
      </c>
      <c r="CG199" s="512"/>
    </row>
    <row r="200" spans="1:85" s="519" customFormat="1">
      <c r="A200" s="546">
        <v>62006032</v>
      </c>
      <c r="B200" s="543" t="s">
        <v>830</v>
      </c>
      <c r="C200" s="543" t="s">
        <v>698</v>
      </c>
      <c r="D200" s="521" t="s">
        <v>752</v>
      </c>
      <c r="E200" s="513" t="s">
        <v>979</v>
      </c>
      <c r="F200" s="536" t="str">
        <f t="shared" si="96"/>
        <v>06/12/20</v>
      </c>
      <c r="G200" s="524" t="s">
        <v>980</v>
      </c>
      <c r="H200" s="524" t="s">
        <v>708</v>
      </c>
      <c r="I200" s="532"/>
      <c r="J200" s="468">
        <f>AVERAGE(J198:J199)</f>
        <v>22.951995500000002</v>
      </c>
      <c r="K200" s="468">
        <f>AVERAGE(K198:K199)</f>
        <v>42.970269999999999</v>
      </c>
      <c r="L200" s="468">
        <f>AVERAGE(L198:L199)</f>
        <v>29.567718499999998</v>
      </c>
      <c r="M200" s="468">
        <f>AVERAGE(M198:M199)</f>
        <v>26.936326999999999</v>
      </c>
      <c r="N200" s="452"/>
      <c r="O200" s="528"/>
      <c r="P200" s="470"/>
      <c r="Q200" s="469"/>
      <c r="R200" s="453">
        <f>R199+R198</f>
        <v>7.45767604</v>
      </c>
      <c r="S200" s="453">
        <f>S199</f>
        <v>7.45767604</v>
      </c>
      <c r="T200" s="493">
        <f>T198</f>
        <v>99.8</v>
      </c>
      <c r="U200" s="493">
        <f>U199</f>
        <v>98.1</v>
      </c>
      <c r="V200" s="456">
        <f>V198</f>
        <v>22</v>
      </c>
      <c r="W200" s="456">
        <f>W199</f>
        <v>1539</v>
      </c>
      <c r="X200" s="456">
        <f>SUM(X198:X199)</f>
        <v>1517</v>
      </c>
      <c r="Y200" s="456">
        <f t="shared" si="119"/>
        <v>203.41457470979122</v>
      </c>
      <c r="Z200" s="456">
        <f>Z198</f>
        <v>22</v>
      </c>
      <c r="AA200" s="456">
        <f>AA199</f>
        <v>1543</v>
      </c>
      <c r="AB200" s="456">
        <f>SUM(AB198:AB199)</f>
        <v>1521</v>
      </c>
      <c r="AC200" s="454">
        <f t="shared" si="120"/>
        <v>203.95093482768127</v>
      </c>
      <c r="AD200" s="456">
        <f>AD198</f>
        <v>0</v>
      </c>
      <c r="AE200" s="456">
        <f>AE199</f>
        <v>72</v>
      </c>
      <c r="AF200" s="456">
        <f>SUM(AF198:AF199)</f>
        <v>72</v>
      </c>
      <c r="AG200" s="454">
        <f t="shared" si="121"/>
        <v>9.6544821220204149</v>
      </c>
      <c r="AH200" s="456">
        <f>AH198</f>
        <v>0</v>
      </c>
      <c r="AI200" s="456">
        <f>AI199</f>
        <v>1287</v>
      </c>
      <c r="AJ200" s="456">
        <f>SUM(AJ198:AJ199)</f>
        <v>1287</v>
      </c>
      <c r="AK200" s="454">
        <f t="shared" si="122"/>
        <v>172.5738679311149</v>
      </c>
      <c r="AL200" s="456">
        <f>AL198</f>
        <v>21.6</v>
      </c>
      <c r="AM200" s="456">
        <f>AM199</f>
        <v>178.5</v>
      </c>
      <c r="AN200" s="456">
        <f>SUM(AN198:AN199)</f>
        <v>156.80405500000001</v>
      </c>
      <c r="AO200" s="454">
        <f t="shared" si="123"/>
        <v>21.025860356358415</v>
      </c>
      <c r="AP200" s="456">
        <f>AP198</f>
        <v>17.710564999999999</v>
      </c>
      <c r="AQ200" s="456">
        <f>AQ199</f>
        <v>144.309944</v>
      </c>
      <c r="AR200" s="456">
        <f>SUM(AR198:AR199)</f>
        <v>126.58958200000001</v>
      </c>
      <c r="AS200" s="454">
        <f t="shared" si="124"/>
        <v>16.974400781292186</v>
      </c>
      <c r="AT200" s="456">
        <f>AT198</f>
        <v>0</v>
      </c>
      <c r="AU200" s="456">
        <f>AU199</f>
        <v>0.5</v>
      </c>
      <c r="AV200" s="456">
        <f>SUM(AV198:AV199)</f>
        <v>0.5</v>
      </c>
      <c r="AW200" s="454">
        <f t="shared" si="125"/>
        <v>6.7045014736252878E-2</v>
      </c>
      <c r="AX200" s="456">
        <f>AX198</f>
        <v>0.1</v>
      </c>
      <c r="AY200" s="456">
        <f>AY199</f>
        <v>1.2</v>
      </c>
      <c r="AZ200" s="456">
        <f>SUM(AZ198:AZ199)</f>
        <v>1.1000000000000001</v>
      </c>
      <c r="BA200" s="454">
        <f t="shared" si="126"/>
        <v>0.14749903241975634</v>
      </c>
      <c r="BB200" s="456">
        <f>BB198</f>
        <v>-1.96</v>
      </c>
      <c r="BC200" s="456">
        <f>BC199</f>
        <v>-6.7</v>
      </c>
      <c r="BD200" s="456">
        <f>SUM(BD198:BD199)</f>
        <v>-4.74</v>
      </c>
      <c r="BE200" s="530">
        <f>AVERAGE(BE198:BE199)</f>
        <v>-13.684198500000001</v>
      </c>
      <c r="BF200" s="454">
        <f t="shared" si="127"/>
        <v>-0.63558673969967727</v>
      </c>
      <c r="BG200" s="445"/>
      <c r="BH200" s="445"/>
      <c r="BI200" s="445">
        <f>SUM(BI198:BI199)</f>
        <v>-1.7000000000000028</v>
      </c>
      <c r="BJ200" s="496" t="s">
        <v>1147</v>
      </c>
      <c r="BK200" s="496" t="s">
        <v>1148</v>
      </c>
      <c r="BL200" s="496">
        <f>SUM(BL198:BL199)</f>
        <v>1.3</v>
      </c>
      <c r="BM200" s="496" t="s">
        <v>1149</v>
      </c>
      <c r="BN200" s="496" t="s">
        <v>1150</v>
      </c>
      <c r="BO200" s="496">
        <f>SUM(BO198:BO199)</f>
        <v>0</v>
      </c>
      <c r="BP200" s="445"/>
      <c r="BQ200" s="445"/>
      <c r="BR200" s="445"/>
      <c r="BS200" s="445"/>
      <c r="BT200" s="524" t="s">
        <v>723</v>
      </c>
      <c r="BU200" s="512"/>
      <c r="BV200" s="512"/>
      <c r="BW200" s="512"/>
      <c r="BX200" s="512"/>
      <c r="BY200" s="512"/>
      <c r="BZ200" s="512"/>
      <c r="CA200" s="512"/>
      <c r="CB200" s="512"/>
      <c r="CC200" s="512"/>
      <c r="CD200" s="512"/>
      <c r="CE200" s="512"/>
      <c r="CF200" s="512"/>
      <c r="CG200" s="512"/>
    </row>
    <row r="201" spans="1:85" s="519" customFormat="1">
      <c r="A201" s="546">
        <v>62006032</v>
      </c>
      <c r="B201" s="543" t="s">
        <v>829</v>
      </c>
      <c r="C201" s="543" t="s">
        <v>697</v>
      </c>
      <c r="D201" s="521" t="s">
        <v>752</v>
      </c>
      <c r="E201" s="513" t="s">
        <v>979</v>
      </c>
      <c r="F201" s="536" t="str">
        <f t="shared" si="96"/>
        <v>06/12/20</v>
      </c>
      <c r="G201" s="524" t="s">
        <v>980</v>
      </c>
      <c r="H201" s="524" t="s">
        <v>708</v>
      </c>
      <c r="I201" s="532"/>
      <c r="J201" s="531">
        <v>24.704509000000002</v>
      </c>
      <c r="K201" s="531">
        <v>38.588059999999999</v>
      </c>
      <c r="L201" s="531">
        <v>29.568845</v>
      </c>
      <c r="M201" s="531">
        <v>30.079328</v>
      </c>
      <c r="N201" s="528">
        <v>4250</v>
      </c>
      <c r="O201" s="528">
        <v>38.71</v>
      </c>
      <c r="P201" s="528">
        <v>3.0499999999999999E-2</v>
      </c>
      <c r="Q201" s="528">
        <v>1.4999999999999999E-2</v>
      </c>
      <c r="R201" s="529">
        <v>10.28394114</v>
      </c>
      <c r="S201" s="529">
        <f>R201+S200</f>
        <v>17.741617179999999</v>
      </c>
      <c r="T201" s="544">
        <v>98.1</v>
      </c>
      <c r="U201" s="544">
        <v>95.9</v>
      </c>
      <c r="V201" s="530">
        <v>1541</v>
      </c>
      <c r="W201" s="530">
        <v>3476</v>
      </c>
      <c r="X201" s="530">
        <f>W201-V201</f>
        <v>1935</v>
      </c>
      <c r="Y201" s="530">
        <f t="shared" si="119"/>
        <v>188.15743630364653</v>
      </c>
      <c r="Z201" s="534">
        <v>1545</v>
      </c>
      <c r="AA201" s="530">
        <v>3482</v>
      </c>
      <c r="AB201" s="530">
        <f>AA201-Z201</f>
        <v>1937</v>
      </c>
      <c r="AC201" s="533">
        <f t="shared" si="120"/>
        <v>188.35191427398621</v>
      </c>
      <c r="AD201" s="534">
        <v>72</v>
      </c>
      <c r="AE201" s="530">
        <v>78</v>
      </c>
      <c r="AF201" s="530">
        <f>AE201-AD201</f>
        <v>6</v>
      </c>
      <c r="AG201" s="533">
        <f t="shared" si="121"/>
        <v>0.58343391101905906</v>
      </c>
      <c r="AH201" s="534">
        <v>1287</v>
      </c>
      <c r="AI201" s="530">
        <v>3129</v>
      </c>
      <c r="AJ201" s="530">
        <f>AI201-AH201</f>
        <v>1842</v>
      </c>
      <c r="AK201" s="533">
        <f t="shared" si="122"/>
        <v>179.11421068285111</v>
      </c>
      <c r="AL201" s="534">
        <v>180.4</v>
      </c>
      <c r="AM201" s="530">
        <v>264.5</v>
      </c>
      <c r="AN201" s="530">
        <f>AM201-AL201</f>
        <v>84.1</v>
      </c>
      <c r="AO201" s="533">
        <f t="shared" si="123"/>
        <v>8.1777986527838102</v>
      </c>
      <c r="AP201" s="534">
        <v>145.8698</v>
      </c>
      <c r="AQ201" s="530">
        <v>213.43934300000001</v>
      </c>
      <c r="AR201" s="530">
        <f>AQ201-AP201</f>
        <v>67.56954300000001</v>
      </c>
      <c r="AS201" s="533">
        <f t="shared" si="124"/>
        <v>6.5703937897100815</v>
      </c>
      <c r="AT201" s="534">
        <v>0.5</v>
      </c>
      <c r="AU201" s="530">
        <v>0.6</v>
      </c>
      <c r="AV201" s="530">
        <f>AU201-AT201</f>
        <v>9.9999999999999978E-2</v>
      </c>
      <c r="AW201" s="533">
        <f t="shared" si="125"/>
        <v>9.7238985169843146E-3</v>
      </c>
      <c r="AX201" s="534">
        <v>1.2</v>
      </c>
      <c r="AY201" s="530">
        <v>1.7</v>
      </c>
      <c r="AZ201" s="530">
        <f>AY201-AX201</f>
        <v>0.5</v>
      </c>
      <c r="BA201" s="533">
        <f t="shared" si="126"/>
        <v>4.8619492584921584E-2</v>
      </c>
      <c r="BB201" s="534">
        <v>-6.72</v>
      </c>
      <c r="BC201" s="530">
        <v>-7.82</v>
      </c>
      <c r="BD201" s="530">
        <f>BC201-BB201</f>
        <v>-1.1000000000000005</v>
      </c>
      <c r="BE201" s="530">
        <v>-5.2109139999999998</v>
      </c>
      <c r="BF201" s="533">
        <f t="shared" si="127"/>
        <v>-0.10696288368682753</v>
      </c>
      <c r="BG201" s="527">
        <v>98.1</v>
      </c>
      <c r="BH201" s="527">
        <v>95.9</v>
      </c>
      <c r="BI201" s="527">
        <f>BH201-BG201</f>
        <v>-2.1999999999999886</v>
      </c>
      <c r="BJ201" s="545">
        <v>1.7</v>
      </c>
      <c r="BK201" s="545">
        <v>2.4</v>
      </c>
      <c r="BL201" s="545">
        <f>BK201-BJ201</f>
        <v>0.7</v>
      </c>
      <c r="BM201" s="545">
        <v>0</v>
      </c>
      <c r="BN201" s="545">
        <v>0</v>
      </c>
      <c r="BO201" s="545">
        <f>BN201-BM201</f>
        <v>0</v>
      </c>
      <c r="BP201" s="527"/>
      <c r="BQ201" s="527"/>
      <c r="BR201" s="527"/>
      <c r="BS201" s="527"/>
      <c r="BT201" s="524" t="s">
        <v>723</v>
      </c>
      <c r="BU201" s="512">
        <v>1875.74490881</v>
      </c>
      <c r="BV201" s="512">
        <v>-0.33422043000000001</v>
      </c>
      <c r="BW201" s="512">
        <v>1302.4242997599999</v>
      </c>
      <c r="BX201" s="512">
        <v>1306.79186519</v>
      </c>
      <c r="BY201" s="512">
        <v>6.8085244700000001</v>
      </c>
      <c r="BZ201" s="512">
        <v>6.79048666</v>
      </c>
      <c r="CA201" s="512">
        <v>0.26585313999999999</v>
      </c>
      <c r="CB201" s="512">
        <v>10.28394834</v>
      </c>
      <c r="CC201" s="512">
        <v>10.256680640000001</v>
      </c>
      <c r="CD201" s="512">
        <v>-2.1906000000000001E-4</v>
      </c>
      <c r="CE201" s="512">
        <v>0.26563351000000002</v>
      </c>
      <c r="CF201" s="512">
        <v>0.33398818000000002</v>
      </c>
      <c r="CG201" s="512"/>
    </row>
    <row r="202" spans="1:85" s="519" customFormat="1">
      <c r="A202" s="546">
        <v>62006032</v>
      </c>
      <c r="B202" s="543" t="s">
        <v>828</v>
      </c>
      <c r="C202" s="543" t="s">
        <v>699</v>
      </c>
      <c r="D202" s="521" t="s">
        <v>752</v>
      </c>
      <c r="E202" s="513" t="s">
        <v>979</v>
      </c>
      <c r="F202" s="536" t="str">
        <f t="shared" si="96"/>
        <v>06/12/20</v>
      </c>
      <c r="G202" s="524" t="s">
        <v>980</v>
      </c>
      <c r="H202" s="524" t="s">
        <v>708</v>
      </c>
      <c r="I202" s="532"/>
      <c r="J202" s="531">
        <v>20.247181999999999</v>
      </c>
      <c r="K202" s="531">
        <v>53.921950000000002</v>
      </c>
      <c r="L202" s="531">
        <v>29.564561000000001</v>
      </c>
      <c r="M202" s="531">
        <v>30.093844000000001</v>
      </c>
      <c r="N202" s="528">
        <v>4250</v>
      </c>
      <c r="O202" s="528">
        <v>38.71</v>
      </c>
      <c r="P202" s="528">
        <v>3.0499999999999999E-2</v>
      </c>
      <c r="Q202" s="528">
        <v>1.4999999999999999E-2</v>
      </c>
      <c r="R202" s="529">
        <v>3.5965295500000001</v>
      </c>
      <c r="S202" s="529">
        <f>R202+S201</f>
        <v>21.338146729999998</v>
      </c>
      <c r="T202" s="544">
        <v>95.8</v>
      </c>
      <c r="U202" s="544">
        <v>95.1</v>
      </c>
      <c r="V202" s="530">
        <v>3518</v>
      </c>
      <c r="W202" s="530">
        <v>4178</v>
      </c>
      <c r="X202" s="530">
        <f>W202-V202</f>
        <v>660</v>
      </c>
      <c r="Y202" s="530">
        <f t="shared" si="119"/>
        <v>183.51023975320877</v>
      </c>
      <c r="Z202" s="534">
        <v>3525</v>
      </c>
      <c r="AA202" s="530">
        <v>4186</v>
      </c>
      <c r="AB202" s="530">
        <f>AA202-Z202</f>
        <v>661</v>
      </c>
      <c r="AC202" s="533">
        <f t="shared" si="120"/>
        <v>183.78828557101664</v>
      </c>
      <c r="AD202" s="534">
        <v>78</v>
      </c>
      <c r="AE202" s="530">
        <v>85</v>
      </c>
      <c r="AF202" s="530">
        <f>AE202-AD202</f>
        <v>7</v>
      </c>
      <c r="AG202" s="533">
        <f t="shared" si="121"/>
        <v>1.9463207246552443</v>
      </c>
      <c r="AH202" s="534">
        <v>3130</v>
      </c>
      <c r="AI202" s="530">
        <v>3729</v>
      </c>
      <c r="AJ202" s="530">
        <f>AI202-AH202</f>
        <v>599</v>
      </c>
      <c r="AK202" s="533">
        <f t="shared" si="122"/>
        <v>166.54944486692733</v>
      </c>
      <c r="AL202" s="534">
        <v>304.39999999999998</v>
      </c>
      <c r="AM202" s="530">
        <v>357.2</v>
      </c>
      <c r="AN202" s="530">
        <f>AM202-AL202</f>
        <v>52.800000000000011</v>
      </c>
      <c r="AO202" s="533">
        <f t="shared" si="123"/>
        <v>14.680819180256703</v>
      </c>
      <c r="AP202" s="534">
        <v>242.67900900000001</v>
      </c>
      <c r="AQ202" s="530">
        <v>285.54884399999997</v>
      </c>
      <c r="AR202" s="530">
        <f>AQ202-AP202</f>
        <v>42.869834999999966</v>
      </c>
      <c r="AS202" s="533">
        <f t="shared" si="124"/>
        <v>11.919778331864384</v>
      </c>
      <c r="AT202" s="534">
        <v>0.8</v>
      </c>
      <c r="AU202" s="530">
        <v>0.9</v>
      </c>
      <c r="AV202" s="530">
        <f>AU202-AT202</f>
        <v>9.9999999999999978E-2</v>
      </c>
      <c r="AW202" s="533">
        <f t="shared" si="125"/>
        <v>2.7804581780789199E-2</v>
      </c>
      <c r="AX202" s="534">
        <v>2.2000000000000002</v>
      </c>
      <c r="AY202" s="530">
        <v>2.6</v>
      </c>
      <c r="AZ202" s="530">
        <f>AY202-AX202</f>
        <v>0.39999999999999991</v>
      </c>
      <c r="BA202" s="533">
        <f t="shared" si="126"/>
        <v>0.1112183271231568</v>
      </c>
      <c r="BB202" s="534">
        <v>-8.3000000000000007</v>
      </c>
      <c r="BC202" s="530">
        <v>-8.6300000000000008</v>
      </c>
      <c r="BD202" s="530">
        <f>BC202-BB202</f>
        <v>-0.33000000000000007</v>
      </c>
      <c r="BE202" s="530">
        <v>-2.4221119999999998</v>
      </c>
      <c r="BF202" s="533">
        <f t="shared" si="127"/>
        <v>-9.1755119876604396E-2</v>
      </c>
      <c r="BG202" s="527">
        <v>95.8</v>
      </c>
      <c r="BH202" s="527">
        <v>95.1</v>
      </c>
      <c r="BI202" s="527">
        <f>BH202-BG202</f>
        <v>-0.70000000000000284</v>
      </c>
      <c r="BJ202" s="545">
        <v>3</v>
      </c>
      <c r="BK202" s="545">
        <v>3.5</v>
      </c>
      <c r="BL202" s="545">
        <f>BK202-BJ202</f>
        <v>0.5</v>
      </c>
      <c r="BM202" s="545">
        <v>0</v>
      </c>
      <c r="BN202" s="545">
        <v>0</v>
      </c>
      <c r="BO202" s="545">
        <f>BN202-BM202</f>
        <v>0</v>
      </c>
      <c r="BP202" s="527"/>
      <c r="BQ202" s="527"/>
      <c r="BR202" s="527"/>
      <c r="BS202" s="527"/>
      <c r="BT202" s="524" t="s">
        <v>723</v>
      </c>
      <c r="BU202" s="512">
        <v>2368.4893278499999</v>
      </c>
      <c r="BV202" s="512">
        <v>-0.99868659000000004</v>
      </c>
      <c r="BW202" s="512">
        <v>2028.38671935</v>
      </c>
      <c r="BX202" s="512">
        <v>2048.8482923900001</v>
      </c>
      <c r="BY202" s="512">
        <v>3.0232229500000001</v>
      </c>
      <c r="BZ202" s="512">
        <v>3.0320171999999999</v>
      </c>
      <c r="CA202" s="512">
        <v>0.1525948</v>
      </c>
      <c r="CB202" s="512">
        <v>3.5964602299999999</v>
      </c>
      <c r="CC202" s="512">
        <v>3.5909805800000001</v>
      </c>
      <c r="CD202" s="512">
        <v>-0.44392849000000001</v>
      </c>
      <c r="CE202" s="512">
        <v>-0.29004609999999997</v>
      </c>
      <c r="CF202" s="512">
        <v>0.63450739</v>
      </c>
      <c r="CG202" s="512"/>
    </row>
    <row r="203" spans="1:85" s="519" customFormat="1">
      <c r="A203" s="546">
        <v>62006032</v>
      </c>
      <c r="B203" s="543" t="s">
        <v>239</v>
      </c>
      <c r="C203" s="543" t="s">
        <v>700</v>
      </c>
      <c r="D203" s="521" t="s">
        <v>752</v>
      </c>
      <c r="E203" s="513" t="s">
        <v>979</v>
      </c>
      <c r="F203" s="536" t="str">
        <f t="shared" si="96"/>
        <v>06/12/20</v>
      </c>
      <c r="G203" s="524" t="s">
        <v>980</v>
      </c>
      <c r="H203" s="524" t="s">
        <v>708</v>
      </c>
      <c r="I203" s="532"/>
      <c r="J203" s="531">
        <v>19.987351</v>
      </c>
      <c r="K203" s="531">
        <v>54.470222999999997</v>
      </c>
      <c r="L203" s="531">
        <v>29.565328999999998</v>
      </c>
      <c r="M203" s="531">
        <v>29.219684999999998</v>
      </c>
      <c r="N203" s="528">
        <v>4250</v>
      </c>
      <c r="O203" s="528">
        <v>38.71</v>
      </c>
      <c r="P203" s="528">
        <v>3.0499999999999999E-2</v>
      </c>
      <c r="Q203" s="528">
        <v>1.4999999999999999E-2</v>
      </c>
      <c r="R203" s="529">
        <v>3.86216413</v>
      </c>
      <c r="S203" s="529">
        <f>R203+S202</f>
        <v>25.200310859999998</v>
      </c>
      <c r="T203" s="544">
        <v>95.1</v>
      </c>
      <c r="U203" s="544">
        <v>94.3</v>
      </c>
      <c r="V203" s="530">
        <v>4178</v>
      </c>
      <c r="W203" s="530">
        <v>4820</v>
      </c>
      <c r="X203" s="530">
        <f>W203-V203</f>
        <v>642</v>
      </c>
      <c r="Y203" s="530">
        <f t="shared" si="119"/>
        <v>166.228046864492</v>
      </c>
      <c r="Z203" s="534">
        <v>4186</v>
      </c>
      <c r="AA203" s="530">
        <v>4830</v>
      </c>
      <c r="AB203" s="530">
        <f>AA203-Z203</f>
        <v>644</v>
      </c>
      <c r="AC203" s="533">
        <f t="shared" si="120"/>
        <v>166.74589124724744</v>
      </c>
      <c r="AD203" s="534">
        <v>85</v>
      </c>
      <c r="AE203" s="530">
        <v>103</v>
      </c>
      <c r="AF203" s="530">
        <f>AE203-AD203</f>
        <v>18</v>
      </c>
      <c r="AG203" s="533">
        <f t="shared" si="121"/>
        <v>4.6605994447988417</v>
      </c>
      <c r="AH203" s="534">
        <v>3729</v>
      </c>
      <c r="AI203" s="530">
        <v>4263</v>
      </c>
      <c r="AJ203" s="530">
        <f>AI203-AH203</f>
        <v>534</v>
      </c>
      <c r="AK203" s="533">
        <f t="shared" si="122"/>
        <v>138.26445019569897</v>
      </c>
      <c r="AL203" s="534">
        <v>357.28847100000002</v>
      </c>
      <c r="AM203" s="530">
        <v>445.9</v>
      </c>
      <c r="AN203" s="530">
        <f>AM203-AL203</f>
        <v>88.611528999999962</v>
      </c>
      <c r="AO203" s="533">
        <f t="shared" si="123"/>
        <v>22.94349127000979</v>
      </c>
      <c r="AP203" s="534">
        <v>285.56884700000001</v>
      </c>
      <c r="AQ203" s="530">
        <v>357.12830400000001</v>
      </c>
      <c r="AR203" s="530">
        <f>AQ203-AP203</f>
        <v>71.559457000000009</v>
      </c>
      <c r="AS203" s="533">
        <f t="shared" si="124"/>
        <v>18.528331420239255</v>
      </c>
      <c r="AT203" s="534">
        <v>0.9</v>
      </c>
      <c r="AU203" s="530">
        <v>1.2</v>
      </c>
      <c r="AV203" s="530">
        <f>AU203-AT203</f>
        <v>0.29999999999999993</v>
      </c>
      <c r="AW203" s="533">
        <f t="shared" si="125"/>
        <v>7.7676657413314004E-2</v>
      </c>
      <c r="AX203" s="534">
        <v>2.6</v>
      </c>
      <c r="AY203" s="530">
        <v>3.2</v>
      </c>
      <c r="AZ203" s="530">
        <f>AY203-AX203</f>
        <v>0.60000000000000009</v>
      </c>
      <c r="BA203" s="533">
        <f t="shared" si="126"/>
        <v>0.15535331482662806</v>
      </c>
      <c r="BB203" s="534">
        <v>-8.6300000000000008</v>
      </c>
      <c r="BC203" s="530">
        <v>-9.1199999999999992</v>
      </c>
      <c r="BD203" s="530">
        <f>BC203-BB203</f>
        <v>-0.48999999999999844</v>
      </c>
      <c r="BE203" s="530">
        <v>-2.0123120000000001</v>
      </c>
      <c r="BF203" s="533">
        <f t="shared" si="127"/>
        <v>-0.12687187377507916</v>
      </c>
      <c r="BG203" s="527">
        <v>95.1</v>
      </c>
      <c r="BH203" s="527">
        <v>94.3</v>
      </c>
      <c r="BI203" s="527">
        <f>BH203-BG203</f>
        <v>-0.79999999999999716</v>
      </c>
      <c r="BJ203" s="545">
        <v>3.5</v>
      </c>
      <c r="BK203" s="545">
        <v>4.4000000000000004</v>
      </c>
      <c r="BL203" s="545">
        <f>BK203-BJ203</f>
        <v>0.90000000000000036</v>
      </c>
      <c r="BM203" s="545">
        <v>0</v>
      </c>
      <c r="BN203" s="545">
        <v>0</v>
      </c>
      <c r="BO203" s="545">
        <f>BN203-BM203</f>
        <v>0</v>
      </c>
      <c r="BP203" s="527"/>
      <c r="BQ203" s="527"/>
      <c r="BR203" s="527"/>
      <c r="BS203" s="527"/>
      <c r="BT203" s="524" t="s">
        <v>723</v>
      </c>
      <c r="BU203" s="512">
        <v>1476.64678908</v>
      </c>
      <c r="BV203" s="512">
        <v>-1.0433643399999999</v>
      </c>
      <c r="BW203" s="512">
        <v>3380.5952232899999</v>
      </c>
      <c r="BX203" s="512">
        <v>3416.2390433199998</v>
      </c>
      <c r="BY203" s="512">
        <v>2.9805997299999998</v>
      </c>
      <c r="BZ203" s="512">
        <v>2.9953804700000002</v>
      </c>
      <c r="CA203" s="512">
        <v>5.7116269999999997E-2</v>
      </c>
      <c r="CB203" s="512">
        <v>3.86203575</v>
      </c>
      <c r="CC203" s="512">
        <v>3.8598311600000001</v>
      </c>
      <c r="CD203" s="512">
        <v>-0.55329773999999998</v>
      </c>
      <c r="CE203" s="512">
        <v>-0.49345120999999997</v>
      </c>
      <c r="CF203" s="512">
        <v>0.72008375999999996</v>
      </c>
      <c r="CG203" s="512"/>
    </row>
    <row r="204" spans="1:85" s="519" customFormat="1">
      <c r="A204" s="546">
        <v>62006032</v>
      </c>
      <c r="B204" s="543" t="s">
        <v>833</v>
      </c>
      <c r="C204" s="543" t="s">
        <v>701</v>
      </c>
      <c r="D204" s="521" t="s">
        <v>752</v>
      </c>
      <c r="E204" s="513" t="s">
        <v>979</v>
      </c>
      <c r="F204" s="536" t="str">
        <f t="shared" si="96"/>
        <v>06/12/20</v>
      </c>
      <c r="G204" s="524" t="s">
        <v>980</v>
      </c>
      <c r="H204" s="524" t="s">
        <v>708</v>
      </c>
      <c r="I204" s="532"/>
      <c r="J204" s="468">
        <f>AVERAGE(J202:J203)</f>
        <v>20.117266499999999</v>
      </c>
      <c r="K204" s="468">
        <f>AVERAGE(K202:K203)</f>
        <v>54.1960865</v>
      </c>
      <c r="L204" s="468">
        <f>AVERAGE(L202:L203)</f>
        <v>29.564945000000002</v>
      </c>
      <c r="M204" s="468">
        <f>AVERAGE(M202:M203)</f>
        <v>29.656764500000001</v>
      </c>
      <c r="N204" s="452"/>
      <c r="O204" s="528"/>
      <c r="P204" s="470"/>
      <c r="Q204" s="469"/>
      <c r="R204" s="453">
        <f>R203+R202</f>
        <v>7.4586936799999997</v>
      </c>
      <c r="S204" s="453">
        <f>S203</f>
        <v>25.200310859999998</v>
      </c>
      <c r="T204" s="493">
        <f>T202</f>
        <v>95.8</v>
      </c>
      <c r="U204" s="493">
        <f>U203</f>
        <v>94.3</v>
      </c>
      <c r="V204" s="456">
        <f>V202</f>
        <v>3518</v>
      </c>
      <c r="W204" s="456">
        <f>W203</f>
        <v>4820</v>
      </c>
      <c r="X204" s="456">
        <f>SUM(X202:X203)</f>
        <v>1302</v>
      </c>
      <c r="Y204" s="456">
        <f t="shared" si="119"/>
        <v>174.5613985316528</v>
      </c>
      <c r="Z204" s="456">
        <f>Z202</f>
        <v>3525</v>
      </c>
      <c r="AA204" s="456">
        <f>AA203</f>
        <v>4830</v>
      </c>
      <c r="AB204" s="456">
        <f>SUM(AB202:AB203)</f>
        <v>1305</v>
      </c>
      <c r="AC204" s="454">
        <f t="shared" si="120"/>
        <v>174.96361373564278</v>
      </c>
      <c r="AD204" s="456">
        <f>AD202</f>
        <v>78</v>
      </c>
      <c r="AE204" s="456">
        <f>AE203</f>
        <v>103</v>
      </c>
      <c r="AF204" s="456">
        <f>SUM(AF202:AF203)</f>
        <v>25</v>
      </c>
      <c r="AG204" s="454">
        <f t="shared" si="121"/>
        <v>3.3517933665831952</v>
      </c>
      <c r="AH204" s="456">
        <f>AH202</f>
        <v>3130</v>
      </c>
      <c r="AI204" s="456">
        <f>AI203</f>
        <v>4263</v>
      </c>
      <c r="AJ204" s="456">
        <f>SUM(AJ202:AJ203)</f>
        <v>1133</v>
      </c>
      <c r="AK204" s="454">
        <f t="shared" si="122"/>
        <v>151.9032753735504</v>
      </c>
      <c r="AL204" s="456">
        <f>AL202</f>
        <v>304.39999999999998</v>
      </c>
      <c r="AM204" s="456">
        <f>AM203</f>
        <v>445.9</v>
      </c>
      <c r="AN204" s="456">
        <f>SUM(AN202:AN203)</f>
        <v>141.41152899999997</v>
      </c>
      <c r="AO204" s="454">
        <f t="shared" si="123"/>
        <v>18.959288994423481</v>
      </c>
      <c r="AP204" s="456">
        <f>AP202</f>
        <v>242.67900900000001</v>
      </c>
      <c r="AQ204" s="456">
        <f>AQ203</f>
        <v>357.12830400000001</v>
      </c>
      <c r="AR204" s="456">
        <f>SUM(AR202:AR203)</f>
        <v>114.42929199999998</v>
      </c>
      <c r="AS204" s="454">
        <f t="shared" si="124"/>
        <v>15.341733674736457</v>
      </c>
      <c r="AT204" s="456">
        <f>AT202</f>
        <v>0.8</v>
      </c>
      <c r="AU204" s="456">
        <f>AU203</f>
        <v>1.2</v>
      </c>
      <c r="AV204" s="456">
        <f>SUM(AV202:AV203)</f>
        <v>0.39999999999999991</v>
      </c>
      <c r="AW204" s="454">
        <f t="shared" si="125"/>
        <v>5.362869386533111E-2</v>
      </c>
      <c r="AX204" s="456">
        <f>AX202</f>
        <v>2.2000000000000002</v>
      </c>
      <c r="AY204" s="456">
        <f>AY203</f>
        <v>3.2</v>
      </c>
      <c r="AZ204" s="456">
        <f>SUM(AZ202:AZ203)</f>
        <v>1</v>
      </c>
      <c r="BA204" s="454">
        <f t="shared" si="126"/>
        <v>0.13407173466332781</v>
      </c>
      <c r="BB204" s="456">
        <f>BB202</f>
        <v>-8.3000000000000007</v>
      </c>
      <c r="BC204" s="456">
        <f>BC203</f>
        <v>-9.1199999999999992</v>
      </c>
      <c r="BD204" s="456">
        <f>SUM(BD202:BD203)</f>
        <v>-0.81999999999999851</v>
      </c>
      <c r="BE204" s="530">
        <f>AVERAGE(BE202:BE203)</f>
        <v>-2.217212</v>
      </c>
      <c r="BF204" s="454">
        <f t="shared" si="127"/>
        <v>-0.10993882242392861</v>
      </c>
      <c r="BG204" s="445"/>
      <c r="BH204" s="445"/>
      <c r="BI204" s="445">
        <f>SUM(BI202:BI203)</f>
        <v>-1.5</v>
      </c>
      <c r="BJ204" s="496" t="s">
        <v>1151</v>
      </c>
      <c r="BK204" s="496" t="s">
        <v>1152</v>
      </c>
      <c r="BL204" s="496">
        <f>SUM(BL202:BL203)</f>
        <v>1.4000000000000004</v>
      </c>
      <c r="BM204" s="496" t="s">
        <v>1153</v>
      </c>
      <c r="BN204" s="496" t="s">
        <v>1154</v>
      </c>
      <c r="BO204" s="496">
        <f>SUM(BO202:BO203)</f>
        <v>0</v>
      </c>
      <c r="BP204" s="445"/>
      <c r="BQ204" s="445"/>
      <c r="BR204" s="445"/>
      <c r="BS204" s="445"/>
      <c r="BT204" s="524" t="s">
        <v>723</v>
      </c>
      <c r="BU204" s="512"/>
      <c r="BV204" s="512"/>
      <c r="BW204" s="512"/>
      <c r="BX204" s="512"/>
      <c r="BY204" s="512"/>
      <c r="BZ204" s="512"/>
      <c r="CA204" s="512"/>
      <c r="CB204" s="512"/>
      <c r="CC204" s="512"/>
      <c r="CD204" s="512"/>
      <c r="CE204" s="512"/>
      <c r="CF204" s="512"/>
      <c r="CG204" s="512"/>
    </row>
    <row r="205" spans="1:85" s="519" customFormat="1">
      <c r="A205" s="546">
        <v>62006032</v>
      </c>
      <c r="B205" s="543" t="s">
        <v>836</v>
      </c>
      <c r="C205" s="543" t="s">
        <v>770</v>
      </c>
      <c r="D205" s="521" t="s">
        <v>752</v>
      </c>
      <c r="E205" s="513" t="s">
        <v>979</v>
      </c>
      <c r="F205" s="536" t="str">
        <f t="shared" si="96"/>
        <v>06/12/20</v>
      </c>
      <c r="G205" s="524" t="s">
        <v>980</v>
      </c>
      <c r="H205" s="524" t="s">
        <v>708</v>
      </c>
      <c r="I205" s="532"/>
      <c r="J205" s="531">
        <v>23.124372999999999</v>
      </c>
      <c r="K205" s="531">
        <v>42.511938999999998</v>
      </c>
      <c r="L205" s="531">
        <v>29.564921999999999</v>
      </c>
      <c r="M205" s="531">
        <v>30.993514999999999</v>
      </c>
      <c r="N205" s="528">
        <v>4250</v>
      </c>
      <c r="O205" s="528">
        <v>38.71</v>
      </c>
      <c r="P205" s="528">
        <v>3.0499999999999999E-2</v>
      </c>
      <c r="Q205" s="528">
        <v>1.4999999999999999E-2</v>
      </c>
      <c r="R205" s="529">
        <v>1.774627</v>
      </c>
      <c r="S205" s="529">
        <f>R205+S204</f>
        <v>26.974937859999997</v>
      </c>
      <c r="T205" s="544">
        <v>94.3</v>
      </c>
      <c r="U205" s="544">
        <v>92</v>
      </c>
      <c r="V205" s="530">
        <v>4830</v>
      </c>
      <c r="W205" s="530">
        <v>6827</v>
      </c>
      <c r="X205" s="530">
        <f>W205-V205-X206</f>
        <v>469</v>
      </c>
      <c r="Y205" s="530">
        <f t="shared" si="119"/>
        <v>264.28088832188399</v>
      </c>
      <c r="Z205" s="534">
        <v>4839</v>
      </c>
      <c r="AA205" s="530">
        <v>6839</v>
      </c>
      <c r="AB205" s="530">
        <f>AA205-Z205-AB206</f>
        <v>471</v>
      </c>
      <c r="AC205" s="533">
        <f t="shared" si="120"/>
        <v>265.40788571344854</v>
      </c>
      <c r="AD205" s="534">
        <v>103</v>
      </c>
      <c r="AE205" s="530">
        <v>162</v>
      </c>
      <c r="AF205" s="530">
        <f>AE205-AD205-AF206</f>
        <v>41</v>
      </c>
      <c r="AG205" s="533">
        <f t="shared" si="121"/>
        <v>23.103446527073014</v>
      </c>
      <c r="AH205" s="534">
        <v>4263</v>
      </c>
      <c r="AI205" s="530">
        <v>6138</v>
      </c>
      <c r="AJ205" s="530">
        <f>AI205-AH205-AJ206</f>
        <v>403</v>
      </c>
      <c r="AK205" s="533">
        <f t="shared" si="122"/>
        <v>227.08997440025425</v>
      </c>
      <c r="AL205" s="534">
        <v>455.2</v>
      </c>
      <c r="AM205" s="530">
        <v>517</v>
      </c>
      <c r="AN205" s="530">
        <f>AM205-AL205-AN206</f>
        <v>24.300000000000011</v>
      </c>
      <c r="AO205" s="533">
        <f t="shared" si="123"/>
        <v>13.693018307509133</v>
      </c>
      <c r="AP205" s="534">
        <v>364.61</v>
      </c>
      <c r="AQ205" s="530">
        <v>414.65789699999999</v>
      </c>
      <c r="AR205" s="530">
        <f>AQ205-AP205-AR206</f>
        <v>19.688040000000001</v>
      </c>
      <c r="AS205" s="533">
        <f t="shared" si="124"/>
        <v>11.094184862509136</v>
      </c>
      <c r="AT205" s="534">
        <v>1.2</v>
      </c>
      <c r="AU205" s="530">
        <v>1.4</v>
      </c>
      <c r="AV205" s="530">
        <f>AU205-AT205-AV206</f>
        <v>0.19999999999999996</v>
      </c>
      <c r="AW205" s="533">
        <f t="shared" si="125"/>
        <v>0.1126997391564537</v>
      </c>
      <c r="AX205" s="534">
        <v>3.3</v>
      </c>
      <c r="AY205" s="530">
        <v>3.7</v>
      </c>
      <c r="AZ205" s="530">
        <f>AY205-AX205-AZ206</f>
        <v>0.20000000000000018</v>
      </c>
      <c r="BA205" s="533">
        <f t="shared" si="126"/>
        <v>0.11269973915645383</v>
      </c>
      <c r="BB205" s="534">
        <v>-9.17</v>
      </c>
      <c r="BC205" s="530">
        <v>-9.4600000000000009</v>
      </c>
      <c r="BD205" s="530">
        <f>BC205-BB205-BD206</f>
        <v>-0.11000000000000121</v>
      </c>
      <c r="BE205" s="530">
        <v>-1.722477</v>
      </c>
      <c r="BF205" s="533">
        <f t="shared" si="127"/>
        <v>-6.198485653605023E-2</v>
      </c>
      <c r="BG205" s="527">
        <v>94.3</v>
      </c>
      <c r="BH205" s="527">
        <v>92</v>
      </c>
      <c r="BI205" s="527">
        <f>BH205-BG205-BI206</f>
        <v>-0.49999999999998579</v>
      </c>
      <c r="BJ205" s="545">
        <v>4.4000000000000004</v>
      </c>
      <c r="BK205" s="545">
        <v>5</v>
      </c>
      <c r="BL205" s="545">
        <f>BK205-BJ205-BL206</f>
        <v>0.29999999999999893</v>
      </c>
      <c r="BM205" s="545">
        <v>0</v>
      </c>
      <c r="BN205" s="545">
        <v>0</v>
      </c>
      <c r="BO205" s="545">
        <f>BN205-BM205-BO206</f>
        <v>0</v>
      </c>
      <c r="BP205" s="527"/>
      <c r="BQ205" s="527"/>
      <c r="BR205" s="527"/>
      <c r="BS205" s="527"/>
      <c r="BT205" s="524" t="s">
        <v>723</v>
      </c>
      <c r="BU205" s="512">
        <v>5478.8906267499997</v>
      </c>
      <c r="BV205" s="512">
        <v>-4.3592580999999999</v>
      </c>
      <c r="BW205" s="512">
        <v>2352.25427313</v>
      </c>
      <c r="BX205" s="512">
        <v>2459.4688689700001</v>
      </c>
      <c r="BY205" s="512">
        <v>3.01193322</v>
      </c>
      <c r="BZ205" s="512">
        <v>3.0983900599999998</v>
      </c>
      <c r="CA205" s="512">
        <v>0.13979915000000001</v>
      </c>
      <c r="CB205" s="512">
        <v>1.77458209</v>
      </c>
      <c r="CC205" s="512">
        <v>1.7721047000000001</v>
      </c>
      <c r="CD205" s="512">
        <v>-3.0142884900000002</v>
      </c>
      <c r="CE205" s="512">
        <v>-2.7903792599999999</v>
      </c>
      <c r="CF205" s="512">
        <v>0.84360495000000002</v>
      </c>
      <c r="CG205" s="512"/>
    </row>
    <row r="206" spans="1:85" s="519" customFormat="1">
      <c r="A206" s="546">
        <v>62006032</v>
      </c>
      <c r="B206" s="543" t="s">
        <v>837</v>
      </c>
      <c r="C206" s="543" t="s">
        <v>705</v>
      </c>
      <c r="D206" s="521" t="s">
        <v>752</v>
      </c>
      <c r="E206" s="513" t="s">
        <v>979</v>
      </c>
      <c r="F206" s="536" t="str">
        <f t="shared" si="96"/>
        <v>06/12/20</v>
      </c>
      <c r="G206" s="524" t="s">
        <v>980</v>
      </c>
      <c r="H206" s="524" t="s">
        <v>708</v>
      </c>
      <c r="I206" s="532"/>
      <c r="J206" s="531">
        <v>26.660357999999999</v>
      </c>
      <c r="K206" s="531">
        <v>34.517378000000001</v>
      </c>
      <c r="L206" s="531">
        <v>29.599519999999998</v>
      </c>
      <c r="M206" s="531">
        <v>31.228816999999999</v>
      </c>
      <c r="N206" s="528">
        <v>4250</v>
      </c>
      <c r="O206" s="528">
        <v>38.71</v>
      </c>
      <c r="P206" s="528">
        <v>3.0499999999999999E-2</v>
      </c>
      <c r="Q206" s="528">
        <v>1.4999999999999999E-2</v>
      </c>
      <c r="R206" s="529">
        <v>6.2510756699999996</v>
      </c>
      <c r="S206" s="529">
        <f>R206+S205</f>
        <v>33.226013529999996</v>
      </c>
      <c r="T206" s="544">
        <v>93.9</v>
      </c>
      <c r="U206" s="544">
        <v>92.1</v>
      </c>
      <c r="V206" s="530">
        <v>5148</v>
      </c>
      <c r="W206" s="530">
        <v>6676</v>
      </c>
      <c r="X206" s="530">
        <f>W206-V206</f>
        <v>1528</v>
      </c>
      <c r="Y206" s="530">
        <f t="shared" si="119"/>
        <v>244.43793047221266</v>
      </c>
      <c r="Z206" s="534">
        <v>5158</v>
      </c>
      <c r="AA206" s="530">
        <v>6687</v>
      </c>
      <c r="AB206" s="530">
        <f>AA206-Z206</f>
        <v>1529</v>
      </c>
      <c r="AC206" s="533">
        <f t="shared" si="120"/>
        <v>244.59790293979918</v>
      </c>
      <c r="AD206" s="534">
        <v>120</v>
      </c>
      <c r="AE206" s="530">
        <v>138</v>
      </c>
      <c r="AF206" s="530">
        <f>AE206-AD206</f>
        <v>18</v>
      </c>
      <c r="AG206" s="533">
        <f t="shared" si="121"/>
        <v>2.879504416557479</v>
      </c>
      <c r="AH206" s="534">
        <v>4550</v>
      </c>
      <c r="AI206" s="530">
        <v>6022</v>
      </c>
      <c r="AJ206" s="530">
        <f>AI206-AH206</f>
        <v>1472</v>
      </c>
      <c r="AK206" s="533">
        <f t="shared" si="122"/>
        <v>235.47947228736714</v>
      </c>
      <c r="AL206" s="534">
        <v>468.4</v>
      </c>
      <c r="AM206" s="530">
        <v>505.9</v>
      </c>
      <c r="AN206" s="530">
        <f>AM206-AL206</f>
        <v>37.5</v>
      </c>
      <c r="AO206" s="533">
        <f t="shared" si="123"/>
        <v>5.9989675344947475</v>
      </c>
      <c r="AP206" s="534">
        <v>375.23824100000002</v>
      </c>
      <c r="AQ206" s="530">
        <v>405.59809799999999</v>
      </c>
      <c r="AR206" s="530">
        <f>AQ206-AP206</f>
        <v>30.359856999999977</v>
      </c>
      <c r="AS206" s="533">
        <f t="shared" si="124"/>
        <v>4.8567412398640792</v>
      </c>
      <c r="AT206" s="534">
        <v>1.3</v>
      </c>
      <c r="AU206" s="530">
        <v>1.3</v>
      </c>
      <c r="AV206" s="530">
        <f>AU206-AT206</f>
        <v>0</v>
      </c>
      <c r="AW206" s="533">
        <f t="shared" si="125"/>
        <v>0</v>
      </c>
      <c r="AX206" s="534">
        <v>3.4</v>
      </c>
      <c r="AY206" s="530">
        <v>3.6</v>
      </c>
      <c r="AZ206" s="530">
        <f>AY206-AX206</f>
        <v>0.20000000000000018</v>
      </c>
      <c r="BA206" s="533">
        <f t="shared" si="126"/>
        <v>3.199449351730535E-2</v>
      </c>
      <c r="BB206" s="534">
        <v>-9.23</v>
      </c>
      <c r="BC206" s="530">
        <v>-9.41</v>
      </c>
      <c r="BD206" s="530">
        <f>BC206-BB206</f>
        <v>-0.17999999999999972</v>
      </c>
      <c r="BE206" s="530">
        <v>-1.723449</v>
      </c>
      <c r="BF206" s="533">
        <f t="shared" si="127"/>
        <v>-2.8795044165574744E-2</v>
      </c>
      <c r="BG206" s="527">
        <v>93.9</v>
      </c>
      <c r="BH206" s="527">
        <v>92.1</v>
      </c>
      <c r="BI206" s="527">
        <f>BH206-BG206</f>
        <v>-1.8000000000000114</v>
      </c>
      <c r="BJ206" s="545">
        <v>4.5999999999999996</v>
      </c>
      <c r="BK206" s="545">
        <v>4.9000000000000004</v>
      </c>
      <c r="BL206" s="545">
        <f>BK206-BJ206</f>
        <v>0.30000000000000071</v>
      </c>
      <c r="BM206" s="545">
        <v>0</v>
      </c>
      <c r="BN206" s="545">
        <v>0</v>
      </c>
      <c r="BO206" s="545">
        <f>BN206-BM206</f>
        <v>0</v>
      </c>
      <c r="BP206" s="527"/>
      <c r="BQ206" s="527"/>
      <c r="BR206" s="527"/>
      <c r="BS206" s="527"/>
      <c r="BT206" s="524" t="s">
        <v>723</v>
      </c>
      <c r="BU206" s="512">
        <v>11297.111676820001</v>
      </c>
      <c r="BV206" s="512">
        <v>-1.3380160299999999</v>
      </c>
      <c r="BW206" s="512">
        <v>1123.74982731</v>
      </c>
      <c r="BX206" s="512">
        <v>1138.9896919099999</v>
      </c>
      <c r="BY206" s="512">
        <v>5.8894542100000002</v>
      </c>
      <c r="BZ206" s="512">
        <v>5.8930970900000004</v>
      </c>
      <c r="CA206" s="512">
        <v>0.26046717000000003</v>
      </c>
      <c r="CB206" s="512">
        <v>6.25109739</v>
      </c>
      <c r="CC206" s="512">
        <v>6.2348576299999996</v>
      </c>
      <c r="CD206" s="512">
        <v>-0.32248253999999998</v>
      </c>
      <c r="CE206" s="512">
        <v>-6.1816030000000001E-2</v>
      </c>
      <c r="CF206" s="512">
        <v>0.41977524999999999</v>
      </c>
      <c r="CG206" s="512"/>
    </row>
    <row r="207" spans="1:85" s="519" customFormat="1">
      <c r="A207" s="546">
        <v>62006032</v>
      </c>
      <c r="B207" s="543" t="s">
        <v>835</v>
      </c>
      <c r="C207" s="543" t="s">
        <v>703</v>
      </c>
      <c r="D207" s="521" t="s">
        <v>752</v>
      </c>
      <c r="E207" s="513" t="s">
        <v>979</v>
      </c>
      <c r="F207" s="536" t="str">
        <f t="shared" si="96"/>
        <v>06/12/20</v>
      </c>
      <c r="G207" s="524" t="s">
        <v>980</v>
      </c>
      <c r="H207" s="524" t="s">
        <v>708</v>
      </c>
      <c r="I207" s="532"/>
      <c r="J207" s="468">
        <f>AVERAGE(J205:J206)</f>
        <v>24.892365499999997</v>
      </c>
      <c r="K207" s="468">
        <f>AVERAGE(K205:K206)</f>
        <v>38.514658499999996</v>
      </c>
      <c r="L207" s="468">
        <f>AVERAGE(L205:L206)</f>
        <v>29.582220999999997</v>
      </c>
      <c r="M207" s="468">
        <f>AVERAGE(M205:M206)</f>
        <v>31.111165999999997</v>
      </c>
      <c r="N207" s="452"/>
      <c r="O207" s="528"/>
      <c r="P207" s="470"/>
      <c r="Q207" s="469"/>
      <c r="R207" s="453">
        <f>R206+R205</f>
        <v>8.0257026699999994</v>
      </c>
      <c r="S207" s="453">
        <f>S206</f>
        <v>33.226013529999996</v>
      </c>
      <c r="T207" s="493">
        <f>T205</f>
        <v>94.3</v>
      </c>
      <c r="U207" s="493">
        <f>U206</f>
        <v>92.1</v>
      </c>
      <c r="V207" s="456">
        <f>V205</f>
        <v>4830</v>
      </c>
      <c r="W207" s="456">
        <f>W206</f>
        <v>6676</v>
      </c>
      <c r="X207" s="456">
        <f>SUM(X205:X206)</f>
        <v>1997</v>
      </c>
      <c r="Y207" s="456">
        <f t="shared" si="119"/>
        <v>248.82556482745954</v>
      </c>
      <c r="Z207" s="456">
        <f>Z205</f>
        <v>4839</v>
      </c>
      <c r="AA207" s="456">
        <f>AA206</f>
        <v>6687</v>
      </c>
      <c r="AB207" s="456">
        <f>SUM(AB205:AB206)</f>
        <v>2000</v>
      </c>
      <c r="AC207" s="454">
        <f t="shared" si="120"/>
        <v>249.19936387326945</v>
      </c>
      <c r="AD207" s="456">
        <f>AD205</f>
        <v>103</v>
      </c>
      <c r="AE207" s="456">
        <f>AE206</f>
        <v>138</v>
      </c>
      <c r="AF207" s="456">
        <f>SUM(AF205:AF206)</f>
        <v>59</v>
      </c>
      <c r="AG207" s="454">
        <f t="shared" si="121"/>
        <v>7.3513812342614484</v>
      </c>
      <c r="AH207" s="456">
        <f>AH205</f>
        <v>4263</v>
      </c>
      <c r="AI207" s="456">
        <f>AI206</f>
        <v>6022</v>
      </c>
      <c r="AJ207" s="456">
        <f>SUM(AJ205:AJ206)</f>
        <v>1875</v>
      </c>
      <c r="AK207" s="454">
        <f t="shared" si="122"/>
        <v>233.62440363119012</v>
      </c>
      <c r="AL207" s="456">
        <f>AL205</f>
        <v>455.2</v>
      </c>
      <c r="AM207" s="456">
        <f>AM206</f>
        <v>505.9</v>
      </c>
      <c r="AN207" s="456">
        <f>SUM(AN205:AN206)</f>
        <v>61.800000000000011</v>
      </c>
      <c r="AO207" s="454">
        <f t="shared" si="123"/>
        <v>7.7002603436840271</v>
      </c>
      <c r="AP207" s="456">
        <f>AP205</f>
        <v>364.61</v>
      </c>
      <c r="AQ207" s="456">
        <f>AQ206</f>
        <v>405.59809799999999</v>
      </c>
      <c r="AR207" s="456">
        <f>SUM(AR205:AR206)</f>
        <v>50.047896999999978</v>
      </c>
      <c r="AS207" s="454">
        <f t="shared" si="124"/>
        <v>6.2359520477974524</v>
      </c>
      <c r="AT207" s="456">
        <f>AT205</f>
        <v>1.2</v>
      </c>
      <c r="AU207" s="456">
        <f>AU206</f>
        <v>1.3</v>
      </c>
      <c r="AV207" s="456">
        <f>SUM(AV205:AV206)</f>
        <v>0.19999999999999996</v>
      </c>
      <c r="AW207" s="454">
        <f t="shared" si="125"/>
        <v>2.4919936387326938E-2</v>
      </c>
      <c r="AX207" s="456">
        <f>AX205</f>
        <v>3.3</v>
      </c>
      <c r="AY207" s="456">
        <f>AY206</f>
        <v>3.6</v>
      </c>
      <c r="AZ207" s="456">
        <f>SUM(AZ205:AZ206)</f>
        <v>0.40000000000000036</v>
      </c>
      <c r="BA207" s="454">
        <f t="shared" si="126"/>
        <v>4.9839872774653932E-2</v>
      </c>
      <c r="BB207" s="456">
        <f>BB205</f>
        <v>-9.17</v>
      </c>
      <c r="BC207" s="456">
        <f>BC206</f>
        <v>-9.41</v>
      </c>
      <c r="BD207" s="456">
        <f>SUM(BD205:BD206)</f>
        <v>-0.29000000000000092</v>
      </c>
      <c r="BE207" s="530">
        <f>AVERAGE(BE205:BE206)</f>
        <v>-1.722963</v>
      </c>
      <c r="BF207" s="454">
        <f t="shared" si="127"/>
        <v>-3.6133907761624187E-2</v>
      </c>
      <c r="BG207" s="445"/>
      <c r="BH207" s="445"/>
      <c r="BI207" s="445">
        <f>SUM(BI205:BI206)</f>
        <v>-2.2999999999999972</v>
      </c>
      <c r="BJ207" s="496" t="s">
        <v>1155</v>
      </c>
      <c r="BK207" s="496" t="s">
        <v>1156</v>
      </c>
      <c r="BL207" s="496">
        <f>SUM(BL205:BL206)</f>
        <v>0.59999999999999964</v>
      </c>
      <c r="BM207" s="496" t="s">
        <v>1157</v>
      </c>
      <c r="BN207" s="496" t="s">
        <v>1158</v>
      </c>
      <c r="BO207" s="496">
        <f>SUM(BO205:BO206)</f>
        <v>0</v>
      </c>
      <c r="BP207" s="445"/>
      <c r="BQ207" s="445"/>
      <c r="BR207" s="445"/>
      <c r="BS207" s="445"/>
      <c r="BT207" s="524" t="s">
        <v>723</v>
      </c>
      <c r="BU207" s="512"/>
      <c r="BV207" s="512"/>
      <c r="BW207" s="512"/>
      <c r="BX207" s="512"/>
      <c r="BY207" s="512"/>
      <c r="BZ207" s="512"/>
      <c r="CA207" s="512"/>
      <c r="CB207" s="512"/>
      <c r="CC207" s="512"/>
      <c r="CD207" s="512"/>
      <c r="CE207" s="512"/>
      <c r="CF207" s="512"/>
      <c r="CG207" s="512"/>
    </row>
    <row r="208" spans="1:85" s="519" customFormat="1">
      <c r="A208" s="546">
        <v>62006033</v>
      </c>
      <c r="B208" s="543" t="s">
        <v>838</v>
      </c>
      <c r="C208" s="543" t="s">
        <v>695</v>
      </c>
      <c r="D208" s="521" t="s">
        <v>756</v>
      </c>
      <c r="E208" s="513" t="s">
        <v>982</v>
      </c>
      <c r="F208" s="536" t="str">
        <f t="shared" si="96"/>
        <v>06/12/20</v>
      </c>
      <c r="G208" s="524" t="s">
        <v>983</v>
      </c>
      <c r="H208" s="524" t="s">
        <v>708</v>
      </c>
      <c r="I208" s="532"/>
      <c r="J208" s="531">
        <v>370.60814299999998</v>
      </c>
      <c r="K208" s="531">
        <v>490.26460600000001</v>
      </c>
      <c r="L208" s="531">
        <v>417.654492</v>
      </c>
      <c r="M208" s="531">
        <v>489.417034</v>
      </c>
      <c r="N208" s="528">
        <v>4250</v>
      </c>
      <c r="O208" s="528">
        <v>38.71</v>
      </c>
      <c r="P208" s="528">
        <v>3.0499999999999999E-2</v>
      </c>
      <c r="Q208" s="528">
        <v>1.4999999999999999E-2</v>
      </c>
      <c r="R208" s="529">
        <v>254.76946482</v>
      </c>
      <c r="S208" s="529">
        <f>R208+S207</f>
        <v>287.99547834999998</v>
      </c>
      <c r="T208" s="544">
        <v>91.9</v>
      </c>
      <c r="U208" s="544">
        <v>21</v>
      </c>
      <c r="V208" s="530">
        <v>6857</v>
      </c>
      <c r="W208" s="530">
        <v>63703</v>
      </c>
      <c r="X208" s="530">
        <f>W208-V208</f>
        <v>56846</v>
      </c>
      <c r="Y208" s="530">
        <f t="shared" si="119"/>
        <v>223.12721047698122</v>
      </c>
      <c r="Z208" s="534">
        <v>6869</v>
      </c>
      <c r="AA208" s="530">
        <v>63773</v>
      </c>
      <c r="AB208" s="530">
        <f>AA208-Z208</f>
        <v>56904</v>
      </c>
      <c r="AC208" s="533">
        <f t="shared" si="120"/>
        <v>223.35486727266894</v>
      </c>
      <c r="AD208" s="534">
        <v>162</v>
      </c>
      <c r="AE208" s="530">
        <v>165</v>
      </c>
      <c r="AF208" s="530">
        <f>AE208-AD208</f>
        <v>3</v>
      </c>
      <c r="AG208" s="533">
        <f t="shared" si="121"/>
        <v>1.1775351501089675E-2</v>
      </c>
      <c r="AH208" s="534">
        <v>6139</v>
      </c>
      <c r="AI208" s="530">
        <v>61506</v>
      </c>
      <c r="AJ208" s="530">
        <f>AI208-AH208</f>
        <v>55367</v>
      </c>
      <c r="AK208" s="533">
        <f t="shared" si="122"/>
        <v>217.32196218694401</v>
      </c>
      <c r="AL208" s="534">
        <v>545.1</v>
      </c>
      <c r="AM208" s="530">
        <v>1962</v>
      </c>
      <c r="AN208" s="530">
        <f>AM208-AL208</f>
        <v>1416.9</v>
      </c>
      <c r="AO208" s="533">
        <f t="shared" si="123"/>
        <v>5.5614985139646533</v>
      </c>
      <c r="AP208" s="534">
        <v>435.21836000000002</v>
      </c>
      <c r="AQ208" s="530">
        <v>1586.55</v>
      </c>
      <c r="AR208" s="530">
        <f>AQ208-AP208</f>
        <v>1151.3316399999999</v>
      </c>
      <c r="AS208" s="533">
        <f t="shared" si="124"/>
        <v>4.5191115851086785</v>
      </c>
      <c r="AT208" s="534">
        <v>1.5</v>
      </c>
      <c r="AU208" s="530">
        <v>4.2</v>
      </c>
      <c r="AV208" s="530">
        <f>AU208-AT208</f>
        <v>2.7</v>
      </c>
      <c r="AW208" s="533">
        <f t="shared" si="125"/>
        <v>1.0597816350980708E-2</v>
      </c>
      <c r="AX208" s="534">
        <v>4</v>
      </c>
      <c r="AY208" s="530">
        <v>11.2</v>
      </c>
      <c r="AZ208" s="530">
        <f>AY208-AX208</f>
        <v>7.1999999999999993</v>
      </c>
      <c r="BA208" s="533">
        <f t="shared" si="126"/>
        <v>2.8260843602615215E-2</v>
      </c>
      <c r="BB208" s="534">
        <v>-9.65</v>
      </c>
      <c r="BC208" s="530">
        <v>-14.57</v>
      </c>
      <c r="BD208" s="530">
        <f>BC208-BB208</f>
        <v>-4.92</v>
      </c>
      <c r="BE208" s="530">
        <v>-17.833786</v>
      </c>
      <c r="BF208" s="533">
        <f t="shared" si="127"/>
        <v>-1.9311576461787067E-2</v>
      </c>
      <c r="BG208" s="527">
        <v>91.9</v>
      </c>
      <c r="BH208" s="527">
        <v>21</v>
      </c>
      <c r="BI208" s="527">
        <f>BH208-BG208</f>
        <v>-70.900000000000006</v>
      </c>
      <c r="BJ208" s="545">
        <v>5.5</v>
      </c>
      <c r="BK208" s="545">
        <v>19.3</v>
      </c>
      <c r="BL208" s="545">
        <f>BK208-BJ208</f>
        <v>13.8</v>
      </c>
      <c r="BM208" s="545">
        <v>0</v>
      </c>
      <c r="BN208" s="545">
        <v>0</v>
      </c>
      <c r="BO208" s="545">
        <f>BN208-BM208</f>
        <v>0</v>
      </c>
      <c r="BP208" s="527"/>
      <c r="BQ208" s="527"/>
      <c r="BR208" s="527"/>
      <c r="BS208" s="527"/>
      <c r="BT208" s="524" t="s">
        <v>723</v>
      </c>
      <c r="BU208" s="512">
        <v>9.0189991500000009</v>
      </c>
      <c r="BV208" s="512">
        <v>127.17562409999999</v>
      </c>
      <c r="BW208" s="512">
        <v>1320.23568297</v>
      </c>
      <c r="BX208" s="512">
        <v>581.15200000000004</v>
      </c>
      <c r="BY208" s="512">
        <v>191.12411635000001</v>
      </c>
      <c r="BZ208" s="512">
        <v>189.90700207</v>
      </c>
      <c r="CA208" s="512">
        <v>0.28654445000000001</v>
      </c>
      <c r="CB208" s="512">
        <v>254.76984992999999</v>
      </c>
      <c r="CC208" s="512">
        <v>254.04190693999999</v>
      </c>
      <c r="CD208" s="512">
        <v>0.35209910999999999</v>
      </c>
      <c r="CE208" s="512">
        <v>0.64090016000000005</v>
      </c>
      <c r="CF208" s="512">
        <v>4.3498699999999996E-3</v>
      </c>
      <c r="CG208" s="512"/>
    </row>
    <row r="209" spans="1:85" s="519" customFormat="1">
      <c r="A209" s="546">
        <v>62006034</v>
      </c>
      <c r="B209" s="543" t="s">
        <v>839</v>
      </c>
      <c r="C209" s="543" t="s">
        <v>771</v>
      </c>
      <c r="D209" s="521" t="s">
        <v>760</v>
      </c>
      <c r="E209" s="513" t="s">
        <v>984</v>
      </c>
      <c r="F209" s="536" t="str">
        <f t="shared" si="96"/>
        <v>06/12/20</v>
      </c>
      <c r="G209" s="524" t="s">
        <v>985</v>
      </c>
      <c r="H209" s="524" t="s">
        <v>708</v>
      </c>
      <c r="I209" s="532"/>
      <c r="J209" s="531">
        <v>22.384326000000001</v>
      </c>
      <c r="K209" s="531">
        <v>43.811737000000001</v>
      </c>
      <c r="L209" s="531">
        <v>29.507650000000002</v>
      </c>
      <c r="M209" s="531">
        <v>35.653393999999999</v>
      </c>
      <c r="N209" s="528">
        <v>4250</v>
      </c>
      <c r="O209" s="528">
        <v>38.71</v>
      </c>
      <c r="P209" s="528">
        <v>3.0499999999999999E-2</v>
      </c>
      <c r="Q209" s="528">
        <v>1.4999999999999999E-2</v>
      </c>
      <c r="R209" s="529">
        <v>1.77490912</v>
      </c>
      <c r="S209" s="529">
        <f>R209+S208</f>
        <v>289.77038747</v>
      </c>
      <c r="T209" s="544">
        <v>21</v>
      </c>
      <c r="U209" s="544">
        <v>18.3</v>
      </c>
      <c r="V209" s="530">
        <v>63728</v>
      </c>
      <c r="W209" s="530">
        <v>65639</v>
      </c>
      <c r="X209" s="530">
        <f>W209-V209-X210</f>
        <v>441</v>
      </c>
      <c r="Y209" s="530">
        <f t="shared" si="119"/>
        <v>248.4634255527404</v>
      </c>
      <c r="Z209" s="534">
        <v>63798</v>
      </c>
      <c r="AA209" s="530">
        <v>65710</v>
      </c>
      <c r="AB209" s="530">
        <f>AA209-Z209-AB210</f>
        <v>442</v>
      </c>
      <c r="AC209" s="533">
        <f t="shared" si="120"/>
        <v>249.02683468097791</v>
      </c>
      <c r="AD209" s="534">
        <v>165</v>
      </c>
      <c r="AE209" s="530">
        <v>217</v>
      </c>
      <c r="AF209" s="530">
        <f>AE209-AD209-AF210</f>
        <v>36</v>
      </c>
      <c r="AG209" s="533">
        <f t="shared" si="121"/>
        <v>20.282728616550237</v>
      </c>
      <c r="AH209" s="534">
        <v>61506</v>
      </c>
      <c r="AI209" s="530">
        <v>63306</v>
      </c>
      <c r="AJ209" s="530">
        <f>AI209-AH209-AJ210</f>
        <v>383</v>
      </c>
      <c r="AK209" s="533">
        <f t="shared" si="122"/>
        <v>215.78569611496502</v>
      </c>
      <c r="AL209" s="534">
        <v>1986.3</v>
      </c>
      <c r="AM209" s="530">
        <v>2044.9</v>
      </c>
      <c r="AN209" s="530">
        <f>AM209-AL209-AN210</f>
        <v>23.600000000000136</v>
      </c>
      <c r="AO209" s="533">
        <f t="shared" si="123"/>
        <v>13.296455426405233</v>
      </c>
      <c r="AP209" s="534">
        <v>1604.572054</v>
      </c>
      <c r="AQ209" s="530">
        <v>1652.701726</v>
      </c>
      <c r="AR209" s="530">
        <f>AQ209-AP209-AR210</f>
        <v>19.457902999999988</v>
      </c>
      <c r="AS209" s="533">
        <f t="shared" si="124"/>
        <v>10.962760166559958</v>
      </c>
      <c r="AT209" s="534">
        <v>4.2</v>
      </c>
      <c r="AU209" s="530">
        <v>4.3</v>
      </c>
      <c r="AV209" s="530">
        <f>AU209-AT209-AV210</f>
        <v>9.9999999999999645E-2</v>
      </c>
      <c r="AW209" s="533">
        <f t="shared" si="125"/>
        <v>5.6340912823750464E-2</v>
      </c>
      <c r="AX209" s="534">
        <v>11.3</v>
      </c>
      <c r="AY209" s="530">
        <v>11.6</v>
      </c>
      <c r="AZ209" s="530">
        <f>AY209-AX209-AZ210</f>
        <v>0.19999999999999929</v>
      </c>
      <c r="BA209" s="533">
        <f t="shared" si="126"/>
        <v>0.11268182564750093</v>
      </c>
      <c r="BB209" s="534">
        <v>-14.7</v>
      </c>
      <c r="BC209" s="530">
        <v>-14.89</v>
      </c>
      <c r="BD209" s="530">
        <f>BC209-BB209-BD210</f>
        <v>-7.0000000000002061E-2</v>
      </c>
      <c r="BE209" s="530">
        <v>-1.214831</v>
      </c>
      <c r="BF209" s="533">
        <f t="shared" si="127"/>
        <v>-3.9438638976626625E-2</v>
      </c>
      <c r="BG209" s="527">
        <v>21</v>
      </c>
      <c r="BH209" s="527">
        <v>18.3</v>
      </c>
      <c r="BI209" s="527">
        <f>BH209-BG209-BI210</f>
        <v>-0.59999999999999787</v>
      </c>
      <c r="BJ209" s="545">
        <v>19.7</v>
      </c>
      <c r="BK209" s="545">
        <v>20.3</v>
      </c>
      <c r="BL209" s="545">
        <f>BK209-BJ209-BL210</f>
        <v>0.20000000000000284</v>
      </c>
      <c r="BM209" s="545">
        <v>0</v>
      </c>
      <c r="BN209" s="545">
        <v>0</v>
      </c>
      <c r="BO209" s="545">
        <f>BN209-BM209-BO210</f>
        <v>0</v>
      </c>
      <c r="BP209" s="527"/>
      <c r="BQ209" s="527"/>
      <c r="BR209" s="527"/>
      <c r="BS209" s="527"/>
      <c r="BT209" s="524" t="s">
        <v>723</v>
      </c>
      <c r="BU209" s="512">
        <v>5450.0441289800001</v>
      </c>
      <c r="BV209" s="512">
        <v>-4.2327972100000002</v>
      </c>
      <c r="BW209" s="512">
        <v>2355.5870823599998</v>
      </c>
      <c r="BX209" s="512">
        <v>2459.70124807</v>
      </c>
      <c r="BY209" s="512">
        <v>3.0205680099999999</v>
      </c>
      <c r="BZ209" s="512">
        <v>3.0989922700000001</v>
      </c>
      <c r="CA209" s="512">
        <v>0.15151197999999999</v>
      </c>
      <c r="CB209" s="512">
        <v>1.7748843400000001</v>
      </c>
      <c r="CC209" s="512">
        <v>1.7721992499999999</v>
      </c>
      <c r="CD209" s="512">
        <v>-2.7517873900000001</v>
      </c>
      <c r="CE209" s="512">
        <v>-2.5306376500000001</v>
      </c>
      <c r="CF209" s="512">
        <v>0.84361569999999997</v>
      </c>
      <c r="CG209" s="512"/>
    </row>
    <row r="210" spans="1:85" s="449" customFormat="1">
      <c r="A210" s="546">
        <v>62006034</v>
      </c>
      <c r="B210" s="543" t="s">
        <v>840</v>
      </c>
      <c r="C210" s="543" t="s">
        <v>696</v>
      </c>
      <c r="D210" s="521" t="s">
        <v>760</v>
      </c>
      <c r="E210" s="513" t="s">
        <v>984</v>
      </c>
      <c r="F210" s="536" t="str">
        <f t="shared" si="96"/>
        <v>06/12/20</v>
      </c>
      <c r="G210" s="524" t="s">
        <v>985</v>
      </c>
      <c r="H210" s="524" t="s">
        <v>708</v>
      </c>
      <c r="I210" s="532"/>
      <c r="J210" s="531">
        <v>25.733900999999999</v>
      </c>
      <c r="K210" s="531">
        <v>36.711087999999997</v>
      </c>
      <c r="L210" s="531">
        <v>29.517320000000002</v>
      </c>
      <c r="M210" s="531">
        <v>33.819507999999999</v>
      </c>
      <c r="N210" s="528">
        <v>4250</v>
      </c>
      <c r="O210" s="528">
        <v>38.71</v>
      </c>
      <c r="P210" s="528">
        <v>3.0499999999999999E-2</v>
      </c>
      <c r="Q210" s="528">
        <v>1.4999999999999999E-2</v>
      </c>
      <c r="R210" s="529">
        <v>6.2507849699999998</v>
      </c>
      <c r="S210" s="529">
        <f>R210+S209</f>
        <v>296.02117243999999</v>
      </c>
      <c r="T210" s="544">
        <v>20.6</v>
      </c>
      <c r="U210" s="544">
        <v>18.5</v>
      </c>
      <c r="V210" s="530">
        <v>64022</v>
      </c>
      <c r="W210" s="530">
        <v>65492</v>
      </c>
      <c r="X210" s="530">
        <f>W210-V210</f>
        <v>1470</v>
      </c>
      <c r="Y210" s="530" t="str">
        <f>B183</f>
        <v>US06 x10 p5</v>
      </c>
      <c r="Z210" s="534">
        <v>64092</v>
      </c>
      <c r="AA210" s="530">
        <v>65562</v>
      </c>
      <c r="AB210" s="530">
        <f>AA210-Z210</f>
        <v>1470</v>
      </c>
      <c r="AC210" s="533">
        <f t="shared" si="120"/>
        <v>235.17046371857518</v>
      </c>
      <c r="AD210" s="534">
        <v>178</v>
      </c>
      <c r="AE210" s="530">
        <v>194</v>
      </c>
      <c r="AF210" s="530">
        <f>AE210-AD210</f>
        <v>16</v>
      </c>
      <c r="AG210" s="533">
        <f t="shared" si="121"/>
        <v>2.5596785166647638</v>
      </c>
      <c r="AH210" s="534">
        <v>61775</v>
      </c>
      <c r="AI210" s="530">
        <v>63192</v>
      </c>
      <c r="AJ210" s="530">
        <f>AI210-AH210</f>
        <v>1417</v>
      </c>
      <c r="AK210" s="533">
        <f t="shared" si="122"/>
        <v>226.69152863212315</v>
      </c>
      <c r="AL210" s="534">
        <v>1999.1</v>
      </c>
      <c r="AM210" s="530">
        <v>2034.1</v>
      </c>
      <c r="AN210" s="530">
        <f>AM210-AL210</f>
        <v>35</v>
      </c>
      <c r="AO210" s="533">
        <f t="shared" si="123"/>
        <v>5.599296755204171</v>
      </c>
      <c r="AP210" s="534">
        <v>1615.12</v>
      </c>
      <c r="AQ210" s="530">
        <v>1643.7917689999999</v>
      </c>
      <c r="AR210" s="530">
        <f>AQ210-AP210</f>
        <v>28.67176900000004</v>
      </c>
      <c r="AS210" s="533">
        <f t="shared" si="124"/>
        <v>4.586906946504679</v>
      </c>
      <c r="AT210" s="534">
        <v>4.3</v>
      </c>
      <c r="AU210" s="530">
        <v>4.3</v>
      </c>
      <c r="AV210" s="530">
        <f>AU210-AT210</f>
        <v>0</v>
      </c>
      <c r="AW210" s="533">
        <f t="shared" si="125"/>
        <v>0</v>
      </c>
      <c r="AX210" s="534">
        <v>11.4</v>
      </c>
      <c r="AY210" s="530">
        <v>11.5</v>
      </c>
      <c r="AZ210" s="530">
        <f>AY210-AX210</f>
        <v>9.9999999999999645E-2</v>
      </c>
      <c r="BA210" s="533">
        <f t="shared" si="126"/>
        <v>1.5997990729154716E-2</v>
      </c>
      <c r="BB210" s="534">
        <v>-14.74</v>
      </c>
      <c r="BC210" s="530">
        <v>-14.86</v>
      </c>
      <c r="BD210" s="530">
        <f>BC210-BB210</f>
        <v>-0.11999999999999922</v>
      </c>
      <c r="BE210" s="530">
        <v>-1.194113</v>
      </c>
      <c r="BF210" s="533">
        <f t="shared" si="127"/>
        <v>-1.9197588874985603E-2</v>
      </c>
      <c r="BG210" s="527">
        <v>20.6</v>
      </c>
      <c r="BH210" s="527">
        <v>18.5</v>
      </c>
      <c r="BI210" s="527">
        <f>BH210-BG210</f>
        <v>-2.1000000000000014</v>
      </c>
      <c r="BJ210" s="545">
        <v>19.8</v>
      </c>
      <c r="BK210" s="545">
        <v>20.2</v>
      </c>
      <c r="BL210" s="545">
        <f>BK210-BJ210</f>
        <v>0.39999999999999858</v>
      </c>
      <c r="BM210" s="545">
        <v>0</v>
      </c>
      <c r="BN210" s="545">
        <v>0</v>
      </c>
      <c r="BO210" s="545">
        <f>BN210-BM210</f>
        <v>0</v>
      </c>
      <c r="BP210" s="527"/>
      <c r="BQ210" s="527"/>
      <c r="BR210" s="527"/>
      <c r="BS210" s="527"/>
      <c r="BT210" s="524" t="s">
        <v>723</v>
      </c>
      <c r="BU210" s="512">
        <v>11294.366709759999</v>
      </c>
      <c r="BV210" s="512">
        <v>-4.8148481600000004</v>
      </c>
      <c r="BW210" s="512">
        <v>1084.4201795199999</v>
      </c>
      <c r="BX210" s="512">
        <v>1139.2745176599999</v>
      </c>
      <c r="BY210" s="512">
        <v>5.8355069000000004</v>
      </c>
      <c r="BZ210" s="512">
        <v>5.8951447000000003</v>
      </c>
      <c r="CA210" s="512">
        <v>0.24108482000000001</v>
      </c>
      <c r="CB210" s="512">
        <v>6.2507865599999999</v>
      </c>
      <c r="CC210" s="512">
        <v>6.2357531100000001</v>
      </c>
      <c r="CD210" s="512">
        <v>-1.26553011</v>
      </c>
      <c r="CE210" s="512">
        <v>-1.01164265</v>
      </c>
      <c r="CF210" s="512">
        <v>0.41980052000000001</v>
      </c>
      <c r="CG210" s="512"/>
    </row>
    <row r="211" spans="1:85" s="449" customFormat="1">
      <c r="A211" s="546">
        <v>62006034</v>
      </c>
      <c r="B211" s="543" t="s">
        <v>834</v>
      </c>
      <c r="C211" s="543" t="s">
        <v>698</v>
      </c>
      <c r="D211" s="521" t="s">
        <v>760</v>
      </c>
      <c r="E211" s="513" t="s">
        <v>984</v>
      </c>
      <c r="F211" s="536" t="str">
        <f t="shared" si="96"/>
        <v>06/12/20</v>
      </c>
      <c r="G211" s="524" t="s">
        <v>985</v>
      </c>
      <c r="H211" s="524" t="s">
        <v>708</v>
      </c>
      <c r="I211" s="532"/>
      <c r="J211" s="468">
        <f>AVERAGE(J209:J210)</f>
        <v>24.059113500000002</v>
      </c>
      <c r="K211" s="468">
        <f>AVERAGE(K209:K210)</f>
        <v>40.261412499999999</v>
      </c>
      <c r="L211" s="468">
        <f>AVERAGE(L209:L210)</f>
        <v>29.512485000000002</v>
      </c>
      <c r="M211" s="468">
        <f>AVERAGE(M209:M210)</f>
        <v>34.736451000000002</v>
      </c>
      <c r="N211" s="452"/>
      <c r="O211" s="528"/>
      <c r="P211" s="470"/>
      <c r="Q211" s="469"/>
      <c r="R211" s="453">
        <f>R210+R209</f>
        <v>8.02569409</v>
      </c>
      <c r="S211" s="453">
        <f>S210</f>
        <v>296.02117243999999</v>
      </c>
      <c r="T211" s="493">
        <v>21</v>
      </c>
      <c r="U211" s="493">
        <v>18.5</v>
      </c>
      <c r="V211" s="456">
        <v>63728</v>
      </c>
      <c r="W211" s="456">
        <v>65492</v>
      </c>
      <c r="X211" s="456">
        <f>SUM(X209:X210)</f>
        <v>1911</v>
      </c>
      <c r="Y211" s="456">
        <f t="shared" si="119"/>
        <v>238.11024673630439</v>
      </c>
      <c r="Z211" s="456">
        <v>63798</v>
      </c>
      <c r="AA211" s="456">
        <v>65562</v>
      </c>
      <c r="AB211" s="456">
        <f>SUM(AB209:AB210)</f>
        <v>1912</v>
      </c>
      <c r="AC211" s="454">
        <f t="shared" si="120"/>
        <v>238.23484655144637</v>
      </c>
      <c r="AD211" s="456">
        <v>165</v>
      </c>
      <c r="AE211" s="456">
        <v>194</v>
      </c>
      <c r="AF211" s="456">
        <f>SUM(AF209:AF210)</f>
        <v>52</v>
      </c>
      <c r="AG211" s="454">
        <f t="shared" si="121"/>
        <v>6.4791903873824328</v>
      </c>
      <c r="AH211" s="456">
        <v>61506</v>
      </c>
      <c r="AI211" s="456">
        <v>63192</v>
      </c>
      <c r="AJ211" s="456">
        <f>SUM(AJ209:AJ210)</f>
        <v>1800</v>
      </c>
      <c r="AK211" s="454">
        <f t="shared" si="122"/>
        <v>224.27966725554575</v>
      </c>
      <c r="AL211" s="456">
        <v>1986.3</v>
      </c>
      <c r="AM211" s="456">
        <v>2034.1</v>
      </c>
      <c r="AN211" s="456">
        <f>SUM(AN209:AN210)</f>
        <v>58.600000000000136</v>
      </c>
      <c r="AO211" s="454">
        <f t="shared" si="123"/>
        <v>7.3015491673194504</v>
      </c>
      <c r="AP211" s="456">
        <v>1604.572054</v>
      </c>
      <c r="AQ211" s="456">
        <v>1643.7917689999999</v>
      </c>
      <c r="AR211" s="456">
        <f>SUM(AR209:AR210)</f>
        <v>48.129672000000028</v>
      </c>
      <c r="AS211" s="454">
        <f t="shared" si="124"/>
        <v>5.9969482340436464</v>
      </c>
      <c r="AT211" s="456">
        <v>4.2</v>
      </c>
      <c r="AU211" s="456">
        <v>4.3</v>
      </c>
      <c r="AV211" s="456">
        <f>SUM(AV209:AV210)</f>
        <v>9.9999999999999645E-2</v>
      </c>
      <c r="AW211" s="454">
        <f t="shared" si="125"/>
        <v>1.2459981514196942E-2</v>
      </c>
      <c r="AX211" s="456">
        <v>11.3</v>
      </c>
      <c r="AY211" s="456">
        <v>11.5</v>
      </c>
      <c r="AZ211" s="456">
        <f>SUM(AZ209:AZ210)</f>
        <v>0.29999999999999893</v>
      </c>
      <c r="BA211" s="454">
        <f t="shared" si="126"/>
        <v>3.7379944542590825E-2</v>
      </c>
      <c r="BB211" s="456">
        <v>-14.7</v>
      </c>
      <c r="BC211" s="456">
        <v>-14.86</v>
      </c>
      <c r="BD211" s="456">
        <f>SUM(BD209:BD210)</f>
        <v>-0.19000000000000128</v>
      </c>
      <c r="BE211" s="530">
        <f>AVERAGE(BE209:BE210)</f>
        <v>-1.204472</v>
      </c>
      <c r="BF211" s="454">
        <f t="shared" si="127"/>
        <v>-2.3673964876974433E-2</v>
      </c>
      <c r="BG211" s="445"/>
      <c r="BH211" s="445"/>
      <c r="BI211" s="445">
        <f>SUM(BI209:BI210)</f>
        <v>-2.6999999999999993</v>
      </c>
      <c r="BJ211" s="496" t="s">
        <v>1159</v>
      </c>
      <c r="BK211" s="496" t="s">
        <v>1160</v>
      </c>
      <c r="BL211" s="496">
        <f>SUM(BL209:BL210)</f>
        <v>0.60000000000000142</v>
      </c>
      <c r="BM211" s="496" t="s">
        <v>1161</v>
      </c>
      <c r="BN211" s="496" t="s">
        <v>1162</v>
      </c>
      <c r="BO211" s="496">
        <f>SUM(BO209:BO210)</f>
        <v>0</v>
      </c>
      <c r="BP211" s="445"/>
      <c r="BQ211" s="445"/>
      <c r="BR211" s="445"/>
      <c r="BS211" s="445"/>
      <c r="BT211" s="524" t="s">
        <v>723</v>
      </c>
      <c r="BU211" s="512"/>
      <c r="BV211" s="512"/>
      <c r="BW211" s="512"/>
      <c r="BX211" s="512"/>
      <c r="BY211" s="512"/>
      <c r="BZ211" s="512"/>
      <c r="CA211" s="512"/>
      <c r="CB211" s="512"/>
      <c r="CC211" s="512"/>
      <c r="CD211" s="512"/>
      <c r="CE211" s="512"/>
      <c r="CF211" s="512"/>
      <c r="CG211" s="512"/>
    </row>
    <row r="212" spans="1:85" s="449" customFormat="1">
      <c r="A212" s="546">
        <v>62006034</v>
      </c>
      <c r="B212" s="543" t="s">
        <v>841</v>
      </c>
      <c r="C212" s="543" t="s">
        <v>697</v>
      </c>
      <c r="D212" s="521" t="s">
        <v>760</v>
      </c>
      <c r="E212" s="513" t="s">
        <v>984</v>
      </c>
      <c r="F212" s="536" t="str">
        <f t="shared" si="96"/>
        <v>06/12/20</v>
      </c>
      <c r="G212" s="524" t="s">
        <v>985</v>
      </c>
      <c r="H212" s="524" t="s">
        <v>708</v>
      </c>
      <c r="I212" s="532"/>
      <c r="J212" s="531">
        <v>20.955423</v>
      </c>
      <c r="K212" s="531">
        <v>52.281374999999997</v>
      </c>
      <c r="L212" s="531">
        <v>29.503202000000002</v>
      </c>
      <c r="M212" s="531">
        <v>32.109026999999998</v>
      </c>
      <c r="N212" s="528">
        <v>4250</v>
      </c>
      <c r="O212" s="528">
        <v>38.71</v>
      </c>
      <c r="P212" s="528">
        <v>3.0499999999999999E-2</v>
      </c>
      <c r="Q212" s="528">
        <v>1.4999999999999999E-2</v>
      </c>
      <c r="R212" s="529">
        <v>3.5963044399999999</v>
      </c>
      <c r="S212" s="529">
        <f>R212+S211</f>
        <v>299.61747687999997</v>
      </c>
      <c r="T212" s="544">
        <v>18.2</v>
      </c>
      <c r="U212" s="544">
        <v>17.3</v>
      </c>
      <c r="V212" s="530">
        <v>65678</v>
      </c>
      <c r="W212" s="530">
        <v>66313</v>
      </c>
      <c r="X212" s="530">
        <f>W212-V212</f>
        <v>635</v>
      </c>
      <c r="Y212" s="530">
        <f t="shared" si="119"/>
        <v>176.57014599131102</v>
      </c>
      <c r="Z212" s="534">
        <v>65749</v>
      </c>
      <c r="AA212" s="530">
        <v>66384</v>
      </c>
      <c r="AB212" s="530">
        <f>AA212-Z212</f>
        <v>635</v>
      </c>
      <c r="AC212" s="533">
        <f t="shared" si="120"/>
        <v>176.57014599131102</v>
      </c>
      <c r="AD212" s="534">
        <v>217</v>
      </c>
      <c r="AE212" s="530">
        <v>223</v>
      </c>
      <c r="AF212" s="530">
        <f>AE212-AD212</f>
        <v>6</v>
      </c>
      <c r="AG212" s="533">
        <f t="shared" si="121"/>
        <v>1.668379332201364</v>
      </c>
      <c r="AH212" s="534">
        <v>63307</v>
      </c>
      <c r="AI212" s="530">
        <v>63886</v>
      </c>
      <c r="AJ212" s="530">
        <f>AI212-AH212</f>
        <v>579</v>
      </c>
      <c r="AK212" s="533">
        <f t="shared" si="122"/>
        <v>160.99860555743163</v>
      </c>
      <c r="AL212" s="534">
        <v>2082.6</v>
      </c>
      <c r="AM212" s="530">
        <v>2131.3000000000002</v>
      </c>
      <c r="AN212" s="530">
        <f>AM212-AL212</f>
        <v>48.700000000000273</v>
      </c>
      <c r="AO212" s="533">
        <f t="shared" si="123"/>
        <v>13.541678913034479</v>
      </c>
      <c r="AP212" s="534">
        <v>1680.91</v>
      </c>
      <c r="AQ212" s="530">
        <v>1720.8412189999999</v>
      </c>
      <c r="AR212" s="530">
        <f>AQ212-AP212</f>
        <v>39.931218999999828</v>
      </c>
      <c r="AS212" s="533">
        <f t="shared" si="124"/>
        <v>11.103403414867689</v>
      </c>
      <c r="AT212" s="534">
        <v>4.4000000000000004</v>
      </c>
      <c r="AU212" s="530">
        <v>4.5</v>
      </c>
      <c r="AV212" s="530">
        <f>AU212-AT212</f>
        <v>9.9999999999999645E-2</v>
      </c>
      <c r="AW212" s="533">
        <f t="shared" si="125"/>
        <v>2.7806322203355965E-2</v>
      </c>
      <c r="AX212" s="534">
        <v>11.8</v>
      </c>
      <c r="AY212" s="530">
        <v>12</v>
      </c>
      <c r="AZ212" s="530">
        <f>AY212-AX212</f>
        <v>0.19999999999999929</v>
      </c>
      <c r="BA212" s="533">
        <f t="shared" si="126"/>
        <v>5.5612644406711931E-2</v>
      </c>
      <c r="BB212" s="534">
        <v>-15.09</v>
      </c>
      <c r="BC212" s="530">
        <v>-15.25</v>
      </c>
      <c r="BD212" s="530">
        <f>BC212-BB212</f>
        <v>-0.16000000000000014</v>
      </c>
      <c r="BE212" s="530">
        <v>-1.1815249999999999</v>
      </c>
      <c r="BF212" s="533">
        <f t="shared" si="127"/>
        <v>-4.4490115525369744E-2</v>
      </c>
      <c r="BG212" s="527">
        <v>18.2</v>
      </c>
      <c r="BH212" s="527">
        <v>17.3</v>
      </c>
      <c r="BI212" s="527">
        <f>BH212-BG212</f>
        <v>-0.89999999999999858</v>
      </c>
      <c r="BJ212" s="545">
        <v>20.9</v>
      </c>
      <c r="BK212" s="545">
        <v>21.4</v>
      </c>
      <c r="BL212" s="545">
        <f>BK212-BJ212</f>
        <v>0.5</v>
      </c>
      <c r="BM212" s="545">
        <v>0</v>
      </c>
      <c r="BN212" s="545">
        <v>0</v>
      </c>
      <c r="BO212" s="545">
        <f>BN212-BM212</f>
        <v>0</v>
      </c>
      <c r="BP212" s="527"/>
      <c r="BQ212" s="527"/>
      <c r="BR212" s="527"/>
      <c r="BS212" s="527"/>
      <c r="BT212" s="524" t="s">
        <v>723</v>
      </c>
      <c r="BU212" s="512">
        <v>2368.5236811499999</v>
      </c>
      <c r="BV212" s="512">
        <v>-1.08161427</v>
      </c>
      <c r="BW212" s="512">
        <v>2026.67358932</v>
      </c>
      <c r="BX212" s="512">
        <v>2048.8340710399998</v>
      </c>
      <c r="BY212" s="512">
        <v>3.0234274499999998</v>
      </c>
      <c r="BZ212" s="512">
        <v>3.0320003500000001</v>
      </c>
      <c r="CA212" s="512">
        <v>0.14717356000000001</v>
      </c>
      <c r="CB212" s="512">
        <v>3.5962652799999999</v>
      </c>
      <c r="CC212" s="512">
        <v>3.5909803</v>
      </c>
      <c r="CD212" s="512">
        <v>-0.43113985999999999</v>
      </c>
      <c r="CE212" s="512">
        <v>-0.28274726999999999</v>
      </c>
      <c r="CF212" s="512">
        <v>0.63450395000000004</v>
      </c>
      <c r="CG212" s="512"/>
    </row>
    <row r="213" spans="1:85" s="449" customFormat="1">
      <c r="A213" s="546">
        <v>62006034</v>
      </c>
      <c r="B213" s="543" t="s">
        <v>234</v>
      </c>
      <c r="C213" s="543" t="s">
        <v>699</v>
      </c>
      <c r="D213" s="521" t="s">
        <v>760</v>
      </c>
      <c r="E213" s="513" t="s">
        <v>984</v>
      </c>
      <c r="F213" s="536" t="str">
        <f t="shared" si="96"/>
        <v>06/12/20</v>
      </c>
      <c r="G213" s="524" t="s">
        <v>985</v>
      </c>
      <c r="H213" s="524" t="s">
        <v>708</v>
      </c>
      <c r="I213" s="532"/>
      <c r="J213" s="531">
        <v>20.046855000000001</v>
      </c>
      <c r="K213" s="531">
        <v>52.355321000000004</v>
      </c>
      <c r="L213" s="531">
        <v>29.501839</v>
      </c>
      <c r="M213" s="531">
        <v>30.906621000000001</v>
      </c>
      <c r="N213" s="528">
        <v>4250</v>
      </c>
      <c r="O213" s="528">
        <v>38.71</v>
      </c>
      <c r="P213" s="528">
        <v>3.0499999999999999E-2</v>
      </c>
      <c r="Q213" s="528">
        <v>1.4999999999999999E-2</v>
      </c>
      <c r="R213" s="529">
        <v>3.8623510200000002</v>
      </c>
      <c r="S213" s="529">
        <f>R213+S212</f>
        <v>303.47982789999998</v>
      </c>
      <c r="T213" s="544">
        <v>17.3</v>
      </c>
      <c r="U213" s="544">
        <v>16.399999999999999</v>
      </c>
      <c r="V213" s="530">
        <v>66313</v>
      </c>
      <c r="W213" s="530">
        <v>66928</v>
      </c>
      <c r="X213" s="530">
        <f>W213-V213</f>
        <v>615</v>
      </c>
      <c r="Y213" s="530">
        <f t="shared" si="119"/>
        <v>159.22944258960698</v>
      </c>
      <c r="Z213" s="534">
        <v>66384</v>
      </c>
      <c r="AA213" s="530">
        <v>67000</v>
      </c>
      <c r="AB213" s="530">
        <f>AA213-Z213</f>
        <v>616</v>
      </c>
      <c r="AC213" s="533">
        <f t="shared" si="120"/>
        <v>159.4883522523543</v>
      </c>
      <c r="AD213" s="534">
        <v>223</v>
      </c>
      <c r="AE213" s="530">
        <v>241</v>
      </c>
      <c r="AF213" s="530">
        <f>AE213-AD213</f>
        <v>18</v>
      </c>
      <c r="AG213" s="533">
        <f t="shared" si="121"/>
        <v>4.6603739294519118</v>
      </c>
      <c r="AH213" s="534">
        <v>63886</v>
      </c>
      <c r="AI213" s="530">
        <v>64399</v>
      </c>
      <c r="AJ213" s="530">
        <f>AI213-AH213</f>
        <v>513</v>
      </c>
      <c r="AK213" s="533">
        <f t="shared" si="122"/>
        <v>132.82065698937947</v>
      </c>
      <c r="AL213" s="534">
        <v>2131.3000000000002</v>
      </c>
      <c r="AM213" s="530">
        <v>2214.767871</v>
      </c>
      <c r="AN213" s="530">
        <f>AM213-AL213</f>
        <v>83.467870999999832</v>
      </c>
      <c r="AO213" s="533">
        <f t="shared" si="123"/>
        <v>21.610638330847472</v>
      </c>
      <c r="AP213" s="534">
        <v>1720.861022</v>
      </c>
      <c r="AQ213" s="530">
        <v>1789.650361</v>
      </c>
      <c r="AR213" s="530">
        <f>AQ213-AP213</f>
        <v>68.789338999999927</v>
      </c>
      <c r="AS213" s="533">
        <f t="shared" si="124"/>
        <v>17.810224561101627</v>
      </c>
      <c r="AT213" s="534">
        <v>4.5</v>
      </c>
      <c r="AU213" s="530">
        <v>4.7</v>
      </c>
      <c r="AV213" s="530">
        <f>AU213-AT213</f>
        <v>0.20000000000000018</v>
      </c>
      <c r="AW213" s="533">
        <f t="shared" si="125"/>
        <v>5.1781932549465733E-2</v>
      </c>
      <c r="AX213" s="534">
        <v>12</v>
      </c>
      <c r="AY213" s="530">
        <v>12.4</v>
      </c>
      <c r="AZ213" s="530">
        <f>AY213-AX213</f>
        <v>0.40000000000000036</v>
      </c>
      <c r="BA213" s="533">
        <f t="shared" si="126"/>
        <v>0.10356386509893147</v>
      </c>
      <c r="BB213" s="534">
        <v>-15.25</v>
      </c>
      <c r="BC213" s="530">
        <v>-15.52</v>
      </c>
      <c r="BD213" s="530">
        <f>BC213-BB213</f>
        <v>-0.26999999999999957</v>
      </c>
      <c r="BE213" s="530">
        <v>-1.0907230000000001</v>
      </c>
      <c r="BF213" s="533">
        <f t="shared" si="127"/>
        <v>-6.9905608941778566E-2</v>
      </c>
      <c r="BG213" s="527">
        <v>17.3</v>
      </c>
      <c r="BH213" s="527">
        <v>16.399999999999999</v>
      </c>
      <c r="BI213" s="527">
        <f>BH213-BG213</f>
        <v>-0.90000000000000213</v>
      </c>
      <c r="BJ213" s="545">
        <v>21.4</v>
      </c>
      <c r="BK213" s="545">
        <v>22.2</v>
      </c>
      <c r="BL213" s="545">
        <f>BK213-BJ213</f>
        <v>0.80000000000000071</v>
      </c>
      <c r="BM213" s="545">
        <v>0</v>
      </c>
      <c r="BN213" s="545">
        <v>0</v>
      </c>
      <c r="BO213" s="545">
        <f>BN213-BM213</f>
        <v>0</v>
      </c>
      <c r="BP213" s="527"/>
      <c r="BQ213" s="527"/>
      <c r="BR213" s="527"/>
      <c r="BS213" s="527"/>
      <c r="BT213" s="524" t="s">
        <v>723</v>
      </c>
      <c r="BU213" s="512">
        <v>1476.0193784400001</v>
      </c>
      <c r="BV213" s="512">
        <v>-1.0913204999999999</v>
      </c>
      <c r="BW213" s="512">
        <v>3378.9515580299999</v>
      </c>
      <c r="BX213" s="512">
        <v>3416.2336157599998</v>
      </c>
      <c r="BY213" s="512">
        <v>2.9825414000000001</v>
      </c>
      <c r="BZ213" s="512">
        <v>2.9953598600000002</v>
      </c>
      <c r="CA213" s="512">
        <v>6.2140090000000002E-2</v>
      </c>
      <c r="CB213" s="512">
        <v>3.8622292800000002</v>
      </c>
      <c r="CC213" s="512">
        <v>3.8598307799999998</v>
      </c>
      <c r="CD213" s="512">
        <v>-0.49219049999999998</v>
      </c>
      <c r="CE213" s="512">
        <v>-0.42794410999999999</v>
      </c>
      <c r="CF213" s="512">
        <v>0.72008764999999997</v>
      </c>
      <c r="CG213" s="512"/>
    </row>
    <row r="214" spans="1:85" s="449" customFormat="1">
      <c r="A214" s="546">
        <v>62006034</v>
      </c>
      <c r="B214" s="543" t="s">
        <v>842</v>
      </c>
      <c r="C214" s="543" t="s">
        <v>704</v>
      </c>
      <c r="D214" s="521" t="s">
        <v>760</v>
      </c>
      <c r="E214" s="513" t="s">
        <v>984</v>
      </c>
      <c r="F214" s="536" t="str">
        <f t="shared" si="96"/>
        <v>06/12/20</v>
      </c>
      <c r="G214" s="524" t="s">
        <v>985</v>
      </c>
      <c r="H214" s="524" t="s">
        <v>708</v>
      </c>
      <c r="I214" s="532"/>
      <c r="J214" s="468">
        <f>AVERAGE(J212:J213)</f>
        <v>20.501139000000002</v>
      </c>
      <c r="K214" s="468">
        <f>AVERAGE(K212:K213)</f>
        <v>52.318348</v>
      </c>
      <c r="L214" s="468">
        <f>AVERAGE(L212:L213)</f>
        <v>29.502520500000003</v>
      </c>
      <c r="M214" s="468">
        <f>AVERAGE(M212:M213)</f>
        <v>31.507823999999999</v>
      </c>
      <c r="N214" s="452"/>
      <c r="O214" s="528"/>
      <c r="P214" s="470"/>
      <c r="Q214" s="469"/>
      <c r="R214" s="453">
        <f>R213+R212</f>
        <v>7.4586554600000001</v>
      </c>
      <c r="S214" s="453">
        <f>S213</f>
        <v>303.47982789999998</v>
      </c>
      <c r="T214" s="493">
        <v>18.2</v>
      </c>
      <c r="U214" s="493">
        <v>16.399999999999999</v>
      </c>
      <c r="V214" s="456">
        <v>65678</v>
      </c>
      <c r="W214" s="456">
        <v>66928</v>
      </c>
      <c r="X214" s="456">
        <f>SUM(X212:X213)</f>
        <v>1250</v>
      </c>
      <c r="Y214" s="456">
        <f t="shared" si="119"/>
        <v>167.59052710017522</v>
      </c>
      <c r="Z214" s="456">
        <v>65749</v>
      </c>
      <c r="AA214" s="456">
        <v>67000</v>
      </c>
      <c r="AB214" s="456">
        <f>SUM(AB212:AB213)</f>
        <v>1251</v>
      </c>
      <c r="AC214" s="454">
        <f t="shared" si="120"/>
        <v>167.72459952185537</v>
      </c>
      <c r="AD214" s="456">
        <v>217</v>
      </c>
      <c r="AE214" s="456">
        <v>241</v>
      </c>
      <c r="AF214" s="456">
        <f>SUM(AF212:AF213)</f>
        <v>24</v>
      </c>
      <c r="AG214" s="454">
        <f t="shared" si="121"/>
        <v>3.2177381203233644</v>
      </c>
      <c r="AH214" s="456">
        <v>63307</v>
      </c>
      <c r="AI214" s="456">
        <v>64399</v>
      </c>
      <c r="AJ214" s="456">
        <f>SUM(AJ212:AJ213)</f>
        <v>1092</v>
      </c>
      <c r="AK214" s="454">
        <f t="shared" si="122"/>
        <v>146.40708447471309</v>
      </c>
      <c r="AL214" s="456">
        <v>2082.6</v>
      </c>
      <c r="AM214" s="456">
        <v>2214.767871</v>
      </c>
      <c r="AN214" s="456">
        <f>SUM(AN212:AN213)</f>
        <v>132.1678710000001</v>
      </c>
      <c r="AO214" s="454">
        <f t="shared" si="123"/>
        <v>17.720066533278384</v>
      </c>
      <c r="AP214" s="456">
        <v>1680.91</v>
      </c>
      <c r="AQ214" s="456">
        <v>1789.650361</v>
      </c>
      <c r="AR214" s="456">
        <f>SUM(AR212:AR213)</f>
        <v>108.72055799999976</v>
      </c>
      <c r="AS214" s="454">
        <f t="shared" si="124"/>
        <v>14.576428497476106</v>
      </c>
      <c r="AT214" s="456">
        <v>4.4000000000000004</v>
      </c>
      <c r="AU214" s="456">
        <v>4.7</v>
      </c>
      <c r="AV214" s="456">
        <f>SUM(AV212:AV213)</f>
        <v>0.29999999999999982</v>
      </c>
      <c r="AW214" s="454">
        <f t="shared" si="125"/>
        <v>4.022172650404203E-2</v>
      </c>
      <c r="AX214" s="456">
        <v>11.8</v>
      </c>
      <c r="AY214" s="456">
        <v>12.4</v>
      </c>
      <c r="AZ214" s="456">
        <f>SUM(AZ212:AZ213)</f>
        <v>0.59999999999999964</v>
      </c>
      <c r="BA214" s="454">
        <f t="shared" si="126"/>
        <v>8.0443453008084059E-2</v>
      </c>
      <c r="BB214" s="456">
        <v>-15.09</v>
      </c>
      <c r="BC214" s="456">
        <v>-15.52</v>
      </c>
      <c r="BD214" s="456">
        <f>SUM(BD212:BD213)</f>
        <v>-0.42999999999999972</v>
      </c>
      <c r="BE214" s="530">
        <f>AVERAGE(BE212:BE213)</f>
        <v>-1.1361240000000001</v>
      </c>
      <c r="BF214" s="454">
        <f t="shared" si="127"/>
        <v>-5.7651141322460242E-2</v>
      </c>
      <c r="BG214" s="445"/>
      <c r="BH214" s="445"/>
      <c r="BI214" s="445">
        <f>SUM(BI212:BI213)</f>
        <v>-1.8000000000000007</v>
      </c>
      <c r="BJ214" s="496" t="s">
        <v>1163</v>
      </c>
      <c r="BK214" s="496" t="s">
        <v>1164</v>
      </c>
      <c r="BL214" s="496">
        <f>SUM(BL212:BL213)</f>
        <v>1.3000000000000007</v>
      </c>
      <c r="BM214" s="496" t="s">
        <v>1165</v>
      </c>
      <c r="BN214" s="496" t="s">
        <v>1166</v>
      </c>
      <c r="BO214" s="496">
        <f>SUM(BO212:BO213)</f>
        <v>0</v>
      </c>
      <c r="BP214" s="445"/>
      <c r="BQ214" s="445"/>
      <c r="BR214" s="445"/>
      <c r="BS214" s="445"/>
      <c r="BT214" s="524" t="s">
        <v>723</v>
      </c>
      <c r="BU214" s="512"/>
      <c r="BV214" s="512"/>
      <c r="BW214" s="512"/>
      <c r="BX214" s="512"/>
      <c r="BY214" s="512"/>
      <c r="BZ214" s="512"/>
      <c r="CA214" s="512"/>
      <c r="CB214" s="512"/>
      <c r="CC214" s="512"/>
      <c r="CD214" s="512"/>
      <c r="CE214" s="512"/>
      <c r="CF214" s="512"/>
      <c r="CG214" s="512"/>
    </row>
    <row r="215" spans="1:85" s="449" customFormat="1">
      <c r="A215" s="546">
        <v>62006034</v>
      </c>
      <c r="B215" s="543" t="s">
        <v>56</v>
      </c>
      <c r="C215" s="543" t="s">
        <v>700</v>
      </c>
      <c r="D215" s="521" t="s">
        <v>760</v>
      </c>
      <c r="E215" s="513" t="s">
        <v>984</v>
      </c>
      <c r="F215" s="536" t="str">
        <f t="shared" si="96"/>
        <v>06/12/20</v>
      </c>
      <c r="G215" s="524" t="s">
        <v>985</v>
      </c>
      <c r="H215" s="524" t="s">
        <v>708</v>
      </c>
      <c r="I215" s="532"/>
      <c r="J215" s="531">
        <v>25.32254</v>
      </c>
      <c r="K215" s="531">
        <v>37.673231999999999</v>
      </c>
      <c r="L215" s="531">
        <v>29.505372999999999</v>
      </c>
      <c r="M215" s="531">
        <v>31.917172000000001</v>
      </c>
      <c r="N215" s="528">
        <v>4250</v>
      </c>
      <c r="O215" s="528">
        <v>38.71</v>
      </c>
      <c r="P215" s="528">
        <v>3.0499999999999999E-2</v>
      </c>
      <c r="Q215" s="528">
        <v>1.4999999999999999E-2</v>
      </c>
      <c r="R215" s="529">
        <v>10.284345050000001</v>
      </c>
      <c r="S215" s="529">
        <f>R215+S214</f>
        <v>313.76417294999999</v>
      </c>
      <c r="T215" s="544">
        <v>16.399999999999999</v>
      </c>
      <c r="U215" s="544">
        <v>13.8</v>
      </c>
      <c r="V215" s="530">
        <v>66930</v>
      </c>
      <c r="W215" s="530">
        <v>68775</v>
      </c>
      <c r="X215" s="530">
        <f>W215-V215</f>
        <v>1845</v>
      </c>
      <c r="Y215" s="530">
        <f t="shared" si="119"/>
        <v>179.39888160403564</v>
      </c>
      <c r="Z215" s="534">
        <v>67001</v>
      </c>
      <c r="AA215" s="530">
        <v>68848</v>
      </c>
      <c r="AB215" s="530">
        <f>AA215-Z215</f>
        <v>1847</v>
      </c>
      <c r="AC215" s="533">
        <f t="shared" si="120"/>
        <v>179.59335193639774</v>
      </c>
      <c r="AD215" s="534">
        <v>241</v>
      </c>
      <c r="AE215" s="530">
        <v>242</v>
      </c>
      <c r="AF215" s="530">
        <f>AE215-AD215</f>
        <v>1</v>
      </c>
      <c r="AG215" s="533">
        <f t="shared" si="121"/>
        <v>9.7235166181049118E-2</v>
      </c>
      <c r="AH215" s="534">
        <v>64399</v>
      </c>
      <c r="AI215" s="530">
        <v>66167</v>
      </c>
      <c r="AJ215" s="530">
        <f>AI215-AH215</f>
        <v>1768</v>
      </c>
      <c r="AK215" s="533">
        <f t="shared" si="122"/>
        <v>171.91177380809484</v>
      </c>
      <c r="AL215" s="534">
        <v>2216.3067219999998</v>
      </c>
      <c r="AM215" s="530">
        <v>2290.1999999999998</v>
      </c>
      <c r="AN215" s="530">
        <f>AM215-AL215</f>
        <v>73.893278000000009</v>
      </c>
      <c r="AO215" s="533">
        <f t="shared" si="123"/>
        <v>7.185025165992462</v>
      </c>
      <c r="AP215" s="534">
        <v>1790.9506719999999</v>
      </c>
      <c r="AQ215" s="530">
        <v>1852.02</v>
      </c>
      <c r="AR215" s="530">
        <f>AQ215-AP215</f>
        <v>61.069328000000041</v>
      </c>
      <c r="AS215" s="533">
        <f t="shared" si="124"/>
        <v>5.9380862566450006</v>
      </c>
      <c r="AT215" s="534">
        <v>4.7</v>
      </c>
      <c r="AU215" s="530">
        <v>4.7</v>
      </c>
      <c r="AV215" s="530">
        <f>AU215-AT215</f>
        <v>0</v>
      </c>
      <c r="AW215" s="533">
        <f t="shared" si="125"/>
        <v>0</v>
      </c>
      <c r="AX215" s="534">
        <v>12.4</v>
      </c>
      <c r="AY215" s="530">
        <v>12.7</v>
      </c>
      <c r="AZ215" s="530">
        <f>AY215-AX215</f>
        <v>0.29999999999999893</v>
      </c>
      <c r="BA215" s="533">
        <f t="shared" si="126"/>
        <v>2.9170549854314633E-2</v>
      </c>
      <c r="BB215" s="534">
        <v>-15.52</v>
      </c>
      <c r="BC215" s="530">
        <v>-15.75</v>
      </c>
      <c r="BD215" s="530">
        <f>BC215-BB215</f>
        <v>-0.23000000000000043</v>
      </c>
      <c r="BE215" s="530">
        <v>-1.037463</v>
      </c>
      <c r="BF215" s="533">
        <f t="shared" si="127"/>
        <v>-2.2364088221641338E-2</v>
      </c>
      <c r="BG215" s="527">
        <v>16.399999999999999</v>
      </c>
      <c r="BH215" s="527">
        <v>13.8</v>
      </c>
      <c r="BI215" s="527">
        <f>BH215-BG215</f>
        <v>-2.5999999999999979</v>
      </c>
      <c r="BJ215" s="545">
        <v>22.2</v>
      </c>
      <c r="BK215" s="545">
        <v>23</v>
      </c>
      <c r="BL215" s="545">
        <f>BK215-BJ215</f>
        <v>0.80000000000000071</v>
      </c>
      <c r="BM215" s="545">
        <v>0</v>
      </c>
      <c r="BN215" s="545">
        <v>0</v>
      </c>
      <c r="BO215" s="545">
        <f>BN215-BM215</f>
        <v>0</v>
      </c>
      <c r="BP215" s="527"/>
      <c r="BQ215" s="527"/>
      <c r="BR215" s="527"/>
      <c r="BS215" s="527"/>
      <c r="BT215" s="524" t="s">
        <v>723</v>
      </c>
      <c r="BU215" s="512">
        <v>1875.3491857700001</v>
      </c>
      <c r="BV215" s="512">
        <v>0.94737481999999995</v>
      </c>
      <c r="BW215" s="512">
        <v>1319.1515590500001</v>
      </c>
      <c r="BX215" s="512">
        <v>1306.7715346</v>
      </c>
      <c r="BY215" s="512">
        <v>6.82025317</v>
      </c>
      <c r="BZ215" s="512">
        <v>6.7904236600000001</v>
      </c>
      <c r="CA215" s="512">
        <v>0.26978850999999998</v>
      </c>
      <c r="CB215" s="512">
        <v>10.284351689999999</v>
      </c>
      <c r="CC215" s="512">
        <v>10.256680340000001</v>
      </c>
      <c r="CD215" s="512">
        <v>0.16875809999999999</v>
      </c>
      <c r="CE215" s="512">
        <v>0.43928794999999998</v>
      </c>
      <c r="CF215" s="512">
        <v>0.33398550999999999</v>
      </c>
      <c r="CG215" s="512"/>
    </row>
    <row r="216" spans="1:85" s="449" customFormat="1">
      <c r="A216" s="546">
        <v>62006034</v>
      </c>
      <c r="B216" s="543" t="s">
        <v>843</v>
      </c>
      <c r="C216" s="543" t="s">
        <v>702</v>
      </c>
      <c r="D216" s="521" t="s">
        <v>760</v>
      </c>
      <c r="E216" s="513" t="s">
        <v>984</v>
      </c>
      <c r="F216" s="536" t="str">
        <f t="shared" si="96"/>
        <v>06/12/20</v>
      </c>
      <c r="G216" s="524" t="s">
        <v>985</v>
      </c>
      <c r="H216" s="524" t="s">
        <v>708</v>
      </c>
      <c r="I216" s="532"/>
      <c r="J216" s="531">
        <v>20.981826000000002</v>
      </c>
      <c r="K216" s="531">
        <v>48.875075000000002</v>
      </c>
      <c r="L216" s="531">
        <v>29.488005999999999</v>
      </c>
      <c r="M216" s="531">
        <v>31.759128</v>
      </c>
      <c r="N216" s="528">
        <v>4250</v>
      </c>
      <c r="O216" s="528">
        <v>38.71</v>
      </c>
      <c r="P216" s="528">
        <v>3.0499999999999999E-2</v>
      </c>
      <c r="Q216" s="528">
        <v>1.4999999999999999E-2</v>
      </c>
      <c r="R216" s="529">
        <v>3.5965738599999999</v>
      </c>
      <c r="S216" s="529">
        <f>R216+S215</f>
        <v>317.36074680999997</v>
      </c>
      <c r="T216" s="544">
        <v>13.7</v>
      </c>
      <c r="U216" s="544">
        <v>12.8</v>
      </c>
      <c r="V216" s="530">
        <v>68814</v>
      </c>
      <c r="W216" s="530">
        <v>69447</v>
      </c>
      <c r="X216" s="530">
        <f>W216-V216</f>
        <v>633</v>
      </c>
      <c r="Y216" s="530">
        <f t="shared" si="119"/>
        <v>176.00083430512393</v>
      </c>
      <c r="Z216" s="534">
        <v>68888</v>
      </c>
      <c r="AA216" s="530">
        <v>69521</v>
      </c>
      <c r="AB216" s="530">
        <f>AA216-Z216</f>
        <v>633</v>
      </c>
      <c r="AC216" s="533">
        <f t="shared" si="120"/>
        <v>176.00083430512393</v>
      </c>
      <c r="AD216" s="534">
        <v>242</v>
      </c>
      <c r="AE216" s="530">
        <v>248</v>
      </c>
      <c r="AF216" s="530">
        <f>AE216-AD216</f>
        <v>6</v>
      </c>
      <c r="AG216" s="533">
        <f t="shared" si="121"/>
        <v>1.6682543536030705</v>
      </c>
      <c r="AH216" s="534">
        <v>66168</v>
      </c>
      <c r="AI216" s="530">
        <v>66745</v>
      </c>
      <c r="AJ216" s="530">
        <f>AI216-AH216</f>
        <v>577</v>
      </c>
      <c r="AK216" s="533">
        <f t="shared" si="122"/>
        <v>160.43046033816194</v>
      </c>
      <c r="AL216" s="534">
        <v>2327.8000000000002</v>
      </c>
      <c r="AM216" s="530">
        <v>2375.9</v>
      </c>
      <c r="AN216" s="530">
        <f>AM216-AL216</f>
        <v>48.099999999999909</v>
      </c>
      <c r="AO216" s="533">
        <f t="shared" si="123"/>
        <v>13.373839068051257</v>
      </c>
      <c r="AP216" s="534">
        <v>1880.4699559999999</v>
      </c>
      <c r="AQ216" s="530">
        <v>1920.2397020000001</v>
      </c>
      <c r="AR216" s="530">
        <f>AQ216-AP216</f>
        <v>39.769746000000168</v>
      </c>
      <c r="AS216" s="533">
        <f t="shared" si="124"/>
        <v>11.057675317698097</v>
      </c>
      <c r="AT216" s="534">
        <v>4.8</v>
      </c>
      <c r="AU216" s="530">
        <v>4.9000000000000004</v>
      </c>
      <c r="AV216" s="530">
        <f>AU216-AT216</f>
        <v>0.10000000000000053</v>
      </c>
      <c r="AW216" s="533">
        <f t="shared" si="125"/>
        <v>2.780423922671799E-2</v>
      </c>
      <c r="AX216" s="534">
        <v>13</v>
      </c>
      <c r="AY216" s="530">
        <v>13.2</v>
      </c>
      <c r="AZ216" s="530">
        <f>AY216-AX216</f>
        <v>0.19999999999999929</v>
      </c>
      <c r="BA216" s="533">
        <f t="shared" si="126"/>
        <v>5.5608478453435486E-2</v>
      </c>
      <c r="BB216" s="534">
        <v>-15.92</v>
      </c>
      <c r="BC216" s="530">
        <v>-16.079999999999998</v>
      </c>
      <c r="BD216" s="530">
        <f>BC216-BB216</f>
        <v>-0.15999999999999837</v>
      </c>
      <c r="BE216" s="530">
        <v>-1.036718</v>
      </c>
      <c r="BF216" s="533">
        <f t="shared" si="127"/>
        <v>-4.4486782762748089E-2</v>
      </c>
      <c r="BG216" s="527">
        <v>13.7</v>
      </c>
      <c r="BH216" s="527">
        <v>12.8</v>
      </c>
      <c r="BI216" s="527">
        <f>BH216-BG216</f>
        <v>-0.89999999999999858</v>
      </c>
      <c r="BJ216" s="545">
        <v>23.6</v>
      </c>
      <c r="BK216" s="545">
        <v>24.1</v>
      </c>
      <c r="BL216" s="545">
        <f>BK216-BJ216</f>
        <v>0.5</v>
      </c>
      <c r="BM216" s="545">
        <v>0</v>
      </c>
      <c r="BN216" s="545">
        <v>0</v>
      </c>
      <c r="BO216" s="545">
        <f>BN216-BM216</f>
        <v>0</v>
      </c>
      <c r="BP216" s="527"/>
      <c r="BQ216" s="527"/>
      <c r="BR216" s="527"/>
      <c r="BS216" s="527"/>
      <c r="BT216" s="524" t="s">
        <v>723</v>
      </c>
      <c r="BU216" s="512">
        <v>2367.8847709699999</v>
      </c>
      <c r="BV216" s="512">
        <v>-0.94597796999999995</v>
      </c>
      <c r="BW216" s="512">
        <v>2029.4072752100001</v>
      </c>
      <c r="BX216" s="512">
        <v>2048.7883618199999</v>
      </c>
      <c r="BY216" s="512">
        <v>3.02621992</v>
      </c>
      <c r="BZ216" s="512">
        <v>3.0319412099999998</v>
      </c>
      <c r="CA216" s="512">
        <v>0.15516970999999999</v>
      </c>
      <c r="CB216" s="512">
        <v>3.5965525600000001</v>
      </c>
      <c r="CC216" s="512">
        <v>3.59098045</v>
      </c>
      <c r="CD216" s="512">
        <v>-0.34452044999999998</v>
      </c>
      <c r="CE216" s="512">
        <v>-0.18870063000000001</v>
      </c>
      <c r="CF216" s="512">
        <v>0.63449513999999996</v>
      </c>
      <c r="CG216" s="512"/>
    </row>
    <row r="217" spans="1:85" s="449" customFormat="1">
      <c r="A217" s="546">
        <v>62006034</v>
      </c>
      <c r="B217" s="543" t="s">
        <v>844</v>
      </c>
      <c r="C217" s="543" t="s">
        <v>705</v>
      </c>
      <c r="D217" s="521" t="s">
        <v>760</v>
      </c>
      <c r="E217" s="513" t="s">
        <v>984</v>
      </c>
      <c r="F217" s="536" t="str">
        <f t="shared" si="96"/>
        <v>06/12/20</v>
      </c>
      <c r="G217" s="524" t="s">
        <v>985</v>
      </c>
      <c r="H217" s="524" t="s">
        <v>708</v>
      </c>
      <c r="I217" s="532"/>
      <c r="J217" s="531">
        <v>19.077400999999998</v>
      </c>
      <c r="K217" s="531">
        <v>55.609791999999999</v>
      </c>
      <c r="L217" s="531">
        <v>29.486286</v>
      </c>
      <c r="M217" s="531">
        <v>30.540445999999999</v>
      </c>
      <c r="N217" s="528">
        <v>4250</v>
      </c>
      <c r="O217" s="528">
        <v>38.71</v>
      </c>
      <c r="P217" s="528">
        <v>3.0499999999999999E-2</v>
      </c>
      <c r="Q217" s="528">
        <v>1.4999999999999999E-2</v>
      </c>
      <c r="R217" s="529">
        <v>3.8618394899999999</v>
      </c>
      <c r="S217" s="529">
        <f>R217+S216</f>
        <v>321.22258629999999</v>
      </c>
      <c r="T217" s="544">
        <v>12.8</v>
      </c>
      <c r="U217" s="544">
        <v>11.9</v>
      </c>
      <c r="V217" s="530">
        <v>69447</v>
      </c>
      <c r="W217" s="530">
        <v>70058</v>
      </c>
      <c r="X217" s="530">
        <f>W217-V217</f>
        <v>611</v>
      </c>
      <c r="Y217" s="530">
        <f t="shared" si="119"/>
        <v>158.21475791061425</v>
      </c>
      <c r="Z217" s="534">
        <v>69521</v>
      </c>
      <c r="AA217" s="530">
        <v>70134</v>
      </c>
      <c r="AB217" s="530">
        <f>AA217-Z217</f>
        <v>613</v>
      </c>
      <c r="AC217" s="533">
        <f t="shared" si="120"/>
        <v>158.73264582521529</v>
      </c>
      <c r="AD217" s="534">
        <v>248</v>
      </c>
      <c r="AE217" s="530">
        <v>265</v>
      </c>
      <c r="AF217" s="530">
        <f>AE217-AD217</f>
        <v>17</v>
      </c>
      <c r="AG217" s="533">
        <f t="shared" si="121"/>
        <v>4.4020472741087433</v>
      </c>
      <c r="AH217" s="534">
        <v>66745</v>
      </c>
      <c r="AI217" s="530">
        <v>67255</v>
      </c>
      <c r="AJ217" s="530">
        <f>AI217-AH217</f>
        <v>510</v>
      </c>
      <c r="AK217" s="533">
        <f t="shared" si="122"/>
        <v>132.06141822326231</v>
      </c>
      <c r="AL217" s="534">
        <v>2375.9970870000002</v>
      </c>
      <c r="AM217" s="530">
        <v>2458.9</v>
      </c>
      <c r="AN217" s="530">
        <f>AM217-AL217</f>
        <v>82.902912999999899</v>
      </c>
      <c r="AO217" s="533">
        <f t="shared" si="123"/>
        <v>21.467208363960228</v>
      </c>
      <c r="AP217" s="534">
        <v>1920.2597089999999</v>
      </c>
      <c r="AQ217" s="530">
        <v>1988.8192859999999</v>
      </c>
      <c r="AR217" s="530">
        <f>AQ217-AP217</f>
        <v>68.55957699999999</v>
      </c>
      <c r="AS217" s="533">
        <f t="shared" si="124"/>
        <v>17.753088179229323</v>
      </c>
      <c r="AT217" s="534">
        <v>4.9000000000000004</v>
      </c>
      <c r="AU217" s="530">
        <v>5</v>
      </c>
      <c r="AV217" s="530">
        <f>AU217-AT217</f>
        <v>9.9999999999999645E-2</v>
      </c>
      <c r="AW217" s="533">
        <f t="shared" si="125"/>
        <v>2.5894395730051339E-2</v>
      </c>
      <c r="AX217" s="534">
        <v>13.2</v>
      </c>
      <c r="AY217" s="530">
        <v>13.5</v>
      </c>
      <c r="AZ217" s="530">
        <f>AY217-AX217</f>
        <v>0.30000000000000071</v>
      </c>
      <c r="BA217" s="533">
        <f t="shared" si="126"/>
        <v>7.7683187190154476E-2</v>
      </c>
      <c r="BB217" s="534">
        <v>-16.079999999999998</v>
      </c>
      <c r="BC217" s="530">
        <v>-16.34</v>
      </c>
      <c r="BD217" s="530">
        <f>BC217-BB217</f>
        <v>-0.26000000000000156</v>
      </c>
      <c r="BE217" s="530">
        <v>-1.075008</v>
      </c>
      <c r="BF217" s="533">
        <f t="shared" si="127"/>
        <v>-6.7325428898134129E-2</v>
      </c>
      <c r="BG217" s="527">
        <v>12.8</v>
      </c>
      <c r="BH217" s="527">
        <v>11.9</v>
      </c>
      <c r="BI217" s="527">
        <f>BH217-BG217</f>
        <v>-0.90000000000000036</v>
      </c>
      <c r="BJ217" s="545">
        <v>24.1</v>
      </c>
      <c r="BK217" s="545">
        <v>24.9</v>
      </c>
      <c r="BL217" s="545">
        <f>BK217-BJ217</f>
        <v>0.79999999999999716</v>
      </c>
      <c r="BM217" s="545">
        <v>0</v>
      </c>
      <c r="BN217" s="545">
        <v>0</v>
      </c>
      <c r="BO217" s="545">
        <f>BN217-BM217</f>
        <v>0</v>
      </c>
      <c r="BP217" s="527"/>
      <c r="BQ217" s="527"/>
      <c r="BR217" s="527"/>
      <c r="BS217" s="527"/>
      <c r="BT217" s="524" t="s">
        <v>723</v>
      </c>
      <c r="BU217" s="512">
        <v>1475.70784604</v>
      </c>
      <c r="BV217" s="512">
        <v>-1.18566047</v>
      </c>
      <c r="BW217" s="512">
        <v>3375.6935360500001</v>
      </c>
      <c r="BX217" s="512">
        <v>3416.1980459500001</v>
      </c>
      <c r="BY217" s="512">
        <v>2.9824620999999998</v>
      </c>
      <c r="BZ217" s="512">
        <v>2.9953058499999998</v>
      </c>
      <c r="CA217" s="512">
        <v>4.941255E-2</v>
      </c>
      <c r="CB217" s="512">
        <v>3.8617368399999998</v>
      </c>
      <c r="CC217" s="512">
        <v>3.8598295999999999</v>
      </c>
      <c r="CD217" s="512">
        <v>-0.48026760000000002</v>
      </c>
      <c r="CE217" s="512">
        <v>-0.42879568000000001</v>
      </c>
      <c r="CF217" s="512">
        <v>0.72009193000000005</v>
      </c>
      <c r="CG217" s="512"/>
    </row>
    <row r="218" spans="1:85" s="449" customFormat="1">
      <c r="A218" s="546">
        <v>62006034</v>
      </c>
      <c r="B218" s="543" t="s">
        <v>845</v>
      </c>
      <c r="C218" s="543" t="s">
        <v>703</v>
      </c>
      <c r="D218" s="521" t="s">
        <v>760</v>
      </c>
      <c r="E218" s="513" t="s">
        <v>984</v>
      </c>
      <c r="F218" s="536" t="str">
        <f t="shared" si="96"/>
        <v>06/12/20</v>
      </c>
      <c r="G218" s="524" t="s">
        <v>985</v>
      </c>
      <c r="H218" s="524" t="s">
        <v>708</v>
      </c>
      <c r="I218" s="532"/>
      <c r="J218" s="468">
        <f>AVERAGE(J216:J217)</f>
        <v>20.0296135</v>
      </c>
      <c r="K218" s="468">
        <f>AVERAGE(K216:K217)</f>
        <v>52.242433500000004</v>
      </c>
      <c r="L218" s="468">
        <f>AVERAGE(L216:L217)</f>
        <v>29.487145999999999</v>
      </c>
      <c r="M218" s="468">
        <f>AVERAGE(M216:M217)</f>
        <v>31.149787</v>
      </c>
      <c r="N218" s="452"/>
      <c r="O218" s="528"/>
      <c r="P218" s="470"/>
      <c r="Q218" s="469"/>
      <c r="R218" s="453">
        <f>R217+R216</f>
        <v>7.4584133499999998</v>
      </c>
      <c r="S218" s="453">
        <f>S217</f>
        <v>321.22258629999999</v>
      </c>
      <c r="T218" s="493">
        <v>13.7</v>
      </c>
      <c r="U218" s="493">
        <v>11.9</v>
      </c>
      <c r="V218" s="456">
        <v>68814</v>
      </c>
      <c r="W218" s="456">
        <v>70058</v>
      </c>
      <c r="X218" s="456">
        <f>SUM(X216:X217)</f>
        <v>1244</v>
      </c>
      <c r="Y218" s="456">
        <f t="shared" si="119"/>
        <v>166.79150666810389</v>
      </c>
      <c r="Z218" s="456">
        <v>68888</v>
      </c>
      <c r="AA218" s="456">
        <v>70134</v>
      </c>
      <c r="AB218" s="456">
        <f>SUM(AB216:AB217)</f>
        <v>1246</v>
      </c>
      <c r="AC218" s="454">
        <f t="shared" si="120"/>
        <v>167.05966021580181</v>
      </c>
      <c r="AD218" s="456">
        <v>242</v>
      </c>
      <c r="AE218" s="456">
        <v>265</v>
      </c>
      <c r="AF218" s="456">
        <f>SUM(AF216:AF217)</f>
        <v>23</v>
      </c>
      <c r="AG218" s="454">
        <f t="shared" si="121"/>
        <v>3.0837657985260365</v>
      </c>
      <c r="AH218" s="456">
        <v>66168</v>
      </c>
      <c r="AI218" s="456">
        <v>67255</v>
      </c>
      <c r="AJ218" s="456">
        <f>SUM(AJ216:AJ217)</f>
        <v>1087</v>
      </c>
      <c r="AK218" s="454">
        <f t="shared" si="122"/>
        <v>145.74145317381746</v>
      </c>
      <c r="AL218" s="456">
        <v>2327.8000000000002</v>
      </c>
      <c r="AM218" s="456">
        <v>2458.9</v>
      </c>
      <c r="AN218" s="456">
        <f>SUM(AN216:AN217)</f>
        <v>131.00291299999981</v>
      </c>
      <c r="AO218" s="454">
        <f t="shared" si="123"/>
        <v>17.564447939855707</v>
      </c>
      <c r="AP218" s="456">
        <v>1880.4699559999999</v>
      </c>
      <c r="AQ218" s="456">
        <v>1988.8192859999999</v>
      </c>
      <c r="AR218" s="456">
        <f>SUM(AR216:AR217)</f>
        <v>108.32932300000016</v>
      </c>
      <c r="AS218" s="454">
        <f t="shared" si="124"/>
        <v>14.524446141081757</v>
      </c>
      <c r="AT218" s="456">
        <v>4.8</v>
      </c>
      <c r="AU218" s="456">
        <v>5</v>
      </c>
      <c r="AV218" s="456">
        <f>SUM(AV216:AV217)</f>
        <v>0.20000000000000018</v>
      </c>
      <c r="AW218" s="454">
        <f t="shared" si="125"/>
        <v>2.6815354769791647E-2</v>
      </c>
      <c r="AX218" s="456">
        <v>13</v>
      </c>
      <c r="AY218" s="456">
        <v>13.5</v>
      </c>
      <c r="AZ218" s="456">
        <f>SUM(AZ216:AZ217)</f>
        <v>0.5</v>
      </c>
      <c r="BA218" s="454">
        <f t="shared" si="126"/>
        <v>6.7038386924479054E-2</v>
      </c>
      <c r="BB218" s="456">
        <v>-15.92</v>
      </c>
      <c r="BC218" s="456">
        <v>-16.34</v>
      </c>
      <c r="BD218" s="456">
        <f>SUM(BD216:BD217)</f>
        <v>-0.41999999999999993</v>
      </c>
      <c r="BE218" s="530">
        <f>AVERAGE(BE216:BE217)</f>
        <v>-1.055863</v>
      </c>
      <c r="BF218" s="454">
        <f t="shared" si="127"/>
        <v>-5.6312245016562394E-2</v>
      </c>
      <c r="BG218" s="445"/>
      <c r="BH218" s="445"/>
      <c r="BI218" s="445">
        <f>SUM(BI216:BI217)</f>
        <v>-1.7999999999999989</v>
      </c>
      <c r="BJ218" s="496" t="s">
        <v>1167</v>
      </c>
      <c r="BK218" s="496" t="s">
        <v>1168</v>
      </c>
      <c r="BL218" s="496">
        <f>SUM(BL216:BL217)</f>
        <v>1.2999999999999972</v>
      </c>
      <c r="BM218" s="496" t="s">
        <v>1169</v>
      </c>
      <c r="BN218" s="496" t="s">
        <v>1170</v>
      </c>
      <c r="BO218" s="496">
        <f>SUM(BO216:BO217)</f>
        <v>0</v>
      </c>
      <c r="BP218" s="445"/>
      <c r="BQ218" s="445"/>
      <c r="BR218" s="445"/>
      <c r="BS218" s="445"/>
      <c r="BT218" s="524" t="s">
        <v>723</v>
      </c>
      <c r="BU218" s="512"/>
      <c r="BV218" s="512"/>
      <c r="BW218" s="512"/>
      <c r="BX218" s="512"/>
      <c r="BY218" s="512"/>
      <c r="BZ218" s="512"/>
      <c r="CA218" s="512"/>
      <c r="CB218" s="512"/>
      <c r="CC218" s="512"/>
      <c r="CD218" s="512"/>
      <c r="CE218" s="512"/>
      <c r="CF218" s="512"/>
      <c r="CG218" s="512"/>
    </row>
    <row r="219" spans="1:85" s="449" customFormat="1" ht="22.5">
      <c r="A219" s="546">
        <v>62006035</v>
      </c>
      <c r="B219" s="543" t="s">
        <v>838</v>
      </c>
      <c r="C219" s="543" t="s">
        <v>695</v>
      </c>
      <c r="D219" s="521" t="s">
        <v>763</v>
      </c>
      <c r="E219" s="513" t="s">
        <v>986</v>
      </c>
      <c r="F219" s="536" t="str">
        <f t="shared" si="96"/>
        <v>06/12/20</v>
      </c>
      <c r="G219" s="524" t="s">
        <v>987</v>
      </c>
      <c r="H219" s="524" t="s">
        <v>708</v>
      </c>
      <c r="I219" s="532"/>
      <c r="J219" s="531">
        <v>26.403262999999999</v>
      </c>
      <c r="K219" s="531">
        <v>35.054687000000001</v>
      </c>
      <c r="L219" s="531">
        <v>29.495369</v>
      </c>
      <c r="M219" s="531">
        <v>33.852080000000001</v>
      </c>
      <c r="N219" s="528">
        <v>4250</v>
      </c>
      <c r="O219" s="528">
        <v>38.71</v>
      </c>
      <c r="P219" s="528">
        <v>3.0499999999999999E-2</v>
      </c>
      <c r="Q219" s="528">
        <v>1.4999999999999999E-2</v>
      </c>
      <c r="R219" s="529">
        <v>27.24736764</v>
      </c>
      <c r="S219" s="529">
        <f>R219+S218</f>
        <v>348.46995393999998</v>
      </c>
      <c r="T219" s="544">
        <v>11.9</v>
      </c>
      <c r="U219" s="544">
        <v>2.2999999999999998</v>
      </c>
      <c r="V219" s="530">
        <v>70076</v>
      </c>
      <c r="W219" s="530">
        <v>76123</v>
      </c>
      <c r="X219" s="530">
        <f>W219-V219</f>
        <v>6047</v>
      </c>
      <c r="Y219" s="530">
        <f t="shared" si="119"/>
        <v>221.92969537074885</v>
      </c>
      <c r="Z219" s="534">
        <v>70153</v>
      </c>
      <c r="AA219" s="530">
        <v>76203</v>
      </c>
      <c r="AB219" s="530">
        <f>AA219-Z219</f>
        <v>6050</v>
      </c>
      <c r="AC219" s="533">
        <f t="shared" si="120"/>
        <v>222.03979774979834</v>
      </c>
      <c r="AD219" s="534">
        <v>265</v>
      </c>
      <c r="AE219" s="530">
        <v>266</v>
      </c>
      <c r="AF219" s="530">
        <f>AE219-AD219</f>
        <v>1</v>
      </c>
      <c r="AG219" s="533">
        <f t="shared" si="121"/>
        <v>3.6700793016495592E-2</v>
      </c>
      <c r="AH219" s="534">
        <v>67256</v>
      </c>
      <c r="AI219" s="530">
        <v>73151</v>
      </c>
      <c r="AJ219" s="530">
        <f>AI219-AH219</f>
        <v>5895</v>
      </c>
      <c r="AK219" s="533">
        <f t="shared" si="122"/>
        <v>216.35117483224153</v>
      </c>
      <c r="AL219" s="534">
        <v>2476.4</v>
      </c>
      <c r="AM219" s="530">
        <v>2620.8000000000002</v>
      </c>
      <c r="AN219" s="530">
        <f>AM219-AL219</f>
        <v>144.40000000000009</v>
      </c>
      <c r="AO219" s="533">
        <f t="shared" si="123"/>
        <v>5.2995945115819669</v>
      </c>
      <c r="AP219" s="534">
        <v>2002.2296160000001</v>
      </c>
      <c r="AQ219" s="530">
        <v>2121.34</v>
      </c>
      <c r="AR219" s="530">
        <f>AQ219-AP219</f>
        <v>119.11038400000007</v>
      </c>
      <c r="AS219" s="533">
        <f t="shared" si="124"/>
        <v>4.3714455492993105</v>
      </c>
      <c r="AT219" s="534">
        <v>5</v>
      </c>
      <c r="AU219" s="530">
        <v>5.0999999999999996</v>
      </c>
      <c r="AV219" s="530">
        <f>AU219-AT219</f>
        <v>9.9999999999999645E-2</v>
      </c>
      <c r="AW219" s="533">
        <f t="shared" si="125"/>
        <v>3.6700793016495462E-3</v>
      </c>
      <c r="AX219" s="534">
        <v>13.6</v>
      </c>
      <c r="AY219" s="530">
        <v>14.1</v>
      </c>
      <c r="AZ219" s="530">
        <f>AY219-AX219</f>
        <v>0.5</v>
      </c>
      <c r="BA219" s="533">
        <f t="shared" si="126"/>
        <v>1.8350396508247796E-2</v>
      </c>
      <c r="BB219" s="534">
        <v>-16.420000000000002</v>
      </c>
      <c r="BC219" s="530">
        <v>-16.88</v>
      </c>
      <c r="BD219" s="530">
        <f>BC219-BB219</f>
        <v>-0.4599999999999973</v>
      </c>
      <c r="BE219" s="530">
        <v>-1.055839</v>
      </c>
      <c r="BF219" s="533">
        <f t="shared" si="127"/>
        <v>-1.6882364787587874E-2</v>
      </c>
      <c r="BG219" s="527">
        <v>11.9</v>
      </c>
      <c r="BH219" s="527">
        <v>2.2999999999999998</v>
      </c>
      <c r="BI219" s="527">
        <f>BH219-BG219</f>
        <v>-9.6000000000000014</v>
      </c>
      <c r="BJ219" s="545">
        <v>25.2</v>
      </c>
      <c r="BK219" s="545">
        <v>26.7</v>
      </c>
      <c r="BL219" s="545">
        <f>BK219-BJ219</f>
        <v>1.5</v>
      </c>
      <c r="BM219" s="545">
        <v>0</v>
      </c>
      <c r="BN219" s="545">
        <v>0</v>
      </c>
      <c r="BO219" s="545">
        <f>BN219-BM219</f>
        <v>0</v>
      </c>
      <c r="BP219" s="527"/>
      <c r="BQ219" s="527"/>
      <c r="BR219" s="527"/>
      <c r="BS219" s="527"/>
      <c r="BT219" s="524" t="s">
        <v>723</v>
      </c>
      <c r="BU219" s="512">
        <v>80.994512610000001</v>
      </c>
      <c r="BV219" s="512">
        <v>10.896052470000001</v>
      </c>
      <c r="BW219" s="512">
        <v>644.47462685999994</v>
      </c>
      <c r="BX219" s="512">
        <v>581.15200000000004</v>
      </c>
      <c r="BY219" s="512">
        <v>20.818271249999999</v>
      </c>
      <c r="BZ219" s="512">
        <v>21.597499429999999</v>
      </c>
      <c r="CA219" s="512">
        <v>-2.6050644799999998</v>
      </c>
      <c r="CB219" s="512">
        <v>27.247381010000002</v>
      </c>
      <c r="CC219" s="512">
        <v>27.9761785</v>
      </c>
      <c r="CD219" s="512">
        <v>-1.0404292900000001</v>
      </c>
      <c r="CE219" s="512">
        <v>-3.6079555399999998</v>
      </c>
      <c r="CF219" s="512">
        <v>3.824847E-2</v>
      </c>
      <c r="CG219" s="512"/>
    </row>
    <row r="220" spans="1:85" s="449" customFormat="1" ht="22.5">
      <c r="A220" s="546">
        <v>62006036</v>
      </c>
      <c r="B220" s="543" t="s">
        <v>907</v>
      </c>
      <c r="C220" s="543" t="s">
        <v>695</v>
      </c>
      <c r="D220" s="521" t="s">
        <v>970</v>
      </c>
      <c r="E220" s="513" t="s">
        <v>988</v>
      </c>
      <c r="F220" s="536" t="str">
        <f t="shared" si="96"/>
        <v>06/12/20</v>
      </c>
      <c r="G220" s="524" t="s">
        <v>989</v>
      </c>
      <c r="H220" s="524" t="s">
        <v>708</v>
      </c>
      <c r="I220" s="532"/>
      <c r="J220" s="531">
        <v>-42.315147000000003</v>
      </c>
      <c r="K220" s="531">
        <v>-89.602777000000003</v>
      </c>
      <c r="L220" s="531">
        <v>-57.067430999999999</v>
      </c>
      <c r="M220" s="531">
        <v>-43.218656000000003</v>
      </c>
      <c r="N220" s="528">
        <v>4250</v>
      </c>
      <c r="O220" s="528">
        <v>38.71</v>
      </c>
      <c r="P220" s="528">
        <v>3.0499999999999999E-2</v>
      </c>
      <c r="Q220" s="528">
        <v>1.4999999999999999E-2</v>
      </c>
      <c r="R220" s="529"/>
      <c r="S220" s="529"/>
      <c r="T220" s="544"/>
      <c r="U220" s="544"/>
      <c r="V220" s="530">
        <v>76125</v>
      </c>
      <c r="W220" s="530">
        <v>-2861</v>
      </c>
      <c r="X220" s="530">
        <f>W220-V220</f>
        <v>-78986</v>
      </c>
      <c r="Y220" s="530" t="e">
        <f t="shared" si="119"/>
        <v>#DIV/0!</v>
      </c>
      <c r="Z220" s="534">
        <v>76204</v>
      </c>
      <c r="AA220" s="530">
        <v>-2797</v>
      </c>
      <c r="AB220" s="530">
        <f>AA220-Z220</f>
        <v>-79001</v>
      </c>
      <c r="AC220" s="533" t="e">
        <f t="shared" si="120"/>
        <v>#DIV/0!</v>
      </c>
      <c r="AD220" s="534">
        <v>266</v>
      </c>
      <c r="AE220" s="530">
        <v>264</v>
      </c>
      <c r="AF220" s="530">
        <f>AE220-AD220</f>
        <v>-2</v>
      </c>
      <c r="AG220" s="533" t="e">
        <f t="shared" si="121"/>
        <v>#DIV/0!</v>
      </c>
      <c r="AH220" s="534">
        <v>73151</v>
      </c>
      <c r="AI220" s="530">
        <v>73178</v>
      </c>
      <c r="AJ220" s="530">
        <f>AI220-AH220</f>
        <v>27</v>
      </c>
      <c r="AK220" s="533" t="e">
        <f t="shared" si="122"/>
        <v>#DIV/0!</v>
      </c>
      <c r="AL220" s="534">
        <v>2622.1</v>
      </c>
      <c r="AM220" s="530">
        <v>-76420.2</v>
      </c>
      <c r="AN220" s="530">
        <f>AM220-AL220</f>
        <v>-79042.3</v>
      </c>
      <c r="AO220" s="533" t="e">
        <f t="shared" si="123"/>
        <v>#DIV/0!</v>
      </c>
      <c r="AP220" s="534">
        <v>2122.08</v>
      </c>
      <c r="AQ220" s="530">
        <v>2725.04</v>
      </c>
      <c r="AR220" s="530">
        <f>AQ220-AP220</f>
        <v>602.96</v>
      </c>
      <c r="AS220" s="533" t="e">
        <f t="shared" si="124"/>
        <v>#DIV/0!</v>
      </c>
      <c r="AT220" s="534">
        <v>5.0999999999999996</v>
      </c>
      <c r="AU220" s="530">
        <v>0.6</v>
      </c>
      <c r="AV220" s="530">
        <f>AU220-AT220</f>
        <v>-4.5</v>
      </c>
      <c r="AW220" s="533" t="e">
        <f t="shared" si="125"/>
        <v>#DIV/0!</v>
      </c>
      <c r="AX220" s="534">
        <v>14.2</v>
      </c>
      <c r="AY220" s="530">
        <v>23.1</v>
      </c>
      <c r="AZ220" s="530">
        <f>AY220-AX220</f>
        <v>8.9000000000000021</v>
      </c>
      <c r="BA220" s="533" t="e">
        <f t="shared" si="126"/>
        <v>#DIV/0!</v>
      </c>
      <c r="BB220" s="534">
        <v>-6.1883520000000001</v>
      </c>
      <c r="BC220" s="530">
        <v>-30.8</v>
      </c>
      <c r="BD220" s="530">
        <f>BC220-BB220</f>
        <v>-24.611648000000002</v>
      </c>
      <c r="BE220" s="530">
        <v>3.9275899999999999</v>
      </c>
      <c r="BF220" s="533" t="e">
        <f t="shared" si="127"/>
        <v>#DIV/0!</v>
      </c>
      <c r="BG220" s="527" t="s">
        <v>1171</v>
      </c>
      <c r="BH220" s="527" t="s">
        <v>1172</v>
      </c>
      <c r="BI220" s="527" t="e">
        <f>BH220-BG220</f>
        <v>#VALUE!</v>
      </c>
      <c r="BJ220" s="545">
        <v>27</v>
      </c>
      <c r="BK220" s="545">
        <v>85781.6</v>
      </c>
      <c r="BL220" s="545">
        <f>BK220-BJ220</f>
        <v>85754.6</v>
      </c>
      <c r="BM220" s="545">
        <v>0</v>
      </c>
      <c r="BN220" s="545">
        <v>-85208.6</v>
      </c>
      <c r="BO220" s="545">
        <f>BN220-BM220</f>
        <v>-85208.6</v>
      </c>
      <c r="BP220" s="527"/>
      <c r="BQ220" s="527"/>
      <c r="BR220" s="527"/>
      <c r="BS220" s="527"/>
      <c r="BT220" s="524"/>
      <c r="BU220" s="512"/>
      <c r="BV220" s="512"/>
      <c r="BW220" s="512"/>
      <c r="BX220" s="512"/>
      <c r="BY220" s="512"/>
      <c r="BZ220" s="512"/>
      <c r="CA220" s="512"/>
      <c r="CB220" s="512"/>
      <c r="CC220" s="512"/>
      <c r="CD220" s="512"/>
      <c r="CE220" s="512"/>
      <c r="CF220" s="512"/>
      <c r="CG220" s="512"/>
    </row>
    <row r="221" spans="1:85" s="520" customFormat="1" ht="15.75">
      <c r="A221" s="535" t="s">
        <v>1249</v>
      </c>
      <c r="B221" s="537"/>
      <c r="C221" s="537"/>
      <c r="D221" s="538"/>
      <c r="E221" s="537"/>
      <c r="F221" s="537"/>
      <c r="G221" s="538"/>
      <c r="H221" s="538"/>
      <c r="I221" s="538"/>
      <c r="J221" s="538"/>
      <c r="K221" s="538"/>
      <c r="L221" s="538"/>
      <c r="M221" s="538"/>
      <c r="N221" s="538"/>
      <c r="O221" s="538"/>
      <c r="P221" s="539"/>
      <c r="Q221" s="540"/>
      <c r="R221" s="537"/>
      <c r="S221" s="537"/>
      <c r="T221" s="537"/>
      <c r="U221" s="537"/>
      <c r="V221" s="537"/>
      <c r="W221" s="537"/>
      <c r="X221" s="537"/>
      <c r="Y221" s="537"/>
      <c r="Z221" s="537"/>
      <c r="AA221" s="537"/>
      <c r="AB221" s="537"/>
      <c r="AC221" s="537"/>
      <c r="AD221" s="537"/>
      <c r="AE221" s="537"/>
      <c r="AF221" s="537"/>
      <c r="AG221" s="537"/>
      <c r="AH221" s="537"/>
      <c r="AI221" s="537"/>
      <c r="AJ221" s="537"/>
      <c r="AK221" s="537"/>
      <c r="AL221" s="537"/>
      <c r="AM221" s="537"/>
      <c r="AN221" s="537"/>
      <c r="AO221" s="537"/>
      <c r="AP221" s="537"/>
      <c r="AQ221" s="537"/>
      <c r="AR221" s="537"/>
      <c r="AS221" s="537"/>
      <c r="AT221" s="537"/>
      <c r="AU221" s="537"/>
      <c r="AV221" s="537"/>
      <c r="AW221" s="537"/>
      <c r="AX221" s="537"/>
      <c r="AY221" s="537"/>
      <c r="AZ221" s="537"/>
      <c r="BA221" s="537"/>
      <c r="BB221" s="537"/>
      <c r="BC221" s="537"/>
      <c r="BD221" s="537"/>
      <c r="BE221" s="537"/>
      <c r="BF221" s="537"/>
      <c r="BG221" s="537"/>
      <c r="BH221" s="537"/>
      <c r="BI221" s="537"/>
      <c r="BJ221" s="537"/>
      <c r="BK221" s="537"/>
      <c r="BL221" s="537"/>
      <c r="BM221" s="537"/>
      <c r="BN221" s="537"/>
      <c r="BO221" s="537"/>
      <c r="BP221" s="537"/>
      <c r="BQ221" s="537"/>
      <c r="BR221" s="537"/>
      <c r="BS221" s="537"/>
      <c r="BT221" s="537"/>
      <c r="BU221" s="537"/>
      <c r="BV221" s="537"/>
      <c r="BW221" s="537"/>
      <c r="BX221" s="537"/>
      <c r="BY221" s="537"/>
      <c r="BZ221" s="537"/>
      <c r="CA221" s="537"/>
      <c r="CB221" s="537"/>
      <c r="CC221" s="537"/>
      <c r="CD221" s="537"/>
      <c r="CE221" s="537"/>
      <c r="CF221" s="542"/>
      <c r="CG221" s="541"/>
    </row>
    <row r="222" spans="1:85" s="519" customFormat="1">
      <c r="A222" s="551">
        <v>62006037</v>
      </c>
      <c r="B222" s="550" t="s">
        <v>832</v>
      </c>
      <c r="C222" s="550" t="s">
        <v>695</v>
      </c>
      <c r="D222" s="552" t="s">
        <v>995</v>
      </c>
      <c r="E222" s="553" t="s">
        <v>996</v>
      </c>
      <c r="F222" s="536" t="str">
        <f t="shared" si="96"/>
        <v>06/15/20</v>
      </c>
      <c r="G222" s="555" t="s">
        <v>997</v>
      </c>
      <c r="H222" s="555" t="s">
        <v>998</v>
      </c>
      <c r="I222" s="532"/>
      <c r="J222" s="531">
        <v>22.739063000000002</v>
      </c>
      <c r="K222" s="531">
        <v>42.076394999999998</v>
      </c>
      <c r="L222" s="531">
        <v>29.645709</v>
      </c>
      <c r="M222" s="531">
        <v>25.731399</v>
      </c>
      <c r="N222" s="528">
        <v>4250</v>
      </c>
      <c r="O222" s="528">
        <v>38.71</v>
      </c>
      <c r="P222" s="528">
        <v>3.0499999999999999E-2</v>
      </c>
      <c r="Q222" s="528">
        <v>1.4999999999999999E-2</v>
      </c>
      <c r="R222" s="529">
        <v>3.59526367</v>
      </c>
      <c r="S222" s="529">
        <f>R222+R221</f>
        <v>3.59526367</v>
      </c>
      <c r="T222" s="544">
        <v>99.3</v>
      </c>
      <c r="U222" s="544">
        <v>98.4</v>
      </c>
      <c r="V222" s="530">
        <v>32</v>
      </c>
      <c r="W222" s="530">
        <v>840</v>
      </c>
      <c r="X222" s="530">
        <f>W222-V222</f>
        <v>808</v>
      </c>
      <c r="Y222" s="530">
        <f t="shared" ref="Y222:Y242" si="128">X222/$R222</f>
        <v>224.74012316320599</v>
      </c>
      <c r="Z222" s="534">
        <v>32</v>
      </c>
      <c r="AA222" s="530">
        <v>840</v>
      </c>
      <c r="AB222" s="530">
        <f>AA222-Z222</f>
        <v>808</v>
      </c>
      <c r="AC222" s="533">
        <f t="shared" ref="AC222:AC242" si="129">AB222/$R222</f>
        <v>224.74012316320599</v>
      </c>
      <c r="AD222" s="534">
        <v>0</v>
      </c>
      <c r="AE222" s="530">
        <v>37</v>
      </c>
      <c r="AF222" s="530">
        <f>AE222-AD222</f>
        <v>37</v>
      </c>
      <c r="AG222" s="533">
        <f t="shared" ref="AG222:AG242" si="130">AF222/$R222</f>
        <v>10.291317521087404</v>
      </c>
      <c r="AH222" s="534">
        <v>1</v>
      </c>
      <c r="AI222" s="530">
        <v>712</v>
      </c>
      <c r="AJ222" s="530">
        <f>AI222-AH222</f>
        <v>711</v>
      </c>
      <c r="AK222" s="533">
        <f t="shared" ref="AK222:AK242" si="131">AJ222/$R222</f>
        <v>197.76018263494984</v>
      </c>
      <c r="AL222" s="534">
        <v>30.8</v>
      </c>
      <c r="AM222" s="530">
        <v>89.4</v>
      </c>
      <c r="AN222" s="530">
        <f>AM222-AL222</f>
        <v>58.600000000000009</v>
      </c>
      <c r="AO222" s="533">
        <f t="shared" ref="AO222:AO242" si="132">AN222/$R222</f>
        <v>16.299221803668161</v>
      </c>
      <c r="AP222" s="534">
        <v>20.855801</v>
      </c>
      <c r="AQ222" s="530">
        <v>68.365465999999998</v>
      </c>
      <c r="AR222" s="530">
        <f>AQ222-AP222</f>
        <v>47.509664999999998</v>
      </c>
      <c r="AS222" s="533">
        <f t="shared" ref="AS222:AS242" si="133">AR222/$R222</f>
        <v>13.214514806364674</v>
      </c>
      <c r="AT222" s="534">
        <v>0.1</v>
      </c>
      <c r="AU222" s="530">
        <v>0.3</v>
      </c>
      <c r="AV222" s="530">
        <f>AU222-AT222</f>
        <v>0.19999999999999998</v>
      </c>
      <c r="AW222" s="533">
        <f t="shared" ref="AW222:AW242" si="134">AV222/$R222</f>
        <v>5.5628743357229199E-2</v>
      </c>
      <c r="AX222" s="534">
        <v>0.4</v>
      </c>
      <c r="AY222" s="530">
        <v>0.7</v>
      </c>
      <c r="AZ222" s="530">
        <f>AY222-AX222</f>
        <v>0.29999999999999993</v>
      </c>
      <c r="BA222" s="533">
        <f t="shared" ref="BA222:BA242" si="135">AZ222/$R222</f>
        <v>8.3443115035843798E-2</v>
      </c>
      <c r="BB222" s="534">
        <v>-2.4</v>
      </c>
      <c r="BC222" s="530">
        <v>-4.3899999999999997</v>
      </c>
      <c r="BD222" s="530">
        <f>BC222-BB222</f>
        <v>-1.9899999999999998</v>
      </c>
      <c r="BE222" s="530">
        <v>-14.102247</v>
      </c>
      <c r="BF222" s="533">
        <f t="shared" ref="BF222:BF242" si="136">BD222/$R222</f>
        <v>-0.55350599640443054</v>
      </c>
      <c r="BG222" s="527">
        <v>99.3</v>
      </c>
      <c r="BH222" s="527">
        <v>98.4</v>
      </c>
      <c r="BI222" s="527">
        <f>BH222-BG222</f>
        <v>-0.89999999999999147</v>
      </c>
      <c r="BJ222" s="545">
        <v>2.2999999999999998</v>
      </c>
      <c r="BK222" s="545">
        <v>2.8</v>
      </c>
      <c r="BL222" s="545">
        <f>BK222-BJ222</f>
        <v>0.5</v>
      </c>
      <c r="BM222" s="545">
        <v>0</v>
      </c>
      <c r="BN222" s="545">
        <v>0</v>
      </c>
      <c r="BO222" s="545">
        <f>BN222-BM222</f>
        <v>0</v>
      </c>
      <c r="BP222" s="527"/>
      <c r="BQ222" s="527"/>
      <c r="BR222" s="527"/>
      <c r="BS222" s="527"/>
      <c r="BT222" s="524" t="s">
        <v>723</v>
      </c>
      <c r="BU222" s="512">
        <v>2373.2442267000001</v>
      </c>
      <c r="BV222" s="512">
        <v>-0.48892932</v>
      </c>
      <c r="BW222" s="512">
        <v>2038.8295871</v>
      </c>
      <c r="BX222" s="512">
        <v>2048.8470007999999</v>
      </c>
      <c r="BY222" s="512">
        <v>3.0302409699999999</v>
      </c>
      <c r="BZ222" s="512">
        <v>3.0319663399999999</v>
      </c>
      <c r="CA222" s="512">
        <v>0.11190087999999999</v>
      </c>
      <c r="CB222" s="512">
        <v>3.5949975099999998</v>
      </c>
      <c r="CC222" s="512">
        <v>3.5909791700000002</v>
      </c>
      <c r="CD222" s="512">
        <v>-0.16890287000000001</v>
      </c>
      <c r="CE222" s="512">
        <v>-5.6905879999999999E-2</v>
      </c>
      <c r="CF222" s="512">
        <v>0.63451721000000005</v>
      </c>
      <c r="CG222" s="512"/>
    </row>
    <row r="223" spans="1:85" s="519" customFormat="1">
      <c r="A223" s="551">
        <v>62006037</v>
      </c>
      <c r="B223" s="550" t="s">
        <v>831</v>
      </c>
      <c r="C223" s="550" t="s">
        <v>696</v>
      </c>
      <c r="D223" s="552" t="s">
        <v>995</v>
      </c>
      <c r="E223" s="553" t="s">
        <v>996</v>
      </c>
      <c r="F223" s="536" t="str">
        <f t="shared" si="96"/>
        <v>06/15/20</v>
      </c>
      <c r="G223" s="555" t="s">
        <v>997</v>
      </c>
      <c r="H223" s="555" t="s">
        <v>998</v>
      </c>
      <c r="I223" s="532"/>
      <c r="J223" s="531">
        <v>21.765951999999999</v>
      </c>
      <c r="K223" s="531">
        <v>46.395265999999999</v>
      </c>
      <c r="L223" s="531">
        <v>29.646104999999999</v>
      </c>
      <c r="M223" s="531">
        <v>28.563517999999998</v>
      </c>
      <c r="N223" s="528">
        <v>4250</v>
      </c>
      <c r="O223" s="528">
        <v>38.71</v>
      </c>
      <c r="P223" s="528">
        <v>3.0499999999999999E-2</v>
      </c>
      <c r="Q223" s="528">
        <v>1.4999999999999999E-2</v>
      </c>
      <c r="R223" s="529">
        <v>3.8619003099999998</v>
      </c>
      <c r="S223" s="529">
        <f>R223+R222</f>
        <v>7.4571639799999998</v>
      </c>
      <c r="T223" s="544">
        <v>98.4</v>
      </c>
      <c r="U223" s="544">
        <v>97.6</v>
      </c>
      <c r="V223" s="530">
        <v>840</v>
      </c>
      <c r="W223" s="530">
        <v>1523</v>
      </c>
      <c r="X223" s="530">
        <f>W223-V223</f>
        <v>683</v>
      </c>
      <c r="Y223" s="530">
        <f t="shared" si="128"/>
        <v>176.85593753713442</v>
      </c>
      <c r="Z223" s="534">
        <v>840</v>
      </c>
      <c r="AA223" s="530">
        <v>1523</v>
      </c>
      <c r="AB223" s="530">
        <f>AA223-Z223</f>
        <v>683</v>
      </c>
      <c r="AC223" s="533">
        <f t="shared" si="129"/>
        <v>176.85593753713442</v>
      </c>
      <c r="AD223" s="534">
        <v>37</v>
      </c>
      <c r="AE223" s="530">
        <v>65</v>
      </c>
      <c r="AF223" s="530">
        <f>AE223-AD223</f>
        <v>28</v>
      </c>
      <c r="AG223" s="533">
        <f t="shared" si="130"/>
        <v>7.2503166193847202</v>
      </c>
      <c r="AH223" s="534">
        <v>712</v>
      </c>
      <c r="AI223" s="530">
        <v>1268</v>
      </c>
      <c r="AJ223" s="530">
        <f>AI223-AH223</f>
        <v>556</v>
      </c>
      <c r="AK223" s="533">
        <f t="shared" si="131"/>
        <v>143.97057287063944</v>
      </c>
      <c r="AL223" s="534">
        <v>89.4</v>
      </c>
      <c r="AM223" s="530">
        <v>187.9</v>
      </c>
      <c r="AN223" s="530">
        <f>AM223-AL223</f>
        <v>98.5</v>
      </c>
      <c r="AO223" s="533">
        <f t="shared" si="132"/>
        <v>25.505578107478389</v>
      </c>
      <c r="AP223" s="534">
        <v>68.385467000000006</v>
      </c>
      <c r="AQ223" s="530">
        <v>147.86000000000001</v>
      </c>
      <c r="AR223" s="530">
        <f>AQ223-AP223</f>
        <v>79.474533000000008</v>
      </c>
      <c r="AS223" s="533">
        <f t="shared" si="133"/>
        <v>20.579125979562122</v>
      </c>
      <c r="AT223" s="534">
        <v>0.3</v>
      </c>
      <c r="AU223" s="530">
        <v>0.5</v>
      </c>
      <c r="AV223" s="530">
        <f>AU223-AT223</f>
        <v>0.2</v>
      </c>
      <c r="AW223" s="533">
        <f t="shared" si="134"/>
        <v>5.1787975852748004E-2</v>
      </c>
      <c r="AX223" s="534">
        <v>0.7</v>
      </c>
      <c r="AY223" s="530">
        <v>1.3</v>
      </c>
      <c r="AZ223" s="530">
        <f>AY223-AX223</f>
        <v>0.60000000000000009</v>
      </c>
      <c r="BA223" s="533">
        <f t="shared" si="135"/>
        <v>0.15536392755824402</v>
      </c>
      <c r="BB223" s="534">
        <v>-4.3899999999999997</v>
      </c>
      <c r="BC223" s="530">
        <v>-7</v>
      </c>
      <c r="BD223" s="530">
        <f>BC223-BB223</f>
        <v>-2.6100000000000003</v>
      </c>
      <c r="BE223" s="530">
        <v>-10.889167</v>
      </c>
      <c r="BF223" s="533">
        <f t="shared" si="136"/>
        <v>-0.67583308487836147</v>
      </c>
      <c r="BG223" s="527">
        <v>98.4</v>
      </c>
      <c r="BH223" s="527">
        <v>97.6</v>
      </c>
      <c r="BI223" s="527">
        <f>BH223-BG223</f>
        <v>-0.80000000000001137</v>
      </c>
      <c r="BJ223" s="545">
        <v>2.8</v>
      </c>
      <c r="BK223" s="545">
        <v>3.7</v>
      </c>
      <c r="BL223" s="545">
        <f>BK223-BJ223</f>
        <v>0.90000000000000036</v>
      </c>
      <c r="BM223" s="545">
        <v>0</v>
      </c>
      <c r="BN223" s="545">
        <v>0</v>
      </c>
      <c r="BO223" s="545">
        <f>BN223-BM223</f>
        <v>0</v>
      </c>
      <c r="BP223" s="527"/>
      <c r="BQ223" s="527"/>
      <c r="BR223" s="527"/>
      <c r="BS223" s="527"/>
      <c r="BT223" s="524" t="s">
        <v>723</v>
      </c>
      <c r="BU223" s="512">
        <v>1443.57756791</v>
      </c>
      <c r="BV223" s="512">
        <v>-1.2060898900000001</v>
      </c>
      <c r="BW223" s="512">
        <v>3374.96366597</v>
      </c>
      <c r="BX223" s="512">
        <v>3416.16569506</v>
      </c>
      <c r="BY223" s="512">
        <v>2.9779239500000001</v>
      </c>
      <c r="BZ223" s="512">
        <v>2.99526607</v>
      </c>
      <c r="CA223" s="512">
        <v>5.451578E-2</v>
      </c>
      <c r="CB223" s="512">
        <v>3.8619336199999998</v>
      </c>
      <c r="CC223" s="512">
        <v>3.8598294100000001</v>
      </c>
      <c r="CD223" s="512">
        <v>-0.63718918000000002</v>
      </c>
      <c r="CE223" s="512">
        <v>-0.57898417000000002</v>
      </c>
      <c r="CF223" s="512">
        <v>0.72008894000000001</v>
      </c>
      <c r="CG223" s="512"/>
    </row>
    <row r="224" spans="1:85" s="519" customFormat="1">
      <c r="A224" s="551">
        <v>62006037</v>
      </c>
      <c r="B224" s="550" t="s">
        <v>830</v>
      </c>
      <c r="C224" s="550" t="s">
        <v>698</v>
      </c>
      <c r="D224" s="552" t="s">
        <v>995</v>
      </c>
      <c r="E224" s="553" t="s">
        <v>996</v>
      </c>
      <c r="F224" s="536" t="str">
        <f t="shared" si="96"/>
        <v>06/15/20</v>
      </c>
      <c r="G224" s="555" t="s">
        <v>997</v>
      </c>
      <c r="H224" s="555" t="s">
        <v>998</v>
      </c>
      <c r="I224" s="532"/>
      <c r="J224" s="468">
        <f>AVERAGE(J222:J223)</f>
        <v>22.2525075</v>
      </c>
      <c r="K224" s="468">
        <f>AVERAGE(K222:K223)</f>
        <v>44.235830499999999</v>
      </c>
      <c r="L224" s="468">
        <f>AVERAGE(L222:L223)</f>
        <v>29.645907000000001</v>
      </c>
      <c r="M224" s="468">
        <f>AVERAGE(M222:M223)</f>
        <v>27.147458499999999</v>
      </c>
      <c r="N224" s="452"/>
      <c r="O224" s="528"/>
      <c r="P224" s="470"/>
      <c r="Q224" s="469"/>
      <c r="R224" s="453">
        <f>R223+R222</f>
        <v>7.4571639799999998</v>
      </c>
      <c r="S224" s="453">
        <f>S223</f>
        <v>7.4571639799999998</v>
      </c>
      <c r="T224" s="493">
        <f>T222</f>
        <v>99.3</v>
      </c>
      <c r="U224" s="493">
        <f>U223</f>
        <v>97.6</v>
      </c>
      <c r="V224" s="456">
        <f>V222</f>
        <v>32</v>
      </c>
      <c r="W224" s="456">
        <f>W223</f>
        <v>1523</v>
      </c>
      <c r="X224" s="456">
        <f>SUM(X222:X223)</f>
        <v>1491</v>
      </c>
      <c r="Y224" s="456">
        <f t="shared" si="128"/>
        <v>199.94196238661766</v>
      </c>
      <c r="Z224" s="456">
        <f>Z222</f>
        <v>32</v>
      </c>
      <c r="AA224" s="456">
        <f>AA223</f>
        <v>1523</v>
      </c>
      <c r="AB224" s="456">
        <f>SUM(AB222:AB223)</f>
        <v>1491</v>
      </c>
      <c r="AC224" s="454">
        <f t="shared" si="129"/>
        <v>199.94196238661766</v>
      </c>
      <c r="AD224" s="456">
        <f>AD222</f>
        <v>0</v>
      </c>
      <c r="AE224" s="456">
        <f>AE223</f>
        <v>65</v>
      </c>
      <c r="AF224" s="456">
        <f>SUM(AF222:AF223)</f>
        <v>65</v>
      </c>
      <c r="AG224" s="454">
        <f t="shared" si="130"/>
        <v>8.7164504058552303</v>
      </c>
      <c r="AH224" s="456">
        <f>AH222</f>
        <v>1</v>
      </c>
      <c r="AI224" s="456">
        <f>AI223</f>
        <v>1268</v>
      </c>
      <c r="AJ224" s="456">
        <f>SUM(AJ222:AJ223)</f>
        <v>1267</v>
      </c>
      <c r="AK224" s="454">
        <f t="shared" si="131"/>
        <v>169.90373329567041</v>
      </c>
      <c r="AL224" s="456">
        <f>AL222</f>
        <v>30.8</v>
      </c>
      <c r="AM224" s="456">
        <f>AM223</f>
        <v>187.9</v>
      </c>
      <c r="AN224" s="456">
        <f>SUM(AN222:AN223)</f>
        <v>157.10000000000002</v>
      </c>
      <c r="AO224" s="454">
        <f t="shared" si="132"/>
        <v>21.066990134767028</v>
      </c>
      <c r="AP224" s="456">
        <f>AP222</f>
        <v>20.855801</v>
      </c>
      <c r="AQ224" s="456">
        <f>AQ223</f>
        <v>147.86000000000001</v>
      </c>
      <c r="AR224" s="456">
        <f>SUM(AR222:AR223)</f>
        <v>126.98419800000001</v>
      </c>
      <c r="AS224" s="454">
        <f t="shared" si="133"/>
        <v>17.028484064527706</v>
      </c>
      <c r="AT224" s="456">
        <f>AT222</f>
        <v>0.1</v>
      </c>
      <c r="AU224" s="456">
        <f>AU223</f>
        <v>0.5</v>
      </c>
      <c r="AV224" s="456">
        <f>SUM(AV222:AV223)</f>
        <v>0.4</v>
      </c>
      <c r="AW224" s="454">
        <f t="shared" si="134"/>
        <v>5.3639694805262955E-2</v>
      </c>
      <c r="AX224" s="456">
        <f>AX222</f>
        <v>0.4</v>
      </c>
      <c r="AY224" s="456">
        <f>AY223</f>
        <v>1.3</v>
      </c>
      <c r="AZ224" s="456">
        <f>SUM(AZ222:AZ223)</f>
        <v>0.9</v>
      </c>
      <c r="BA224" s="454">
        <f t="shared" si="135"/>
        <v>0.12068931331184164</v>
      </c>
      <c r="BB224" s="456">
        <f>BB222</f>
        <v>-2.4</v>
      </c>
      <c r="BC224" s="456">
        <f>BC223</f>
        <v>-7</v>
      </c>
      <c r="BD224" s="456">
        <f>SUM(BD222:BD223)</f>
        <v>-4.5999999999999996</v>
      </c>
      <c r="BE224" s="530">
        <f>AVERAGE(BE222:BE223)</f>
        <v>-12.495706999999999</v>
      </c>
      <c r="BF224" s="454">
        <f t="shared" si="136"/>
        <v>-0.61685649026052392</v>
      </c>
      <c r="BG224" s="445"/>
      <c r="BH224" s="445"/>
      <c r="BI224" s="445">
        <f>SUM(BI222:BI223)</f>
        <v>-1.7000000000000028</v>
      </c>
      <c r="BJ224" s="496" t="s">
        <v>1173</v>
      </c>
      <c r="BK224" s="496" t="s">
        <v>1174</v>
      </c>
      <c r="BL224" s="496">
        <f>SUM(BL222:BL223)</f>
        <v>1.4000000000000004</v>
      </c>
      <c r="BM224" s="496" t="s">
        <v>1175</v>
      </c>
      <c r="BN224" s="496" t="s">
        <v>1176</v>
      </c>
      <c r="BO224" s="496">
        <f>SUM(BO222:BO223)</f>
        <v>0</v>
      </c>
      <c r="BP224" s="445"/>
      <c r="BQ224" s="445"/>
      <c r="BR224" s="445"/>
      <c r="BS224" s="445"/>
      <c r="BT224" s="524" t="s">
        <v>723</v>
      </c>
      <c r="BU224" s="512"/>
      <c r="BV224" s="512"/>
      <c r="BW224" s="512"/>
      <c r="BX224" s="512"/>
      <c r="BY224" s="512"/>
      <c r="BZ224" s="512"/>
      <c r="CA224" s="512"/>
      <c r="CB224" s="512"/>
      <c r="CC224" s="512"/>
      <c r="CD224" s="512"/>
      <c r="CE224" s="512"/>
      <c r="CF224" s="512"/>
      <c r="CG224" s="512"/>
    </row>
    <row r="225" spans="1:85" s="519" customFormat="1">
      <c r="A225" s="551">
        <v>62006038</v>
      </c>
      <c r="B225" s="550" t="s">
        <v>1248</v>
      </c>
      <c r="C225" s="550" t="s">
        <v>695</v>
      </c>
      <c r="D225" s="552" t="s">
        <v>999</v>
      </c>
      <c r="E225" s="553" t="s">
        <v>1000</v>
      </c>
      <c r="F225" s="536" t="str">
        <f t="shared" si="96"/>
        <v>06/15/20</v>
      </c>
      <c r="G225" s="555"/>
      <c r="H225" s="555" t="s">
        <v>1017</v>
      </c>
      <c r="I225" s="532"/>
      <c r="J225" s="531">
        <v>22.967406</v>
      </c>
      <c r="K225" s="531">
        <v>42.249364</v>
      </c>
      <c r="L225" s="531">
        <v>29.638359999999999</v>
      </c>
      <c r="M225" s="531">
        <v>24.95431</v>
      </c>
      <c r="N225" s="528">
        <v>4250</v>
      </c>
      <c r="O225" s="528">
        <v>38.71</v>
      </c>
      <c r="P225" s="528">
        <v>3.0499999999999999E-2</v>
      </c>
      <c r="Q225" s="528">
        <v>1.4999999999999999E-2</v>
      </c>
      <c r="R225" s="529">
        <v>0.26308833999999998</v>
      </c>
      <c r="S225" s="529">
        <f>R225+R224</f>
        <v>7.7202523200000002</v>
      </c>
      <c r="T225" s="544" t="s">
        <v>1177</v>
      </c>
      <c r="U225" s="544" t="s">
        <v>1178</v>
      </c>
      <c r="V225" s="530">
        <v>1693</v>
      </c>
      <c r="W225" s="530">
        <v>1742</v>
      </c>
      <c r="X225" s="530">
        <f>W225-V225</f>
        <v>49</v>
      </c>
      <c r="Y225" s="530">
        <f t="shared" si="128"/>
        <v>186.2492271607324</v>
      </c>
      <c r="Z225" s="534">
        <v>1691</v>
      </c>
      <c r="AA225" s="530">
        <v>1740</v>
      </c>
      <c r="AB225" s="530">
        <f>AA225-Z225</f>
        <v>49</v>
      </c>
      <c r="AC225" s="533">
        <f t="shared" si="129"/>
        <v>186.2492271607324</v>
      </c>
      <c r="AD225" s="534">
        <v>68</v>
      </c>
      <c r="AE225" s="530">
        <v>71</v>
      </c>
      <c r="AF225" s="530">
        <f>AE225-AD225</f>
        <v>3</v>
      </c>
      <c r="AG225" s="533">
        <f t="shared" si="130"/>
        <v>11.403013907799943</v>
      </c>
      <c r="AH225" s="534">
        <v>1306</v>
      </c>
      <c r="AI225" s="530">
        <v>1342</v>
      </c>
      <c r="AJ225" s="530">
        <f>AI225-AH225</f>
        <v>36</v>
      </c>
      <c r="AK225" s="533">
        <f t="shared" si="131"/>
        <v>136.83616689359931</v>
      </c>
      <c r="AL225" s="534">
        <v>315.2</v>
      </c>
      <c r="AM225" s="530">
        <v>325.2</v>
      </c>
      <c r="AN225" s="530">
        <f>AM225-AL225</f>
        <v>10</v>
      </c>
      <c r="AO225" s="533">
        <f t="shared" si="132"/>
        <v>38.010046359333145</v>
      </c>
      <c r="AP225" s="534">
        <v>246.27416099999999</v>
      </c>
      <c r="AQ225" s="530">
        <v>254.32</v>
      </c>
      <c r="AR225" s="530">
        <f>AQ225-AP225</f>
        <v>8.0458390000000009</v>
      </c>
      <c r="AS225" s="533">
        <f t="shared" si="133"/>
        <v>30.582271338973069</v>
      </c>
      <c r="AT225" s="534">
        <v>1</v>
      </c>
      <c r="AU225" s="530">
        <v>1</v>
      </c>
      <c r="AV225" s="530">
        <f>AU225-AT225</f>
        <v>0</v>
      </c>
      <c r="AW225" s="533">
        <f t="shared" si="134"/>
        <v>0</v>
      </c>
      <c r="AX225" s="534">
        <v>2.2999999999999998</v>
      </c>
      <c r="AY225" s="530">
        <v>2.2999999999999998</v>
      </c>
      <c r="AZ225" s="530">
        <f>AY225-AX225</f>
        <v>0</v>
      </c>
      <c r="BA225" s="533">
        <f t="shared" si="135"/>
        <v>0</v>
      </c>
      <c r="BB225" s="534">
        <v>-10.18</v>
      </c>
      <c r="BC225" s="530">
        <v>-10.36</v>
      </c>
      <c r="BD225" s="530">
        <f>BC225-BB225</f>
        <v>-0.17999999999999972</v>
      </c>
      <c r="BE225" s="530">
        <v>-7.0720049999999999</v>
      </c>
      <c r="BF225" s="533">
        <f t="shared" si="136"/>
        <v>-0.6841808344679956</v>
      </c>
      <c r="BG225" s="527" t="s">
        <v>1179</v>
      </c>
      <c r="BH225" s="527" t="s">
        <v>1180</v>
      </c>
      <c r="BI225" s="527" t="e">
        <f>BH225-BG225</f>
        <v>#VALUE!</v>
      </c>
      <c r="BJ225" s="545">
        <v>5.9</v>
      </c>
      <c r="BK225" s="545">
        <v>6</v>
      </c>
      <c r="BL225" s="545">
        <f>BK225-BJ225</f>
        <v>9.9999999999999645E-2</v>
      </c>
      <c r="BM225" s="545">
        <v>0</v>
      </c>
      <c r="BN225" s="545">
        <v>0</v>
      </c>
      <c r="BO225" s="545">
        <f>BN225-BM225</f>
        <v>0</v>
      </c>
      <c r="BP225" s="527"/>
      <c r="BQ225" s="527"/>
      <c r="BR225" s="527"/>
      <c r="BS225" s="527"/>
      <c r="BT225" s="524" t="s">
        <v>723</v>
      </c>
      <c r="BU225" s="512">
        <v>988.77152218000003</v>
      </c>
      <c r="BV225" s="512">
        <v>-2.5726031200000001</v>
      </c>
      <c r="BW225" s="512">
        <v>273.69738983000002</v>
      </c>
      <c r="BX225" s="512">
        <v>280.92446129000001</v>
      </c>
      <c r="BY225" s="512">
        <v>0.2128362</v>
      </c>
      <c r="BZ225" s="512">
        <v>0.2201282</v>
      </c>
      <c r="CA225" s="512">
        <v>0.26805166000000002</v>
      </c>
      <c r="CB225" s="512">
        <v>0.26307253000000003</v>
      </c>
      <c r="CC225" s="512">
        <v>0.26236925</v>
      </c>
      <c r="CD225" s="512">
        <v>-3.7033464999999999</v>
      </c>
      <c r="CE225" s="512">
        <v>-3.3126171499999999</v>
      </c>
      <c r="CF225" s="512">
        <v>0.79246746999999995</v>
      </c>
      <c r="CG225" s="512"/>
    </row>
    <row r="226" spans="1:85" s="519" customFormat="1">
      <c r="A226" s="546">
        <v>62006039</v>
      </c>
      <c r="B226" s="543" t="s">
        <v>832</v>
      </c>
      <c r="C226" s="543" t="s">
        <v>695</v>
      </c>
      <c r="D226" s="521" t="s">
        <v>995</v>
      </c>
      <c r="E226" s="513" t="s">
        <v>1001</v>
      </c>
      <c r="F226" s="536" t="str">
        <f t="shared" si="96"/>
        <v>06/15/20</v>
      </c>
      <c r="G226" s="524" t="s">
        <v>1002</v>
      </c>
      <c r="H226" s="524" t="s">
        <v>708</v>
      </c>
      <c r="I226" s="532"/>
      <c r="J226" s="531">
        <v>23.075382000000001</v>
      </c>
      <c r="K226" s="531">
        <v>43.079616999999999</v>
      </c>
      <c r="L226" s="531">
        <v>29.636371</v>
      </c>
      <c r="M226" s="531">
        <v>26.700253</v>
      </c>
      <c r="N226" s="528">
        <v>4250</v>
      </c>
      <c r="O226" s="528">
        <v>38.71</v>
      </c>
      <c r="P226" s="528">
        <v>3.0499999999999999E-2</v>
      </c>
      <c r="Q226" s="528">
        <v>1.4999999999999999E-2</v>
      </c>
      <c r="R226" s="529">
        <v>3.59734943</v>
      </c>
      <c r="S226" s="529">
        <f>R226+R225</f>
        <v>3.8604377699999999</v>
      </c>
      <c r="T226" s="544">
        <v>97.3</v>
      </c>
      <c r="U226" s="544">
        <v>96.5</v>
      </c>
      <c r="V226" s="530">
        <v>1840</v>
      </c>
      <c r="W226" s="530">
        <v>2536</v>
      </c>
      <c r="X226" s="530">
        <f>W226-V226</f>
        <v>696</v>
      </c>
      <c r="Y226" s="530">
        <f t="shared" si="128"/>
        <v>193.4757836410682</v>
      </c>
      <c r="Z226" s="534">
        <v>1837</v>
      </c>
      <c r="AA226" s="530">
        <v>2533</v>
      </c>
      <c r="AB226" s="530">
        <f>AA226-Z226</f>
        <v>696</v>
      </c>
      <c r="AC226" s="533">
        <f t="shared" si="129"/>
        <v>193.4757836410682</v>
      </c>
      <c r="AD226" s="534">
        <v>71</v>
      </c>
      <c r="AE226" s="530">
        <v>82</v>
      </c>
      <c r="AF226" s="530">
        <f>AE226-AD226</f>
        <v>11</v>
      </c>
      <c r="AG226" s="533">
        <f t="shared" si="130"/>
        <v>3.0578069253617102</v>
      </c>
      <c r="AH226" s="534">
        <v>1343</v>
      </c>
      <c r="AI226" s="530">
        <v>1972</v>
      </c>
      <c r="AJ226" s="530">
        <f>AI226-AH226</f>
        <v>629</v>
      </c>
      <c r="AK226" s="533">
        <f t="shared" si="131"/>
        <v>174.85095964113779</v>
      </c>
      <c r="AL226" s="534">
        <v>421</v>
      </c>
      <c r="AM226" s="530">
        <v>475.6</v>
      </c>
      <c r="AN226" s="530">
        <f>AM226-AL226</f>
        <v>54.600000000000023</v>
      </c>
      <c r="AO226" s="533">
        <f t="shared" si="132"/>
        <v>15.177841647704494</v>
      </c>
      <c r="AP226" s="534">
        <v>331.38365800000003</v>
      </c>
      <c r="AQ226" s="530">
        <v>375.12347199999999</v>
      </c>
      <c r="AR226" s="530">
        <f>AQ226-AP226</f>
        <v>43.739813999999967</v>
      </c>
      <c r="AS226" s="533">
        <f t="shared" si="133"/>
        <v>12.158900560293906</v>
      </c>
      <c r="AT226" s="534">
        <v>1.3</v>
      </c>
      <c r="AU226" s="530">
        <v>1.4</v>
      </c>
      <c r="AV226" s="530">
        <f>AU226-AT226</f>
        <v>9.9999999999999867E-2</v>
      </c>
      <c r="AW226" s="533">
        <f t="shared" si="134"/>
        <v>2.7798244776015509E-2</v>
      </c>
      <c r="AX226" s="534">
        <v>2.9</v>
      </c>
      <c r="AY226" s="530">
        <v>3.2</v>
      </c>
      <c r="AZ226" s="530">
        <f>AY226-AX226</f>
        <v>0.30000000000000027</v>
      </c>
      <c r="BA226" s="533">
        <f t="shared" si="135"/>
        <v>8.3394734328046713E-2</v>
      </c>
      <c r="BB226" s="534">
        <v>-11.98</v>
      </c>
      <c r="BC226" s="530">
        <v>-12.84</v>
      </c>
      <c r="BD226" s="530">
        <f>BC226-BB226</f>
        <v>-0.85999999999999943</v>
      </c>
      <c r="BE226" s="530">
        <v>-6.1207900000000004</v>
      </c>
      <c r="BF226" s="533">
        <f t="shared" si="136"/>
        <v>-0.23906490507373354</v>
      </c>
      <c r="BG226" s="527">
        <v>97.3</v>
      </c>
      <c r="BH226" s="527">
        <v>96.5</v>
      </c>
      <c r="BI226" s="527">
        <f>BH226-BG226</f>
        <v>-0.79999999999999716</v>
      </c>
      <c r="BJ226" s="545">
        <v>6.9</v>
      </c>
      <c r="BK226" s="545">
        <v>7.3</v>
      </c>
      <c r="BL226" s="545">
        <f>BK226-BJ226</f>
        <v>0.39999999999999947</v>
      </c>
      <c r="BM226" s="545">
        <v>0</v>
      </c>
      <c r="BN226" s="545">
        <v>0</v>
      </c>
      <c r="BO226" s="545">
        <f>BN226-BM226</f>
        <v>0</v>
      </c>
      <c r="BP226" s="527"/>
      <c r="BQ226" s="527"/>
      <c r="BR226" s="527"/>
      <c r="BS226" s="527"/>
      <c r="BT226" s="524" t="s">
        <v>723</v>
      </c>
      <c r="BU226" s="512">
        <v>2371.7870424299999</v>
      </c>
      <c r="BV226" s="512">
        <v>-1.03996138</v>
      </c>
      <c r="BW226" s="512">
        <v>2027.5310124</v>
      </c>
      <c r="BX226" s="512">
        <v>2048.8381378499998</v>
      </c>
      <c r="BY226" s="512">
        <v>3.0209068000000001</v>
      </c>
      <c r="BZ226" s="512">
        <v>3.0320140000000002</v>
      </c>
      <c r="CA226" s="512">
        <v>0.17695988000000001</v>
      </c>
      <c r="CB226" s="512">
        <v>3.59733524</v>
      </c>
      <c r="CC226" s="512">
        <v>3.5909806400000002</v>
      </c>
      <c r="CD226" s="512">
        <v>-0.54528829999999995</v>
      </c>
      <c r="CE226" s="512">
        <v>-0.36633085999999998</v>
      </c>
      <c r="CF226" s="512">
        <v>0.63450318000000006</v>
      </c>
      <c r="CG226" s="512"/>
    </row>
    <row r="227" spans="1:85" s="519" customFormat="1">
      <c r="A227" s="546">
        <v>62006039</v>
      </c>
      <c r="B227" s="543" t="s">
        <v>831</v>
      </c>
      <c r="C227" s="543" t="s">
        <v>696</v>
      </c>
      <c r="D227" s="521" t="s">
        <v>995</v>
      </c>
      <c r="E227" s="513" t="s">
        <v>1001</v>
      </c>
      <c r="F227" s="536" t="str">
        <f t="shared" si="96"/>
        <v>06/15/20</v>
      </c>
      <c r="G227" s="524" t="s">
        <v>1002</v>
      </c>
      <c r="H227" s="524" t="s">
        <v>708</v>
      </c>
      <c r="I227" s="532"/>
      <c r="J227" s="531">
        <v>20.765988</v>
      </c>
      <c r="K227" s="531">
        <v>50.891269000000001</v>
      </c>
      <c r="L227" s="531">
        <v>29.634501</v>
      </c>
      <c r="M227" s="531">
        <v>28.258741000000001</v>
      </c>
      <c r="N227" s="528">
        <v>4250</v>
      </c>
      <c r="O227" s="528">
        <v>38.71</v>
      </c>
      <c r="P227" s="528">
        <v>3.0499999999999999E-2</v>
      </c>
      <c r="Q227" s="528">
        <v>1.4999999999999999E-2</v>
      </c>
      <c r="R227" s="529">
        <v>3.8622477700000002</v>
      </c>
      <c r="S227" s="529">
        <f>R227+R226</f>
        <v>7.4595972000000002</v>
      </c>
      <c r="T227" s="544">
        <v>96.5</v>
      </c>
      <c r="U227" s="544">
        <v>95.7</v>
      </c>
      <c r="V227" s="530">
        <v>2536.4430379999999</v>
      </c>
      <c r="W227" s="530">
        <v>3189</v>
      </c>
      <c r="X227" s="530">
        <f>W227-V227</f>
        <v>652.55696200000011</v>
      </c>
      <c r="Y227" s="530">
        <f t="shared" si="128"/>
        <v>168.95781960668984</v>
      </c>
      <c r="Z227" s="534">
        <v>2533</v>
      </c>
      <c r="AA227" s="530">
        <v>3185</v>
      </c>
      <c r="AB227" s="530">
        <f>AA227-Z227</f>
        <v>652</v>
      </c>
      <c r="AC227" s="533">
        <f t="shared" si="129"/>
        <v>168.8136129081123</v>
      </c>
      <c r="AD227" s="534">
        <v>82</v>
      </c>
      <c r="AE227" s="530">
        <v>100</v>
      </c>
      <c r="AF227" s="530">
        <f>AE227-AD227</f>
        <v>18</v>
      </c>
      <c r="AG227" s="533">
        <f t="shared" si="130"/>
        <v>4.6604985158681309</v>
      </c>
      <c r="AH227" s="534">
        <v>1972</v>
      </c>
      <c r="AI227" s="530">
        <v>2515</v>
      </c>
      <c r="AJ227" s="530">
        <f>AI227-AH227</f>
        <v>543</v>
      </c>
      <c r="AK227" s="533">
        <f t="shared" si="131"/>
        <v>140.59170522868862</v>
      </c>
      <c r="AL227" s="534">
        <v>475.6</v>
      </c>
      <c r="AM227" s="530">
        <v>566.6</v>
      </c>
      <c r="AN227" s="530">
        <f>AM227-AL227</f>
        <v>91</v>
      </c>
      <c r="AO227" s="533">
        <f t="shared" si="132"/>
        <v>23.561409163555552</v>
      </c>
      <c r="AP227" s="534">
        <v>375.14346899999998</v>
      </c>
      <c r="AQ227" s="530">
        <v>447.73288000000002</v>
      </c>
      <c r="AR227" s="530">
        <f>AQ227-AP227</f>
        <v>72.589411000000041</v>
      </c>
      <c r="AS227" s="533">
        <f t="shared" si="133"/>
        <v>18.794602346291221</v>
      </c>
      <c r="AT227" s="534">
        <v>1.4</v>
      </c>
      <c r="AU227" s="530">
        <v>1.6</v>
      </c>
      <c r="AV227" s="530">
        <f>AU227-AT227</f>
        <v>0.20000000000000018</v>
      </c>
      <c r="AW227" s="533">
        <f t="shared" si="134"/>
        <v>5.178331684297928E-2</v>
      </c>
      <c r="AX227" s="534">
        <v>3.2</v>
      </c>
      <c r="AY227" s="530">
        <v>3.8</v>
      </c>
      <c r="AZ227" s="530">
        <f>AY227-AX227</f>
        <v>0.59999999999999964</v>
      </c>
      <c r="BA227" s="533">
        <f t="shared" si="135"/>
        <v>0.1553499505289376</v>
      </c>
      <c r="BB227" s="534">
        <v>-12.84</v>
      </c>
      <c r="BC227" s="530">
        <v>-14.12</v>
      </c>
      <c r="BD227" s="530">
        <f>BC227-BB227</f>
        <v>-1.2799999999999994</v>
      </c>
      <c r="BE227" s="530">
        <v>-5.2960960000000004</v>
      </c>
      <c r="BF227" s="533">
        <f t="shared" si="136"/>
        <v>-0.33141322779506693</v>
      </c>
      <c r="BG227" s="527">
        <v>96.5</v>
      </c>
      <c r="BH227" s="527">
        <v>95.7</v>
      </c>
      <c r="BI227" s="527">
        <f>BH227-BG227</f>
        <v>-0.79999999999999716</v>
      </c>
      <c r="BJ227" s="545">
        <v>7.3</v>
      </c>
      <c r="BK227" s="545">
        <v>8.1999999999999993</v>
      </c>
      <c r="BL227" s="545">
        <f>BK227-BJ227</f>
        <v>0.89999999999999947</v>
      </c>
      <c r="BM227" s="545">
        <v>0</v>
      </c>
      <c r="BN227" s="545">
        <v>0</v>
      </c>
      <c r="BO227" s="545">
        <f>BN227-BM227</f>
        <v>0</v>
      </c>
      <c r="BP227" s="527"/>
      <c r="BQ227" s="527"/>
      <c r="BR227" s="527"/>
      <c r="BS227" s="527"/>
      <c r="BT227" s="524" t="s">
        <v>723</v>
      </c>
      <c r="BU227" s="512">
        <v>1474.12989324</v>
      </c>
      <c r="BV227" s="512">
        <v>-1.2632794199999999</v>
      </c>
      <c r="BW227" s="512">
        <v>3372.9930755199998</v>
      </c>
      <c r="BX227" s="512">
        <v>3416.1485776099998</v>
      </c>
      <c r="BY227" s="512">
        <v>2.9797684200000001</v>
      </c>
      <c r="BZ227" s="512">
        <v>2.9952472000000001</v>
      </c>
      <c r="CA227" s="512">
        <v>5.9961939999999998E-2</v>
      </c>
      <c r="CB227" s="512">
        <v>3.8621447199999999</v>
      </c>
      <c r="CC227" s="512">
        <v>3.8598303</v>
      </c>
      <c r="CD227" s="512">
        <v>-0.57973602999999996</v>
      </c>
      <c r="CE227" s="512">
        <v>-0.51677814</v>
      </c>
      <c r="CF227" s="512">
        <v>0.72008899999999998</v>
      </c>
      <c r="CG227" s="512"/>
    </row>
    <row r="228" spans="1:85" s="519" customFormat="1">
      <c r="A228" s="546">
        <v>62006039</v>
      </c>
      <c r="B228" s="543" t="s">
        <v>830</v>
      </c>
      <c r="C228" s="543" t="s">
        <v>698</v>
      </c>
      <c r="D228" s="521" t="s">
        <v>995</v>
      </c>
      <c r="E228" s="513" t="s">
        <v>1001</v>
      </c>
      <c r="F228" s="536" t="str">
        <f t="shared" ref="F228:F242" si="137">LEFT(E228,8)</f>
        <v>06/15/20</v>
      </c>
      <c r="G228" s="524" t="s">
        <v>1002</v>
      </c>
      <c r="H228" s="524" t="s">
        <v>708</v>
      </c>
      <c r="I228" s="532"/>
      <c r="J228" s="468">
        <f>AVERAGE(J226:J227)</f>
        <v>21.920684999999999</v>
      </c>
      <c r="K228" s="468">
        <f>AVERAGE(K226:K227)</f>
        <v>46.985443000000004</v>
      </c>
      <c r="L228" s="468">
        <f>AVERAGE(L226:L227)</f>
        <v>29.635435999999999</v>
      </c>
      <c r="M228" s="468">
        <f>AVERAGE(M226:M227)</f>
        <v>27.479497000000002</v>
      </c>
      <c r="N228" s="452"/>
      <c r="O228" s="528"/>
      <c r="P228" s="470"/>
      <c r="Q228" s="469"/>
      <c r="R228" s="453">
        <f>R227+R226</f>
        <v>7.4595972000000002</v>
      </c>
      <c r="S228" s="453">
        <f>S227</f>
        <v>7.4595972000000002</v>
      </c>
      <c r="T228" s="493">
        <f>T226</f>
        <v>97.3</v>
      </c>
      <c r="U228" s="493">
        <f>U227</f>
        <v>95.7</v>
      </c>
      <c r="V228" s="456">
        <f>V226</f>
        <v>1840</v>
      </c>
      <c r="W228" s="456">
        <f>W227</f>
        <v>3189</v>
      </c>
      <c r="X228" s="456">
        <f>SUM(X226:X227)</f>
        <v>1348.5569620000001</v>
      </c>
      <c r="Y228" s="456">
        <f t="shared" si="128"/>
        <v>180.78147195400845</v>
      </c>
      <c r="Z228" s="456">
        <f>Z226</f>
        <v>1837</v>
      </c>
      <c r="AA228" s="456">
        <f>AA227</f>
        <v>3185</v>
      </c>
      <c r="AB228" s="456">
        <f>SUM(AB226:AB227)</f>
        <v>1348</v>
      </c>
      <c r="AC228" s="454">
        <f t="shared" si="129"/>
        <v>180.7068081370399</v>
      </c>
      <c r="AD228" s="456">
        <f>AD226</f>
        <v>71</v>
      </c>
      <c r="AE228" s="456">
        <f>AE227</f>
        <v>100</v>
      </c>
      <c r="AF228" s="456">
        <f>SUM(AF226:AF227)</f>
        <v>29</v>
      </c>
      <c r="AG228" s="454">
        <f t="shared" si="130"/>
        <v>3.8876093738680688</v>
      </c>
      <c r="AH228" s="456">
        <f>AH226</f>
        <v>1343</v>
      </c>
      <c r="AI228" s="456">
        <f>AI227</f>
        <v>2515</v>
      </c>
      <c r="AJ228" s="456">
        <f>SUM(AJ226:AJ227)</f>
        <v>1172</v>
      </c>
      <c r="AK228" s="454">
        <f t="shared" si="131"/>
        <v>157.11304090253023</v>
      </c>
      <c r="AL228" s="456">
        <f>AL226</f>
        <v>421</v>
      </c>
      <c r="AM228" s="456">
        <f>AM227</f>
        <v>566.6</v>
      </c>
      <c r="AN228" s="456">
        <f>SUM(AN226:AN227)</f>
        <v>145.60000000000002</v>
      </c>
      <c r="AO228" s="454">
        <f t="shared" si="132"/>
        <v>19.518480166730722</v>
      </c>
      <c r="AP228" s="456">
        <f>AP226</f>
        <v>331.38365800000003</v>
      </c>
      <c r="AQ228" s="456">
        <f>AQ227</f>
        <v>447.73288000000002</v>
      </c>
      <c r="AR228" s="456">
        <f>SUM(AR226:AR227)</f>
        <v>116.32922500000001</v>
      </c>
      <c r="AS228" s="454">
        <f t="shared" si="133"/>
        <v>15.594571916027853</v>
      </c>
      <c r="AT228" s="456">
        <f>AT226</f>
        <v>1.3</v>
      </c>
      <c r="AU228" s="456">
        <f>AU227</f>
        <v>1.6</v>
      </c>
      <c r="AV228" s="456">
        <f>SUM(AV226:AV227)</f>
        <v>0.30000000000000004</v>
      </c>
      <c r="AW228" s="454">
        <f t="shared" si="134"/>
        <v>4.0216648695186923E-2</v>
      </c>
      <c r="AX228" s="456">
        <f>AX226</f>
        <v>2.9</v>
      </c>
      <c r="AY228" s="456">
        <f>AY227</f>
        <v>3.8</v>
      </c>
      <c r="AZ228" s="456">
        <f>SUM(AZ226:AZ227)</f>
        <v>0.89999999999999991</v>
      </c>
      <c r="BA228" s="454">
        <f t="shared" si="135"/>
        <v>0.12064994608556075</v>
      </c>
      <c r="BB228" s="456">
        <f>BB226</f>
        <v>-11.98</v>
      </c>
      <c r="BC228" s="456">
        <f>BC227</f>
        <v>-14.12</v>
      </c>
      <c r="BD228" s="456">
        <f>SUM(BD226:BD227)</f>
        <v>-2.1399999999999988</v>
      </c>
      <c r="BE228" s="530">
        <f>AVERAGE(BE226:BE227)</f>
        <v>-5.7084430000000008</v>
      </c>
      <c r="BF228" s="454">
        <f t="shared" si="136"/>
        <v>-0.2868787606923332</v>
      </c>
      <c r="BG228" s="445"/>
      <c r="BH228" s="445"/>
      <c r="BI228" s="445">
        <f>SUM(BI226:BI227)</f>
        <v>-1.5999999999999943</v>
      </c>
      <c r="BJ228" s="496" t="s">
        <v>1173</v>
      </c>
      <c r="BK228" s="496" t="s">
        <v>1174</v>
      </c>
      <c r="BL228" s="496">
        <f>SUM(BL226:BL227)</f>
        <v>1.2999999999999989</v>
      </c>
      <c r="BM228" s="496" t="s">
        <v>1175</v>
      </c>
      <c r="BN228" s="496" t="s">
        <v>1176</v>
      </c>
      <c r="BO228" s="496">
        <f>SUM(BO226:BO227)</f>
        <v>0</v>
      </c>
      <c r="BP228" s="445"/>
      <c r="BQ228" s="445"/>
      <c r="BR228" s="445"/>
      <c r="BS228" s="445"/>
      <c r="BT228" s="524" t="s">
        <v>723</v>
      </c>
      <c r="BU228" s="512"/>
      <c r="BV228" s="512"/>
      <c r="BW228" s="512"/>
      <c r="BX228" s="512"/>
      <c r="BY228" s="512"/>
      <c r="BZ228" s="512"/>
      <c r="CA228" s="512"/>
      <c r="CB228" s="512"/>
      <c r="CC228" s="512"/>
      <c r="CD228" s="512"/>
      <c r="CE228" s="512"/>
      <c r="CF228" s="512"/>
      <c r="CG228" s="512"/>
    </row>
    <row r="229" spans="1:85" s="519" customFormat="1">
      <c r="A229" s="546">
        <v>62006039</v>
      </c>
      <c r="B229" s="543" t="s">
        <v>828</v>
      </c>
      <c r="C229" s="543" t="s">
        <v>697</v>
      </c>
      <c r="D229" s="521" t="s">
        <v>995</v>
      </c>
      <c r="E229" s="513" t="s">
        <v>1001</v>
      </c>
      <c r="F229" s="536" t="str">
        <f t="shared" si="137"/>
        <v>06/15/20</v>
      </c>
      <c r="G229" s="524" t="s">
        <v>1002</v>
      </c>
      <c r="H229" s="524" t="s">
        <v>708</v>
      </c>
      <c r="I229" s="532"/>
      <c r="J229" s="531">
        <v>22.210775000000002</v>
      </c>
      <c r="K229" s="531">
        <v>44.610480000000003</v>
      </c>
      <c r="L229" s="531">
        <v>29.634004000000001</v>
      </c>
      <c r="M229" s="531">
        <v>28.687298999999999</v>
      </c>
      <c r="N229" s="528">
        <v>4250</v>
      </c>
      <c r="O229" s="528">
        <v>38.71</v>
      </c>
      <c r="P229" s="528">
        <v>3.0499999999999999E-2</v>
      </c>
      <c r="Q229" s="528">
        <v>1.4999999999999999E-2</v>
      </c>
      <c r="R229" s="529">
        <v>3.59719904</v>
      </c>
      <c r="S229" s="529">
        <f>R229+R228</f>
        <v>11.056796240000001</v>
      </c>
      <c r="T229" s="544">
        <v>95.7</v>
      </c>
      <c r="U229" s="544">
        <v>95</v>
      </c>
      <c r="V229" s="530">
        <v>3189</v>
      </c>
      <c r="W229" s="530">
        <v>3856</v>
      </c>
      <c r="X229" s="530">
        <f>W229-V229</f>
        <v>667</v>
      </c>
      <c r="Y229" s="530">
        <f t="shared" si="128"/>
        <v>185.42204436927682</v>
      </c>
      <c r="Z229" s="534">
        <v>3185</v>
      </c>
      <c r="AA229" s="530">
        <v>3852</v>
      </c>
      <c r="AB229" s="530">
        <f>AA229-Z229</f>
        <v>667</v>
      </c>
      <c r="AC229" s="533">
        <f t="shared" si="129"/>
        <v>185.42204436927682</v>
      </c>
      <c r="AD229" s="534">
        <v>100</v>
      </c>
      <c r="AE229" s="530">
        <v>107</v>
      </c>
      <c r="AF229" s="530">
        <f>AE229-AD229</f>
        <v>7</v>
      </c>
      <c r="AG229" s="533">
        <f t="shared" si="130"/>
        <v>1.9459584866340895</v>
      </c>
      <c r="AH229" s="534">
        <v>2515</v>
      </c>
      <c r="AI229" s="530">
        <v>3121</v>
      </c>
      <c r="AJ229" s="530">
        <f>AI229-AH229</f>
        <v>606</v>
      </c>
      <c r="AK229" s="533">
        <f t="shared" si="131"/>
        <v>168.46440612860832</v>
      </c>
      <c r="AL229" s="534">
        <v>566.79999999999995</v>
      </c>
      <c r="AM229" s="530">
        <v>618.9</v>
      </c>
      <c r="AN229" s="530">
        <f>AM229-AL229</f>
        <v>52.100000000000023</v>
      </c>
      <c r="AO229" s="533">
        <f t="shared" si="132"/>
        <v>14.483491021948016</v>
      </c>
      <c r="AP229" s="534">
        <v>447.91287499999999</v>
      </c>
      <c r="AQ229" s="530">
        <v>490.06260600000002</v>
      </c>
      <c r="AR229" s="530">
        <f>AQ229-AP229</f>
        <v>42.149731000000031</v>
      </c>
      <c r="AS229" s="533">
        <f t="shared" si="133"/>
        <v>11.717375249827718</v>
      </c>
      <c r="AT229" s="534">
        <v>1.6</v>
      </c>
      <c r="AU229" s="530">
        <v>1.7</v>
      </c>
      <c r="AV229" s="530">
        <f>AU229-AT229</f>
        <v>9.9999999999999867E-2</v>
      </c>
      <c r="AW229" s="533">
        <f t="shared" si="134"/>
        <v>2.7799406951915528E-2</v>
      </c>
      <c r="AX229" s="534">
        <v>3.8</v>
      </c>
      <c r="AY229" s="530">
        <v>4.0999999999999996</v>
      </c>
      <c r="AZ229" s="530">
        <f>AY229-AX229</f>
        <v>0.29999999999999982</v>
      </c>
      <c r="BA229" s="533">
        <f t="shared" si="135"/>
        <v>8.3398220855746649E-2</v>
      </c>
      <c r="BB229" s="534">
        <v>-14.13</v>
      </c>
      <c r="BC229" s="530">
        <v>-14.7</v>
      </c>
      <c r="BD229" s="530">
        <f>BC229-BB229</f>
        <v>-0.56999999999999851</v>
      </c>
      <c r="BE229" s="530">
        <v>-4.0638769999999997</v>
      </c>
      <c r="BF229" s="533">
        <f t="shared" si="136"/>
        <v>-0.15845661962591831</v>
      </c>
      <c r="BG229" s="527">
        <v>95.7</v>
      </c>
      <c r="BH229" s="527">
        <v>95</v>
      </c>
      <c r="BI229" s="527">
        <f>BH229-BG229</f>
        <v>-0.70000000000000284</v>
      </c>
      <c r="BJ229" s="545">
        <v>8.1999999999999993</v>
      </c>
      <c r="BK229" s="545">
        <v>8.6999999999999993</v>
      </c>
      <c r="BL229" s="545">
        <f>BK229-BJ229</f>
        <v>0.5</v>
      </c>
      <c r="BM229" s="545">
        <v>0</v>
      </c>
      <c r="BN229" s="545">
        <v>0</v>
      </c>
      <c r="BO229" s="545">
        <f>BN229-BM229</f>
        <v>0</v>
      </c>
      <c r="BP229" s="527"/>
      <c r="BQ229" s="527"/>
      <c r="BR229" s="527"/>
      <c r="BS229" s="527"/>
      <c r="BT229" s="524" t="s">
        <v>723</v>
      </c>
      <c r="BU229" s="512">
        <v>2367.4310992300002</v>
      </c>
      <c r="BV229" s="512">
        <v>-0.98861591999999998</v>
      </c>
      <c r="BW229" s="512">
        <v>2028.4509931299999</v>
      </c>
      <c r="BX229" s="512">
        <v>2048.7048149799998</v>
      </c>
      <c r="BY229" s="512">
        <v>3.0235910399999999</v>
      </c>
      <c r="BZ229" s="512">
        <v>3.0318318500000001</v>
      </c>
      <c r="CA229" s="512">
        <v>0.17302798</v>
      </c>
      <c r="CB229" s="512">
        <v>3.5971929500000002</v>
      </c>
      <c r="CC229" s="512">
        <v>3.5909795500000001</v>
      </c>
      <c r="CD229" s="512">
        <v>-0.44605001999999999</v>
      </c>
      <c r="CE229" s="512">
        <v>-0.27180964000000002</v>
      </c>
      <c r="CF229" s="512">
        <v>0.63448055999999997</v>
      </c>
      <c r="CG229" s="512"/>
    </row>
    <row r="230" spans="1:85" s="519" customFormat="1">
      <c r="A230" s="546">
        <v>62006039</v>
      </c>
      <c r="B230" s="543" t="s">
        <v>239</v>
      </c>
      <c r="C230" s="543" t="s">
        <v>699</v>
      </c>
      <c r="D230" s="521" t="s">
        <v>995</v>
      </c>
      <c r="E230" s="513" t="s">
        <v>1001</v>
      </c>
      <c r="F230" s="536" t="str">
        <f t="shared" si="137"/>
        <v>06/15/20</v>
      </c>
      <c r="G230" s="524" t="s">
        <v>1002</v>
      </c>
      <c r="H230" s="524" t="s">
        <v>708</v>
      </c>
      <c r="I230" s="532"/>
      <c r="J230" s="531">
        <v>21.598338999999999</v>
      </c>
      <c r="K230" s="531">
        <v>48.025258999999998</v>
      </c>
      <c r="L230" s="531">
        <v>29.630602</v>
      </c>
      <c r="M230" s="531">
        <v>29.310876</v>
      </c>
      <c r="N230" s="528">
        <v>4250</v>
      </c>
      <c r="O230" s="528">
        <v>38.71</v>
      </c>
      <c r="P230" s="528">
        <v>3.0499999999999999E-2</v>
      </c>
      <c r="Q230" s="528">
        <v>1.4999999999999999E-2</v>
      </c>
      <c r="R230" s="529">
        <v>3.8637088899999998</v>
      </c>
      <c r="S230" s="529">
        <f>R230+R229</f>
        <v>7.4609079299999994</v>
      </c>
      <c r="T230" s="544">
        <v>95</v>
      </c>
      <c r="U230" s="544">
        <v>94.2</v>
      </c>
      <c r="V230" s="530">
        <v>3856</v>
      </c>
      <c r="W230" s="530">
        <v>4499</v>
      </c>
      <c r="X230" s="530">
        <f>W230-V230</f>
        <v>643</v>
      </c>
      <c r="Y230" s="530">
        <f t="shared" si="128"/>
        <v>166.42040544622915</v>
      </c>
      <c r="Z230" s="534">
        <v>3852</v>
      </c>
      <c r="AA230" s="530">
        <v>4495</v>
      </c>
      <c r="AB230" s="530">
        <f>AA230-Z230</f>
        <v>643</v>
      </c>
      <c r="AC230" s="533">
        <f t="shared" si="129"/>
        <v>166.42040544622915</v>
      </c>
      <c r="AD230" s="534">
        <v>107</v>
      </c>
      <c r="AE230" s="530">
        <v>125</v>
      </c>
      <c r="AF230" s="530">
        <f>AE230-AD230</f>
        <v>18</v>
      </c>
      <c r="AG230" s="533">
        <f t="shared" si="130"/>
        <v>4.6587360778104587</v>
      </c>
      <c r="AH230" s="534">
        <v>3121</v>
      </c>
      <c r="AI230" s="530">
        <v>3656</v>
      </c>
      <c r="AJ230" s="530">
        <f>AI230-AH230</f>
        <v>535</v>
      </c>
      <c r="AK230" s="533">
        <f t="shared" si="131"/>
        <v>138.4679889793664</v>
      </c>
      <c r="AL230" s="534">
        <v>618.9</v>
      </c>
      <c r="AM230" s="530">
        <v>708.6</v>
      </c>
      <c r="AN230" s="530">
        <f>AM230-AL230</f>
        <v>89.700000000000045</v>
      </c>
      <c r="AO230" s="533">
        <f t="shared" si="132"/>
        <v>23.216034787755465</v>
      </c>
      <c r="AP230" s="534">
        <v>490.07260500000001</v>
      </c>
      <c r="AQ230" s="530">
        <v>562.69211099999995</v>
      </c>
      <c r="AR230" s="530">
        <f>AQ230-AP230</f>
        <v>72.619505999999944</v>
      </c>
      <c r="AS230" s="533">
        <f t="shared" si="133"/>
        <v>18.795284030831823</v>
      </c>
      <c r="AT230" s="534">
        <v>1.7</v>
      </c>
      <c r="AU230" s="530">
        <v>1.9</v>
      </c>
      <c r="AV230" s="530">
        <f>AU230-AT230</f>
        <v>0.19999999999999996</v>
      </c>
      <c r="AW230" s="533">
        <f t="shared" si="134"/>
        <v>5.1763734197893971E-2</v>
      </c>
      <c r="AX230" s="534">
        <v>4.0999999999999996</v>
      </c>
      <c r="AY230" s="530">
        <v>4.5999999999999996</v>
      </c>
      <c r="AZ230" s="530">
        <f>AY230-AX230</f>
        <v>0.5</v>
      </c>
      <c r="BA230" s="533">
        <f t="shared" si="135"/>
        <v>0.12940933549473496</v>
      </c>
      <c r="BB230" s="534">
        <v>-14.7</v>
      </c>
      <c r="BC230" s="530">
        <v>-15.61</v>
      </c>
      <c r="BD230" s="530">
        <f>BC230-BB230</f>
        <v>-0.91000000000000014</v>
      </c>
      <c r="BE230" s="530">
        <v>-3.7640820000000001</v>
      </c>
      <c r="BF230" s="533">
        <f t="shared" si="136"/>
        <v>-0.23552499060041768</v>
      </c>
      <c r="BG230" s="527">
        <v>95</v>
      </c>
      <c r="BH230" s="527">
        <v>94.2</v>
      </c>
      <c r="BI230" s="527">
        <f>BH230-BG230</f>
        <v>-0.79999999999999716</v>
      </c>
      <c r="BJ230" s="545">
        <v>8.6999999999999993</v>
      </c>
      <c r="BK230" s="545">
        <v>9.5</v>
      </c>
      <c r="BL230" s="545">
        <f>BK230-BJ230</f>
        <v>0.80000000000000071</v>
      </c>
      <c r="BM230" s="545">
        <v>0</v>
      </c>
      <c r="BN230" s="545">
        <v>0</v>
      </c>
      <c r="BO230" s="545">
        <f>BN230-BM230</f>
        <v>0</v>
      </c>
      <c r="BP230" s="527"/>
      <c r="BQ230" s="527"/>
      <c r="BR230" s="527"/>
      <c r="BS230" s="527"/>
      <c r="BT230" s="524" t="s">
        <v>723</v>
      </c>
      <c r="BU230" s="512">
        <v>1473.64792657</v>
      </c>
      <c r="BV230" s="512">
        <v>-1.3042773000000001</v>
      </c>
      <c r="BW230" s="512">
        <v>3371.4516982800001</v>
      </c>
      <c r="BX230" s="512">
        <v>3416.00588767</v>
      </c>
      <c r="BY230" s="512">
        <v>2.9816304900000001</v>
      </c>
      <c r="BZ230" s="512">
        <v>2.99504467</v>
      </c>
      <c r="CA230" s="512">
        <v>9.7441609999999998E-2</v>
      </c>
      <c r="CB230" s="512">
        <v>3.8635902099999999</v>
      </c>
      <c r="CC230" s="512">
        <v>3.85982914</v>
      </c>
      <c r="CD230" s="512">
        <v>-0.54777403000000002</v>
      </c>
      <c r="CE230" s="512">
        <v>-0.44787905</v>
      </c>
      <c r="CF230" s="512">
        <v>0.72009699999999999</v>
      </c>
      <c r="CG230" s="512"/>
    </row>
    <row r="231" spans="1:85" s="519" customFormat="1">
      <c r="A231" s="546">
        <v>62006039</v>
      </c>
      <c r="B231" s="543" t="s">
        <v>833</v>
      </c>
      <c r="C231" s="543" t="s">
        <v>704</v>
      </c>
      <c r="D231" s="521" t="s">
        <v>995</v>
      </c>
      <c r="E231" s="513" t="s">
        <v>1001</v>
      </c>
      <c r="F231" s="536" t="str">
        <f t="shared" si="137"/>
        <v>06/15/20</v>
      </c>
      <c r="G231" s="524" t="s">
        <v>1002</v>
      </c>
      <c r="H231" s="524" t="s">
        <v>708</v>
      </c>
      <c r="I231" s="532"/>
      <c r="J231" s="468">
        <f>AVERAGE(J229:J230)</f>
        <v>21.904557</v>
      </c>
      <c r="K231" s="468">
        <f>AVERAGE(K229:K230)</f>
        <v>46.3178695</v>
      </c>
      <c r="L231" s="468">
        <f>AVERAGE(L229:L230)</f>
        <v>29.632303</v>
      </c>
      <c r="M231" s="468">
        <f>AVERAGE(M229:M230)</f>
        <v>28.999087500000002</v>
      </c>
      <c r="N231" s="452"/>
      <c r="O231" s="528"/>
      <c r="P231" s="470"/>
      <c r="Q231" s="469"/>
      <c r="R231" s="453">
        <f>R230+R229</f>
        <v>7.4609079299999994</v>
      </c>
      <c r="S231" s="453">
        <f>S230</f>
        <v>7.4609079299999994</v>
      </c>
      <c r="T231" s="493">
        <f>T229</f>
        <v>95.7</v>
      </c>
      <c r="U231" s="493">
        <f>U230</f>
        <v>94.2</v>
      </c>
      <c r="V231" s="456">
        <f>V229</f>
        <v>3189</v>
      </c>
      <c r="W231" s="456">
        <f>W230</f>
        <v>4499</v>
      </c>
      <c r="X231" s="456">
        <f>SUM(X229:X230)</f>
        <v>1310</v>
      </c>
      <c r="Y231" s="456">
        <f t="shared" si="128"/>
        <v>175.58184771756058</v>
      </c>
      <c r="Z231" s="456">
        <f>Z229</f>
        <v>3185</v>
      </c>
      <c r="AA231" s="456">
        <f>AA230</f>
        <v>4495</v>
      </c>
      <c r="AB231" s="456">
        <f>SUM(AB229:AB230)</f>
        <v>1310</v>
      </c>
      <c r="AC231" s="454">
        <f t="shared" si="129"/>
        <v>175.58184771756058</v>
      </c>
      <c r="AD231" s="456">
        <f>AD229</f>
        <v>100</v>
      </c>
      <c r="AE231" s="456">
        <f>AE230</f>
        <v>125</v>
      </c>
      <c r="AF231" s="456">
        <f>SUM(AF229:AF230)</f>
        <v>25</v>
      </c>
      <c r="AG231" s="454">
        <f t="shared" si="130"/>
        <v>3.3507986205641331</v>
      </c>
      <c r="AH231" s="456">
        <f>AH229</f>
        <v>2515</v>
      </c>
      <c r="AI231" s="456">
        <f>AI230</f>
        <v>3656</v>
      </c>
      <c r="AJ231" s="456">
        <f>SUM(AJ229:AJ230)</f>
        <v>1141</v>
      </c>
      <c r="AK231" s="454">
        <f t="shared" si="131"/>
        <v>152.93044904254702</v>
      </c>
      <c r="AL231" s="456">
        <f>AL229</f>
        <v>566.79999999999995</v>
      </c>
      <c r="AM231" s="456">
        <f>AM230</f>
        <v>708.6</v>
      </c>
      <c r="AN231" s="456">
        <f>SUM(AN229:AN230)</f>
        <v>141.80000000000007</v>
      </c>
      <c r="AO231" s="454">
        <f t="shared" si="132"/>
        <v>19.005729775839772</v>
      </c>
      <c r="AP231" s="456">
        <f>AP229</f>
        <v>447.91287499999999</v>
      </c>
      <c r="AQ231" s="456">
        <f>AQ230</f>
        <v>562.69211099999995</v>
      </c>
      <c r="AR231" s="456">
        <f>SUM(AR229:AR230)</f>
        <v>114.76923699999998</v>
      </c>
      <c r="AS231" s="454">
        <f t="shared" si="133"/>
        <v>15.38274404091192</v>
      </c>
      <c r="AT231" s="456">
        <f>AT229</f>
        <v>1.6</v>
      </c>
      <c r="AU231" s="456">
        <f>AU230</f>
        <v>1.9</v>
      </c>
      <c r="AV231" s="456">
        <f>SUM(AV229:AV230)</f>
        <v>0.29999999999999982</v>
      </c>
      <c r="AW231" s="454">
        <f t="shared" si="134"/>
        <v>4.0209583446769573E-2</v>
      </c>
      <c r="AX231" s="456">
        <f>AX229</f>
        <v>3.8</v>
      </c>
      <c r="AY231" s="456">
        <f>AY230</f>
        <v>4.5999999999999996</v>
      </c>
      <c r="AZ231" s="456">
        <f>SUM(AZ229:AZ230)</f>
        <v>0.79999999999999982</v>
      </c>
      <c r="BA231" s="454">
        <f t="shared" si="135"/>
        <v>0.10722555585805224</v>
      </c>
      <c r="BB231" s="456">
        <f>BB229</f>
        <v>-14.13</v>
      </c>
      <c r="BC231" s="456">
        <f>BC230</f>
        <v>-15.61</v>
      </c>
      <c r="BD231" s="456">
        <f>SUM(BD229:BD230)</f>
        <v>-1.4799999999999986</v>
      </c>
      <c r="BE231" s="530">
        <f>AVERAGE(BE229:BE230)</f>
        <v>-3.9139794999999999</v>
      </c>
      <c r="BF231" s="454">
        <f t="shared" si="136"/>
        <v>-0.19836727833739651</v>
      </c>
      <c r="BG231" s="445"/>
      <c r="BH231" s="445"/>
      <c r="BI231" s="445">
        <f>SUM(BI229:BI230)</f>
        <v>-1.5</v>
      </c>
      <c r="BJ231" s="496" t="s">
        <v>1181</v>
      </c>
      <c r="BK231" s="496" t="s">
        <v>1182</v>
      </c>
      <c r="BL231" s="496">
        <f>SUM(BL229:BL230)</f>
        <v>1.3000000000000007</v>
      </c>
      <c r="BM231" s="496" t="s">
        <v>1183</v>
      </c>
      <c r="BN231" s="496" t="s">
        <v>1184</v>
      </c>
      <c r="BO231" s="496">
        <f>SUM(BO229:BO230)</f>
        <v>0</v>
      </c>
      <c r="BP231" s="445"/>
      <c r="BQ231" s="445"/>
      <c r="BR231" s="445"/>
      <c r="BS231" s="445"/>
      <c r="BT231" s="524" t="s">
        <v>723</v>
      </c>
      <c r="BU231" s="512"/>
      <c r="BV231" s="512"/>
      <c r="BW231" s="512"/>
      <c r="BX231" s="512"/>
      <c r="BY231" s="512"/>
      <c r="BZ231" s="512"/>
      <c r="CA231" s="512"/>
      <c r="CB231" s="512"/>
      <c r="CC231" s="512"/>
      <c r="CD231" s="512"/>
      <c r="CE231" s="512"/>
      <c r="CF231" s="512"/>
      <c r="CG231" s="512"/>
    </row>
    <row r="232" spans="1:85" s="519" customFormat="1">
      <c r="A232" s="546">
        <v>62006039</v>
      </c>
      <c r="B232" s="543" t="s">
        <v>829</v>
      </c>
      <c r="C232" s="543" t="s">
        <v>700</v>
      </c>
      <c r="D232" s="521" t="s">
        <v>995</v>
      </c>
      <c r="E232" s="513" t="s">
        <v>1001</v>
      </c>
      <c r="F232" s="536" t="str">
        <f t="shared" si="137"/>
        <v>06/15/20</v>
      </c>
      <c r="G232" s="524" t="s">
        <v>1002</v>
      </c>
      <c r="H232" s="524" t="s">
        <v>708</v>
      </c>
      <c r="I232" s="532"/>
      <c r="J232" s="531">
        <v>25.133178999999998</v>
      </c>
      <c r="K232" s="531">
        <v>37.668286000000002</v>
      </c>
      <c r="L232" s="531">
        <v>29.638387999999999</v>
      </c>
      <c r="M232" s="531">
        <v>30.821345000000001</v>
      </c>
      <c r="N232" s="528">
        <v>4250</v>
      </c>
      <c r="O232" s="528">
        <v>38.71</v>
      </c>
      <c r="P232" s="528">
        <v>3.0499999999999999E-2</v>
      </c>
      <c r="Q232" s="528">
        <v>1.4999999999999999E-2</v>
      </c>
      <c r="R232" s="529">
        <v>10.28323432</v>
      </c>
      <c r="S232" s="529">
        <f>R232+R231</f>
        <v>17.744142249999999</v>
      </c>
      <c r="T232" s="544">
        <v>94.2</v>
      </c>
      <c r="U232" s="544">
        <v>92</v>
      </c>
      <c r="V232" s="530">
        <v>4501</v>
      </c>
      <c r="W232" s="530">
        <v>6405</v>
      </c>
      <c r="X232" s="530">
        <f>W232-V232</f>
        <v>1904</v>
      </c>
      <c r="Y232" s="530">
        <f t="shared" si="128"/>
        <v>185.1557536034052</v>
      </c>
      <c r="Z232" s="534">
        <v>4497</v>
      </c>
      <c r="AA232" s="530">
        <v>6402</v>
      </c>
      <c r="AB232" s="530">
        <f>AA232-Z232</f>
        <v>1905</v>
      </c>
      <c r="AC232" s="533">
        <f t="shared" si="129"/>
        <v>185.25299927231455</v>
      </c>
      <c r="AD232" s="534">
        <v>125</v>
      </c>
      <c r="AE232" s="530">
        <v>126</v>
      </c>
      <c r="AF232" s="530">
        <f>AE232-AD232</f>
        <v>1</v>
      </c>
      <c r="AG232" s="533">
        <f t="shared" si="130"/>
        <v>9.7245668909351463E-2</v>
      </c>
      <c r="AH232" s="534">
        <v>3656</v>
      </c>
      <c r="AI232" s="530">
        <v>5471</v>
      </c>
      <c r="AJ232" s="530">
        <f>AI232-AH232</f>
        <v>1815</v>
      </c>
      <c r="AK232" s="533">
        <f t="shared" si="131"/>
        <v>176.50088907047291</v>
      </c>
      <c r="AL232" s="534">
        <v>710.2</v>
      </c>
      <c r="AM232" s="530">
        <v>797</v>
      </c>
      <c r="AN232" s="530">
        <f>AM232-AL232</f>
        <v>86.799999999999955</v>
      </c>
      <c r="AO232" s="533">
        <f t="shared" si="132"/>
        <v>8.4409240613317031</v>
      </c>
      <c r="AP232" s="534">
        <v>564.04209000000003</v>
      </c>
      <c r="AQ232" s="530">
        <v>635.51166699999999</v>
      </c>
      <c r="AR232" s="530">
        <f>AQ232-AP232</f>
        <v>71.469576999999958</v>
      </c>
      <c r="AS232" s="533">
        <f t="shared" si="133"/>
        <v>6.9501068220333968</v>
      </c>
      <c r="AT232" s="534">
        <v>1.9</v>
      </c>
      <c r="AU232" s="530">
        <v>2</v>
      </c>
      <c r="AV232" s="530">
        <f>AU232-AT232</f>
        <v>0.10000000000000009</v>
      </c>
      <c r="AW232" s="533">
        <f t="shared" si="134"/>
        <v>9.724566890935156E-3</v>
      </c>
      <c r="AX232" s="534">
        <v>4.5999999999999996</v>
      </c>
      <c r="AY232" s="530">
        <v>5.0999999999999996</v>
      </c>
      <c r="AZ232" s="530">
        <f>AY232-AX232</f>
        <v>0.5</v>
      </c>
      <c r="BA232" s="533">
        <f t="shared" si="135"/>
        <v>4.8622834454675731E-2</v>
      </c>
      <c r="BB232" s="534">
        <v>-15.622088</v>
      </c>
      <c r="BC232" s="530">
        <v>-16.36</v>
      </c>
      <c r="BD232" s="530">
        <f>BC232-BB232</f>
        <v>-0.73791199999999968</v>
      </c>
      <c r="BE232" s="530">
        <v>-3.4580880000000001</v>
      </c>
      <c r="BF232" s="533">
        <f t="shared" si="136"/>
        <v>-7.1758746036237331E-2</v>
      </c>
      <c r="BG232" s="527">
        <v>94.2</v>
      </c>
      <c r="BH232" s="527">
        <v>92</v>
      </c>
      <c r="BI232" s="527">
        <f>BH232-BG232</f>
        <v>-2.2000000000000028</v>
      </c>
      <c r="BJ232" s="545">
        <v>9.6</v>
      </c>
      <c r="BK232" s="545">
        <v>10.3</v>
      </c>
      <c r="BL232" s="545">
        <f>BK232-BJ232</f>
        <v>0.70000000000000107</v>
      </c>
      <c r="BM232" s="545">
        <v>0</v>
      </c>
      <c r="BN232" s="545">
        <v>0</v>
      </c>
      <c r="BO232" s="545">
        <f>BN232-BM232</f>
        <v>0</v>
      </c>
      <c r="BP232" s="527"/>
      <c r="BQ232" s="527"/>
      <c r="BR232" s="527"/>
      <c r="BS232" s="527"/>
      <c r="BT232" s="524" t="s">
        <v>723</v>
      </c>
      <c r="BU232" s="512">
        <v>1872.34370326</v>
      </c>
      <c r="BV232" s="512">
        <v>-6.4311859999999998E-2</v>
      </c>
      <c r="BW232" s="512">
        <v>1305.86187081</v>
      </c>
      <c r="BX232" s="512">
        <v>1306.70223532</v>
      </c>
      <c r="BY232" s="512">
        <v>6.8035911999999996</v>
      </c>
      <c r="BZ232" s="512">
        <v>6.7902272100000003</v>
      </c>
      <c r="CA232" s="512">
        <v>0.25970792999999998</v>
      </c>
      <c r="CB232" s="512">
        <v>10.28331788</v>
      </c>
      <c r="CC232" s="512">
        <v>10.256680469999999</v>
      </c>
      <c r="CD232" s="512">
        <v>-6.2772350000000005E-2</v>
      </c>
      <c r="CE232" s="512">
        <v>0.19681203999999999</v>
      </c>
      <c r="CF232" s="512">
        <v>0.33397453999999999</v>
      </c>
      <c r="CG232" s="512"/>
    </row>
    <row r="233" spans="1:85" s="519" customFormat="1">
      <c r="A233" s="546">
        <v>62006039</v>
      </c>
      <c r="B233" s="543" t="s">
        <v>836</v>
      </c>
      <c r="C233" s="543" t="s">
        <v>770</v>
      </c>
      <c r="D233" s="521" t="s">
        <v>995</v>
      </c>
      <c r="E233" s="513" t="s">
        <v>1001</v>
      </c>
      <c r="F233" s="536" t="str">
        <f t="shared" si="137"/>
        <v>06/15/20</v>
      </c>
      <c r="G233" s="524" t="s">
        <v>1002</v>
      </c>
      <c r="H233" s="524" t="s">
        <v>708</v>
      </c>
      <c r="I233" s="532"/>
      <c r="J233" s="531">
        <v>22.955960000000001</v>
      </c>
      <c r="K233" s="531">
        <v>41.209296999999999</v>
      </c>
      <c r="L233" s="531">
        <v>29.623716000000002</v>
      </c>
      <c r="M233" s="531">
        <v>34.070126999999999</v>
      </c>
      <c r="N233" s="528">
        <v>4250</v>
      </c>
      <c r="O233" s="528">
        <v>38.71</v>
      </c>
      <c r="P233" s="528">
        <v>3.0499999999999999E-2</v>
      </c>
      <c r="Q233" s="528">
        <v>1.4999999999999999E-2</v>
      </c>
      <c r="R233" s="529">
        <v>1.77445114</v>
      </c>
      <c r="S233" s="529">
        <f>R233+R232</f>
        <v>12.05768546</v>
      </c>
      <c r="T233" s="544">
        <v>92</v>
      </c>
      <c r="U233" s="544">
        <v>89.7</v>
      </c>
      <c r="V233" s="530">
        <v>6407</v>
      </c>
      <c r="W233" s="530">
        <v>8360</v>
      </c>
      <c r="X233" s="530">
        <f>W233-V233-X234</f>
        <v>453</v>
      </c>
      <c r="Y233" s="530">
        <f t="shared" si="128"/>
        <v>255.29020765260407</v>
      </c>
      <c r="Z233" s="534">
        <v>6404</v>
      </c>
      <c r="AA233" s="530">
        <v>8358</v>
      </c>
      <c r="AB233" s="530">
        <f>AA233-Z233-AB234</f>
        <v>453</v>
      </c>
      <c r="AC233" s="533">
        <f t="shared" si="129"/>
        <v>255.29020765260407</v>
      </c>
      <c r="AD233" s="534">
        <v>126</v>
      </c>
      <c r="AE233" s="530">
        <v>181</v>
      </c>
      <c r="AF233" s="530">
        <f>AE233-AD233-AF234</f>
        <v>38</v>
      </c>
      <c r="AG233" s="533">
        <f t="shared" si="130"/>
        <v>21.415072606620207</v>
      </c>
      <c r="AH233" s="534">
        <v>5471</v>
      </c>
      <c r="AI233" s="530">
        <v>7300</v>
      </c>
      <c r="AJ233" s="530">
        <f>AI233-AH233-AJ234</f>
        <v>387</v>
      </c>
      <c r="AK233" s="533">
        <f t="shared" si="131"/>
        <v>218.09560786215843</v>
      </c>
      <c r="AL233" s="534">
        <v>798.9</v>
      </c>
      <c r="AM233" s="530">
        <v>866.4</v>
      </c>
      <c r="AN233" s="530">
        <f>AM233-AL233-AN234</f>
        <v>26.300000000000068</v>
      </c>
      <c r="AO233" s="533">
        <f t="shared" si="132"/>
        <v>14.821484461950341</v>
      </c>
      <c r="AP233" s="534">
        <v>637.05176100000006</v>
      </c>
      <c r="AQ233" s="530">
        <v>692.64141099999995</v>
      </c>
      <c r="AR233" s="530">
        <f>AQ233-AP233-AR234</f>
        <v>21.659972999999809</v>
      </c>
      <c r="AS233" s="533">
        <f t="shared" si="133"/>
        <v>12.206576169800769</v>
      </c>
      <c r="AT233" s="534">
        <v>2</v>
      </c>
      <c r="AU233" s="530">
        <v>2.2000000000000002</v>
      </c>
      <c r="AV233" s="530">
        <f>AU233-AT233-AV234</f>
        <v>0.20000000000000018</v>
      </c>
      <c r="AW233" s="533">
        <f t="shared" si="134"/>
        <v>0.11271090845589593</v>
      </c>
      <c r="AX233" s="534">
        <v>5.2</v>
      </c>
      <c r="AY233" s="530">
        <v>5.5</v>
      </c>
      <c r="AZ233" s="530">
        <f>AY233-AX233-AZ234</f>
        <v>0</v>
      </c>
      <c r="BA233" s="533">
        <f t="shared" si="135"/>
        <v>0</v>
      </c>
      <c r="BB233" s="534">
        <v>-16.37</v>
      </c>
      <c r="BC233" s="530">
        <v>-16.91</v>
      </c>
      <c r="BD233" s="530">
        <f>BC233-BB233-BD234</f>
        <v>-0.2099999999999973</v>
      </c>
      <c r="BE233" s="530">
        <v>-3.2383989999999998</v>
      </c>
      <c r="BF233" s="533">
        <f t="shared" si="136"/>
        <v>-0.1183464538786891</v>
      </c>
      <c r="BG233" s="527">
        <v>92</v>
      </c>
      <c r="BH233" s="527">
        <v>89.7</v>
      </c>
      <c r="BI233" s="527">
        <f>BH233-BG233-BI234</f>
        <v>-0.5</v>
      </c>
      <c r="BJ233" s="545">
        <v>10.3</v>
      </c>
      <c r="BK233" s="545">
        <v>10.9</v>
      </c>
      <c r="BL233" s="545">
        <f>BK233-BJ233-BL234</f>
        <v>0.29999999999999893</v>
      </c>
      <c r="BM233" s="545">
        <v>0</v>
      </c>
      <c r="BN233" s="545">
        <v>0</v>
      </c>
      <c r="BO233" s="545">
        <f>BN233-BM233-BO234</f>
        <v>0</v>
      </c>
      <c r="BP233" s="527"/>
      <c r="BQ233" s="527"/>
      <c r="BR233" s="527"/>
      <c r="BS233" s="527"/>
      <c r="BT233" s="524" t="s">
        <v>723</v>
      </c>
      <c r="BU233" s="512">
        <v>5468.0560689399999</v>
      </c>
      <c r="BV233" s="512">
        <v>-4.3673166600000002</v>
      </c>
      <c r="BW233" s="512">
        <v>2351.8496651400001</v>
      </c>
      <c r="BX233" s="512">
        <v>2459.2530324200002</v>
      </c>
      <c r="BY233" s="512">
        <v>3.0120763699999999</v>
      </c>
      <c r="BZ233" s="512">
        <v>3.09814882</v>
      </c>
      <c r="CA233" s="512">
        <v>0.13202785</v>
      </c>
      <c r="CB233" s="512">
        <v>1.7744441500000001</v>
      </c>
      <c r="CC233" s="512">
        <v>1.7721044699999999</v>
      </c>
      <c r="CD233" s="512">
        <v>-2.99337937</v>
      </c>
      <c r="CE233" s="512">
        <v>-2.77818977</v>
      </c>
      <c r="CF233" s="512">
        <v>0.84358646999999998</v>
      </c>
      <c r="CG233" s="512"/>
    </row>
    <row r="234" spans="1:85" s="519" customFormat="1">
      <c r="A234" s="546">
        <v>62006039</v>
      </c>
      <c r="B234" s="543" t="s">
        <v>837</v>
      </c>
      <c r="C234" s="543" t="s">
        <v>705</v>
      </c>
      <c r="D234" s="521" t="s">
        <v>995</v>
      </c>
      <c r="E234" s="513" t="s">
        <v>1001</v>
      </c>
      <c r="F234" s="536" t="str">
        <f t="shared" si="137"/>
        <v>06/15/20</v>
      </c>
      <c r="G234" s="524" t="s">
        <v>1002</v>
      </c>
      <c r="H234" s="524" t="s">
        <v>708</v>
      </c>
      <c r="I234" s="532"/>
      <c r="J234" s="531">
        <v>25.668281</v>
      </c>
      <c r="K234" s="531">
        <v>35.608561000000002</v>
      </c>
      <c r="L234" s="531">
        <v>29.632539999999999</v>
      </c>
      <c r="M234" s="531">
        <v>32.866582000000001</v>
      </c>
      <c r="N234" s="528">
        <v>4250</v>
      </c>
      <c r="O234" s="528">
        <v>38.71</v>
      </c>
      <c r="P234" s="528">
        <v>3.0499999999999999E-2</v>
      </c>
      <c r="Q234" s="528">
        <v>1.4999999999999999E-2</v>
      </c>
      <c r="R234" s="529">
        <v>6.2508731400000004</v>
      </c>
      <c r="S234" s="529">
        <f>R234+R233</f>
        <v>8.0253242799999995</v>
      </c>
      <c r="T234" s="544">
        <v>91.7</v>
      </c>
      <c r="U234" s="544">
        <v>89.9</v>
      </c>
      <c r="V234" s="530">
        <v>6709</v>
      </c>
      <c r="W234" s="530">
        <v>8209</v>
      </c>
      <c r="X234" s="530">
        <f>W234-V234</f>
        <v>1500</v>
      </c>
      <c r="Y234" s="530">
        <f t="shared" si="128"/>
        <v>239.96647610736824</v>
      </c>
      <c r="Z234" s="534">
        <v>6706</v>
      </c>
      <c r="AA234" s="530">
        <v>8207</v>
      </c>
      <c r="AB234" s="530">
        <f>AA234-Z234</f>
        <v>1501</v>
      </c>
      <c r="AC234" s="533">
        <f t="shared" si="129"/>
        <v>240.12645375810649</v>
      </c>
      <c r="AD234" s="534">
        <v>140</v>
      </c>
      <c r="AE234" s="530">
        <v>157</v>
      </c>
      <c r="AF234" s="530">
        <f>AE234-AD234</f>
        <v>17</v>
      </c>
      <c r="AG234" s="533">
        <f t="shared" si="130"/>
        <v>2.7196200625501734</v>
      </c>
      <c r="AH234" s="534">
        <v>5743</v>
      </c>
      <c r="AI234" s="530">
        <v>7185</v>
      </c>
      <c r="AJ234" s="530">
        <f>AI234-AH234</f>
        <v>1442</v>
      </c>
      <c r="AK234" s="533">
        <f t="shared" si="131"/>
        <v>230.68777236455</v>
      </c>
      <c r="AL234" s="534">
        <v>813.7</v>
      </c>
      <c r="AM234" s="530">
        <v>854.9</v>
      </c>
      <c r="AN234" s="530">
        <f>AM234-AL234</f>
        <v>41.199999999999932</v>
      </c>
      <c r="AO234" s="533">
        <f t="shared" si="132"/>
        <v>6.5910792104157032</v>
      </c>
      <c r="AP234" s="534">
        <v>649.24168399999996</v>
      </c>
      <c r="AQ234" s="530">
        <v>683.17136100000005</v>
      </c>
      <c r="AR234" s="530">
        <f>AQ234-AP234</f>
        <v>33.929677000000083</v>
      </c>
      <c r="AS234" s="533">
        <f t="shared" si="133"/>
        <v>5.4279900167674944</v>
      </c>
      <c r="AT234" s="534">
        <v>2.1</v>
      </c>
      <c r="AU234" s="530">
        <v>2.1</v>
      </c>
      <c r="AV234" s="530">
        <f>AU234-AT234</f>
        <v>0</v>
      </c>
      <c r="AW234" s="533">
        <f t="shared" si="134"/>
        <v>0</v>
      </c>
      <c r="AX234" s="534">
        <v>5.2</v>
      </c>
      <c r="AY234" s="530">
        <v>5.5</v>
      </c>
      <c r="AZ234" s="530">
        <f>AY234-AX234</f>
        <v>0.29999999999999982</v>
      </c>
      <c r="BA234" s="533">
        <f t="shared" si="135"/>
        <v>4.7993295221473622E-2</v>
      </c>
      <c r="BB234" s="534">
        <v>-16.489999999999998</v>
      </c>
      <c r="BC234" s="530">
        <v>-16.82</v>
      </c>
      <c r="BD234" s="530">
        <f>BC234-BB234</f>
        <v>-0.33000000000000185</v>
      </c>
      <c r="BE234" s="530">
        <v>-3.2323710000000001</v>
      </c>
      <c r="BF234" s="533">
        <f t="shared" si="136"/>
        <v>-5.2792624743621307E-2</v>
      </c>
      <c r="BG234" s="527">
        <v>91.7</v>
      </c>
      <c r="BH234" s="527">
        <v>89.9</v>
      </c>
      <c r="BI234" s="527">
        <f>BH234-BG234</f>
        <v>-1.7999999999999972</v>
      </c>
      <c r="BJ234" s="545">
        <v>10.5</v>
      </c>
      <c r="BK234" s="545">
        <v>10.8</v>
      </c>
      <c r="BL234" s="545">
        <f>BK234-BJ234</f>
        <v>0.30000000000000071</v>
      </c>
      <c r="BM234" s="545">
        <v>0</v>
      </c>
      <c r="BN234" s="545">
        <v>0</v>
      </c>
      <c r="BO234" s="545">
        <f>BN234-BM234</f>
        <v>0</v>
      </c>
      <c r="BP234" s="527"/>
      <c r="BQ234" s="527"/>
      <c r="BR234" s="527"/>
      <c r="BS234" s="527"/>
      <c r="BT234" s="524" t="s">
        <v>723</v>
      </c>
      <c r="BU234" s="512">
        <v>11259.172535920001</v>
      </c>
      <c r="BV234" s="512">
        <v>-1.082052</v>
      </c>
      <c r="BW234" s="512">
        <v>1125.8512635899999</v>
      </c>
      <c r="BX234" s="512">
        <v>1138.16682049</v>
      </c>
      <c r="BY234" s="512">
        <v>5.8899828999999997</v>
      </c>
      <c r="BZ234" s="512">
        <v>5.89167489</v>
      </c>
      <c r="CA234" s="512">
        <v>0.25793263</v>
      </c>
      <c r="CB234" s="512">
        <v>6.2509397099999999</v>
      </c>
      <c r="CC234" s="512">
        <v>6.2348579800000001</v>
      </c>
      <c r="CD234" s="512">
        <v>-0.28673335999999999</v>
      </c>
      <c r="CE234" s="512">
        <v>-2.8718380000000002E-2</v>
      </c>
      <c r="CF234" s="512">
        <v>0.41947925000000003</v>
      </c>
      <c r="CG234" s="512"/>
    </row>
    <row r="235" spans="1:85" s="519" customFormat="1">
      <c r="A235" s="546">
        <v>62006039</v>
      </c>
      <c r="B235" s="543" t="s">
        <v>835</v>
      </c>
      <c r="C235" s="543" t="s">
        <v>703</v>
      </c>
      <c r="D235" s="521" t="s">
        <v>995</v>
      </c>
      <c r="E235" s="513" t="s">
        <v>1001</v>
      </c>
      <c r="F235" s="536" t="str">
        <f t="shared" si="137"/>
        <v>06/15/20</v>
      </c>
      <c r="G235" s="524" t="s">
        <v>1002</v>
      </c>
      <c r="H235" s="524" t="s">
        <v>708</v>
      </c>
      <c r="I235" s="532"/>
      <c r="J235" s="468">
        <f>AVERAGE(J233:J234)</f>
        <v>24.312120499999999</v>
      </c>
      <c r="K235" s="468">
        <f>AVERAGE(K233:K234)</f>
        <v>38.408929000000001</v>
      </c>
      <c r="L235" s="468">
        <f>AVERAGE(L233:L234)</f>
        <v>29.628128</v>
      </c>
      <c r="M235" s="468">
        <f>AVERAGE(M233:M234)</f>
        <v>33.468354500000004</v>
      </c>
      <c r="N235" s="452"/>
      <c r="O235" s="528"/>
      <c r="P235" s="470"/>
      <c r="Q235" s="469"/>
      <c r="R235" s="453">
        <f>R234+R233</f>
        <v>8.0253242799999995</v>
      </c>
      <c r="S235" s="453">
        <f>S234</f>
        <v>8.0253242799999995</v>
      </c>
      <c r="T235" s="493">
        <f>T233</f>
        <v>92</v>
      </c>
      <c r="U235" s="493">
        <f>U234</f>
        <v>89.9</v>
      </c>
      <c r="V235" s="456">
        <f>V233</f>
        <v>6407</v>
      </c>
      <c r="W235" s="456">
        <f>W234</f>
        <v>8209</v>
      </c>
      <c r="X235" s="456">
        <f>SUM(X233:X234)</f>
        <v>1953</v>
      </c>
      <c r="Y235" s="456">
        <f t="shared" si="128"/>
        <v>243.35465233063456</v>
      </c>
      <c r="Z235" s="456">
        <f>Z233</f>
        <v>6404</v>
      </c>
      <c r="AA235" s="456">
        <f>AA234</f>
        <v>8207</v>
      </c>
      <c r="AB235" s="456">
        <f>SUM(AB233:AB234)</f>
        <v>1954</v>
      </c>
      <c r="AC235" s="454">
        <f t="shared" si="129"/>
        <v>243.47925788738348</v>
      </c>
      <c r="AD235" s="456">
        <f>AD233</f>
        <v>126</v>
      </c>
      <c r="AE235" s="456">
        <f>AE234</f>
        <v>157</v>
      </c>
      <c r="AF235" s="456">
        <f>SUM(AF233:AF234)</f>
        <v>55</v>
      </c>
      <c r="AG235" s="454">
        <f t="shared" si="130"/>
        <v>6.8533056211904251</v>
      </c>
      <c r="AH235" s="456">
        <f>AH233</f>
        <v>5471</v>
      </c>
      <c r="AI235" s="456">
        <f>AI234</f>
        <v>7185</v>
      </c>
      <c r="AJ235" s="456">
        <f>SUM(AJ233:AJ234)</f>
        <v>1829</v>
      </c>
      <c r="AK235" s="454">
        <f t="shared" si="131"/>
        <v>227.90356329376888</v>
      </c>
      <c r="AL235" s="456">
        <f>AL233</f>
        <v>798.9</v>
      </c>
      <c r="AM235" s="456">
        <f>AM234</f>
        <v>854.9</v>
      </c>
      <c r="AN235" s="456">
        <f>SUM(AN233:AN234)</f>
        <v>67.5</v>
      </c>
      <c r="AO235" s="454">
        <f t="shared" si="132"/>
        <v>8.4108750805518859</v>
      </c>
      <c r="AP235" s="456">
        <f>AP233</f>
        <v>637.05176100000006</v>
      </c>
      <c r="AQ235" s="456">
        <f>AQ234</f>
        <v>683.17136100000005</v>
      </c>
      <c r="AR235" s="456">
        <f>SUM(AR233:AR234)</f>
        <v>55.589649999999892</v>
      </c>
      <c r="AS235" s="454">
        <f t="shared" si="133"/>
        <v>6.9267792877274106</v>
      </c>
      <c r="AT235" s="456">
        <f>AT233</f>
        <v>2</v>
      </c>
      <c r="AU235" s="456">
        <f>AU234</f>
        <v>2.1</v>
      </c>
      <c r="AV235" s="456">
        <f>SUM(AV233:AV234)</f>
        <v>0.20000000000000018</v>
      </c>
      <c r="AW235" s="454">
        <f t="shared" si="134"/>
        <v>2.4921111349783386E-2</v>
      </c>
      <c r="AX235" s="456">
        <f>AX233</f>
        <v>5.2</v>
      </c>
      <c r="AY235" s="456">
        <f>AY234</f>
        <v>5.5</v>
      </c>
      <c r="AZ235" s="456">
        <f>SUM(AZ233:AZ234)</f>
        <v>0.29999999999999982</v>
      </c>
      <c r="BA235" s="454">
        <f t="shared" si="135"/>
        <v>3.7381667024675026E-2</v>
      </c>
      <c r="BB235" s="456">
        <f>BB233</f>
        <v>-16.37</v>
      </c>
      <c r="BC235" s="456">
        <f>BC234</f>
        <v>-16.82</v>
      </c>
      <c r="BD235" s="456">
        <f>SUM(BD233:BD234)</f>
        <v>-0.53999999999999915</v>
      </c>
      <c r="BE235" s="530">
        <f>AVERAGE(BE233:BE234)</f>
        <v>-3.235385</v>
      </c>
      <c r="BF235" s="454">
        <f t="shared" si="136"/>
        <v>-6.7287000644414979E-2</v>
      </c>
      <c r="BG235" s="445"/>
      <c r="BH235" s="445"/>
      <c r="BI235" s="445">
        <f>SUM(BI233:BI234)</f>
        <v>-2.2999999999999972</v>
      </c>
      <c r="BJ235" s="496" t="s">
        <v>1185</v>
      </c>
      <c r="BK235" s="496" t="s">
        <v>1186</v>
      </c>
      <c r="BL235" s="496">
        <f>SUM(BL233:BL234)</f>
        <v>0.59999999999999964</v>
      </c>
      <c r="BM235" s="496" t="s">
        <v>1187</v>
      </c>
      <c r="BN235" s="496" t="s">
        <v>1188</v>
      </c>
      <c r="BO235" s="496">
        <f>SUM(BO233:BO234)</f>
        <v>0</v>
      </c>
      <c r="BP235" s="445"/>
      <c r="BQ235" s="445"/>
      <c r="BR235" s="445"/>
      <c r="BS235" s="445"/>
      <c r="BT235" s="524" t="s">
        <v>723</v>
      </c>
      <c r="BU235" s="512"/>
      <c r="BV235" s="512"/>
      <c r="BW235" s="512"/>
      <c r="BX235" s="512"/>
      <c r="BY235" s="512"/>
      <c r="BZ235" s="512"/>
      <c r="CA235" s="512"/>
      <c r="CB235" s="512"/>
      <c r="CC235" s="512"/>
      <c r="CD235" s="512"/>
      <c r="CE235" s="512"/>
      <c r="CF235" s="512"/>
      <c r="CG235" s="512"/>
    </row>
    <row r="236" spans="1:85" s="519" customFormat="1">
      <c r="A236" s="546">
        <v>62006039</v>
      </c>
      <c r="B236" s="543" t="s">
        <v>990</v>
      </c>
      <c r="C236" s="543" t="s">
        <v>788</v>
      </c>
      <c r="D236" s="521" t="s">
        <v>995</v>
      </c>
      <c r="E236" s="513" t="s">
        <v>1001</v>
      </c>
      <c r="F236" s="536" t="str">
        <f t="shared" si="137"/>
        <v>06/15/20</v>
      </c>
      <c r="G236" s="524" t="s">
        <v>1002</v>
      </c>
      <c r="H236" s="524" t="s">
        <v>708</v>
      </c>
      <c r="I236" s="532"/>
      <c r="J236" s="531">
        <v>24.221505000000001</v>
      </c>
      <c r="K236" s="531">
        <v>43.275976</v>
      </c>
      <c r="L236" s="531">
        <v>29.621549000000002</v>
      </c>
      <c r="M236" s="531">
        <v>32.410367000000001</v>
      </c>
      <c r="N236" s="528">
        <v>4250</v>
      </c>
      <c r="O236" s="528">
        <v>38.71</v>
      </c>
      <c r="P236" s="528">
        <v>3.0499999999999999E-2</v>
      </c>
      <c r="Q236" s="528">
        <v>1.4999999999999999E-2</v>
      </c>
      <c r="R236" s="529">
        <v>10.28330886</v>
      </c>
      <c r="S236" s="529">
        <f>R236+R235</f>
        <v>18.308633139999998</v>
      </c>
      <c r="T236" s="544">
        <v>89.7</v>
      </c>
      <c r="U236" s="544">
        <v>87.6</v>
      </c>
      <c r="V236" s="530">
        <v>8362</v>
      </c>
      <c r="W236" s="530">
        <v>10219</v>
      </c>
      <c r="X236" s="530">
        <f>W236-V236</f>
        <v>1857</v>
      </c>
      <c r="Y236" s="530">
        <f t="shared" si="128"/>
        <v>180.58389816757872</v>
      </c>
      <c r="Z236" s="534">
        <v>8360</v>
      </c>
      <c r="AA236" s="530">
        <v>10219</v>
      </c>
      <c r="AB236" s="530">
        <f>AA236-Z236</f>
        <v>1859</v>
      </c>
      <c r="AC236" s="533">
        <f t="shared" si="129"/>
        <v>180.77838809559981</v>
      </c>
      <c r="AD236" s="534">
        <v>181</v>
      </c>
      <c r="AE236" s="530">
        <v>183</v>
      </c>
      <c r="AF236" s="530">
        <f>AE236-AD236</f>
        <v>2</v>
      </c>
      <c r="AG236" s="533">
        <f t="shared" si="130"/>
        <v>0.19448992802108639</v>
      </c>
      <c r="AH236" s="534">
        <v>7300</v>
      </c>
      <c r="AI236" s="530">
        <v>9074</v>
      </c>
      <c r="AJ236" s="530">
        <f>AI236-AH236</f>
        <v>1774</v>
      </c>
      <c r="AK236" s="533">
        <f t="shared" si="131"/>
        <v>172.51256615470362</v>
      </c>
      <c r="AL236" s="534">
        <v>868.113921</v>
      </c>
      <c r="AM236" s="530">
        <v>947.7</v>
      </c>
      <c r="AN236" s="530">
        <f>AM236-AL236</f>
        <v>79.586079000000041</v>
      </c>
      <c r="AO236" s="533">
        <f t="shared" si="132"/>
        <v>7.7393453880952521</v>
      </c>
      <c r="AP236" s="534">
        <v>694.05139199999996</v>
      </c>
      <c r="AQ236" s="530">
        <v>758.68096600000001</v>
      </c>
      <c r="AR236" s="530">
        <f>AQ236-AP236</f>
        <v>64.629574000000048</v>
      </c>
      <c r="AS236" s="533">
        <f t="shared" si="133"/>
        <v>6.2849005976467431</v>
      </c>
      <c r="AT236" s="534">
        <v>2.2000000000000002</v>
      </c>
      <c r="AU236" s="530">
        <v>2.2999999999999998</v>
      </c>
      <c r="AV236" s="530">
        <f>AU236-AT236</f>
        <v>9.9999999999999645E-2</v>
      </c>
      <c r="AW236" s="533">
        <f t="shared" si="134"/>
        <v>9.7244964010542844E-3</v>
      </c>
      <c r="AX236" s="534">
        <v>5.5</v>
      </c>
      <c r="AY236" s="530">
        <v>6</v>
      </c>
      <c r="AZ236" s="530">
        <f>AY236-AX236</f>
        <v>0.5</v>
      </c>
      <c r="BA236" s="533">
        <f t="shared" si="135"/>
        <v>4.8622482005271597E-2</v>
      </c>
      <c r="BB236" s="534">
        <v>-16.920000000000002</v>
      </c>
      <c r="BC236" s="530">
        <v>-17.57</v>
      </c>
      <c r="BD236" s="530">
        <f>BC236-BB236</f>
        <v>-0.64999999999999858</v>
      </c>
      <c r="BE236" s="530">
        <v>-3.0388269999999999</v>
      </c>
      <c r="BF236" s="533">
        <f t="shared" si="136"/>
        <v>-6.3209226606852936E-2</v>
      </c>
      <c r="BG236" s="527">
        <v>89.7</v>
      </c>
      <c r="BH236" s="527">
        <v>87.6</v>
      </c>
      <c r="BI236" s="527">
        <f>BH236-BG236</f>
        <v>-2.1000000000000085</v>
      </c>
      <c r="BJ236" s="545">
        <v>10.9</v>
      </c>
      <c r="BK236" s="545">
        <v>11.7</v>
      </c>
      <c r="BL236" s="545">
        <f>BK236-BJ236</f>
        <v>0.79999999999999893</v>
      </c>
      <c r="BM236" s="545">
        <v>0</v>
      </c>
      <c r="BN236" s="545">
        <v>0</v>
      </c>
      <c r="BO236" s="545">
        <f>BN236-BM236</f>
        <v>0</v>
      </c>
      <c r="BP236" s="527"/>
      <c r="BQ236" s="527"/>
      <c r="BR236" s="527"/>
      <c r="BS236" s="527"/>
      <c r="BT236" s="524" t="s">
        <v>723</v>
      </c>
      <c r="BU236" s="512">
        <v>1873.2560036499999</v>
      </c>
      <c r="BV236" s="512">
        <v>-0.60117122999999995</v>
      </c>
      <c r="BW236" s="512">
        <v>1298.8586242700001</v>
      </c>
      <c r="BX236" s="512">
        <v>1306.71421418</v>
      </c>
      <c r="BY236" s="512">
        <v>6.8029935699999999</v>
      </c>
      <c r="BZ236" s="512">
        <v>6.79026437</v>
      </c>
      <c r="CA236" s="512">
        <v>0.26027146000000001</v>
      </c>
      <c r="CB236" s="512">
        <v>10.28337558</v>
      </c>
      <c r="CC236" s="512">
        <v>10.25668037</v>
      </c>
      <c r="CD236" s="512">
        <v>-7.2672609999999999E-2</v>
      </c>
      <c r="CE236" s="512">
        <v>0.18746261</v>
      </c>
      <c r="CF236" s="512">
        <v>0.33397628000000001</v>
      </c>
      <c r="CG236" s="512"/>
    </row>
    <row r="237" spans="1:85" s="519" customFormat="1">
      <c r="A237" s="546">
        <v>62006039</v>
      </c>
      <c r="B237" s="543" t="s">
        <v>841</v>
      </c>
      <c r="C237" s="543" t="s">
        <v>943</v>
      </c>
      <c r="D237" s="521" t="s">
        <v>995</v>
      </c>
      <c r="E237" s="513" t="s">
        <v>1001</v>
      </c>
      <c r="F237" s="536" t="str">
        <f t="shared" si="137"/>
        <v>06/15/20</v>
      </c>
      <c r="G237" s="524" t="s">
        <v>1002</v>
      </c>
      <c r="H237" s="524" t="s">
        <v>708</v>
      </c>
      <c r="I237" s="532"/>
      <c r="J237" s="531">
        <v>21.504238999999998</v>
      </c>
      <c r="K237" s="531">
        <v>45.974305000000001</v>
      </c>
      <c r="L237" s="531">
        <v>29.616243000000001</v>
      </c>
      <c r="M237" s="531">
        <v>32.937361000000003</v>
      </c>
      <c r="N237" s="528">
        <v>4250</v>
      </c>
      <c r="O237" s="528">
        <v>38.71</v>
      </c>
      <c r="P237" s="528">
        <v>3.0499999999999999E-2</v>
      </c>
      <c r="Q237" s="528">
        <v>1.4999999999999999E-2</v>
      </c>
      <c r="R237" s="529">
        <v>3.5971307600000002</v>
      </c>
      <c r="S237" s="529">
        <f>R237+R236</f>
        <v>13.880439620000001</v>
      </c>
      <c r="T237" s="544">
        <v>87.6</v>
      </c>
      <c r="U237" s="544">
        <v>86.9</v>
      </c>
      <c r="V237" s="530">
        <v>10220</v>
      </c>
      <c r="W237" s="530">
        <v>10860</v>
      </c>
      <c r="X237" s="530">
        <f>W237-V237</f>
        <v>640</v>
      </c>
      <c r="Y237" s="530">
        <f t="shared" si="128"/>
        <v>177.91958166124601</v>
      </c>
      <c r="Z237" s="534">
        <v>10219</v>
      </c>
      <c r="AA237" s="530">
        <v>10860</v>
      </c>
      <c r="AB237" s="530">
        <f>AA237-Z237</f>
        <v>641</v>
      </c>
      <c r="AC237" s="533">
        <f t="shared" si="129"/>
        <v>178.19758100759171</v>
      </c>
      <c r="AD237" s="534">
        <v>183</v>
      </c>
      <c r="AE237" s="530">
        <v>190</v>
      </c>
      <c r="AF237" s="530">
        <f>AE237-AD237</f>
        <v>7</v>
      </c>
      <c r="AG237" s="533">
        <f t="shared" si="130"/>
        <v>1.9459954244198783</v>
      </c>
      <c r="AH237" s="534">
        <v>9074</v>
      </c>
      <c r="AI237" s="530">
        <v>9655</v>
      </c>
      <c r="AJ237" s="530">
        <f>AI237-AH237</f>
        <v>581</v>
      </c>
      <c r="AK237" s="533">
        <f t="shared" si="131"/>
        <v>161.51762022684991</v>
      </c>
      <c r="AL237" s="534">
        <v>947.8</v>
      </c>
      <c r="AM237" s="530">
        <v>1000.3</v>
      </c>
      <c r="AN237" s="530">
        <f>AM237-AL237</f>
        <v>52.5</v>
      </c>
      <c r="AO237" s="533">
        <f t="shared" si="132"/>
        <v>14.594965683149088</v>
      </c>
      <c r="AP237" s="534">
        <v>758.8</v>
      </c>
      <c r="AQ237" s="530">
        <v>801.42</v>
      </c>
      <c r="AR237" s="530">
        <f>AQ237-AP237</f>
        <v>42.620000000000005</v>
      </c>
      <c r="AS237" s="533">
        <f t="shared" si="133"/>
        <v>11.848332141253604</v>
      </c>
      <c r="AT237" s="534">
        <v>2.2999999999999998</v>
      </c>
      <c r="AU237" s="530">
        <v>2.5</v>
      </c>
      <c r="AV237" s="530">
        <f>AU237-AT237</f>
        <v>0.20000000000000018</v>
      </c>
      <c r="AW237" s="533">
        <f t="shared" si="134"/>
        <v>5.5599869269139429E-2</v>
      </c>
      <c r="AX237" s="534">
        <v>6</v>
      </c>
      <c r="AY237" s="530">
        <v>6.3</v>
      </c>
      <c r="AZ237" s="530">
        <f>AY237-AX237</f>
        <v>0.29999999999999982</v>
      </c>
      <c r="BA237" s="533">
        <f t="shared" si="135"/>
        <v>8.3399803903709019E-2</v>
      </c>
      <c r="BB237" s="534">
        <v>-17.57</v>
      </c>
      <c r="BC237" s="530">
        <v>-17.98</v>
      </c>
      <c r="BD237" s="530">
        <f>BC237-BB237</f>
        <v>-0.41000000000000014</v>
      </c>
      <c r="BE237" s="530">
        <v>-2.9243160000000001</v>
      </c>
      <c r="BF237" s="533">
        <f t="shared" si="136"/>
        <v>-0.11397973200173578</v>
      </c>
      <c r="BG237" s="527">
        <v>87.6</v>
      </c>
      <c r="BH237" s="527">
        <v>86.9</v>
      </c>
      <c r="BI237" s="527">
        <f>BH237-BG237</f>
        <v>-0.69999999999998863</v>
      </c>
      <c r="BJ237" s="545">
        <v>11.7</v>
      </c>
      <c r="BK237" s="545">
        <v>12.2</v>
      </c>
      <c r="BL237" s="545">
        <f>BK237-BJ237</f>
        <v>0.5</v>
      </c>
      <c r="BM237" s="545">
        <v>0</v>
      </c>
      <c r="BN237" s="545">
        <v>0</v>
      </c>
      <c r="BO237" s="545">
        <f>BN237-BM237</f>
        <v>0</v>
      </c>
      <c r="BP237" s="527"/>
      <c r="BQ237" s="527"/>
      <c r="BR237" s="527"/>
      <c r="BS237" s="527"/>
      <c r="BT237" s="524" t="s">
        <v>723</v>
      </c>
      <c r="BU237" s="512">
        <v>2370.6764714699998</v>
      </c>
      <c r="BV237" s="512">
        <v>-1.0172322199999999</v>
      </c>
      <c r="BW237" s="512">
        <v>2027.8790386000001</v>
      </c>
      <c r="BX237" s="512">
        <v>2048.71927117</v>
      </c>
      <c r="BY237" s="512">
        <v>3.0224672699999999</v>
      </c>
      <c r="BZ237" s="512">
        <v>3.0318399</v>
      </c>
      <c r="CA237" s="512">
        <v>0.17142861000000001</v>
      </c>
      <c r="CB237" s="512">
        <v>3.5971356800000001</v>
      </c>
      <c r="CC237" s="512">
        <v>3.59097971</v>
      </c>
      <c r="CD237" s="512">
        <v>-0.48205884999999998</v>
      </c>
      <c r="CE237" s="512">
        <v>-0.30914001000000002</v>
      </c>
      <c r="CF237" s="512">
        <v>0.63448696999999998</v>
      </c>
      <c r="CG237" s="512"/>
    </row>
    <row r="238" spans="1:85" s="519" customFormat="1">
      <c r="A238" s="546">
        <v>62006039</v>
      </c>
      <c r="B238" s="543" t="s">
        <v>234</v>
      </c>
      <c r="C238" s="543" t="s">
        <v>944</v>
      </c>
      <c r="D238" s="521" t="s">
        <v>995</v>
      </c>
      <c r="E238" s="513" t="s">
        <v>1001</v>
      </c>
      <c r="F238" s="536" t="str">
        <f t="shared" si="137"/>
        <v>06/15/20</v>
      </c>
      <c r="G238" s="524" t="s">
        <v>1002</v>
      </c>
      <c r="H238" s="524" t="s">
        <v>708</v>
      </c>
      <c r="I238" s="532"/>
      <c r="J238" s="531">
        <v>18.497786999999999</v>
      </c>
      <c r="K238" s="531">
        <v>61.393383</v>
      </c>
      <c r="L238" s="531">
        <v>29.615148999999999</v>
      </c>
      <c r="M238" s="531">
        <v>30.517862999999998</v>
      </c>
      <c r="N238" s="528">
        <v>4250</v>
      </c>
      <c r="O238" s="528">
        <v>38.71</v>
      </c>
      <c r="P238" s="528">
        <v>3.0499999999999999E-2</v>
      </c>
      <c r="Q238" s="528">
        <v>1.4999999999999999E-2</v>
      </c>
      <c r="R238" s="529">
        <v>3.8636914500000001</v>
      </c>
      <c r="S238" s="529">
        <f>R238+R237</f>
        <v>7.4608222099999999</v>
      </c>
      <c r="T238" s="544">
        <v>86.9</v>
      </c>
      <c r="U238" s="544">
        <v>86.1</v>
      </c>
      <c r="V238" s="530">
        <v>10860</v>
      </c>
      <c r="W238" s="530">
        <v>11494</v>
      </c>
      <c r="X238" s="530">
        <f>W238-V238</f>
        <v>634</v>
      </c>
      <c r="Y238" s="530">
        <f t="shared" si="128"/>
        <v>164.09177808440162</v>
      </c>
      <c r="Z238" s="534">
        <v>10860</v>
      </c>
      <c r="AA238" s="530">
        <v>11495</v>
      </c>
      <c r="AB238" s="530">
        <f>AA238-Z238</f>
        <v>635</v>
      </c>
      <c r="AC238" s="533">
        <f t="shared" si="129"/>
        <v>164.35059792365149</v>
      </c>
      <c r="AD238" s="534">
        <v>190</v>
      </c>
      <c r="AE238" s="530">
        <v>208</v>
      </c>
      <c r="AF238" s="530">
        <f>AE238-AD238</f>
        <v>18</v>
      </c>
      <c r="AG238" s="533">
        <f t="shared" si="130"/>
        <v>4.6587571064972071</v>
      </c>
      <c r="AH238" s="534">
        <v>9655</v>
      </c>
      <c r="AI238" s="530">
        <v>10180</v>
      </c>
      <c r="AJ238" s="530">
        <f>AI238-AH238</f>
        <v>525</v>
      </c>
      <c r="AK238" s="533">
        <f t="shared" si="131"/>
        <v>135.88041560616855</v>
      </c>
      <c r="AL238" s="534">
        <v>1000.3</v>
      </c>
      <c r="AM238" s="530">
        <v>1088.5</v>
      </c>
      <c r="AN238" s="530">
        <f>AM238-AL238</f>
        <v>88.200000000000045</v>
      </c>
      <c r="AO238" s="533">
        <f t="shared" si="132"/>
        <v>22.827909821836329</v>
      </c>
      <c r="AP238" s="534">
        <v>801.44</v>
      </c>
      <c r="AQ238" s="530">
        <v>872.73</v>
      </c>
      <c r="AR238" s="530">
        <f>AQ238-AP238</f>
        <v>71.289999999999964</v>
      </c>
      <c r="AS238" s="533">
        <f t="shared" si="133"/>
        <v>18.451266340121428</v>
      </c>
      <c r="AT238" s="534">
        <v>2.5</v>
      </c>
      <c r="AU238" s="530">
        <v>2.6</v>
      </c>
      <c r="AV238" s="530">
        <f>AU238-AT238</f>
        <v>0.10000000000000009</v>
      </c>
      <c r="AW238" s="533">
        <f t="shared" si="134"/>
        <v>2.5881983924984506E-2</v>
      </c>
      <c r="AX238" s="534">
        <v>6.3</v>
      </c>
      <c r="AY238" s="530">
        <v>6.8</v>
      </c>
      <c r="AZ238" s="530">
        <f>AY238-AX238</f>
        <v>0.5</v>
      </c>
      <c r="BA238" s="533">
        <f t="shared" si="135"/>
        <v>0.12940991962492243</v>
      </c>
      <c r="BB238" s="534">
        <v>-17.98</v>
      </c>
      <c r="BC238" s="530">
        <v>-18.649999999999999</v>
      </c>
      <c r="BD238" s="530">
        <f>BC238-BB238</f>
        <v>-0.66999999999999815</v>
      </c>
      <c r="BE238" s="530">
        <v>-2.7879119999999999</v>
      </c>
      <c r="BF238" s="533">
        <f t="shared" si="136"/>
        <v>-0.17340929229739557</v>
      </c>
      <c r="BG238" s="527">
        <v>86.9</v>
      </c>
      <c r="BH238" s="527">
        <v>86.1</v>
      </c>
      <c r="BI238" s="527">
        <f>BH238-BG238</f>
        <v>-0.80000000000001137</v>
      </c>
      <c r="BJ238" s="545">
        <v>12.2</v>
      </c>
      <c r="BK238" s="545">
        <v>13</v>
      </c>
      <c r="BL238" s="545">
        <f>BK238-BJ238</f>
        <v>0.80000000000000071</v>
      </c>
      <c r="BM238" s="545">
        <v>0</v>
      </c>
      <c r="BN238" s="545">
        <v>0</v>
      </c>
      <c r="BO238" s="545">
        <f>BN238-BM238</f>
        <v>0</v>
      </c>
      <c r="BP238" s="527"/>
      <c r="BQ238" s="527"/>
      <c r="BR238" s="527"/>
      <c r="BS238" s="527"/>
      <c r="BT238" s="524" t="s">
        <v>723</v>
      </c>
      <c r="BU238" s="512">
        <v>1475.2145315</v>
      </c>
      <c r="BV238" s="512">
        <v>-1.29027414</v>
      </c>
      <c r="BW238" s="512">
        <v>3372.1117028399999</v>
      </c>
      <c r="BX238" s="512">
        <v>3416.1899177800001</v>
      </c>
      <c r="BY238" s="512">
        <v>2.9820116200000002</v>
      </c>
      <c r="BZ238" s="512">
        <v>2.9952671300000002</v>
      </c>
      <c r="CA238" s="512">
        <v>9.7933409999999999E-2</v>
      </c>
      <c r="CB238" s="512">
        <v>3.8636108899999999</v>
      </c>
      <c r="CC238" s="512">
        <v>3.8598308299999999</v>
      </c>
      <c r="CD238" s="512">
        <v>-0.54288444000000002</v>
      </c>
      <c r="CE238" s="512">
        <v>-0.44254850000000001</v>
      </c>
      <c r="CF238" s="512">
        <v>0.72009480000000003</v>
      </c>
      <c r="CG238" s="512"/>
    </row>
    <row r="239" spans="1:85" s="519" customFormat="1">
      <c r="A239" s="546">
        <v>62006039</v>
      </c>
      <c r="B239" s="543" t="s">
        <v>842</v>
      </c>
      <c r="C239" s="543" t="s">
        <v>991</v>
      </c>
      <c r="D239" s="521" t="s">
        <v>995</v>
      </c>
      <c r="E239" s="513" t="s">
        <v>1001</v>
      </c>
      <c r="F239" s="536" t="str">
        <f t="shared" si="137"/>
        <v>06/15/20</v>
      </c>
      <c r="G239" s="524" t="s">
        <v>1002</v>
      </c>
      <c r="H239" s="524" t="s">
        <v>708</v>
      </c>
      <c r="I239" s="532"/>
      <c r="J239" s="468">
        <f>AVERAGE(J237:J238)</f>
        <v>20.001013</v>
      </c>
      <c r="K239" s="468">
        <f>AVERAGE(K237:K238)</f>
        <v>53.683844000000001</v>
      </c>
      <c r="L239" s="468">
        <f>AVERAGE(L237:L238)</f>
        <v>29.615696</v>
      </c>
      <c r="M239" s="468">
        <f>AVERAGE(M237:M238)</f>
        <v>31.727612000000001</v>
      </c>
      <c r="N239" s="452"/>
      <c r="O239" s="528"/>
      <c r="P239" s="470"/>
      <c r="Q239" s="469"/>
      <c r="R239" s="453">
        <f>R238+R237</f>
        <v>7.4608222099999999</v>
      </c>
      <c r="S239" s="453">
        <f>S238</f>
        <v>7.4608222099999999</v>
      </c>
      <c r="T239" s="493">
        <f>T237</f>
        <v>87.6</v>
      </c>
      <c r="U239" s="493">
        <f>U238</f>
        <v>86.1</v>
      </c>
      <c r="V239" s="456">
        <f>V237</f>
        <v>10220</v>
      </c>
      <c r="W239" s="456">
        <f>W238</f>
        <v>11494</v>
      </c>
      <c r="X239" s="456">
        <f>SUM(X237:X238)</f>
        <v>1274</v>
      </c>
      <c r="Y239" s="456">
        <f t="shared" si="128"/>
        <v>170.75865958746658</v>
      </c>
      <c r="Z239" s="456">
        <f>Z237</f>
        <v>10219</v>
      </c>
      <c r="AA239" s="456">
        <f>AA238</f>
        <v>11495</v>
      </c>
      <c r="AB239" s="456">
        <f>SUM(AB237:AB238)</f>
        <v>1276</v>
      </c>
      <c r="AC239" s="454">
        <f t="shared" si="129"/>
        <v>171.02672655699163</v>
      </c>
      <c r="AD239" s="456">
        <f>AD237</f>
        <v>183</v>
      </c>
      <c r="AE239" s="456">
        <f>AE238</f>
        <v>208</v>
      </c>
      <c r="AF239" s="456">
        <f>SUM(AF237:AF238)</f>
        <v>25</v>
      </c>
      <c r="AG239" s="454">
        <f t="shared" si="130"/>
        <v>3.3508371190633159</v>
      </c>
      <c r="AH239" s="456">
        <f>AH237</f>
        <v>9074</v>
      </c>
      <c r="AI239" s="456">
        <f>AI238</f>
        <v>10180</v>
      </c>
      <c r="AJ239" s="456">
        <f>SUM(AJ237:AJ238)</f>
        <v>1106</v>
      </c>
      <c r="AK239" s="454">
        <f t="shared" si="131"/>
        <v>148.24103414736109</v>
      </c>
      <c r="AL239" s="456">
        <f>AL237</f>
        <v>947.8</v>
      </c>
      <c r="AM239" s="456">
        <f>AM238</f>
        <v>1088.5</v>
      </c>
      <c r="AN239" s="456">
        <f>SUM(AN237:AN238)</f>
        <v>140.70000000000005</v>
      </c>
      <c r="AO239" s="454">
        <f t="shared" si="132"/>
        <v>18.858511306088346</v>
      </c>
      <c r="AP239" s="456">
        <f>AP237</f>
        <v>758.8</v>
      </c>
      <c r="AQ239" s="456">
        <f>AQ238</f>
        <v>872.73</v>
      </c>
      <c r="AR239" s="456">
        <f>SUM(AR237:AR238)</f>
        <v>113.90999999999997</v>
      </c>
      <c r="AS239" s="454">
        <f t="shared" si="133"/>
        <v>15.267754249300088</v>
      </c>
      <c r="AT239" s="456">
        <f>AT237</f>
        <v>2.2999999999999998</v>
      </c>
      <c r="AU239" s="456">
        <f>AU238</f>
        <v>2.6</v>
      </c>
      <c r="AV239" s="456">
        <f>SUM(AV237:AV238)</f>
        <v>0.30000000000000027</v>
      </c>
      <c r="AW239" s="454">
        <f t="shared" si="134"/>
        <v>4.0210045428759826E-2</v>
      </c>
      <c r="AX239" s="456">
        <f>AX237</f>
        <v>6</v>
      </c>
      <c r="AY239" s="456">
        <f>AY238</f>
        <v>6.8</v>
      </c>
      <c r="AZ239" s="456">
        <f>SUM(AZ237:AZ238)</f>
        <v>0.79999999999999982</v>
      </c>
      <c r="BA239" s="454">
        <f t="shared" si="135"/>
        <v>0.10722678781002608</v>
      </c>
      <c r="BB239" s="456">
        <f>BB237</f>
        <v>-17.57</v>
      </c>
      <c r="BC239" s="456">
        <f>BC238</f>
        <v>-18.649999999999999</v>
      </c>
      <c r="BD239" s="456">
        <f>SUM(BD237:BD238)</f>
        <v>-1.0799999999999983</v>
      </c>
      <c r="BE239" s="530">
        <f>AVERAGE(BE237:BE238)</f>
        <v>-2.8561139999999998</v>
      </c>
      <c r="BF239" s="454">
        <f t="shared" si="136"/>
        <v>-0.14475616354353502</v>
      </c>
      <c r="BG239" s="445"/>
      <c r="BH239" s="445"/>
      <c r="BI239" s="445">
        <f>SUM(BI237:BI238)</f>
        <v>-1.5</v>
      </c>
      <c r="BJ239" s="496" t="s">
        <v>1189</v>
      </c>
      <c r="BK239" s="496" t="s">
        <v>1190</v>
      </c>
      <c r="BL239" s="496">
        <f>SUM(BL237:BL238)</f>
        <v>1.3000000000000007</v>
      </c>
      <c r="BM239" s="496" t="s">
        <v>1191</v>
      </c>
      <c r="BN239" s="496" t="s">
        <v>1192</v>
      </c>
      <c r="BO239" s="496">
        <f>SUM(BO237:BO238)</f>
        <v>0</v>
      </c>
      <c r="BP239" s="445"/>
      <c r="BQ239" s="445"/>
      <c r="BR239" s="445"/>
      <c r="BS239" s="445"/>
      <c r="BT239" s="524" t="s">
        <v>723</v>
      </c>
      <c r="BU239" s="512"/>
      <c r="BV239" s="512"/>
      <c r="BW239" s="512"/>
      <c r="BX239" s="512"/>
      <c r="BY239" s="512"/>
      <c r="BZ239" s="512"/>
      <c r="CA239" s="512"/>
      <c r="CB239" s="512"/>
      <c r="CC239" s="512"/>
      <c r="CD239" s="512"/>
      <c r="CE239" s="512"/>
      <c r="CF239" s="512"/>
      <c r="CG239" s="512"/>
    </row>
    <row r="240" spans="1:85" s="519" customFormat="1">
      <c r="A240" s="546">
        <v>62006039</v>
      </c>
      <c r="B240" s="543" t="s">
        <v>843</v>
      </c>
      <c r="C240" s="543" t="s">
        <v>992</v>
      </c>
      <c r="D240" s="521" t="s">
        <v>995</v>
      </c>
      <c r="E240" s="513" t="s">
        <v>1001</v>
      </c>
      <c r="F240" s="536" t="str">
        <f t="shared" si="137"/>
        <v>06/15/20</v>
      </c>
      <c r="G240" s="524" t="s">
        <v>1002</v>
      </c>
      <c r="H240" s="524" t="s">
        <v>708</v>
      </c>
      <c r="I240" s="532"/>
      <c r="J240" s="531">
        <v>22.043887999999999</v>
      </c>
      <c r="K240" s="531">
        <v>47.659841999999998</v>
      </c>
      <c r="L240" s="531">
        <v>29.611785000000001</v>
      </c>
      <c r="M240" s="531">
        <v>29.666011999999998</v>
      </c>
      <c r="N240" s="528">
        <v>4250</v>
      </c>
      <c r="O240" s="528">
        <v>38.71</v>
      </c>
      <c r="P240" s="528">
        <v>3.0499999999999999E-2</v>
      </c>
      <c r="Q240" s="528">
        <v>1.4999999999999999E-2</v>
      </c>
      <c r="R240" s="529">
        <v>3.59689411</v>
      </c>
      <c r="S240" s="529">
        <f>R240+R239</f>
        <v>11.057716320000001</v>
      </c>
      <c r="T240" s="544">
        <v>86.1</v>
      </c>
      <c r="U240" s="544">
        <v>85.4</v>
      </c>
      <c r="V240" s="530">
        <v>11494</v>
      </c>
      <c r="W240" s="530">
        <v>12151</v>
      </c>
      <c r="X240" s="530">
        <f>W240-V240</f>
        <v>657</v>
      </c>
      <c r="Y240" s="530">
        <f t="shared" si="128"/>
        <v>182.65758732608339</v>
      </c>
      <c r="Z240" s="534">
        <v>11495</v>
      </c>
      <c r="AA240" s="530">
        <v>12153</v>
      </c>
      <c r="AB240" s="530">
        <f>AA240-Z240</f>
        <v>658</v>
      </c>
      <c r="AC240" s="533">
        <f t="shared" si="129"/>
        <v>182.93560496280497</v>
      </c>
      <c r="AD240" s="534">
        <v>208</v>
      </c>
      <c r="AE240" s="530">
        <v>215</v>
      </c>
      <c r="AF240" s="530">
        <f>AE240-AD240</f>
        <v>7</v>
      </c>
      <c r="AG240" s="533">
        <f t="shared" si="130"/>
        <v>1.9461234570511168</v>
      </c>
      <c r="AH240" s="534">
        <v>10180</v>
      </c>
      <c r="AI240" s="530">
        <v>10778</v>
      </c>
      <c r="AJ240" s="530">
        <f>AI240-AH240</f>
        <v>598</v>
      </c>
      <c r="AK240" s="533">
        <f t="shared" si="131"/>
        <v>166.25454675950968</v>
      </c>
      <c r="AL240" s="534">
        <v>1088.7</v>
      </c>
      <c r="AM240" s="530">
        <v>1139.9000000000001</v>
      </c>
      <c r="AN240" s="530">
        <f>AM240-AL240</f>
        <v>51.200000000000045</v>
      </c>
      <c r="AO240" s="533">
        <f t="shared" si="132"/>
        <v>14.234503000145324</v>
      </c>
      <c r="AP240" s="534">
        <v>872.88927000000001</v>
      </c>
      <c r="AQ240" s="530">
        <v>914.19978000000003</v>
      </c>
      <c r="AR240" s="530">
        <f>AQ240-AP240</f>
        <v>41.310510000000022</v>
      </c>
      <c r="AS240" s="533">
        <f t="shared" si="133"/>
        <v>11.485050361963539</v>
      </c>
      <c r="AT240" s="534">
        <v>2.6</v>
      </c>
      <c r="AU240" s="530">
        <v>2.7</v>
      </c>
      <c r="AV240" s="530">
        <f>AU240-AT240</f>
        <v>0.10000000000000009</v>
      </c>
      <c r="AW240" s="533">
        <f t="shared" si="134"/>
        <v>2.7801763672158836E-2</v>
      </c>
      <c r="AX240" s="534">
        <v>6.8</v>
      </c>
      <c r="AY240" s="530">
        <v>7.1</v>
      </c>
      <c r="AZ240" s="530">
        <f>AY240-AX240</f>
        <v>0.29999999999999982</v>
      </c>
      <c r="BA240" s="533">
        <f t="shared" si="135"/>
        <v>8.3405291016476382E-2</v>
      </c>
      <c r="BB240" s="534">
        <v>-18.649999999999999</v>
      </c>
      <c r="BC240" s="530">
        <v>-19.02</v>
      </c>
      <c r="BD240" s="530">
        <f>BC240-BB240</f>
        <v>-0.37000000000000099</v>
      </c>
      <c r="BE240" s="530">
        <v>-2.6714410000000002</v>
      </c>
      <c r="BF240" s="533">
        <f t="shared" si="136"/>
        <v>-0.10286652558698788</v>
      </c>
      <c r="BG240" s="527">
        <v>86.1</v>
      </c>
      <c r="BH240" s="527">
        <v>85.4</v>
      </c>
      <c r="BI240" s="527">
        <f>BH240-BG240</f>
        <v>-0.69999999999998863</v>
      </c>
      <c r="BJ240" s="545">
        <v>13</v>
      </c>
      <c r="BK240" s="545">
        <v>13.5</v>
      </c>
      <c r="BL240" s="545">
        <f>BK240-BJ240</f>
        <v>0.5</v>
      </c>
      <c r="BM240" s="545">
        <v>0</v>
      </c>
      <c r="BN240" s="545">
        <v>0</v>
      </c>
      <c r="BO240" s="545">
        <f>BN240-BM240</f>
        <v>0</v>
      </c>
      <c r="BP240" s="527"/>
      <c r="BQ240" s="527"/>
      <c r="BR240" s="527"/>
      <c r="BS240" s="527"/>
      <c r="BT240" s="524" t="s">
        <v>723</v>
      </c>
      <c r="BU240" s="512">
        <v>2369.75724042</v>
      </c>
      <c r="BV240" s="512">
        <v>-0.99464443000000002</v>
      </c>
      <c r="BW240" s="512">
        <v>2028.47383896</v>
      </c>
      <c r="BX240" s="512">
        <v>2048.8526376999998</v>
      </c>
      <c r="BY240" s="512">
        <v>3.02176271</v>
      </c>
      <c r="BZ240" s="512">
        <v>3.03200885</v>
      </c>
      <c r="CA240" s="512">
        <v>0.16423619</v>
      </c>
      <c r="CB240" s="512">
        <v>3.5968780300000001</v>
      </c>
      <c r="CC240" s="512">
        <v>3.5909803400000002</v>
      </c>
      <c r="CD240" s="512">
        <v>-0.50387119000000002</v>
      </c>
      <c r="CE240" s="512">
        <v>-0.33793225999999998</v>
      </c>
      <c r="CF240" s="512">
        <v>0.63451186000000004</v>
      </c>
      <c r="CG240" s="512"/>
    </row>
    <row r="241" spans="1:85" s="519" customFormat="1">
      <c r="A241" s="546">
        <v>62006039</v>
      </c>
      <c r="B241" s="543" t="s">
        <v>844</v>
      </c>
      <c r="C241" s="543" t="s">
        <v>993</v>
      </c>
      <c r="D241" s="521" t="s">
        <v>995</v>
      </c>
      <c r="E241" s="513" t="s">
        <v>1001</v>
      </c>
      <c r="F241" s="536" t="str">
        <f t="shared" si="137"/>
        <v>06/15/20</v>
      </c>
      <c r="G241" s="524" t="s">
        <v>1002</v>
      </c>
      <c r="H241" s="524" t="s">
        <v>708</v>
      </c>
      <c r="I241" s="532"/>
      <c r="J241" s="531">
        <v>21.617922</v>
      </c>
      <c r="K241" s="531">
        <v>46.301906000000002</v>
      </c>
      <c r="L241" s="531">
        <v>29.609576000000001</v>
      </c>
      <c r="M241" s="531">
        <v>30.018977</v>
      </c>
      <c r="N241" s="528">
        <v>4250</v>
      </c>
      <c r="O241" s="528">
        <v>38.71</v>
      </c>
      <c r="P241" s="528">
        <v>3.0499999999999999E-2</v>
      </c>
      <c r="Q241" s="528">
        <v>1.4999999999999999E-2</v>
      </c>
      <c r="R241" s="529">
        <v>3.8635915999999999</v>
      </c>
      <c r="S241" s="529">
        <f>R241+R240</f>
        <v>7.4604857100000004</v>
      </c>
      <c r="T241" s="544">
        <v>85.4</v>
      </c>
      <c r="U241" s="544">
        <v>84.6</v>
      </c>
      <c r="V241" s="530">
        <v>12151</v>
      </c>
      <c r="W241" s="530">
        <v>12786</v>
      </c>
      <c r="X241" s="530">
        <f>W241-V241</f>
        <v>635</v>
      </c>
      <c r="Y241" s="530">
        <f t="shared" si="128"/>
        <v>164.35484537237321</v>
      </c>
      <c r="Z241" s="534">
        <v>12153</v>
      </c>
      <c r="AA241" s="530">
        <v>12789</v>
      </c>
      <c r="AB241" s="530">
        <f>AA241-Z241</f>
        <v>636</v>
      </c>
      <c r="AC241" s="533">
        <f t="shared" si="129"/>
        <v>164.61367190051868</v>
      </c>
      <c r="AD241" s="534">
        <v>215</v>
      </c>
      <c r="AE241" s="530">
        <v>233</v>
      </c>
      <c r="AF241" s="530">
        <f>AE241-AD241</f>
        <v>18</v>
      </c>
      <c r="AG241" s="533">
        <f t="shared" si="130"/>
        <v>4.6588775066184533</v>
      </c>
      <c r="AH241" s="534">
        <v>10778</v>
      </c>
      <c r="AI241" s="530">
        <v>11305</v>
      </c>
      <c r="AJ241" s="530">
        <f>AI241-AH241</f>
        <v>527</v>
      </c>
      <c r="AK241" s="533">
        <f t="shared" si="131"/>
        <v>136.40158033266249</v>
      </c>
      <c r="AL241" s="534">
        <v>1139.9000000000001</v>
      </c>
      <c r="AM241" s="530">
        <v>1227.8</v>
      </c>
      <c r="AN241" s="530">
        <f>AM241-AL241</f>
        <v>87.899999999999864</v>
      </c>
      <c r="AO241" s="533">
        <f t="shared" si="132"/>
        <v>22.750851823986746</v>
      </c>
      <c r="AP241" s="534">
        <v>914.219876</v>
      </c>
      <c r="AQ241" s="530">
        <v>985.18941199999995</v>
      </c>
      <c r="AR241" s="530">
        <f>AQ241-AP241</f>
        <v>70.969535999999948</v>
      </c>
      <c r="AS241" s="533">
        <f t="shared" si="133"/>
        <v>18.368798606974906</v>
      </c>
      <c r="AT241" s="534">
        <v>2.7</v>
      </c>
      <c r="AU241" s="530">
        <v>2.9</v>
      </c>
      <c r="AV241" s="530">
        <f>AU241-AT241</f>
        <v>0.19999999999999973</v>
      </c>
      <c r="AW241" s="533">
        <f t="shared" si="134"/>
        <v>5.1765305629093858E-2</v>
      </c>
      <c r="AX241" s="534">
        <v>7.1</v>
      </c>
      <c r="AY241" s="530">
        <v>7.6</v>
      </c>
      <c r="AZ241" s="530">
        <f>AY241-AX241</f>
        <v>0.5</v>
      </c>
      <c r="BA241" s="533">
        <f t="shared" si="135"/>
        <v>0.12941326407273482</v>
      </c>
      <c r="BB241" s="534">
        <v>-19.02</v>
      </c>
      <c r="BC241" s="530">
        <v>-19.64</v>
      </c>
      <c r="BD241" s="530">
        <f>BC241-BB241</f>
        <v>-0.62000000000000099</v>
      </c>
      <c r="BE241" s="530">
        <v>-2.5544769999999999</v>
      </c>
      <c r="BF241" s="533">
        <f t="shared" si="136"/>
        <v>-0.16047244745019143</v>
      </c>
      <c r="BG241" s="527">
        <v>85.4</v>
      </c>
      <c r="BH241" s="527">
        <v>84.6</v>
      </c>
      <c r="BI241" s="527">
        <f>BH241-BG241</f>
        <v>-0.80000000000001137</v>
      </c>
      <c r="BJ241" s="545">
        <v>13.5</v>
      </c>
      <c r="BK241" s="545">
        <v>14.4</v>
      </c>
      <c r="BL241" s="545">
        <f>BK241-BJ241</f>
        <v>0.90000000000000036</v>
      </c>
      <c r="BM241" s="545">
        <v>0</v>
      </c>
      <c r="BN241" s="545">
        <v>0</v>
      </c>
      <c r="BO241" s="545">
        <f>BN241-BM241</f>
        <v>0</v>
      </c>
      <c r="BP241" s="527"/>
      <c r="BQ241" s="527"/>
      <c r="BR241" s="527"/>
      <c r="BS241" s="527"/>
      <c r="BT241" s="524" t="s">
        <v>723</v>
      </c>
      <c r="BU241" s="512">
        <v>1478.82907348</v>
      </c>
      <c r="BV241" s="512">
        <v>-1.3134984599999999</v>
      </c>
      <c r="BW241" s="512">
        <v>3371.5830887299999</v>
      </c>
      <c r="BX241" s="512">
        <v>3416.45821484</v>
      </c>
      <c r="BY241" s="512">
        <v>2.9825400700000002</v>
      </c>
      <c r="BZ241" s="512">
        <v>2.9956480700000001</v>
      </c>
      <c r="CA241" s="512">
        <v>9.4786709999999996E-2</v>
      </c>
      <c r="CB241" s="512">
        <v>3.8634908299999999</v>
      </c>
      <c r="CC241" s="512">
        <v>3.8598322199999999</v>
      </c>
      <c r="CD241" s="512">
        <v>-0.53469447999999997</v>
      </c>
      <c r="CE241" s="512">
        <v>-0.43756812</v>
      </c>
      <c r="CF241" s="512">
        <v>0.72008234000000004</v>
      </c>
      <c r="CG241" s="512"/>
    </row>
    <row r="242" spans="1:85" s="519" customFormat="1">
      <c r="A242" s="546">
        <v>62006039</v>
      </c>
      <c r="B242" s="543" t="s">
        <v>845</v>
      </c>
      <c r="C242" s="543" t="s">
        <v>994</v>
      </c>
      <c r="D242" s="521" t="s">
        <v>995</v>
      </c>
      <c r="E242" s="513" t="s">
        <v>1001</v>
      </c>
      <c r="F242" s="536" t="str">
        <f t="shared" si="137"/>
        <v>06/15/20</v>
      </c>
      <c r="G242" s="524" t="s">
        <v>1002</v>
      </c>
      <c r="H242" s="524" t="s">
        <v>708</v>
      </c>
      <c r="I242" s="532"/>
      <c r="J242" s="468">
        <f>AVERAGE(J240:J241)</f>
        <v>21.830905000000001</v>
      </c>
      <c r="K242" s="468">
        <f>AVERAGE(K240:K241)</f>
        <v>46.980874</v>
      </c>
      <c r="L242" s="468">
        <f>AVERAGE(L240:L241)</f>
        <v>29.610680500000001</v>
      </c>
      <c r="M242" s="468">
        <f>AVERAGE(M240:M241)</f>
        <v>29.842494500000001</v>
      </c>
      <c r="N242" s="452"/>
      <c r="O242" s="528"/>
      <c r="P242" s="470"/>
      <c r="Q242" s="469"/>
      <c r="R242" s="453">
        <f>R241+R240</f>
        <v>7.4604857100000004</v>
      </c>
      <c r="S242" s="453">
        <f>S241</f>
        <v>7.4604857100000004</v>
      </c>
      <c r="T242" s="493">
        <f>T240</f>
        <v>86.1</v>
      </c>
      <c r="U242" s="493">
        <f>U241</f>
        <v>84.6</v>
      </c>
      <c r="V242" s="456">
        <f>V240</f>
        <v>11494</v>
      </c>
      <c r="W242" s="456">
        <f>W241</f>
        <v>12786</v>
      </c>
      <c r="X242" s="456">
        <f>SUM(X240:X241)</f>
        <v>1292</v>
      </c>
      <c r="Y242" s="456">
        <f t="shared" si="128"/>
        <v>173.17907308209291</v>
      </c>
      <c r="Z242" s="456">
        <f>Z240</f>
        <v>11495</v>
      </c>
      <c r="AA242" s="456">
        <f>AA241</f>
        <v>12789</v>
      </c>
      <c r="AB242" s="456">
        <f>SUM(AB240:AB241)</f>
        <v>1294</v>
      </c>
      <c r="AC242" s="454">
        <f t="shared" si="129"/>
        <v>173.44715214259153</v>
      </c>
      <c r="AD242" s="456">
        <f>AD240</f>
        <v>208</v>
      </c>
      <c r="AE242" s="456">
        <f>AE241</f>
        <v>233</v>
      </c>
      <c r="AF242" s="456">
        <f>SUM(AF240:AF241)</f>
        <v>25</v>
      </c>
      <c r="AG242" s="454">
        <f t="shared" si="130"/>
        <v>3.3509882562324482</v>
      </c>
      <c r="AH242" s="456">
        <f>AH240</f>
        <v>10180</v>
      </c>
      <c r="AI242" s="456">
        <f>AI241</f>
        <v>11305</v>
      </c>
      <c r="AJ242" s="456">
        <f>SUM(AJ240:AJ241)</f>
        <v>1125</v>
      </c>
      <c r="AK242" s="454">
        <f t="shared" si="131"/>
        <v>150.79447153046019</v>
      </c>
      <c r="AL242" s="456">
        <f>AL240</f>
        <v>1088.7</v>
      </c>
      <c r="AM242" s="456">
        <f>AM241</f>
        <v>1227.8</v>
      </c>
      <c r="AN242" s="456">
        <f>SUM(AN240:AN241)</f>
        <v>139.09999999999991</v>
      </c>
      <c r="AO242" s="454">
        <f t="shared" si="132"/>
        <v>18.644898657677331</v>
      </c>
      <c r="AP242" s="456">
        <f>AP240</f>
        <v>872.88927000000001</v>
      </c>
      <c r="AQ242" s="456">
        <f>AQ241</f>
        <v>985.18941199999995</v>
      </c>
      <c r="AR242" s="456">
        <f>SUM(AR240:AR241)</f>
        <v>112.28004599999997</v>
      </c>
      <c r="AS242" s="454">
        <f t="shared" si="133"/>
        <v>15.04996462220956</v>
      </c>
      <c r="AT242" s="456">
        <f>AT240</f>
        <v>2.6</v>
      </c>
      <c r="AU242" s="456">
        <f>AU241</f>
        <v>2.9</v>
      </c>
      <c r="AV242" s="456">
        <f>SUM(AV240:AV241)</f>
        <v>0.29999999999999982</v>
      </c>
      <c r="AW242" s="454">
        <f t="shared" si="134"/>
        <v>4.0211859074789358E-2</v>
      </c>
      <c r="AX242" s="456">
        <f>AX240</f>
        <v>6.8</v>
      </c>
      <c r="AY242" s="456">
        <f>AY241</f>
        <v>7.6</v>
      </c>
      <c r="AZ242" s="456">
        <f>SUM(AZ240:AZ241)</f>
        <v>0.79999999999999982</v>
      </c>
      <c r="BA242" s="454">
        <f t="shared" si="135"/>
        <v>0.10723162419943832</v>
      </c>
      <c r="BB242" s="456">
        <f>BB240</f>
        <v>-18.649999999999999</v>
      </c>
      <c r="BC242" s="456">
        <f>BC241</f>
        <v>-19.64</v>
      </c>
      <c r="BD242" s="456">
        <f>SUM(BD240:BD241)</f>
        <v>-0.99000000000000199</v>
      </c>
      <c r="BE242" s="530">
        <f>AVERAGE(BE240:BE241)</f>
        <v>-2.612959</v>
      </c>
      <c r="BF242" s="454">
        <f t="shared" si="136"/>
        <v>-0.13269913494680521</v>
      </c>
      <c r="BG242" s="445"/>
      <c r="BH242" s="445"/>
      <c r="BI242" s="445">
        <f>SUM(BI240:BI241)</f>
        <v>-1.5</v>
      </c>
      <c r="BJ242" s="496" t="s">
        <v>1193</v>
      </c>
      <c r="BK242" s="496" t="s">
        <v>1194</v>
      </c>
      <c r="BL242" s="496">
        <f>SUM(BL240:BL241)</f>
        <v>1.4000000000000004</v>
      </c>
      <c r="BM242" s="496" t="s">
        <v>1195</v>
      </c>
      <c r="BN242" s="496" t="s">
        <v>1196</v>
      </c>
      <c r="BO242" s="496">
        <f>SUM(BO240:BO241)</f>
        <v>0</v>
      </c>
      <c r="BP242" s="445"/>
      <c r="BQ242" s="445"/>
      <c r="BR242" s="445"/>
      <c r="BS242" s="445"/>
      <c r="BT242" s="524"/>
      <c r="BU242" s="512"/>
      <c r="BV242" s="512"/>
      <c r="BW242" s="512"/>
      <c r="BX242" s="512"/>
      <c r="BY242" s="512"/>
      <c r="BZ242" s="512"/>
      <c r="CA242" s="512"/>
      <c r="CB242" s="512"/>
      <c r="CC242" s="512"/>
      <c r="CD242" s="512"/>
      <c r="CE242" s="512"/>
      <c r="CF242" s="512"/>
      <c r="CG242" s="512"/>
    </row>
    <row r="243" spans="1:85" s="520" customFormat="1" ht="15.75">
      <c r="A243" s="535" t="s">
        <v>1250</v>
      </c>
      <c r="B243" s="537"/>
      <c r="C243" s="537"/>
      <c r="D243" s="538"/>
      <c r="E243" s="537"/>
      <c r="F243" s="537"/>
      <c r="G243" s="538"/>
      <c r="H243" s="538"/>
      <c r="I243" s="538"/>
      <c r="J243" s="538"/>
      <c r="K243" s="538"/>
      <c r="L243" s="538"/>
      <c r="M243" s="538"/>
      <c r="N243" s="538"/>
      <c r="O243" s="538"/>
      <c r="P243" s="539"/>
      <c r="Q243" s="540"/>
      <c r="R243" s="537"/>
      <c r="S243" s="537"/>
      <c r="T243" s="537"/>
      <c r="U243" s="537"/>
      <c r="V243" s="537"/>
      <c r="W243" s="537"/>
      <c r="X243" s="537"/>
      <c r="Y243" s="537"/>
      <c r="Z243" s="537"/>
      <c r="AA243" s="537"/>
      <c r="AB243" s="537"/>
      <c r="AC243" s="537"/>
      <c r="AD243" s="537"/>
      <c r="AE243" s="537"/>
      <c r="AF243" s="537"/>
      <c r="AG243" s="537"/>
      <c r="AH243" s="537"/>
      <c r="AI243" s="537"/>
      <c r="AJ243" s="537"/>
      <c r="AK243" s="537"/>
      <c r="AL243" s="537"/>
      <c r="AM243" s="537"/>
      <c r="AN243" s="537"/>
      <c r="AO243" s="537"/>
      <c r="AP243" s="537"/>
      <c r="AQ243" s="537"/>
      <c r="AR243" s="537"/>
      <c r="AS243" s="537"/>
      <c r="AT243" s="537"/>
      <c r="AU243" s="537"/>
      <c r="AV243" s="537"/>
      <c r="AW243" s="537"/>
      <c r="AX243" s="537"/>
      <c r="AY243" s="537"/>
      <c r="AZ243" s="537"/>
      <c r="BA243" s="537"/>
      <c r="BB243" s="537"/>
      <c r="BC243" s="537"/>
      <c r="BD243" s="537"/>
      <c r="BE243" s="537"/>
      <c r="BF243" s="537"/>
      <c r="BG243" s="537"/>
      <c r="BH243" s="537"/>
      <c r="BI243" s="537"/>
      <c r="BJ243" s="537"/>
      <c r="BK243" s="537"/>
      <c r="BL243" s="537"/>
      <c r="BM243" s="537"/>
      <c r="BN243" s="537"/>
      <c r="BO243" s="537"/>
      <c r="BP243" s="537"/>
      <c r="BQ243" s="537"/>
      <c r="BR243" s="537"/>
      <c r="BS243" s="537"/>
      <c r="BT243" s="537"/>
      <c r="BU243" s="537"/>
      <c r="BV243" s="537"/>
      <c r="BW243" s="537"/>
      <c r="BX243" s="537"/>
      <c r="BY243" s="537"/>
      <c r="BZ243" s="537"/>
      <c r="CA243" s="537"/>
      <c r="CB243" s="537"/>
      <c r="CC243" s="537"/>
      <c r="CD243" s="537"/>
      <c r="CE243" s="537"/>
      <c r="CF243" s="542"/>
      <c r="CG243" s="541"/>
    </row>
    <row r="244" spans="1:85" s="519" customFormat="1">
      <c r="A244" s="546">
        <v>62006040</v>
      </c>
      <c r="B244" s="543" t="s">
        <v>832</v>
      </c>
      <c r="C244" s="543" t="s">
        <v>695</v>
      </c>
      <c r="D244" s="521" t="s">
        <v>1014</v>
      </c>
      <c r="E244" s="513" t="s">
        <v>1015</v>
      </c>
      <c r="F244" s="536" t="str">
        <f t="shared" ref="F244:F262" si="138">LEFT(E244,8)</f>
        <v>06/16/20</v>
      </c>
      <c r="G244" s="524" t="s">
        <v>1016</v>
      </c>
      <c r="H244" s="524" t="s">
        <v>708</v>
      </c>
      <c r="I244" s="532"/>
      <c r="J244" s="531">
        <v>23.716021999999999</v>
      </c>
      <c r="K244" s="531">
        <v>42.442487</v>
      </c>
      <c r="L244" s="531">
        <v>29.626037</v>
      </c>
      <c r="M244" s="531">
        <v>25.512250999999999</v>
      </c>
      <c r="N244" s="528">
        <v>4250</v>
      </c>
      <c r="O244" s="528">
        <v>38.71</v>
      </c>
      <c r="P244" s="528">
        <v>3.0499999999999999E-2</v>
      </c>
      <c r="Q244" s="528">
        <v>1.4999999999999999E-2</v>
      </c>
      <c r="R244" s="529">
        <v>3.59361307</v>
      </c>
      <c r="S244" s="529">
        <f>R244+R243</f>
        <v>3.59361307</v>
      </c>
      <c r="T244" s="544">
        <v>100</v>
      </c>
      <c r="U244" s="544">
        <v>99</v>
      </c>
      <c r="V244" s="530">
        <v>-873</v>
      </c>
      <c r="W244" s="530">
        <v>-28</v>
      </c>
      <c r="X244" s="530">
        <f>W244-V244</f>
        <v>845</v>
      </c>
      <c r="Y244" s="530">
        <f t="shared" ref="Y244:Y261" si="139">X244/$R244</f>
        <v>235.13939412514438</v>
      </c>
      <c r="Z244" s="534">
        <v>-874</v>
      </c>
      <c r="AA244" s="530">
        <v>-27</v>
      </c>
      <c r="AB244" s="530">
        <f>AA244-Z244</f>
        <v>847</v>
      </c>
      <c r="AC244" s="533">
        <f t="shared" ref="AC244:AC261" si="140">AB244/$R244</f>
        <v>235.69593706981925</v>
      </c>
      <c r="AD244" s="534">
        <v>234</v>
      </c>
      <c r="AE244" s="530">
        <v>280</v>
      </c>
      <c r="AF244" s="530">
        <f>AE244-AD244</f>
        <v>46</v>
      </c>
      <c r="AG244" s="533">
        <f t="shared" ref="AG244:AG261" si="141">AF244/$R244</f>
        <v>12.800487727522652</v>
      </c>
      <c r="AH244" s="534">
        <v>11318</v>
      </c>
      <c r="AI244" s="530">
        <v>12058</v>
      </c>
      <c r="AJ244" s="530">
        <f>AI244-AH244</f>
        <v>740</v>
      </c>
      <c r="AK244" s="533">
        <f t="shared" ref="AK244:AK261" si="142">AJ244/$R244</f>
        <v>205.92088952971221</v>
      </c>
      <c r="AL244" s="534">
        <v>-12456.7</v>
      </c>
      <c r="AM244" s="530">
        <v>-12397.2</v>
      </c>
      <c r="AN244" s="530">
        <f>AM244-AL244</f>
        <v>59.5</v>
      </c>
      <c r="AO244" s="533">
        <f t="shared" ref="AO244:AO261" si="143">AN244/$R244</f>
        <v>16.557152604078212</v>
      </c>
      <c r="AP244" s="534">
        <v>1152.8427139999999</v>
      </c>
      <c r="AQ244" s="530">
        <v>1201.1224580000001</v>
      </c>
      <c r="AR244" s="530">
        <f>AQ244-AP244</f>
        <v>48.279744000000164</v>
      </c>
      <c r="AS244" s="533">
        <f t="shared" ref="AS244:AS261" si="144">AR244/$R244</f>
        <v>13.434875446955163</v>
      </c>
      <c r="AT244" s="534">
        <v>3.7</v>
      </c>
      <c r="AU244" s="530">
        <v>3.9</v>
      </c>
      <c r="AV244" s="530">
        <f>AU244-AT244</f>
        <v>0.19999999999999973</v>
      </c>
      <c r="AW244" s="533">
        <f t="shared" ref="AW244:AW261" si="145">AV244/$R244</f>
        <v>5.5654294467489714E-2</v>
      </c>
      <c r="AX244" s="534">
        <v>10.199999999999999</v>
      </c>
      <c r="AY244" s="530">
        <v>10.6</v>
      </c>
      <c r="AZ244" s="530">
        <f>AY244-AX244</f>
        <v>0.40000000000000036</v>
      </c>
      <c r="BA244" s="533">
        <f t="shared" ref="BA244:BA261" si="146">AZ244/$R244</f>
        <v>0.11130858893497968</v>
      </c>
      <c r="BB244" s="534">
        <v>-32.700000000000003</v>
      </c>
      <c r="BC244" s="530">
        <v>-35.46</v>
      </c>
      <c r="BD244" s="530">
        <f>BC244-BB244</f>
        <v>-2.759999999999998</v>
      </c>
      <c r="BE244" s="530">
        <v>-19.678512000000001</v>
      </c>
      <c r="BF244" s="533">
        <f t="shared" ref="BF244:BF261" si="147">BD244/$R244</f>
        <v>-0.7680292636513586</v>
      </c>
      <c r="BG244" s="527">
        <v>100</v>
      </c>
      <c r="BH244" s="527">
        <v>99</v>
      </c>
      <c r="BI244" s="527">
        <f>BH244-BG244</f>
        <v>-1</v>
      </c>
      <c r="BJ244" s="545">
        <v>14989.6</v>
      </c>
      <c r="BK244" s="545">
        <v>14990.1</v>
      </c>
      <c r="BL244" s="545">
        <f>BK244-BJ244</f>
        <v>0.5</v>
      </c>
      <c r="BM244" s="545">
        <v>-14826.1</v>
      </c>
      <c r="BN244" s="545">
        <v>-14826.1</v>
      </c>
      <c r="BO244" s="545">
        <f>BN244-BM244</f>
        <v>0</v>
      </c>
      <c r="BP244" s="527"/>
      <c r="BQ244" s="527"/>
      <c r="BR244" s="527"/>
      <c r="BS244" s="527"/>
      <c r="BT244" s="524" t="s">
        <v>723</v>
      </c>
      <c r="BU244" s="512">
        <v>2373.5432676099999</v>
      </c>
      <c r="BV244" s="512">
        <v>1.0112374399999999</v>
      </c>
      <c r="BW244" s="512">
        <v>2069.5760235600001</v>
      </c>
      <c r="BX244" s="512">
        <v>2048.8572122999999</v>
      </c>
      <c r="BY244" s="512">
        <v>3.0463640399999998</v>
      </c>
      <c r="BZ244" s="512">
        <v>3.0320428800000001</v>
      </c>
      <c r="CA244" s="512">
        <v>7.1906460000000005E-2</v>
      </c>
      <c r="CB244" s="512">
        <v>3.5935630299999999</v>
      </c>
      <c r="CC244" s="512">
        <v>3.59098088</v>
      </c>
      <c r="CD244" s="512">
        <v>0.39853810000000001</v>
      </c>
      <c r="CE244" s="512">
        <v>0.47232696000000002</v>
      </c>
      <c r="CF244" s="512">
        <v>0.63450525999999996</v>
      </c>
      <c r="CG244" s="512"/>
    </row>
    <row r="245" spans="1:85" s="519" customFormat="1">
      <c r="A245" s="546">
        <v>62006040</v>
      </c>
      <c r="B245" s="543" t="s">
        <v>831</v>
      </c>
      <c r="C245" s="543" t="s">
        <v>696</v>
      </c>
      <c r="D245" s="521" t="s">
        <v>1014</v>
      </c>
      <c r="E245" s="513" t="s">
        <v>1015</v>
      </c>
      <c r="F245" s="536" t="str">
        <f t="shared" si="138"/>
        <v>06/16/20</v>
      </c>
      <c r="G245" s="524" t="s">
        <v>1016</v>
      </c>
      <c r="H245" s="524" t="s">
        <v>708</v>
      </c>
      <c r="I245" s="532"/>
      <c r="J245" s="531">
        <v>21.873868000000002</v>
      </c>
      <c r="K245" s="531">
        <v>46.379882000000002</v>
      </c>
      <c r="L245" s="531">
        <v>29.621728000000001</v>
      </c>
      <c r="M245" s="531">
        <v>28.041312000000001</v>
      </c>
      <c r="N245" s="528">
        <v>4250</v>
      </c>
      <c r="O245" s="528">
        <v>38.71</v>
      </c>
      <c r="P245" s="528">
        <v>3.0499999999999999E-2</v>
      </c>
      <c r="Q245" s="528">
        <v>1.4999999999999999E-2</v>
      </c>
      <c r="R245" s="529">
        <v>3.8647933499999998</v>
      </c>
      <c r="S245" s="529">
        <f>R245+R244</f>
        <v>7.4584064199999993</v>
      </c>
      <c r="T245" s="544">
        <v>99</v>
      </c>
      <c r="U245" s="544">
        <v>98.2</v>
      </c>
      <c r="V245" s="530">
        <v>-28</v>
      </c>
      <c r="W245" s="530">
        <v>670</v>
      </c>
      <c r="X245" s="530">
        <f>W245-V245</f>
        <v>698</v>
      </c>
      <c r="Y245" s="530">
        <f t="shared" si="139"/>
        <v>180.60474048373118</v>
      </c>
      <c r="Z245" s="534">
        <v>-27</v>
      </c>
      <c r="AA245" s="530">
        <v>671</v>
      </c>
      <c r="AB245" s="530">
        <f>AA245-Z245</f>
        <v>698</v>
      </c>
      <c r="AC245" s="533">
        <f t="shared" si="140"/>
        <v>180.60474048373118</v>
      </c>
      <c r="AD245" s="534">
        <v>280</v>
      </c>
      <c r="AE245" s="530">
        <v>314</v>
      </c>
      <c r="AF245" s="530">
        <f>AE245-AD245</f>
        <v>34</v>
      </c>
      <c r="AG245" s="533">
        <f t="shared" si="141"/>
        <v>8.797365582302092</v>
      </c>
      <c r="AH245" s="534">
        <v>12058</v>
      </c>
      <c r="AI245" s="530">
        <v>12623</v>
      </c>
      <c r="AJ245" s="530">
        <f>AI245-AH245</f>
        <v>565</v>
      </c>
      <c r="AK245" s="533">
        <f t="shared" si="142"/>
        <v>146.1915162941377</v>
      </c>
      <c r="AL245" s="534">
        <v>-12397.177073000001</v>
      </c>
      <c r="AM245" s="530">
        <v>-12298.4</v>
      </c>
      <c r="AN245" s="530">
        <f>AM245-AL245</f>
        <v>98.77707300000111</v>
      </c>
      <c r="AO245" s="533">
        <f t="shared" si="143"/>
        <v>25.558177127375028</v>
      </c>
      <c r="AP245" s="534">
        <v>1201.1422930000001</v>
      </c>
      <c r="AQ245" s="530">
        <v>1280.8519659999999</v>
      </c>
      <c r="AR245" s="530">
        <f>AQ245-AP245</f>
        <v>79.709672999999839</v>
      </c>
      <c r="AS245" s="533">
        <f t="shared" si="144"/>
        <v>20.624562759610381</v>
      </c>
      <c r="AT245" s="534">
        <v>3.9</v>
      </c>
      <c r="AU245" s="530">
        <v>4.0999999999999996</v>
      </c>
      <c r="AV245" s="530">
        <f>AU245-AT245</f>
        <v>0.19999999999999973</v>
      </c>
      <c r="AW245" s="533">
        <f t="shared" si="145"/>
        <v>5.1749209307659291E-2</v>
      </c>
      <c r="AX245" s="534">
        <v>10.6</v>
      </c>
      <c r="AY245" s="530">
        <v>11.1</v>
      </c>
      <c r="AZ245" s="530">
        <f>AY245-AX245</f>
        <v>0.5</v>
      </c>
      <c r="BA245" s="533">
        <f t="shared" si="146"/>
        <v>0.1293730232691484</v>
      </c>
      <c r="BB245" s="534">
        <v>-35.46</v>
      </c>
      <c r="BC245" s="530">
        <v>-38.159999999999997</v>
      </c>
      <c r="BD245" s="530">
        <f>BC245-BB245</f>
        <v>-2.6999999999999957</v>
      </c>
      <c r="BE245" s="530">
        <v>-11.236936</v>
      </c>
      <c r="BF245" s="533">
        <f t="shared" si="147"/>
        <v>-0.69861432565340031</v>
      </c>
      <c r="BG245" s="527">
        <v>99</v>
      </c>
      <c r="BH245" s="527">
        <v>98.2</v>
      </c>
      <c r="BI245" s="527">
        <f>BH245-BG245</f>
        <v>-0.79999999999999716</v>
      </c>
      <c r="BJ245" s="545">
        <v>14990.1</v>
      </c>
      <c r="BK245" s="545">
        <v>14990.9</v>
      </c>
      <c r="BL245" s="545">
        <f>BK245-BJ245</f>
        <v>0.7999999999992724</v>
      </c>
      <c r="BM245" s="545">
        <v>-14826.1</v>
      </c>
      <c r="BN245" s="545">
        <v>-14826.1</v>
      </c>
      <c r="BO245" s="545">
        <f>BN245-BM245</f>
        <v>0</v>
      </c>
      <c r="BP245" s="527"/>
      <c r="BQ245" s="527"/>
      <c r="BR245" s="527"/>
      <c r="BS245" s="527"/>
      <c r="BT245" s="524" t="s">
        <v>723</v>
      </c>
      <c r="BU245" s="512">
        <v>1474.25399072</v>
      </c>
      <c r="BV245" s="512">
        <v>-1.4264077500000001</v>
      </c>
      <c r="BW245" s="512">
        <v>3367.4471565099998</v>
      </c>
      <c r="BX245" s="512">
        <v>3416.1757521999998</v>
      </c>
      <c r="BY245" s="512">
        <v>2.98270393</v>
      </c>
      <c r="BZ245" s="512">
        <v>2.9952975199999998</v>
      </c>
      <c r="CA245" s="512">
        <v>0.12497951</v>
      </c>
      <c r="CB245" s="512">
        <v>3.8646546000000002</v>
      </c>
      <c r="CC245" s="512">
        <v>3.8598306099999999</v>
      </c>
      <c r="CD245" s="512">
        <v>-0.54772792000000003</v>
      </c>
      <c r="CE245" s="512">
        <v>-0.42044552000000002</v>
      </c>
      <c r="CF245" s="512">
        <v>0.72008455000000005</v>
      </c>
      <c r="CG245" s="512"/>
    </row>
    <row r="246" spans="1:85" s="519" customFormat="1">
      <c r="A246" s="546">
        <v>62006040</v>
      </c>
      <c r="B246" s="543" t="s">
        <v>830</v>
      </c>
      <c r="C246" s="543" t="s">
        <v>698</v>
      </c>
      <c r="D246" s="521" t="s">
        <v>1014</v>
      </c>
      <c r="E246" s="513" t="s">
        <v>1015</v>
      </c>
      <c r="F246" s="536" t="str">
        <f t="shared" si="138"/>
        <v>06/16/20</v>
      </c>
      <c r="G246" s="524" t="s">
        <v>1016</v>
      </c>
      <c r="H246" s="524" t="s">
        <v>708</v>
      </c>
      <c r="I246" s="532"/>
      <c r="J246" s="468">
        <f>AVERAGE(J244:J245)</f>
        <v>22.794944999999998</v>
      </c>
      <c r="K246" s="468">
        <f>AVERAGE(K244:K245)</f>
        <v>44.411184500000005</v>
      </c>
      <c r="L246" s="468">
        <f>AVERAGE(L244:L245)</f>
        <v>29.623882500000001</v>
      </c>
      <c r="M246" s="468">
        <f>AVERAGE(M244:M245)</f>
        <v>26.776781499999998</v>
      </c>
      <c r="N246" s="452"/>
      <c r="O246" s="528"/>
      <c r="P246" s="470"/>
      <c r="Q246" s="469"/>
      <c r="R246" s="453">
        <f>R245+R244</f>
        <v>7.4584064199999993</v>
      </c>
      <c r="S246" s="453">
        <f>S245</f>
        <v>7.4584064199999993</v>
      </c>
      <c r="T246" s="493">
        <f>T244</f>
        <v>100</v>
      </c>
      <c r="U246" s="493">
        <f>U245</f>
        <v>98.2</v>
      </c>
      <c r="V246" s="456">
        <f>V244</f>
        <v>-873</v>
      </c>
      <c r="W246" s="456">
        <f>W245</f>
        <v>670</v>
      </c>
      <c r="X246" s="456">
        <f>SUM(X244:X245)</f>
        <v>1543</v>
      </c>
      <c r="Y246" s="456">
        <f t="shared" si="139"/>
        <v>206.88065427252491</v>
      </c>
      <c r="Z246" s="456">
        <f>Z244</f>
        <v>-874</v>
      </c>
      <c r="AA246" s="456">
        <f>AA245</f>
        <v>671</v>
      </c>
      <c r="AB246" s="456">
        <f>SUM(AB244:AB245)</f>
        <v>1545</v>
      </c>
      <c r="AC246" s="454">
        <f t="shared" si="140"/>
        <v>207.14880806937848</v>
      </c>
      <c r="AD246" s="456">
        <f>AD244</f>
        <v>234</v>
      </c>
      <c r="AE246" s="456">
        <f>AE245</f>
        <v>314</v>
      </c>
      <c r="AF246" s="456">
        <f>SUM(AF244:AF245)</f>
        <v>80</v>
      </c>
      <c r="AG246" s="454">
        <f t="shared" si="141"/>
        <v>10.726151874142575</v>
      </c>
      <c r="AH246" s="456">
        <f>AH244</f>
        <v>11318</v>
      </c>
      <c r="AI246" s="456">
        <f>AI245</f>
        <v>12623</v>
      </c>
      <c r="AJ246" s="456">
        <f>SUM(AJ244:AJ245)</f>
        <v>1305</v>
      </c>
      <c r="AK246" s="454">
        <f t="shared" si="142"/>
        <v>174.97035244695076</v>
      </c>
      <c r="AL246" s="456">
        <f>AL244</f>
        <v>-12456.7</v>
      </c>
      <c r="AM246" s="456">
        <f>AM245</f>
        <v>-12298.4</v>
      </c>
      <c r="AN246" s="456">
        <f>SUM(AN244:AN245)</f>
        <v>158.27707300000111</v>
      </c>
      <c r="AO246" s="454">
        <f t="shared" si="143"/>
        <v>21.221299039909535</v>
      </c>
      <c r="AP246" s="456">
        <f>AP244</f>
        <v>1152.8427139999999</v>
      </c>
      <c r="AQ246" s="456">
        <f>AQ245</f>
        <v>1280.8519659999999</v>
      </c>
      <c r="AR246" s="456">
        <f>SUM(AR244:AR245)</f>
        <v>127.989417</v>
      </c>
      <c r="AS246" s="454">
        <f t="shared" si="144"/>
        <v>17.160424062812069</v>
      </c>
      <c r="AT246" s="456">
        <f>AT244</f>
        <v>3.7</v>
      </c>
      <c r="AU246" s="456">
        <f>AU245</f>
        <v>4.0999999999999996</v>
      </c>
      <c r="AV246" s="456">
        <f>SUM(AV244:AV245)</f>
        <v>0.39999999999999947</v>
      </c>
      <c r="AW246" s="454">
        <f t="shared" si="145"/>
        <v>5.3630759370712801E-2</v>
      </c>
      <c r="AX246" s="456">
        <f>AX244</f>
        <v>10.199999999999999</v>
      </c>
      <c r="AY246" s="456">
        <f>AY245</f>
        <v>11.1</v>
      </c>
      <c r="AZ246" s="456">
        <f>SUM(AZ244:AZ245)</f>
        <v>0.90000000000000036</v>
      </c>
      <c r="BA246" s="454">
        <f t="shared" si="146"/>
        <v>0.120669208584104</v>
      </c>
      <c r="BB246" s="456">
        <f>BB244</f>
        <v>-32.700000000000003</v>
      </c>
      <c r="BC246" s="456">
        <f>BC245</f>
        <v>-38.159999999999997</v>
      </c>
      <c r="BD246" s="456">
        <f>SUM(BD244:BD245)</f>
        <v>-5.4599999999999937</v>
      </c>
      <c r="BE246" s="530">
        <f>AVERAGE(BE244:BE245)</f>
        <v>-15.457724000000001</v>
      </c>
      <c r="BF246" s="454">
        <f t="shared" si="147"/>
        <v>-0.73205986541022983</v>
      </c>
      <c r="BG246" s="445"/>
      <c r="BH246" s="445"/>
      <c r="BI246" s="445">
        <f>SUM(BI244:BI245)</f>
        <v>-1.7999999999999972</v>
      </c>
      <c r="BJ246" s="496" t="s">
        <v>1006</v>
      </c>
      <c r="BK246" s="496" t="s">
        <v>1007</v>
      </c>
      <c r="BL246" s="496">
        <f>SUM(BL244:BL245)</f>
        <v>1.2999999999992724</v>
      </c>
      <c r="BM246" s="496" t="s">
        <v>1008</v>
      </c>
      <c r="BN246" s="496" t="s">
        <v>1009</v>
      </c>
      <c r="BO246" s="496">
        <f>SUM(BO244:BO245)</f>
        <v>0</v>
      </c>
      <c r="BP246" s="445"/>
      <c r="BQ246" s="445"/>
      <c r="BR246" s="445"/>
      <c r="BS246" s="445"/>
      <c r="BT246" s="524" t="s">
        <v>723</v>
      </c>
      <c r="BU246" s="512"/>
      <c r="BV246" s="512"/>
      <c r="BW246" s="512"/>
      <c r="BX246" s="512"/>
      <c r="BY246" s="512"/>
      <c r="BZ246" s="512"/>
      <c r="CA246" s="512"/>
      <c r="CB246" s="512"/>
      <c r="CC246" s="512"/>
      <c r="CD246" s="512"/>
      <c r="CE246" s="512"/>
      <c r="CF246" s="512"/>
      <c r="CG246" s="512"/>
    </row>
    <row r="247" spans="1:85" s="519" customFormat="1">
      <c r="A247" s="546">
        <v>62006040</v>
      </c>
      <c r="B247" s="543" t="s">
        <v>828</v>
      </c>
      <c r="C247" s="543" t="s">
        <v>697</v>
      </c>
      <c r="D247" s="521" t="s">
        <v>1014</v>
      </c>
      <c r="E247" s="513" t="s">
        <v>1015</v>
      </c>
      <c r="F247" s="536" t="str">
        <f t="shared" si="138"/>
        <v>06/16/20</v>
      </c>
      <c r="G247" s="524" t="s">
        <v>1016</v>
      </c>
      <c r="H247" s="524" t="s">
        <v>708</v>
      </c>
      <c r="I247" s="532"/>
      <c r="J247" s="531">
        <v>22.478467999999999</v>
      </c>
      <c r="K247" s="531">
        <v>45.063780000000001</v>
      </c>
      <c r="L247" s="531">
        <v>29.621454</v>
      </c>
      <c r="M247" s="531">
        <v>28.668875</v>
      </c>
      <c r="N247" s="528">
        <v>4250</v>
      </c>
      <c r="O247" s="528">
        <v>38.71</v>
      </c>
      <c r="P247" s="528">
        <v>3.0499999999999999E-2</v>
      </c>
      <c r="Q247" s="528">
        <v>1.4999999999999999E-2</v>
      </c>
      <c r="R247" s="529">
        <v>3.5972733300000002</v>
      </c>
      <c r="S247" s="529">
        <f>R247+R246</f>
        <v>11.055679749999999</v>
      </c>
      <c r="T247" s="544">
        <v>98.2</v>
      </c>
      <c r="U247" s="544">
        <v>97.4</v>
      </c>
      <c r="V247" s="530">
        <v>671</v>
      </c>
      <c r="W247" s="530">
        <v>1360</v>
      </c>
      <c r="X247" s="530">
        <f>W247-V247</f>
        <v>689</v>
      </c>
      <c r="Y247" s="530">
        <f t="shared" si="139"/>
        <v>191.53395830502544</v>
      </c>
      <c r="Z247" s="534">
        <v>672</v>
      </c>
      <c r="AA247" s="530">
        <v>1362</v>
      </c>
      <c r="AB247" s="530">
        <f>AA247-Z247</f>
        <v>690</v>
      </c>
      <c r="AC247" s="533">
        <f t="shared" si="140"/>
        <v>191.81194663347975</v>
      </c>
      <c r="AD247" s="534">
        <v>314</v>
      </c>
      <c r="AE247" s="530">
        <v>328</v>
      </c>
      <c r="AF247" s="530">
        <f>AE247-AD247</f>
        <v>14</v>
      </c>
      <c r="AG247" s="533">
        <f t="shared" si="141"/>
        <v>3.8918365983604586</v>
      </c>
      <c r="AH247" s="534">
        <v>12623</v>
      </c>
      <c r="AI247" s="530">
        <v>13241</v>
      </c>
      <c r="AJ247" s="530">
        <f>AI247-AH247</f>
        <v>618</v>
      </c>
      <c r="AK247" s="533">
        <f t="shared" si="142"/>
        <v>171.7967869847688</v>
      </c>
      <c r="AL247" s="534">
        <v>-12298.1</v>
      </c>
      <c r="AM247" s="530">
        <v>-12242.1</v>
      </c>
      <c r="AN247" s="530">
        <f>AM247-AL247</f>
        <v>56</v>
      </c>
      <c r="AO247" s="533">
        <f t="shared" si="143"/>
        <v>15.567346393441834</v>
      </c>
      <c r="AP247" s="534">
        <v>1281.06</v>
      </c>
      <c r="AQ247" s="530">
        <v>1326.141668</v>
      </c>
      <c r="AR247" s="530">
        <f>AQ247-AP247</f>
        <v>45.081668000000036</v>
      </c>
      <c r="AS247" s="533">
        <f t="shared" si="144"/>
        <v>12.532177531252549</v>
      </c>
      <c r="AT247" s="534">
        <v>4.0999999999999996</v>
      </c>
      <c r="AU247" s="530">
        <v>4.3</v>
      </c>
      <c r="AV247" s="530">
        <f>AU247-AT247</f>
        <v>0.20000000000000018</v>
      </c>
      <c r="AW247" s="533">
        <f t="shared" si="145"/>
        <v>5.5597665690863746E-2</v>
      </c>
      <c r="AX247" s="534">
        <v>11.1</v>
      </c>
      <c r="AY247" s="530">
        <v>11.5</v>
      </c>
      <c r="AZ247" s="530">
        <f>AY247-AX247</f>
        <v>0.40000000000000036</v>
      </c>
      <c r="BA247" s="533">
        <f t="shared" si="146"/>
        <v>0.11119533138172749</v>
      </c>
      <c r="BB247" s="534">
        <v>-38.17</v>
      </c>
      <c r="BC247" s="530">
        <v>-39.200000000000003</v>
      </c>
      <c r="BD247" s="530">
        <f>BC247-BB247</f>
        <v>-1.0300000000000011</v>
      </c>
      <c r="BE247" s="530">
        <v>-7.3232039999999996</v>
      </c>
      <c r="BF247" s="533">
        <f t="shared" si="147"/>
        <v>-0.28632797830794832</v>
      </c>
      <c r="BG247" s="527">
        <v>98.2</v>
      </c>
      <c r="BH247" s="527">
        <v>97.4</v>
      </c>
      <c r="BI247" s="527">
        <f>BH247-BG247</f>
        <v>-0.79999999999999716</v>
      </c>
      <c r="BJ247" s="545">
        <v>14990.9</v>
      </c>
      <c r="BK247" s="545">
        <v>14991.4</v>
      </c>
      <c r="BL247" s="545">
        <f>BK247-BJ247</f>
        <v>0.5</v>
      </c>
      <c r="BM247" s="545">
        <v>-14826.1</v>
      </c>
      <c r="BN247" s="545">
        <v>-14826.1</v>
      </c>
      <c r="BO247" s="545">
        <f>BN247-BM247</f>
        <v>0</v>
      </c>
      <c r="BP247" s="527"/>
      <c r="BQ247" s="527"/>
      <c r="BR247" s="527"/>
      <c r="BS247" s="527"/>
      <c r="BT247" s="524" t="s">
        <v>723</v>
      </c>
      <c r="BU247" s="512">
        <v>2367.89518666</v>
      </c>
      <c r="BV247" s="512">
        <v>-0.92177602000000003</v>
      </c>
      <c r="BW247" s="512">
        <v>2029.8333093799999</v>
      </c>
      <c r="BX247" s="512">
        <v>2048.7178996399998</v>
      </c>
      <c r="BY247" s="512">
        <v>3.0231310900000001</v>
      </c>
      <c r="BZ247" s="512">
        <v>3.0318481799999999</v>
      </c>
      <c r="CA247" s="512">
        <v>0.17324262000000001</v>
      </c>
      <c r="CB247" s="512">
        <v>3.5972008400000002</v>
      </c>
      <c r="CC247" s="512">
        <v>3.5909797299999999</v>
      </c>
      <c r="CD247" s="512">
        <v>-0.46208866999999998</v>
      </c>
      <c r="CE247" s="512">
        <v>-0.28751746</v>
      </c>
      <c r="CF247" s="512">
        <v>0.63448316999999999</v>
      </c>
      <c r="CG247" s="512"/>
    </row>
    <row r="248" spans="1:85" s="519" customFormat="1">
      <c r="A248" s="546">
        <v>62006040</v>
      </c>
      <c r="B248" s="543" t="s">
        <v>239</v>
      </c>
      <c r="C248" s="543" t="s">
        <v>699</v>
      </c>
      <c r="D248" s="521" t="s">
        <v>1014</v>
      </c>
      <c r="E248" s="513" t="s">
        <v>1015</v>
      </c>
      <c r="F248" s="536" t="str">
        <f t="shared" si="138"/>
        <v>06/16/20</v>
      </c>
      <c r="G248" s="524" t="s">
        <v>1016</v>
      </c>
      <c r="H248" s="524" t="s">
        <v>708</v>
      </c>
      <c r="I248" s="532"/>
      <c r="J248" s="531">
        <v>21.046562000000002</v>
      </c>
      <c r="K248" s="531">
        <v>48.769919999999999</v>
      </c>
      <c r="L248" s="531">
        <v>29.619062</v>
      </c>
      <c r="M248" s="531">
        <v>29.006212999999999</v>
      </c>
      <c r="N248" s="528">
        <v>4250</v>
      </c>
      <c r="O248" s="528">
        <v>38.71</v>
      </c>
      <c r="P248" s="528">
        <v>3.0499999999999999E-2</v>
      </c>
      <c r="Q248" s="528">
        <v>1.4999999999999999E-2</v>
      </c>
      <c r="R248" s="529">
        <v>3.8628575600000001</v>
      </c>
      <c r="S248" s="529">
        <f>R248+R247</f>
        <v>7.4601308900000003</v>
      </c>
      <c r="T248" s="544">
        <v>97.4</v>
      </c>
      <c r="U248" s="544">
        <v>96.7</v>
      </c>
      <c r="V248" s="530">
        <v>1360</v>
      </c>
      <c r="W248" s="530">
        <v>2006</v>
      </c>
      <c r="X248" s="530">
        <f>W248-V248</f>
        <v>646</v>
      </c>
      <c r="Y248" s="530">
        <f t="shared" si="139"/>
        <v>167.23370975138931</v>
      </c>
      <c r="Z248" s="534">
        <v>1362</v>
      </c>
      <c r="AA248" s="530">
        <v>2009</v>
      </c>
      <c r="AB248" s="530">
        <f>AA248-Z248</f>
        <v>647</v>
      </c>
      <c r="AC248" s="533">
        <f t="shared" si="140"/>
        <v>167.4925854630788</v>
      </c>
      <c r="AD248" s="534">
        <v>328</v>
      </c>
      <c r="AE248" s="530">
        <v>347</v>
      </c>
      <c r="AF248" s="530">
        <f>AE248-AD248</f>
        <v>19</v>
      </c>
      <c r="AG248" s="533">
        <f t="shared" si="141"/>
        <v>4.9186385220996858</v>
      </c>
      <c r="AH248" s="534">
        <v>13241</v>
      </c>
      <c r="AI248" s="530">
        <v>13777</v>
      </c>
      <c r="AJ248" s="530">
        <f>AI248-AH248</f>
        <v>536</v>
      </c>
      <c r="AK248" s="533">
        <f t="shared" si="142"/>
        <v>138.75738146554903</v>
      </c>
      <c r="AL248" s="534">
        <v>-12242</v>
      </c>
      <c r="AM248" s="530">
        <v>-12152</v>
      </c>
      <c r="AN248" s="530">
        <f>AM248-AL248</f>
        <v>90</v>
      </c>
      <c r="AO248" s="533">
        <f t="shared" si="143"/>
        <v>23.298814052051146</v>
      </c>
      <c r="AP248" s="534">
        <v>1326.151586</v>
      </c>
      <c r="AQ248" s="530">
        <v>1398.15</v>
      </c>
      <c r="AR248" s="530">
        <f>AQ248-AP248</f>
        <v>71.998414000000139</v>
      </c>
      <c r="AS248" s="533">
        <f t="shared" si="144"/>
        <v>18.638640664762214</v>
      </c>
      <c r="AT248" s="534">
        <v>4.3</v>
      </c>
      <c r="AU248" s="530">
        <v>4.5</v>
      </c>
      <c r="AV248" s="530">
        <f>AU248-AT248</f>
        <v>0.20000000000000018</v>
      </c>
      <c r="AW248" s="533">
        <f t="shared" si="145"/>
        <v>5.1775142337891475E-2</v>
      </c>
      <c r="AX248" s="534">
        <v>11.5</v>
      </c>
      <c r="AY248" s="530">
        <v>12</v>
      </c>
      <c r="AZ248" s="530">
        <f>AY248-AX248</f>
        <v>0.5</v>
      </c>
      <c r="BA248" s="533">
        <f t="shared" si="146"/>
        <v>0.12943785584472858</v>
      </c>
      <c r="BB248" s="534">
        <v>-39.200000000000003</v>
      </c>
      <c r="BC248" s="530">
        <v>-40.4</v>
      </c>
      <c r="BD248" s="530">
        <f>BC248-BB248</f>
        <v>-1.1999999999999957</v>
      </c>
      <c r="BE248" s="530">
        <v>-4.9501720000000002</v>
      </c>
      <c r="BF248" s="533">
        <f t="shared" si="147"/>
        <v>-0.31065085402734749</v>
      </c>
      <c r="BG248" s="527">
        <v>97.4</v>
      </c>
      <c r="BH248" s="527">
        <v>96.7</v>
      </c>
      <c r="BI248" s="527">
        <f>BH248-BG248</f>
        <v>-0.70000000000000284</v>
      </c>
      <c r="BJ248" s="545">
        <v>14991.4</v>
      </c>
      <c r="BK248" s="545">
        <v>14992.3</v>
      </c>
      <c r="BL248" s="545">
        <f>BK248-BJ248</f>
        <v>0.8999999999996362</v>
      </c>
      <c r="BM248" s="545">
        <v>-14826.1</v>
      </c>
      <c r="BN248" s="545">
        <v>-14826.1</v>
      </c>
      <c r="BO248" s="545">
        <f>BN248-BM248</f>
        <v>0</v>
      </c>
      <c r="BP248" s="527"/>
      <c r="BQ248" s="527"/>
      <c r="BR248" s="527"/>
      <c r="BS248" s="527"/>
      <c r="BT248" s="524" t="s">
        <v>723</v>
      </c>
      <c r="BU248" s="512">
        <v>1473.4818520199999</v>
      </c>
      <c r="BV248" s="512">
        <v>-1.1453784499999999</v>
      </c>
      <c r="BW248" s="512">
        <v>3376.8986128800002</v>
      </c>
      <c r="BX248" s="512">
        <v>3416.0250275399999</v>
      </c>
      <c r="BY248" s="512">
        <v>2.9811612799999998</v>
      </c>
      <c r="BZ248" s="512">
        <v>2.9950733899999999</v>
      </c>
      <c r="CA248" s="512">
        <v>7.4148790000000006E-2</v>
      </c>
      <c r="CB248" s="512">
        <v>3.8626917199999999</v>
      </c>
      <c r="CC248" s="512">
        <v>3.8598297000000001</v>
      </c>
      <c r="CD248" s="512">
        <v>-0.54116233999999996</v>
      </c>
      <c r="CE248" s="512">
        <v>-0.46449984999999999</v>
      </c>
      <c r="CF248" s="512">
        <v>0.72009672000000002</v>
      </c>
      <c r="CG248" s="512"/>
    </row>
    <row r="249" spans="1:85" s="519" customFormat="1">
      <c r="A249" s="546">
        <v>62006040</v>
      </c>
      <c r="B249" s="543" t="s">
        <v>833</v>
      </c>
      <c r="C249" s="543" t="s">
        <v>704</v>
      </c>
      <c r="D249" s="521" t="s">
        <v>1014</v>
      </c>
      <c r="E249" s="513" t="s">
        <v>1015</v>
      </c>
      <c r="F249" s="536" t="str">
        <f t="shared" si="138"/>
        <v>06/16/20</v>
      </c>
      <c r="G249" s="524" t="s">
        <v>1016</v>
      </c>
      <c r="H249" s="524" t="s">
        <v>708</v>
      </c>
      <c r="I249" s="532"/>
      <c r="J249" s="468">
        <f>AVERAGE(J247:J248)</f>
        <v>21.762515</v>
      </c>
      <c r="K249" s="468">
        <f>AVERAGE(K247:K248)</f>
        <v>46.916849999999997</v>
      </c>
      <c r="L249" s="468">
        <f>AVERAGE(L247:L248)</f>
        <v>29.620258</v>
      </c>
      <c r="M249" s="468">
        <f>AVERAGE(M247:M248)</f>
        <v>28.837544000000001</v>
      </c>
      <c r="N249" s="452"/>
      <c r="O249" s="528"/>
      <c r="P249" s="470"/>
      <c r="Q249" s="469"/>
      <c r="R249" s="453">
        <f>R248+R247</f>
        <v>7.4601308900000003</v>
      </c>
      <c r="S249" s="453">
        <f>S248</f>
        <v>7.4601308900000003</v>
      </c>
      <c r="T249" s="493">
        <f>T247</f>
        <v>98.2</v>
      </c>
      <c r="U249" s="493">
        <f>U248</f>
        <v>96.7</v>
      </c>
      <c r="V249" s="456">
        <f>V247</f>
        <v>671</v>
      </c>
      <c r="W249" s="456">
        <f>W248</f>
        <v>2006</v>
      </c>
      <c r="X249" s="456">
        <f>SUM(X247:X248)</f>
        <v>1335</v>
      </c>
      <c r="Y249" s="456">
        <f t="shared" si="139"/>
        <v>178.95128378907035</v>
      </c>
      <c r="Z249" s="456">
        <f>Z247</f>
        <v>672</v>
      </c>
      <c r="AA249" s="456">
        <f>AA248</f>
        <v>2009</v>
      </c>
      <c r="AB249" s="456">
        <f>SUM(AB247:AB248)</f>
        <v>1337</v>
      </c>
      <c r="AC249" s="454">
        <f t="shared" si="140"/>
        <v>179.21937559999031</v>
      </c>
      <c r="AD249" s="456">
        <f>AD247</f>
        <v>314</v>
      </c>
      <c r="AE249" s="456">
        <f>AE248</f>
        <v>347</v>
      </c>
      <c r="AF249" s="456">
        <f>SUM(AF247:AF248)</f>
        <v>33</v>
      </c>
      <c r="AG249" s="454">
        <f t="shared" si="141"/>
        <v>4.4235148801792672</v>
      </c>
      <c r="AH249" s="456">
        <f>AH247</f>
        <v>12623</v>
      </c>
      <c r="AI249" s="456">
        <f>AI248</f>
        <v>13777</v>
      </c>
      <c r="AJ249" s="456">
        <f>SUM(AJ247:AJ248)</f>
        <v>1154</v>
      </c>
      <c r="AK249" s="454">
        <f t="shared" si="142"/>
        <v>154.68897490081437</v>
      </c>
      <c r="AL249" s="456">
        <f>AL247</f>
        <v>-12298.1</v>
      </c>
      <c r="AM249" s="456">
        <f>AM248</f>
        <v>-12152</v>
      </c>
      <c r="AN249" s="456">
        <f>SUM(AN247:AN248)</f>
        <v>146</v>
      </c>
      <c r="AO249" s="454">
        <f t="shared" si="143"/>
        <v>19.570702197156756</v>
      </c>
      <c r="AP249" s="456">
        <f>AP247</f>
        <v>1281.06</v>
      </c>
      <c r="AQ249" s="456">
        <f>AQ248</f>
        <v>1398.15</v>
      </c>
      <c r="AR249" s="456">
        <f>SUM(AR247:AR248)</f>
        <v>117.08008200000017</v>
      </c>
      <c r="AS249" s="454">
        <f t="shared" si="144"/>
        <v>15.694105603018471</v>
      </c>
      <c r="AT249" s="456">
        <f>AT247</f>
        <v>4.0999999999999996</v>
      </c>
      <c r="AU249" s="456">
        <f>AU248</f>
        <v>4.5</v>
      </c>
      <c r="AV249" s="456">
        <f>SUM(AV247:AV248)</f>
        <v>0.40000000000000036</v>
      </c>
      <c r="AW249" s="454">
        <f t="shared" si="145"/>
        <v>5.3618362183991165E-2</v>
      </c>
      <c r="AX249" s="456">
        <f>AX247</f>
        <v>11.1</v>
      </c>
      <c r="AY249" s="456">
        <f>AY248</f>
        <v>12</v>
      </c>
      <c r="AZ249" s="456">
        <f>SUM(AZ247:AZ248)</f>
        <v>0.90000000000000036</v>
      </c>
      <c r="BA249" s="454">
        <f t="shared" si="146"/>
        <v>0.12064131491398006</v>
      </c>
      <c r="BB249" s="456">
        <f>BB247</f>
        <v>-38.17</v>
      </c>
      <c r="BC249" s="456">
        <f>BC248</f>
        <v>-40.4</v>
      </c>
      <c r="BD249" s="456">
        <f>SUM(BD247:BD248)</f>
        <v>-2.2299999999999969</v>
      </c>
      <c r="BE249" s="530">
        <f>AVERAGE(BE247:BE248)</f>
        <v>-6.1366879999999995</v>
      </c>
      <c r="BF249" s="454">
        <f t="shared" si="147"/>
        <v>-0.29892236917575005</v>
      </c>
      <c r="BG249" s="445"/>
      <c r="BH249" s="445"/>
      <c r="BI249" s="445">
        <f>SUM(BI247:BI248)</f>
        <v>-1.5</v>
      </c>
      <c r="BJ249" s="496" t="s">
        <v>1032</v>
      </c>
      <c r="BK249" s="496" t="s">
        <v>1033</v>
      </c>
      <c r="BL249" s="496">
        <f>SUM(BL247:BL248)</f>
        <v>1.3999999999996362</v>
      </c>
      <c r="BM249" s="496" t="s">
        <v>1034</v>
      </c>
      <c r="BN249" s="496" t="s">
        <v>1035</v>
      </c>
      <c r="BO249" s="496">
        <f>SUM(BO247:BO248)</f>
        <v>0</v>
      </c>
      <c r="BP249" s="445"/>
      <c r="BQ249" s="445"/>
      <c r="BR249" s="445"/>
      <c r="BS249" s="445"/>
      <c r="BT249" s="524" t="s">
        <v>723</v>
      </c>
      <c r="BU249" s="512"/>
      <c r="BV249" s="512"/>
      <c r="BW249" s="512"/>
      <c r="BX249" s="512"/>
      <c r="BY249" s="512"/>
      <c r="BZ249" s="512"/>
      <c r="CA249" s="512"/>
      <c r="CB249" s="512"/>
      <c r="CC249" s="512"/>
      <c r="CD249" s="512"/>
      <c r="CE249" s="512"/>
      <c r="CF249" s="512"/>
      <c r="CG249" s="512"/>
    </row>
    <row r="250" spans="1:85" s="519" customFormat="1">
      <c r="A250" s="546">
        <v>62006040</v>
      </c>
      <c r="B250" s="543" t="s">
        <v>829</v>
      </c>
      <c r="C250" s="543" t="s">
        <v>700</v>
      </c>
      <c r="D250" s="521" t="s">
        <v>1014</v>
      </c>
      <c r="E250" s="513" t="s">
        <v>1015</v>
      </c>
      <c r="F250" s="536" t="str">
        <f t="shared" si="138"/>
        <v>06/16/20</v>
      </c>
      <c r="G250" s="524" t="s">
        <v>1016</v>
      </c>
      <c r="H250" s="524" t="s">
        <v>708</v>
      </c>
      <c r="I250" s="532"/>
      <c r="J250" s="531">
        <v>25.085394999999998</v>
      </c>
      <c r="K250" s="531">
        <v>38.615451</v>
      </c>
      <c r="L250" s="531">
        <v>29.626147</v>
      </c>
      <c r="M250" s="531">
        <v>30.497488000000001</v>
      </c>
      <c r="N250" s="528">
        <v>4250</v>
      </c>
      <c r="O250" s="528">
        <v>38.71</v>
      </c>
      <c r="P250" s="528">
        <v>3.0499999999999999E-2</v>
      </c>
      <c r="Q250" s="528">
        <v>1.4999999999999999E-2</v>
      </c>
      <c r="R250" s="529">
        <v>10.28374228</v>
      </c>
      <c r="S250" s="529">
        <f>R250+R249</f>
        <v>17.743873170000001</v>
      </c>
      <c r="T250" s="544">
        <v>96.7</v>
      </c>
      <c r="U250" s="544">
        <v>94.5</v>
      </c>
      <c r="V250" s="530">
        <v>2008</v>
      </c>
      <c r="W250" s="530">
        <v>3910</v>
      </c>
      <c r="X250" s="530">
        <f>W250-V250</f>
        <v>1902</v>
      </c>
      <c r="Y250" s="530">
        <f t="shared" si="139"/>
        <v>184.95212620205803</v>
      </c>
      <c r="Z250" s="534">
        <v>2011</v>
      </c>
      <c r="AA250" s="530">
        <v>3915</v>
      </c>
      <c r="AB250" s="530">
        <f>AA250-Z250</f>
        <v>1904</v>
      </c>
      <c r="AC250" s="533">
        <f t="shared" si="140"/>
        <v>185.14660793308016</v>
      </c>
      <c r="AD250" s="534">
        <v>347</v>
      </c>
      <c r="AE250" s="530">
        <v>350</v>
      </c>
      <c r="AF250" s="530">
        <f>AE250-AD250</f>
        <v>3</v>
      </c>
      <c r="AG250" s="533">
        <f t="shared" si="141"/>
        <v>0.29172259653321453</v>
      </c>
      <c r="AH250" s="534">
        <v>13777</v>
      </c>
      <c r="AI250" s="530">
        <v>15595</v>
      </c>
      <c r="AJ250" s="530">
        <f>AI250-AH250</f>
        <v>1818</v>
      </c>
      <c r="AK250" s="533">
        <f t="shared" si="142"/>
        <v>176.78389349912803</v>
      </c>
      <c r="AL250" s="534">
        <v>-12150.3</v>
      </c>
      <c r="AM250" s="530">
        <v>-12070.3</v>
      </c>
      <c r="AN250" s="530">
        <f>AM250-AL250</f>
        <v>80</v>
      </c>
      <c r="AO250" s="533">
        <f t="shared" si="143"/>
        <v>7.7792692408857214</v>
      </c>
      <c r="AP250" s="534">
        <v>1399.4908559999999</v>
      </c>
      <c r="AQ250" s="530">
        <v>1464.6106460000001</v>
      </c>
      <c r="AR250" s="530">
        <f>AQ250-AP250</f>
        <v>65.119790000000194</v>
      </c>
      <c r="AS250" s="533">
        <f t="shared" si="144"/>
        <v>6.3323047414992386</v>
      </c>
      <c r="AT250" s="534">
        <v>4.5</v>
      </c>
      <c r="AU250" s="530">
        <v>4.7</v>
      </c>
      <c r="AV250" s="530">
        <f>AU250-AT250</f>
        <v>0.20000000000000018</v>
      </c>
      <c r="AW250" s="533">
        <f t="shared" si="145"/>
        <v>1.9448173102214319E-2</v>
      </c>
      <c r="AX250" s="534">
        <v>12</v>
      </c>
      <c r="AY250" s="530">
        <v>12.6</v>
      </c>
      <c r="AZ250" s="530">
        <f>AY250-AX250</f>
        <v>0.59999999999999964</v>
      </c>
      <c r="BA250" s="533">
        <f t="shared" si="146"/>
        <v>5.8344519306642875E-2</v>
      </c>
      <c r="BB250" s="534">
        <v>-40.409999999999997</v>
      </c>
      <c r="BC250" s="530">
        <v>-41.12</v>
      </c>
      <c r="BD250" s="530">
        <f>BC250-BB250</f>
        <v>-0.71000000000000085</v>
      </c>
      <c r="BE250" s="530">
        <v>-3.3391099999999998</v>
      </c>
      <c r="BF250" s="533">
        <f t="shared" si="147"/>
        <v>-6.9041014512860863E-2</v>
      </c>
      <c r="BG250" s="527">
        <v>96.7</v>
      </c>
      <c r="BH250" s="527">
        <v>94.5</v>
      </c>
      <c r="BI250" s="527">
        <f>BH250-BG250</f>
        <v>-2.2000000000000028</v>
      </c>
      <c r="BJ250" s="545">
        <v>14992.3</v>
      </c>
      <c r="BK250" s="545">
        <v>14993</v>
      </c>
      <c r="BL250" s="545">
        <f>BK250-BJ250</f>
        <v>0.7000000000007276</v>
      </c>
      <c r="BM250" s="545">
        <v>-14826.1</v>
      </c>
      <c r="BN250" s="545">
        <v>-14826.1</v>
      </c>
      <c r="BO250" s="545">
        <f>BN250-BM250</f>
        <v>0</v>
      </c>
      <c r="BP250" s="527"/>
      <c r="BQ250" s="527"/>
      <c r="BR250" s="527"/>
      <c r="BS250" s="527"/>
      <c r="BT250" s="524" t="s">
        <v>723</v>
      </c>
      <c r="BU250" s="512">
        <v>1872.89630994</v>
      </c>
      <c r="BV250" s="512">
        <v>-0.52952045999999997</v>
      </c>
      <c r="BW250" s="512">
        <v>1299.7847823300001</v>
      </c>
      <c r="BX250" s="512">
        <v>1306.7040476100001</v>
      </c>
      <c r="BY250" s="512">
        <v>6.8042353799999997</v>
      </c>
      <c r="BZ250" s="512">
        <v>6.7902313100000002</v>
      </c>
      <c r="CA250" s="512">
        <v>0.26459391999999998</v>
      </c>
      <c r="CB250" s="512">
        <v>10.283818979999999</v>
      </c>
      <c r="CC250" s="512">
        <v>10.256680429999999</v>
      </c>
      <c r="CD250" s="512">
        <v>-5.8235299999999997E-2</v>
      </c>
      <c r="CE250" s="512">
        <v>0.20623852000000001</v>
      </c>
      <c r="CF250" s="512">
        <v>0.33397487999999997</v>
      </c>
      <c r="CG250" s="512"/>
    </row>
    <row r="251" spans="1:85" s="519" customFormat="1">
      <c r="A251" s="546">
        <v>62006040</v>
      </c>
      <c r="B251" s="543" t="s">
        <v>836</v>
      </c>
      <c r="C251" s="543" t="s">
        <v>770</v>
      </c>
      <c r="D251" s="521" t="s">
        <v>1014</v>
      </c>
      <c r="E251" s="513" t="s">
        <v>1015</v>
      </c>
      <c r="F251" s="536" t="str">
        <f t="shared" si="138"/>
        <v>06/16/20</v>
      </c>
      <c r="G251" s="524" t="s">
        <v>1016</v>
      </c>
      <c r="H251" s="524" t="s">
        <v>708</v>
      </c>
      <c r="I251" s="532"/>
      <c r="J251" s="531">
        <v>22.853017999999999</v>
      </c>
      <c r="K251" s="531">
        <v>42.145282000000002</v>
      </c>
      <c r="L251" s="531">
        <v>29.613773999999999</v>
      </c>
      <c r="M251" s="531">
        <v>33.771217999999998</v>
      </c>
      <c r="N251" s="528">
        <v>4250</v>
      </c>
      <c r="O251" s="528">
        <v>38.71</v>
      </c>
      <c r="P251" s="528">
        <v>3.0499999999999999E-2</v>
      </c>
      <c r="Q251" s="528">
        <v>1.4999999999999999E-2</v>
      </c>
      <c r="R251" s="529">
        <v>1.7747570800000001</v>
      </c>
      <c r="S251" s="529">
        <f>R251+R250</f>
        <v>12.058499360000001</v>
      </c>
      <c r="T251" s="544">
        <v>94.5</v>
      </c>
      <c r="U251" s="544">
        <v>92.2</v>
      </c>
      <c r="V251" s="530">
        <v>3912</v>
      </c>
      <c r="W251" s="530">
        <v>5876</v>
      </c>
      <c r="X251" s="530">
        <f>W251-V251-X252</f>
        <v>462</v>
      </c>
      <c r="Y251" s="530">
        <f t="shared" si="139"/>
        <v>260.3173162154676</v>
      </c>
      <c r="Z251" s="534">
        <v>3917</v>
      </c>
      <c r="AA251" s="530">
        <v>5883</v>
      </c>
      <c r="AB251" s="530">
        <f>AA251-Z251-AB252</f>
        <v>462</v>
      </c>
      <c r="AC251" s="533">
        <f t="shared" si="140"/>
        <v>260.3173162154676</v>
      </c>
      <c r="AD251" s="534">
        <v>350</v>
      </c>
      <c r="AE251" s="530">
        <v>406</v>
      </c>
      <c r="AF251" s="530">
        <f>AE251-AD251-AF252</f>
        <v>39</v>
      </c>
      <c r="AG251" s="533">
        <f t="shared" si="141"/>
        <v>21.97483838182519</v>
      </c>
      <c r="AH251" s="534">
        <v>15595</v>
      </c>
      <c r="AI251" s="530">
        <v>17438</v>
      </c>
      <c r="AJ251" s="530">
        <f>AI251-AH251-AJ252</f>
        <v>397</v>
      </c>
      <c r="AK251" s="533">
        <f t="shared" si="142"/>
        <v>223.69258557909231</v>
      </c>
      <c r="AL251" s="534">
        <v>-12068.4</v>
      </c>
      <c r="AM251" s="530">
        <v>-12004.1</v>
      </c>
      <c r="AN251" s="530">
        <f>AM251-AL251-AN252</f>
        <v>25.999999999998181</v>
      </c>
      <c r="AO251" s="533">
        <f t="shared" si="143"/>
        <v>14.649892254549101</v>
      </c>
      <c r="AP251" s="534">
        <v>1466.150619</v>
      </c>
      <c r="AQ251" s="530">
        <v>1518.6603869999999</v>
      </c>
      <c r="AR251" s="530">
        <f>AQ251-AP251-AR252</f>
        <v>21.336876999999959</v>
      </c>
      <c r="AS251" s="533">
        <f t="shared" si="144"/>
        <v>12.022421119176466</v>
      </c>
      <c r="AT251" s="534">
        <v>4.7</v>
      </c>
      <c r="AU251" s="530">
        <v>4.9000000000000004</v>
      </c>
      <c r="AV251" s="530">
        <f>AU251-AT251-AV252</f>
        <v>0.20000000000000018</v>
      </c>
      <c r="AW251" s="533">
        <f t="shared" si="145"/>
        <v>0.11269147888115491</v>
      </c>
      <c r="AX251" s="534">
        <v>12.6</v>
      </c>
      <c r="AY251" s="530">
        <v>13</v>
      </c>
      <c r="AZ251" s="530">
        <f>AY251-AX251-AZ252</f>
        <v>0.19999999999999929</v>
      </c>
      <c r="BA251" s="533">
        <f t="shared" si="146"/>
        <v>0.11269147888115441</v>
      </c>
      <c r="BB251" s="534">
        <v>-41.14</v>
      </c>
      <c r="BC251" s="530">
        <v>-41.61</v>
      </c>
      <c r="BD251" s="530">
        <f>BC251-BB251-BD252</f>
        <v>-0.17999999999999972</v>
      </c>
      <c r="BE251" s="530">
        <v>-2.888541</v>
      </c>
      <c r="BF251" s="533">
        <f t="shared" si="147"/>
        <v>-0.10142233099303917</v>
      </c>
      <c r="BG251" s="527">
        <v>94.5</v>
      </c>
      <c r="BH251" s="527">
        <v>92.2</v>
      </c>
      <c r="BI251" s="527">
        <f>BH251-BG251-BI252</f>
        <v>-0.60000000000000853</v>
      </c>
      <c r="BJ251" s="545">
        <v>14993</v>
      </c>
      <c r="BK251" s="545">
        <v>14993.6</v>
      </c>
      <c r="BL251" s="545">
        <f>BK251-BJ251-BL252</f>
        <v>0.30000000000109139</v>
      </c>
      <c r="BM251" s="545">
        <v>-14826.1</v>
      </c>
      <c r="BN251" s="545">
        <v>-14826.1</v>
      </c>
      <c r="BO251" s="545">
        <f>BN251-BM251-BO252</f>
        <v>0</v>
      </c>
      <c r="BP251" s="527"/>
      <c r="BQ251" s="527"/>
      <c r="BR251" s="527"/>
      <c r="BS251" s="527"/>
      <c r="BT251" s="524" t="s">
        <v>723</v>
      </c>
      <c r="BU251" s="512">
        <v>5468.1117354600001</v>
      </c>
      <c r="BV251" s="512">
        <v>-4.3748271399999998</v>
      </c>
      <c r="BW251" s="512">
        <v>2351.6680688900001</v>
      </c>
      <c r="BX251" s="512">
        <v>2459.2562801099998</v>
      </c>
      <c r="BY251" s="512">
        <v>3.0122900700000002</v>
      </c>
      <c r="BZ251" s="512">
        <v>3.09815642</v>
      </c>
      <c r="CA251" s="512">
        <v>0.1465979</v>
      </c>
      <c r="CB251" s="512">
        <v>1.7747025999999999</v>
      </c>
      <c r="CC251" s="512">
        <v>1.7721047299999999</v>
      </c>
      <c r="CD251" s="512">
        <v>-3.0013105000000002</v>
      </c>
      <c r="CE251" s="512">
        <v>-2.7715303699999998</v>
      </c>
      <c r="CF251" s="512">
        <v>0.84358606000000003</v>
      </c>
      <c r="CG251" s="512"/>
    </row>
    <row r="252" spans="1:85" s="519" customFormat="1">
      <c r="A252" s="546">
        <v>62006040</v>
      </c>
      <c r="B252" s="543" t="s">
        <v>837</v>
      </c>
      <c r="C252" s="543" t="s">
        <v>705</v>
      </c>
      <c r="D252" s="521" t="s">
        <v>1014</v>
      </c>
      <c r="E252" s="513" t="s">
        <v>1015</v>
      </c>
      <c r="F252" s="536" t="str">
        <f t="shared" si="138"/>
        <v>06/16/20</v>
      </c>
      <c r="G252" s="524" t="s">
        <v>1016</v>
      </c>
      <c r="H252" s="524" t="s">
        <v>708</v>
      </c>
      <c r="I252" s="532"/>
      <c r="J252" s="531">
        <v>25.622209000000002</v>
      </c>
      <c r="K252" s="531">
        <v>37.103490000000001</v>
      </c>
      <c r="L252" s="531">
        <v>29.623294999999999</v>
      </c>
      <c r="M252" s="531">
        <v>32.648313999999999</v>
      </c>
      <c r="N252" s="528">
        <v>4250</v>
      </c>
      <c r="O252" s="528">
        <v>38.71</v>
      </c>
      <c r="P252" s="528">
        <v>3.0499999999999999E-2</v>
      </c>
      <c r="Q252" s="528">
        <v>1.4999999999999999E-2</v>
      </c>
      <c r="R252" s="529">
        <v>6.2508972500000004</v>
      </c>
      <c r="S252" s="529">
        <f>R252+R251</f>
        <v>8.0256543300000001</v>
      </c>
      <c r="T252" s="544">
        <v>94.1</v>
      </c>
      <c r="U252" s="544">
        <v>92.4</v>
      </c>
      <c r="V252" s="530">
        <v>4223</v>
      </c>
      <c r="W252" s="530">
        <v>5725</v>
      </c>
      <c r="X252" s="530">
        <f>W252-V252</f>
        <v>1502</v>
      </c>
      <c r="Y252" s="530">
        <f t="shared" si="139"/>
        <v>240.28550461295774</v>
      </c>
      <c r="Z252" s="534">
        <v>4228</v>
      </c>
      <c r="AA252" s="530">
        <v>5732</v>
      </c>
      <c r="AB252" s="530">
        <f>AA252-Z252</f>
        <v>1504</v>
      </c>
      <c r="AC252" s="533">
        <f t="shared" si="140"/>
        <v>240.60545868035183</v>
      </c>
      <c r="AD252" s="534">
        <v>364</v>
      </c>
      <c r="AE252" s="530">
        <v>381</v>
      </c>
      <c r="AF252" s="530">
        <f>AE252-AD252</f>
        <v>17</v>
      </c>
      <c r="AG252" s="533">
        <f t="shared" si="141"/>
        <v>2.7196095728497216</v>
      </c>
      <c r="AH252" s="534">
        <v>15877</v>
      </c>
      <c r="AI252" s="530">
        <v>17323</v>
      </c>
      <c r="AJ252" s="530">
        <f>AI252-AH252</f>
        <v>1446</v>
      </c>
      <c r="AK252" s="533">
        <f t="shared" si="142"/>
        <v>231.32679072592336</v>
      </c>
      <c r="AL252" s="534">
        <v>-12053.6</v>
      </c>
      <c r="AM252" s="530">
        <v>-12015.3</v>
      </c>
      <c r="AN252" s="530">
        <f>AM252-AL252</f>
        <v>38.300000000001091</v>
      </c>
      <c r="AO252" s="533">
        <f t="shared" si="143"/>
        <v>6.1271203905969003</v>
      </c>
      <c r="AP252" s="534">
        <v>1478.2969430000001</v>
      </c>
      <c r="AQ252" s="530">
        <v>1509.469834</v>
      </c>
      <c r="AR252" s="530">
        <f>AQ252-AP252</f>
        <v>31.172890999999936</v>
      </c>
      <c r="AS252" s="533">
        <f t="shared" si="144"/>
        <v>4.986946633941221</v>
      </c>
      <c r="AT252" s="534">
        <v>4.8</v>
      </c>
      <c r="AU252" s="530">
        <v>4.8</v>
      </c>
      <c r="AV252" s="530">
        <f>AU252-AT252</f>
        <v>0</v>
      </c>
      <c r="AW252" s="533">
        <f t="shared" si="145"/>
        <v>0</v>
      </c>
      <c r="AX252" s="534">
        <v>12.7</v>
      </c>
      <c r="AY252" s="530">
        <v>12.9</v>
      </c>
      <c r="AZ252" s="530">
        <f>AY252-AX252</f>
        <v>0.20000000000000107</v>
      </c>
      <c r="BA252" s="533">
        <f t="shared" si="146"/>
        <v>3.1995406739408656E-2</v>
      </c>
      <c r="BB252" s="534">
        <v>-41.25</v>
      </c>
      <c r="BC252" s="530">
        <v>-41.54</v>
      </c>
      <c r="BD252" s="530">
        <f>BC252-BB252</f>
        <v>-0.28999999999999915</v>
      </c>
      <c r="BE252" s="530">
        <v>-2.87507</v>
      </c>
      <c r="BF252" s="533">
        <f t="shared" si="147"/>
        <v>-4.6393339772142175E-2</v>
      </c>
      <c r="BG252" s="527">
        <v>94.1</v>
      </c>
      <c r="BH252" s="527">
        <v>92.4</v>
      </c>
      <c r="BI252" s="527">
        <f>BH252-BG252</f>
        <v>-1.6999999999999886</v>
      </c>
      <c r="BJ252" s="545">
        <v>14993.2</v>
      </c>
      <c r="BK252" s="545">
        <v>14993.5</v>
      </c>
      <c r="BL252" s="545">
        <f>BK252-BJ252</f>
        <v>0.2999999999992724</v>
      </c>
      <c r="BM252" s="545">
        <v>-14826.1</v>
      </c>
      <c r="BN252" s="545">
        <v>-14826.1</v>
      </c>
      <c r="BO252" s="545">
        <f>BN252-BM252</f>
        <v>0</v>
      </c>
      <c r="BP252" s="527"/>
      <c r="BQ252" s="527"/>
      <c r="BR252" s="527"/>
      <c r="BS252" s="527"/>
      <c r="BT252" s="524" t="s">
        <v>723</v>
      </c>
      <c r="BU252" s="512">
        <v>11258.48371697</v>
      </c>
      <c r="BV252" s="512">
        <v>-0.99929727000000002</v>
      </c>
      <c r="BW252" s="512">
        <v>1126.7738802599999</v>
      </c>
      <c r="BX252" s="512">
        <v>1138.1473556999999</v>
      </c>
      <c r="BY252" s="512">
        <v>5.8896571299999998</v>
      </c>
      <c r="BZ252" s="512">
        <v>5.8916275300000001</v>
      </c>
      <c r="CA252" s="512">
        <v>0.25848366</v>
      </c>
      <c r="CB252" s="512">
        <v>6.2509742700000004</v>
      </c>
      <c r="CC252" s="512">
        <v>6.2348581799999998</v>
      </c>
      <c r="CD252" s="512">
        <v>-0.29202538</v>
      </c>
      <c r="CE252" s="512">
        <v>-3.3444050000000003E-2</v>
      </c>
      <c r="CF252" s="512">
        <v>0.41947275000000001</v>
      </c>
      <c r="CG252" s="512"/>
    </row>
    <row r="253" spans="1:85" s="519" customFormat="1">
      <c r="A253" s="546">
        <v>62006040</v>
      </c>
      <c r="B253" s="543" t="s">
        <v>835</v>
      </c>
      <c r="C253" s="543" t="s">
        <v>703</v>
      </c>
      <c r="D253" s="521" t="s">
        <v>1014</v>
      </c>
      <c r="E253" s="513" t="s">
        <v>1015</v>
      </c>
      <c r="F253" s="536" t="str">
        <f t="shared" si="138"/>
        <v>06/16/20</v>
      </c>
      <c r="G253" s="524" t="s">
        <v>1016</v>
      </c>
      <c r="H253" s="524" t="s">
        <v>708</v>
      </c>
      <c r="I253" s="532"/>
      <c r="J253" s="468">
        <f>AVERAGE(J251:J252)</f>
        <v>24.237613500000002</v>
      </c>
      <c r="K253" s="468">
        <f>AVERAGE(K251:K252)</f>
        <v>39.624386000000001</v>
      </c>
      <c r="L253" s="468">
        <f>AVERAGE(L251:L252)</f>
        <v>29.618534499999999</v>
      </c>
      <c r="M253" s="468">
        <f>AVERAGE(M251:M252)</f>
        <v>33.209766000000002</v>
      </c>
      <c r="N253" s="452"/>
      <c r="O253" s="528"/>
      <c r="P253" s="470"/>
      <c r="Q253" s="469"/>
      <c r="R253" s="453">
        <f>R252+R251</f>
        <v>8.0256543300000001</v>
      </c>
      <c r="S253" s="453">
        <f>S252</f>
        <v>8.0256543300000001</v>
      </c>
      <c r="T253" s="493">
        <f>T251</f>
        <v>94.5</v>
      </c>
      <c r="U253" s="493">
        <f>U252</f>
        <v>92.4</v>
      </c>
      <c r="V253" s="456">
        <f>V251</f>
        <v>3912</v>
      </c>
      <c r="W253" s="456">
        <f>W252</f>
        <v>5725</v>
      </c>
      <c r="X253" s="456">
        <f>SUM(X251:X252)</f>
        <v>1964</v>
      </c>
      <c r="Y253" s="456">
        <f t="shared" si="139"/>
        <v>244.71524927986775</v>
      </c>
      <c r="Z253" s="456">
        <f>Z251</f>
        <v>3917</v>
      </c>
      <c r="AA253" s="456">
        <f>AA252</f>
        <v>5732</v>
      </c>
      <c r="AB253" s="456">
        <f>SUM(AB251:AB252)</f>
        <v>1966</v>
      </c>
      <c r="AC253" s="454">
        <f t="shared" si="140"/>
        <v>244.96445014471487</v>
      </c>
      <c r="AD253" s="456">
        <f>AD251</f>
        <v>350</v>
      </c>
      <c r="AE253" s="456">
        <f>AE252</f>
        <v>381</v>
      </c>
      <c r="AF253" s="456">
        <f>SUM(AF251:AF252)</f>
        <v>56</v>
      </c>
      <c r="AG253" s="454">
        <f t="shared" si="141"/>
        <v>6.977624215719243</v>
      </c>
      <c r="AH253" s="456">
        <f>AH251</f>
        <v>15595</v>
      </c>
      <c r="AI253" s="456">
        <f>AI252</f>
        <v>17323</v>
      </c>
      <c r="AJ253" s="456">
        <f>SUM(AJ251:AJ252)</f>
        <v>1843</v>
      </c>
      <c r="AK253" s="454">
        <f t="shared" si="142"/>
        <v>229.63859695661725</v>
      </c>
      <c r="AL253" s="456">
        <f>AL251</f>
        <v>-12068.4</v>
      </c>
      <c r="AM253" s="456">
        <f>AM252</f>
        <v>-12015.3</v>
      </c>
      <c r="AN253" s="456">
        <f>SUM(AN251:AN252)</f>
        <v>64.299999999999272</v>
      </c>
      <c r="AO253" s="454">
        <f t="shared" si="143"/>
        <v>8.0118078048346835</v>
      </c>
      <c r="AP253" s="456">
        <f>AP251</f>
        <v>1466.150619</v>
      </c>
      <c r="AQ253" s="456">
        <f>AQ252</f>
        <v>1509.469834</v>
      </c>
      <c r="AR253" s="456">
        <f>SUM(AR251:AR252)</f>
        <v>52.509767999999895</v>
      </c>
      <c r="AS253" s="454">
        <f t="shared" si="144"/>
        <v>6.5427397992606906</v>
      </c>
      <c r="AT253" s="456">
        <f>AT251</f>
        <v>4.7</v>
      </c>
      <c r="AU253" s="456">
        <f>AU252</f>
        <v>4.8</v>
      </c>
      <c r="AV253" s="456">
        <f>SUM(AV251:AV252)</f>
        <v>0.20000000000000018</v>
      </c>
      <c r="AW253" s="454">
        <f t="shared" si="145"/>
        <v>2.4920086484711605E-2</v>
      </c>
      <c r="AX253" s="456">
        <f>AX251</f>
        <v>12.6</v>
      </c>
      <c r="AY253" s="456">
        <f>AY252</f>
        <v>12.9</v>
      </c>
      <c r="AZ253" s="456">
        <f>SUM(AZ251:AZ252)</f>
        <v>0.40000000000000036</v>
      </c>
      <c r="BA253" s="454">
        <f t="shared" si="146"/>
        <v>4.984017296942321E-2</v>
      </c>
      <c r="BB253" s="456">
        <f>BB251</f>
        <v>-41.14</v>
      </c>
      <c r="BC253" s="456">
        <f>BC252</f>
        <v>-41.54</v>
      </c>
      <c r="BD253" s="456">
        <f>SUM(BD251:BD252)</f>
        <v>-0.46999999999999886</v>
      </c>
      <c r="BE253" s="530">
        <f>AVERAGE(BE251:BE252)</f>
        <v>-2.8818055</v>
      </c>
      <c r="BF253" s="454">
        <f t="shared" si="147"/>
        <v>-5.8562203239072082E-2</v>
      </c>
      <c r="BG253" s="445"/>
      <c r="BH253" s="445"/>
      <c r="BI253" s="445">
        <f>SUM(BI251:BI252)</f>
        <v>-2.2999999999999972</v>
      </c>
      <c r="BJ253" s="496" t="s">
        <v>1010</v>
      </c>
      <c r="BK253" s="496" t="s">
        <v>1011</v>
      </c>
      <c r="BL253" s="496">
        <f>SUM(BL251:BL252)</f>
        <v>0.6000000000003638</v>
      </c>
      <c r="BM253" s="496" t="s">
        <v>1012</v>
      </c>
      <c r="BN253" s="496" t="s">
        <v>1013</v>
      </c>
      <c r="BO253" s="496">
        <f>SUM(BO251:BO252)</f>
        <v>0</v>
      </c>
      <c r="BP253" s="445"/>
      <c r="BQ253" s="445"/>
      <c r="BR253" s="445"/>
      <c r="BS253" s="445"/>
      <c r="BT253" s="524" t="s">
        <v>723</v>
      </c>
      <c r="BU253" s="512"/>
      <c r="BV253" s="512"/>
      <c r="BW253" s="512"/>
      <c r="BX253" s="512"/>
      <c r="BY253" s="512"/>
      <c r="BZ253" s="512"/>
      <c r="CA253" s="512"/>
      <c r="CB253" s="512"/>
      <c r="CC253" s="512"/>
      <c r="CD253" s="512"/>
      <c r="CE253" s="512"/>
      <c r="CF253" s="512"/>
      <c r="CG253" s="512"/>
    </row>
    <row r="254" spans="1:85" s="519" customFormat="1">
      <c r="A254" s="546">
        <v>62006040</v>
      </c>
      <c r="B254" s="543" t="s">
        <v>990</v>
      </c>
      <c r="C254" s="543" t="s">
        <v>788</v>
      </c>
      <c r="D254" s="521" t="s">
        <v>1014</v>
      </c>
      <c r="E254" s="513" t="s">
        <v>1015</v>
      </c>
      <c r="F254" s="536" t="str">
        <f t="shared" si="138"/>
        <v>06/16/20</v>
      </c>
      <c r="G254" s="524" t="s">
        <v>1016</v>
      </c>
      <c r="H254" s="524" t="s">
        <v>708</v>
      </c>
      <c r="I254" s="532"/>
      <c r="J254" s="531">
        <v>24.039773</v>
      </c>
      <c r="K254" s="531">
        <v>40.789335999999999</v>
      </c>
      <c r="L254" s="531">
        <v>29.616848000000001</v>
      </c>
      <c r="M254" s="531">
        <v>32.212916999999997</v>
      </c>
      <c r="N254" s="528">
        <v>4250</v>
      </c>
      <c r="O254" s="528">
        <v>38.71</v>
      </c>
      <c r="P254" s="528">
        <v>3.0499999999999999E-2</v>
      </c>
      <c r="Q254" s="528">
        <v>1.4999999999999999E-2</v>
      </c>
      <c r="R254" s="529">
        <v>10.284252110000001</v>
      </c>
      <c r="S254" s="529">
        <f>R254+R253</f>
        <v>18.309906439999999</v>
      </c>
      <c r="T254" s="544">
        <v>92.2</v>
      </c>
      <c r="U254" s="544">
        <v>90</v>
      </c>
      <c r="V254" s="530">
        <v>5878</v>
      </c>
      <c r="W254" s="530">
        <v>7735</v>
      </c>
      <c r="X254" s="530">
        <f>W254-V254</f>
        <v>1857</v>
      </c>
      <c r="Y254" s="530">
        <f t="shared" si="139"/>
        <v>180.56733539178086</v>
      </c>
      <c r="Z254" s="534">
        <v>5885</v>
      </c>
      <c r="AA254" s="530">
        <v>7744</v>
      </c>
      <c r="AB254" s="530">
        <f>AA254-Z254</f>
        <v>1859</v>
      </c>
      <c r="AC254" s="533">
        <f t="shared" si="140"/>
        <v>180.7618074815943</v>
      </c>
      <c r="AD254" s="534">
        <v>406</v>
      </c>
      <c r="AE254" s="530">
        <v>408</v>
      </c>
      <c r="AF254" s="530">
        <f>AE254-AD254</f>
        <v>2</v>
      </c>
      <c r="AG254" s="533">
        <f t="shared" si="141"/>
        <v>0.19447208981344194</v>
      </c>
      <c r="AH254" s="534">
        <v>17438</v>
      </c>
      <c r="AI254" s="530">
        <v>19213</v>
      </c>
      <c r="AJ254" s="530">
        <f>AI254-AH254</f>
        <v>1775</v>
      </c>
      <c r="AK254" s="533">
        <f t="shared" si="142"/>
        <v>172.59397970942973</v>
      </c>
      <c r="AL254" s="534">
        <v>-12002.399181999999</v>
      </c>
      <c r="AM254" s="530">
        <v>-11923.7</v>
      </c>
      <c r="AN254" s="530">
        <f>AM254-AL254</f>
        <v>78.699181999998473</v>
      </c>
      <c r="AO254" s="533">
        <f t="shared" si="143"/>
        <v>7.6523971950740588</v>
      </c>
      <c r="AP254" s="534">
        <v>1520.060164</v>
      </c>
      <c r="AQ254" s="530">
        <v>1583.88993</v>
      </c>
      <c r="AR254" s="530">
        <f>AQ254-AP254</f>
        <v>63.829766000000063</v>
      </c>
      <c r="AS254" s="533">
        <f t="shared" si="144"/>
        <v>6.2065539931614975</v>
      </c>
      <c r="AT254" s="534">
        <v>4.9000000000000004</v>
      </c>
      <c r="AU254" s="530">
        <v>5</v>
      </c>
      <c r="AV254" s="530">
        <f>AU254-AT254</f>
        <v>9.9999999999999645E-2</v>
      </c>
      <c r="AW254" s="533">
        <f t="shared" si="145"/>
        <v>9.7236044906720623E-3</v>
      </c>
      <c r="AX254" s="534">
        <v>13</v>
      </c>
      <c r="AY254" s="530">
        <v>13.5</v>
      </c>
      <c r="AZ254" s="530">
        <f>AY254-AX254</f>
        <v>0.5</v>
      </c>
      <c r="BA254" s="533">
        <f t="shared" si="146"/>
        <v>4.8618022453360485E-2</v>
      </c>
      <c r="BB254" s="534">
        <v>-41.63</v>
      </c>
      <c r="BC254" s="530">
        <v>-42.17</v>
      </c>
      <c r="BD254" s="530">
        <f>BC254-BB254</f>
        <v>-0.53999999999999915</v>
      </c>
      <c r="BE254" s="530">
        <v>-2.555231</v>
      </c>
      <c r="BF254" s="533">
        <f t="shared" si="147"/>
        <v>-5.2507464249629245E-2</v>
      </c>
      <c r="BG254" s="527">
        <v>92.2</v>
      </c>
      <c r="BH254" s="527">
        <v>90</v>
      </c>
      <c r="BI254" s="527">
        <f>BH254-BG254</f>
        <v>-2.2000000000000028</v>
      </c>
      <c r="BJ254" s="545">
        <v>14993.6</v>
      </c>
      <c r="BK254" s="545">
        <v>14994.4</v>
      </c>
      <c r="BL254" s="545">
        <f>BK254-BJ254</f>
        <v>0.7999999999992724</v>
      </c>
      <c r="BM254" s="545">
        <v>-14826.1</v>
      </c>
      <c r="BN254" s="545">
        <v>-14826.1</v>
      </c>
      <c r="BO254" s="545">
        <f>BN254-BM254</f>
        <v>0</v>
      </c>
      <c r="BP254" s="527"/>
      <c r="BQ254" s="527"/>
      <c r="BR254" s="527"/>
      <c r="BS254" s="527"/>
      <c r="BT254" s="524" t="s">
        <v>723</v>
      </c>
      <c r="BU254" s="512">
        <v>1873.12939854</v>
      </c>
      <c r="BV254" s="512">
        <v>-0.50813598000000004</v>
      </c>
      <c r="BW254" s="512">
        <v>1300.0707290600001</v>
      </c>
      <c r="BX254" s="512">
        <v>1306.71059571</v>
      </c>
      <c r="BY254" s="512">
        <v>6.8011252300000002</v>
      </c>
      <c r="BZ254" s="512">
        <v>6.7902538000000003</v>
      </c>
      <c r="CA254" s="512">
        <v>0.26928959000000002</v>
      </c>
      <c r="CB254" s="512">
        <v>10.28430049</v>
      </c>
      <c r="CC254" s="512">
        <v>10.256680319999999</v>
      </c>
      <c r="CD254" s="512">
        <v>-0.10901166</v>
      </c>
      <c r="CE254" s="512">
        <v>0.16010340000000001</v>
      </c>
      <c r="CF254" s="512">
        <v>0.33397575000000002</v>
      </c>
      <c r="CG254" s="512"/>
    </row>
    <row r="255" spans="1:85" s="519" customFormat="1">
      <c r="A255" s="546">
        <v>62006040</v>
      </c>
      <c r="B255" s="543" t="s">
        <v>841</v>
      </c>
      <c r="C255" s="543" t="s">
        <v>943</v>
      </c>
      <c r="D255" s="521" t="s">
        <v>1014</v>
      </c>
      <c r="E255" s="513" t="s">
        <v>1015</v>
      </c>
      <c r="F255" s="536" t="str">
        <f t="shared" si="138"/>
        <v>06/16/20</v>
      </c>
      <c r="G255" s="524" t="s">
        <v>1016</v>
      </c>
      <c r="H255" s="524" t="s">
        <v>708</v>
      </c>
      <c r="I255" s="532"/>
      <c r="J255" s="531">
        <v>21.411667999999999</v>
      </c>
      <c r="K255" s="531">
        <v>46.967972000000003</v>
      </c>
      <c r="L255" s="531">
        <v>29.613699</v>
      </c>
      <c r="M255" s="531">
        <v>32.761895000000003</v>
      </c>
      <c r="N255" s="528">
        <v>4250</v>
      </c>
      <c r="O255" s="528">
        <v>38.71</v>
      </c>
      <c r="P255" s="528">
        <v>3.0499999999999999E-2</v>
      </c>
      <c r="Q255" s="528">
        <v>1.4999999999999999E-2</v>
      </c>
      <c r="R255" s="529">
        <v>3.59704004</v>
      </c>
      <c r="S255" s="529">
        <f>R255+R254</f>
        <v>13.88129215</v>
      </c>
      <c r="T255" s="544">
        <v>90</v>
      </c>
      <c r="U255" s="544">
        <v>89.3</v>
      </c>
      <c r="V255" s="530">
        <v>7736</v>
      </c>
      <c r="W255" s="530">
        <v>8377</v>
      </c>
      <c r="X255" s="530">
        <f>W255-V255</f>
        <v>641</v>
      </c>
      <c r="Y255" s="530">
        <f t="shared" si="139"/>
        <v>178.20207528187538</v>
      </c>
      <c r="Z255" s="534">
        <v>7744</v>
      </c>
      <c r="AA255" s="530">
        <v>8386</v>
      </c>
      <c r="AB255" s="530">
        <f>AA255-Z255</f>
        <v>642</v>
      </c>
      <c r="AC255" s="533">
        <f t="shared" si="140"/>
        <v>178.48008163956942</v>
      </c>
      <c r="AD255" s="534">
        <v>408</v>
      </c>
      <c r="AE255" s="530">
        <v>414</v>
      </c>
      <c r="AF255" s="530">
        <f>AE255-AD255</f>
        <v>6</v>
      </c>
      <c r="AG255" s="533">
        <f t="shared" si="141"/>
        <v>1.6680381461642</v>
      </c>
      <c r="AH255" s="534">
        <v>19213</v>
      </c>
      <c r="AI255" s="530">
        <v>19794.036995999999</v>
      </c>
      <c r="AJ255" s="530">
        <f>AI255-AH255</f>
        <v>581.03699599999891</v>
      </c>
      <c r="AK255" s="533">
        <f t="shared" si="142"/>
        <v>161.53197894344231</v>
      </c>
      <c r="AL255" s="534">
        <v>-11923.5</v>
      </c>
      <c r="AM255" s="530">
        <v>-11871.2</v>
      </c>
      <c r="AN255" s="530">
        <f>AM255-AL255</f>
        <v>52.299999999999272</v>
      </c>
      <c r="AO255" s="533">
        <f t="shared" si="143"/>
        <v>14.539732507397742</v>
      </c>
      <c r="AP255" s="534">
        <v>1583.989832</v>
      </c>
      <c r="AQ255" s="530">
        <v>1626.48</v>
      </c>
      <c r="AR255" s="530">
        <f>AQ255-AP255</f>
        <v>42.49016800000004</v>
      </c>
      <c r="AS255" s="533">
        <f t="shared" si="144"/>
        <v>11.81253684348758</v>
      </c>
      <c r="AT255" s="534">
        <v>5</v>
      </c>
      <c r="AU255" s="530">
        <v>5.0999999999999996</v>
      </c>
      <c r="AV255" s="530">
        <f>AU255-AT255</f>
        <v>9.9999999999999645E-2</v>
      </c>
      <c r="AW255" s="533">
        <f t="shared" si="145"/>
        <v>2.7800635769403236E-2</v>
      </c>
      <c r="AX255" s="534">
        <v>13.5</v>
      </c>
      <c r="AY255" s="530">
        <v>13.8</v>
      </c>
      <c r="AZ255" s="530">
        <f>AY255-AX255</f>
        <v>0.30000000000000071</v>
      </c>
      <c r="BA255" s="533">
        <f t="shared" si="146"/>
        <v>8.3401907308210205E-2</v>
      </c>
      <c r="BB255" s="534">
        <v>-42.17</v>
      </c>
      <c r="BC255" s="530">
        <v>-42.5</v>
      </c>
      <c r="BD255" s="530">
        <f>BC255-BB255</f>
        <v>-0.32999999999999829</v>
      </c>
      <c r="BE255" s="530">
        <v>-2.3483230000000002</v>
      </c>
      <c r="BF255" s="533">
        <f t="shared" si="147"/>
        <v>-9.1742098039030523E-2</v>
      </c>
      <c r="BG255" s="527">
        <v>90</v>
      </c>
      <c r="BH255" s="527">
        <v>89.3</v>
      </c>
      <c r="BI255" s="527">
        <f>BH255-BG255</f>
        <v>-0.70000000000000284</v>
      </c>
      <c r="BJ255" s="545">
        <v>14994.4</v>
      </c>
      <c r="BK255" s="545">
        <v>14994.9</v>
      </c>
      <c r="BL255" s="545">
        <f>BK255-BJ255</f>
        <v>0.5</v>
      </c>
      <c r="BM255" s="545">
        <v>-14826.1</v>
      </c>
      <c r="BN255" s="545">
        <v>-14826.1</v>
      </c>
      <c r="BO255" s="545">
        <f>BN255-BM255</f>
        <v>0</v>
      </c>
      <c r="BP255" s="527"/>
      <c r="BQ255" s="527"/>
      <c r="BR255" s="527"/>
      <c r="BS255" s="527"/>
      <c r="BT255" s="524" t="s">
        <v>723</v>
      </c>
      <c r="BU255" s="512">
        <v>2370.1068483099998</v>
      </c>
      <c r="BV255" s="512">
        <v>-0.97392224999999999</v>
      </c>
      <c r="BW255" s="512">
        <v>2028.7565734899999</v>
      </c>
      <c r="BX255" s="512">
        <v>2048.7094101900002</v>
      </c>
      <c r="BY255" s="512">
        <v>3.02402294</v>
      </c>
      <c r="BZ255" s="512">
        <v>3.0318172200000002</v>
      </c>
      <c r="CA255" s="512">
        <v>0.1676802</v>
      </c>
      <c r="CB255" s="512">
        <v>3.59700051</v>
      </c>
      <c r="CC255" s="512">
        <v>3.5909791499999999</v>
      </c>
      <c r="CD255" s="512">
        <v>-0.42585780000000001</v>
      </c>
      <c r="CE255" s="512">
        <v>-0.2570828</v>
      </c>
      <c r="CF255" s="512">
        <v>0.63448674999999999</v>
      </c>
      <c r="CG255" s="512"/>
    </row>
    <row r="256" spans="1:85" s="519" customFormat="1">
      <c r="A256" s="546">
        <v>62006040</v>
      </c>
      <c r="B256" s="543" t="s">
        <v>234</v>
      </c>
      <c r="C256" s="543" t="s">
        <v>944</v>
      </c>
      <c r="D256" s="521" t="s">
        <v>1014</v>
      </c>
      <c r="E256" s="513" t="s">
        <v>1015</v>
      </c>
      <c r="F256" s="536" t="str">
        <f t="shared" si="138"/>
        <v>06/16/20</v>
      </c>
      <c r="G256" s="524" t="s">
        <v>1016</v>
      </c>
      <c r="H256" s="524" t="s">
        <v>708</v>
      </c>
      <c r="I256" s="532"/>
      <c r="J256" s="531">
        <v>18.307133</v>
      </c>
      <c r="K256" s="531">
        <v>57.483727999999999</v>
      </c>
      <c r="L256" s="531">
        <v>29.611903999999999</v>
      </c>
      <c r="M256" s="531">
        <v>30.325906</v>
      </c>
      <c r="N256" s="528">
        <v>4250</v>
      </c>
      <c r="O256" s="528">
        <v>38.71</v>
      </c>
      <c r="P256" s="528">
        <v>3.0499999999999999E-2</v>
      </c>
      <c r="Q256" s="528">
        <v>1.4999999999999999E-2</v>
      </c>
      <c r="R256" s="529">
        <v>3.8637445600000002</v>
      </c>
      <c r="S256" s="529">
        <f>R256+R255</f>
        <v>7.4607846000000002</v>
      </c>
      <c r="T256" s="544">
        <v>89.3</v>
      </c>
      <c r="U256" s="544">
        <v>88.6</v>
      </c>
      <c r="V256" s="530">
        <v>8377</v>
      </c>
      <c r="W256" s="530">
        <v>9009</v>
      </c>
      <c r="X256" s="530">
        <f>W256-V256</f>
        <v>632</v>
      </c>
      <c r="Y256" s="530">
        <f t="shared" si="139"/>
        <v>163.57188995951637</v>
      </c>
      <c r="Z256" s="534">
        <v>8386</v>
      </c>
      <c r="AA256" s="530">
        <v>9019</v>
      </c>
      <c r="AB256" s="530">
        <f>AA256-Z256</f>
        <v>633</v>
      </c>
      <c r="AC256" s="533">
        <f t="shared" si="140"/>
        <v>163.83070624109789</v>
      </c>
      <c r="AD256" s="534">
        <v>414</v>
      </c>
      <c r="AE256" s="530">
        <v>433</v>
      </c>
      <c r="AF256" s="530">
        <f>AE256-AD256</f>
        <v>19</v>
      </c>
      <c r="AG256" s="533">
        <f t="shared" si="141"/>
        <v>4.9175093500487517</v>
      </c>
      <c r="AH256" s="534">
        <v>19794</v>
      </c>
      <c r="AI256" s="530">
        <v>20320</v>
      </c>
      <c r="AJ256" s="530">
        <f>AI256-AH256</f>
        <v>526</v>
      </c>
      <c r="AK256" s="533">
        <f t="shared" si="142"/>
        <v>136.13736411187597</v>
      </c>
      <c r="AL256" s="534">
        <v>-11871.2</v>
      </c>
      <c r="AM256" s="530">
        <v>-11783.8</v>
      </c>
      <c r="AN256" s="530">
        <f>AM256-AL256</f>
        <v>87.400000000001455</v>
      </c>
      <c r="AO256" s="533">
        <f t="shared" si="143"/>
        <v>22.620543010224633</v>
      </c>
      <c r="AP256" s="534">
        <v>1626.499546</v>
      </c>
      <c r="AQ256" s="530">
        <v>1697.0191460000001</v>
      </c>
      <c r="AR256" s="530">
        <f>AQ256-AP256</f>
        <v>70.519600000000082</v>
      </c>
      <c r="AS256" s="533">
        <f t="shared" si="144"/>
        <v>18.251620650615703</v>
      </c>
      <c r="AT256" s="534">
        <v>5.0999999999999996</v>
      </c>
      <c r="AU256" s="530">
        <v>5.3</v>
      </c>
      <c r="AV256" s="530">
        <f>AU256-AT256</f>
        <v>0.20000000000000018</v>
      </c>
      <c r="AW256" s="533">
        <f t="shared" si="145"/>
        <v>5.1763256316302693E-2</v>
      </c>
      <c r="AX256" s="534">
        <v>13.8</v>
      </c>
      <c r="AY256" s="530">
        <v>14.3</v>
      </c>
      <c r="AZ256" s="530">
        <f>AY256-AX256</f>
        <v>0.5</v>
      </c>
      <c r="BA256" s="533">
        <f t="shared" si="146"/>
        <v>0.1294081407907566</v>
      </c>
      <c r="BB256" s="534">
        <v>-42.5</v>
      </c>
      <c r="BC256" s="530">
        <v>-43.05</v>
      </c>
      <c r="BD256" s="530">
        <f>BC256-BB256</f>
        <v>-0.54999999999999716</v>
      </c>
      <c r="BE256" s="530">
        <v>-2.2377739999999999</v>
      </c>
      <c r="BF256" s="533">
        <f t="shared" si="147"/>
        <v>-0.14234895486983154</v>
      </c>
      <c r="BG256" s="527">
        <v>89.3</v>
      </c>
      <c r="BH256" s="527">
        <v>88.6</v>
      </c>
      <c r="BI256" s="527">
        <f>BH256-BG256</f>
        <v>-0.70000000000000284</v>
      </c>
      <c r="BJ256" s="545">
        <v>14994.9</v>
      </c>
      <c r="BK256" s="545">
        <v>14995.7</v>
      </c>
      <c r="BL256" s="545">
        <f>BK256-BJ256</f>
        <v>0.80000000000109139</v>
      </c>
      <c r="BM256" s="545">
        <v>-14826.1</v>
      </c>
      <c r="BN256" s="545">
        <v>-14826.1</v>
      </c>
      <c r="BO256" s="545">
        <f>BN256-BM256</f>
        <v>0</v>
      </c>
      <c r="BP256" s="527"/>
      <c r="BQ256" s="527"/>
      <c r="BR256" s="527"/>
      <c r="BS256" s="527"/>
      <c r="BT256" s="524" t="s">
        <v>723</v>
      </c>
      <c r="BU256" s="512">
        <v>1475.0298434700001</v>
      </c>
      <c r="BV256" s="512">
        <v>-1.3305439299999999</v>
      </c>
      <c r="BW256" s="512">
        <v>3370.6956695899999</v>
      </c>
      <c r="BX256" s="512">
        <v>3416.1490330900001</v>
      </c>
      <c r="BY256" s="512">
        <v>2.9815954100000002</v>
      </c>
      <c r="BZ256" s="512">
        <v>2.9952188500000001</v>
      </c>
      <c r="CA256" s="512">
        <v>9.8927890000000004E-2</v>
      </c>
      <c r="CB256" s="512">
        <v>3.8636488400000002</v>
      </c>
      <c r="CC256" s="512">
        <v>3.8598303899999999</v>
      </c>
      <c r="CD256" s="512">
        <v>-0.55629751000000005</v>
      </c>
      <c r="CE256" s="512">
        <v>-0.45483937000000002</v>
      </c>
      <c r="CF256" s="512">
        <v>0.72009604000000005</v>
      </c>
      <c r="CG256" s="512"/>
    </row>
    <row r="257" spans="1:85" s="519" customFormat="1">
      <c r="A257" s="546">
        <v>62006040</v>
      </c>
      <c r="B257" s="543" t="s">
        <v>842</v>
      </c>
      <c r="C257" s="543" t="s">
        <v>991</v>
      </c>
      <c r="D257" s="521" t="s">
        <v>1014</v>
      </c>
      <c r="E257" s="513" t="s">
        <v>1015</v>
      </c>
      <c r="F257" s="536" t="str">
        <f t="shared" si="138"/>
        <v>06/16/20</v>
      </c>
      <c r="G257" s="524" t="s">
        <v>1016</v>
      </c>
      <c r="H257" s="524" t="s">
        <v>708</v>
      </c>
      <c r="I257" s="532"/>
      <c r="J257" s="468">
        <f>AVERAGE(J255:J256)</f>
        <v>19.8594005</v>
      </c>
      <c r="K257" s="468">
        <f>AVERAGE(K255:K256)</f>
        <v>52.225850000000001</v>
      </c>
      <c r="L257" s="468">
        <f>AVERAGE(L255:L256)</f>
        <v>29.6128015</v>
      </c>
      <c r="M257" s="468">
        <f>AVERAGE(M255:M256)</f>
        <v>31.543900499999999</v>
      </c>
      <c r="N257" s="452"/>
      <c r="O257" s="528"/>
      <c r="P257" s="470"/>
      <c r="Q257" s="469"/>
      <c r="R257" s="453">
        <f>R256+R255</f>
        <v>7.4607846000000002</v>
      </c>
      <c r="S257" s="453">
        <f>S256</f>
        <v>7.4607846000000002</v>
      </c>
      <c r="T257" s="493">
        <f>T255</f>
        <v>90</v>
      </c>
      <c r="U257" s="493">
        <f>U256</f>
        <v>88.6</v>
      </c>
      <c r="V257" s="456">
        <f>V255</f>
        <v>7736</v>
      </c>
      <c r="W257" s="456">
        <f>W256</f>
        <v>9009</v>
      </c>
      <c r="X257" s="456">
        <f>SUM(X255:X256)</f>
        <v>1273</v>
      </c>
      <c r="Y257" s="456">
        <f t="shared" si="139"/>
        <v>170.62548622567121</v>
      </c>
      <c r="Z257" s="456">
        <f>Z255</f>
        <v>7744</v>
      </c>
      <c r="AA257" s="456">
        <f>AA256</f>
        <v>9019</v>
      </c>
      <c r="AB257" s="456">
        <f>SUM(AB255:AB256)</f>
        <v>1275</v>
      </c>
      <c r="AC257" s="454">
        <f t="shared" si="140"/>
        <v>170.89355454652852</v>
      </c>
      <c r="AD257" s="456">
        <f>AD255</f>
        <v>408</v>
      </c>
      <c r="AE257" s="456">
        <f>AE256</f>
        <v>433</v>
      </c>
      <c r="AF257" s="456">
        <f>SUM(AF255:AF256)</f>
        <v>25</v>
      </c>
      <c r="AG257" s="454">
        <f t="shared" si="141"/>
        <v>3.3508540107162457</v>
      </c>
      <c r="AH257" s="456">
        <f>AH255</f>
        <v>19213</v>
      </c>
      <c r="AI257" s="456">
        <f>AI256</f>
        <v>20320</v>
      </c>
      <c r="AJ257" s="456">
        <f>SUM(AJ255:AJ256)</f>
        <v>1107.0369959999989</v>
      </c>
      <c r="AK257" s="454">
        <f t="shared" si="142"/>
        <v>148.38077432231441</v>
      </c>
      <c r="AL257" s="456">
        <f>AL255</f>
        <v>-11923.5</v>
      </c>
      <c r="AM257" s="456">
        <f>AM256</f>
        <v>-11783.8</v>
      </c>
      <c r="AN257" s="456">
        <f>SUM(AN255:AN256)</f>
        <v>139.70000000000073</v>
      </c>
      <c r="AO257" s="454">
        <f t="shared" si="143"/>
        <v>18.724572211882478</v>
      </c>
      <c r="AP257" s="456">
        <f>AP255</f>
        <v>1583.989832</v>
      </c>
      <c r="AQ257" s="456">
        <f>AQ256</f>
        <v>1697.0191460000001</v>
      </c>
      <c r="AR257" s="456">
        <f>SUM(AR255:AR256)</f>
        <v>113.00976800000012</v>
      </c>
      <c r="AS257" s="454">
        <f t="shared" si="144"/>
        <v>15.147169374116514</v>
      </c>
      <c r="AT257" s="456">
        <f>AT255</f>
        <v>5</v>
      </c>
      <c r="AU257" s="456">
        <f>AU256</f>
        <v>5.3</v>
      </c>
      <c r="AV257" s="456">
        <f>SUM(AV255:AV256)</f>
        <v>0.29999999999999982</v>
      </c>
      <c r="AW257" s="454">
        <f t="shared" si="145"/>
        <v>4.0210248128594923E-2</v>
      </c>
      <c r="AX257" s="456">
        <f>AX255</f>
        <v>13.5</v>
      </c>
      <c r="AY257" s="456">
        <f>AY256</f>
        <v>14.3</v>
      </c>
      <c r="AZ257" s="456">
        <f>SUM(AZ255:AZ256)</f>
        <v>0.80000000000000071</v>
      </c>
      <c r="BA257" s="454">
        <f t="shared" si="146"/>
        <v>0.10722732834291995</v>
      </c>
      <c r="BB257" s="456">
        <f>BB255</f>
        <v>-42.17</v>
      </c>
      <c r="BC257" s="456">
        <f>BC256</f>
        <v>-43.05</v>
      </c>
      <c r="BD257" s="456">
        <f>SUM(BD255:BD256)</f>
        <v>-0.87999999999999545</v>
      </c>
      <c r="BE257" s="530">
        <f>AVERAGE(BE255:BE256)</f>
        <v>-2.2930485000000003</v>
      </c>
      <c r="BF257" s="454">
        <f t="shared" si="147"/>
        <v>-0.11795006117721123</v>
      </c>
      <c r="BG257" s="445"/>
      <c r="BH257" s="445"/>
      <c r="BI257" s="445">
        <f>SUM(BI255:BI256)</f>
        <v>-1.4000000000000057</v>
      </c>
      <c r="BJ257" s="496" t="s">
        <v>1036</v>
      </c>
      <c r="BK257" s="496" t="s">
        <v>1037</v>
      </c>
      <c r="BL257" s="496">
        <f>SUM(BL255:BL256)</f>
        <v>1.3000000000010914</v>
      </c>
      <c r="BM257" s="496" t="s">
        <v>1038</v>
      </c>
      <c r="BN257" s="496" t="s">
        <v>1039</v>
      </c>
      <c r="BO257" s="496">
        <f>SUM(BO255:BO256)</f>
        <v>0</v>
      </c>
      <c r="BP257" s="445"/>
      <c r="BQ257" s="445"/>
      <c r="BR257" s="445"/>
      <c r="BS257" s="445"/>
      <c r="BT257" s="524" t="s">
        <v>723</v>
      </c>
      <c r="BU257" s="512"/>
      <c r="BV257" s="512"/>
      <c r="BW257" s="512"/>
      <c r="BX257" s="512"/>
      <c r="BY257" s="512"/>
      <c r="BZ257" s="512"/>
      <c r="CA257" s="512"/>
      <c r="CB257" s="512"/>
      <c r="CC257" s="512"/>
      <c r="CD257" s="512"/>
      <c r="CE257" s="512"/>
      <c r="CF257" s="512"/>
      <c r="CG257" s="512"/>
    </row>
    <row r="258" spans="1:85" s="519" customFormat="1">
      <c r="A258" s="546">
        <v>62006040</v>
      </c>
      <c r="B258" s="543" t="s">
        <v>843</v>
      </c>
      <c r="C258" s="543" t="s">
        <v>992</v>
      </c>
      <c r="D258" s="521" t="s">
        <v>1014</v>
      </c>
      <c r="E258" s="513" t="s">
        <v>1015</v>
      </c>
      <c r="F258" s="536" t="str">
        <f t="shared" si="138"/>
        <v>06/16/20</v>
      </c>
      <c r="G258" s="524" t="s">
        <v>1016</v>
      </c>
      <c r="H258" s="524" t="s">
        <v>708</v>
      </c>
      <c r="I258" s="532"/>
      <c r="J258" s="531">
        <v>23.173051999999998</v>
      </c>
      <c r="K258" s="531">
        <v>44.681742999999997</v>
      </c>
      <c r="L258" s="531">
        <v>29.611436000000001</v>
      </c>
      <c r="M258" s="531">
        <v>28.741524999999999</v>
      </c>
      <c r="N258" s="528">
        <v>4250</v>
      </c>
      <c r="O258" s="528">
        <v>38.71</v>
      </c>
      <c r="P258" s="528">
        <v>3.0499999999999999E-2</v>
      </c>
      <c r="Q258" s="528">
        <v>1.4999999999999999E-2</v>
      </c>
      <c r="R258" s="529">
        <v>3.59766896</v>
      </c>
      <c r="S258" s="529">
        <f>R258+R257</f>
        <v>11.05845356</v>
      </c>
      <c r="T258" s="544">
        <v>88.5</v>
      </c>
      <c r="U258" s="544">
        <v>87.7</v>
      </c>
      <c r="V258" s="530">
        <v>9050</v>
      </c>
      <c r="W258" s="530">
        <v>9714</v>
      </c>
      <c r="X258" s="530">
        <f>W258-V258</f>
        <v>664</v>
      </c>
      <c r="Y258" s="530">
        <f t="shared" si="139"/>
        <v>184.56395165385089</v>
      </c>
      <c r="Z258" s="534">
        <v>9062</v>
      </c>
      <c r="AA258" s="530">
        <v>9728</v>
      </c>
      <c r="AB258" s="530">
        <f>AA258-Z258</f>
        <v>666</v>
      </c>
      <c r="AC258" s="533">
        <f t="shared" si="140"/>
        <v>185.11986717088055</v>
      </c>
      <c r="AD258" s="534">
        <v>433</v>
      </c>
      <c r="AE258" s="530">
        <v>440</v>
      </c>
      <c r="AF258" s="530">
        <f>AE258-AD258</f>
        <v>7</v>
      </c>
      <c r="AG258" s="533">
        <f t="shared" si="141"/>
        <v>1.9457043096038498</v>
      </c>
      <c r="AH258" s="534">
        <v>20321</v>
      </c>
      <c r="AI258" s="530">
        <v>20927</v>
      </c>
      <c r="AJ258" s="530">
        <f>AI258-AH258</f>
        <v>606</v>
      </c>
      <c r="AK258" s="533">
        <f t="shared" si="142"/>
        <v>168.44240165999042</v>
      </c>
      <c r="AL258" s="534">
        <v>-11743.9</v>
      </c>
      <c r="AM258" s="530">
        <v>-11693</v>
      </c>
      <c r="AN258" s="530">
        <f>AM258-AL258</f>
        <v>50.899999999999636</v>
      </c>
      <c r="AO258" s="533">
        <f t="shared" si="143"/>
        <v>14.148049908405035</v>
      </c>
      <c r="AP258" s="534">
        <v>1726.3188070000001</v>
      </c>
      <c r="AQ258" s="530">
        <v>1767.3885419999999</v>
      </c>
      <c r="AR258" s="530">
        <f>AQ258-AP258</f>
        <v>41.06973499999981</v>
      </c>
      <c r="AS258" s="533">
        <f t="shared" si="144"/>
        <v>11.415651483398241</v>
      </c>
      <c r="AT258" s="534">
        <v>5.4</v>
      </c>
      <c r="AU258" s="530">
        <v>5.5</v>
      </c>
      <c r="AV258" s="530">
        <f>AU258-AT258</f>
        <v>9.9999999999999645E-2</v>
      </c>
      <c r="AW258" s="533">
        <f t="shared" si="145"/>
        <v>2.7795775851483469E-2</v>
      </c>
      <c r="AX258" s="534">
        <v>14.6</v>
      </c>
      <c r="AY258" s="530">
        <v>14.9</v>
      </c>
      <c r="AZ258" s="530">
        <f>AY258-AX258</f>
        <v>0.30000000000000071</v>
      </c>
      <c r="BA258" s="533">
        <f t="shared" si="146"/>
        <v>8.3387327554450899E-2</v>
      </c>
      <c r="BB258" s="534">
        <v>-43.4</v>
      </c>
      <c r="BC258" s="530">
        <v>-43.7</v>
      </c>
      <c r="BD258" s="530">
        <f>BC258-BB258</f>
        <v>-0.30000000000000426</v>
      </c>
      <c r="BE258" s="530">
        <v>-2.0695739999999998</v>
      </c>
      <c r="BF258" s="533">
        <f t="shared" si="147"/>
        <v>-8.3387327554451884E-2</v>
      </c>
      <c r="BG258" s="527">
        <v>88.5</v>
      </c>
      <c r="BH258" s="527">
        <v>87.7</v>
      </c>
      <c r="BI258" s="527">
        <f>BH258-BG258</f>
        <v>-0.79999999999999716</v>
      </c>
      <c r="BJ258" s="545">
        <v>14996.3</v>
      </c>
      <c r="BK258" s="545">
        <v>14996.8</v>
      </c>
      <c r="BL258" s="545">
        <f>BK258-BJ258</f>
        <v>0.5</v>
      </c>
      <c r="BM258" s="545">
        <v>-14826.1</v>
      </c>
      <c r="BN258" s="545">
        <v>-14826.1</v>
      </c>
      <c r="BO258" s="545">
        <f>BN258-BM258</f>
        <v>0</v>
      </c>
      <c r="BP258" s="527"/>
      <c r="BQ258" s="527"/>
      <c r="BR258" s="527"/>
      <c r="BS258" s="527"/>
      <c r="BT258" s="524" t="s">
        <v>723</v>
      </c>
      <c r="BU258" s="512">
        <v>2370.1664023899998</v>
      </c>
      <c r="BV258" s="512">
        <v>-0.94702900999999995</v>
      </c>
      <c r="BW258" s="512">
        <v>2029.50343828</v>
      </c>
      <c r="BX258" s="512">
        <v>2048.90718376</v>
      </c>
      <c r="BY258" s="512">
        <v>3.0227452700000002</v>
      </c>
      <c r="BZ258" s="512">
        <v>3.0320768600000001</v>
      </c>
      <c r="CA258" s="512">
        <v>0.18578855999999999</v>
      </c>
      <c r="CB258" s="512">
        <v>3.5976526500000001</v>
      </c>
      <c r="CC258" s="512">
        <v>3.5909810100000001</v>
      </c>
      <c r="CD258" s="512">
        <v>-0.49507456999999999</v>
      </c>
      <c r="CE258" s="512">
        <v>-0.30776236000000001</v>
      </c>
      <c r="CF258" s="512">
        <v>0.63452246999999995</v>
      </c>
      <c r="CG258" s="512"/>
    </row>
    <row r="259" spans="1:85" s="519" customFormat="1">
      <c r="A259" s="546">
        <v>62006040</v>
      </c>
      <c r="B259" s="543" t="s">
        <v>844</v>
      </c>
      <c r="C259" s="543" t="s">
        <v>993</v>
      </c>
      <c r="D259" s="521" t="s">
        <v>1014</v>
      </c>
      <c r="E259" s="513" t="s">
        <v>1015</v>
      </c>
      <c r="F259" s="536" t="str">
        <f t="shared" si="138"/>
        <v>06/16/20</v>
      </c>
      <c r="G259" s="524" t="s">
        <v>1016</v>
      </c>
      <c r="H259" s="524" t="s">
        <v>708</v>
      </c>
      <c r="I259" s="532"/>
      <c r="J259" s="531">
        <v>21.888480000000001</v>
      </c>
      <c r="K259" s="531">
        <v>47.241518999999997</v>
      </c>
      <c r="L259" s="531">
        <v>29.605132000000001</v>
      </c>
      <c r="M259" s="531">
        <v>29.706690999999999</v>
      </c>
      <c r="N259" s="528">
        <v>4250</v>
      </c>
      <c r="O259" s="528">
        <v>38.71</v>
      </c>
      <c r="P259" s="528">
        <v>3.0499999999999999E-2</v>
      </c>
      <c r="Q259" s="528">
        <v>1.4999999999999999E-2</v>
      </c>
      <c r="R259" s="529">
        <v>3.8634460700000002</v>
      </c>
      <c r="S259" s="529">
        <f>R259+R258</f>
        <v>7.4611150300000002</v>
      </c>
      <c r="T259" s="544">
        <v>87.7</v>
      </c>
      <c r="U259" s="544">
        <v>87</v>
      </c>
      <c r="V259" s="530">
        <v>9714</v>
      </c>
      <c r="W259" s="530">
        <v>10351</v>
      </c>
      <c r="X259" s="530">
        <f>W259-V259</f>
        <v>637</v>
      </c>
      <c r="Y259" s="530">
        <f t="shared" si="139"/>
        <v>164.87870891905578</v>
      </c>
      <c r="Z259" s="534">
        <v>9728</v>
      </c>
      <c r="AA259" s="530">
        <v>10366</v>
      </c>
      <c r="AB259" s="530">
        <f>AA259-Z259</f>
        <v>638</v>
      </c>
      <c r="AC259" s="533">
        <f t="shared" si="140"/>
        <v>165.1375451967937</v>
      </c>
      <c r="AD259" s="534">
        <v>440</v>
      </c>
      <c r="AE259" s="530">
        <v>458</v>
      </c>
      <c r="AF259" s="530">
        <f>AE259-AD259</f>
        <v>18</v>
      </c>
      <c r="AG259" s="533">
        <f t="shared" si="141"/>
        <v>4.6590529992825811</v>
      </c>
      <c r="AH259" s="534">
        <v>20927</v>
      </c>
      <c r="AI259" s="530">
        <v>21457</v>
      </c>
      <c r="AJ259" s="530">
        <f>AI259-AH259</f>
        <v>530</v>
      </c>
      <c r="AK259" s="533">
        <f t="shared" si="142"/>
        <v>137.18322720109822</v>
      </c>
      <c r="AL259" s="534">
        <v>-11693</v>
      </c>
      <c r="AM259" s="530">
        <v>-11605.720363</v>
      </c>
      <c r="AN259" s="530">
        <f>AM259-AL259</f>
        <v>87.279636999999639</v>
      </c>
      <c r="AO259" s="533">
        <f t="shared" si="143"/>
        <v>22.591136363396846</v>
      </c>
      <c r="AP259" s="534">
        <v>1767.408422</v>
      </c>
      <c r="AQ259" s="530">
        <v>1837.7779640000001</v>
      </c>
      <c r="AR259" s="530">
        <f>AQ259-AP259</f>
        <v>70.369542000000138</v>
      </c>
      <c r="AS259" s="533">
        <f t="shared" si="144"/>
        <v>18.214190317402341</v>
      </c>
      <c r="AT259" s="534">
        <v>5.5</v>
      </c>
      <c r="AU259" s="530">
        <v>5.6</v>
      </c>
      <c r="AV259" s="530">
        <f>AU259-AT259</f>
        <v>9.9999999999999645E-2</v>
      </c>
      <c r="AW259" s="533">
        <f t="shared" si="145"/>
        <v>2.5883627773792023E-2</v>
      </c>
      <c r="AX259" s="534">
        <v>14.9</v>
      </c>
      <c r="AY259" s="530">
        <v>15.5</v>
      </c>
      <c r="AZ259" s="530">
        <f>AY259-AX259</f>
        <v>0.59999999999999964</v>
      </c>
      <c r="BA259" s="533">
        <f t="shared" si="146"/>
        <v>0.15530176664275261</v>
      </c>
      <c r="BB259" s="534">
        <v>-43.7</v>
      </c>
      <c r="BC259" s="530">
        <v>-44.19</v>
      </c>
      <c r="BD259" s="530">
        <f>BC259-BB259</f>
        <v>-0.48999999999999488</v>
      </c>
      <c r="BE259" s="530">
        <v>-2.0213830000000002</v>
      </c>
      <c r="BF259" s="533">
        <f t="shared" si="147"/>
        <v>-0.12682977609158003</v>
      </c>
      <c r="BG259" s="527">
        <v>87.7</v>
      </c>
      <c r="BH259" s="527">
        <v>87</v>
      </c>
      <c r="BI259" s="527">
        <f>BH259-BG259</f>
        <v>-0.70000000000000284</v>
      </c>
      <c r="BJ259" s="545">
        <v>14996.8</v>
      </c>
      <c r="BK259" s="545">
        <v>14997.7</v>
      </c>
      <c r="BL259" s="545">
        <f>BK259-BJ259</f>
        <v>0.90000000000145519</v>
      </c>
      <c r="BM259" s="545">
        <v>-14826.1</v>
      </c>
      <c r="BN259" s="545">
        <v>-14826.1</v>
      </c>
      <c r="BO259" s="545">
        <f>BN259-BM259</f>
        <v>0</v>
      </c>
      <c r="BP259" s="527"/>
      <c r="BQ259" s="527"/>
      <c r="BR259" s="527"/>
      <c r="BS259" s="527"/>
      <c r="BT259" s="524" t="s">
        <v>723</v>
      </c>
      <c r="BU259" s="512">
        <v>1479.7615407599999</v>
      </c>
      <c r="BV259" s="512">
        <v>-1.3009892300000001</v>
      </c>
      <c r="BW259" s="512">
        <v>3372.0947345</v>
      </c>
      <c r="BX259" s="512">
        <v>3416.54359892</v>
      </c>
      <c r="BY259" s="512">
        <v>2.98291503</v>
      </c>
      <c r="BZ259" s="512">
        <v>2.9957516200000001</v>
      </c>
      <c r="CA259" s="512">
        <v>9.1012090000000004E-2</v>
      </c>
      <c r="CB259" s="512">
        <v>3.8633458799999998</v>
      </c>
      <c r="CC259" s="512">
        <v>3.8598329699999998</v>
      </c>
      <c r="CD259" s="512">
        <v>-0.52174083000000004</v>
      </c>
      <c r="CE259" s="512">
        <v>-0.42849312000000001</v>
      </c>
      <c r="CF259" s="512">
        <v>0.72008181000000004</v>
      </c>
      <c r="CG259" s="512"/>
    </row>
    <row r="260" spans="1:85" s="519" customFormat="1">
      <c r="A260" s="546">
        <v>62006040</v>
      </c>
      <c r="B260" s="543" t="s">
        <v>845</v>
      </c>
      <c r="C260" s="543" t="s">
        <v>994</v>
      </c>
      <c r="D260" s="521" t="s">
        <v>1014</v>
      </c>
      <c r="E260" s="513" t="s">
        <v>1015</v>
      </c>
      <c r="F260" s="536" t="str">
        <f t="shared" si="138"/>
        <v>06/16/20</v>
      </c>
      <c r="G260" s="524" t="s">
        <v>1016</v>
      </c>
      <c r="H260" s="524" t="s">
        <v>708</v>
      </c>
      <c r="I260" s="532"/>
      <c r="J260" s="468">
        <f>AVERAGE(J258:J259)</f>
        <v>22.530766</v>
      </c>
      <c r="K260" s="468">
        <f>AVERAGE(K258:K259)</f>
        <v>45.961630999999997</v>
      </c>
      <c r="L260" s="468">
        <f>AVERAGE(L258:L259)</f>
        <v>29.608284000000001</v>
      </c>
      <c r="M260" s="468">
        <f>AVERAGE(M258:M259)</f>
        <v>29.224108000000001</v>
      </c>
      <c r="N260" s="452"/>
      <c r="O260" s="528"/>
      <c r="P260" s="470"/>
      <c r="Q260" s="469"/>
      <c r="R260" s="453">
        <f>R259+R258</f>
        <v>7.4611150300000002</v>
      </c>
      <c r="S260" s="453">
        <f>S259</f>
        <v>7.4611150300000002</v>
      </c>
      <c r="T260" s="493">
        <f>T258</f>
        <v>88.5</v>
      </c>
      <c r="U260" s="493">
        <f>U259</f>
        <v>87</v>
      </c>
      <c r="V260" s="456">
        <f>V258</f>
        <v>9050</v>
      </c>
      <c r="W260" s="456">
        <f>W259</f>
        <v>10351</v>
      </c>
      <c r="X260" s="456">
        <f>SUM(X258:X259)</f>
        <v>1301</v>
      </c>
      <c r="Y260" s="456">
        <f t="shared" si="139"/>
        <v>174.37072002896059</v>
      </c>
      <c r="Z260" s="456">
        <f>Z258</f>
        <v>9062</v>
      </c>
      <c r="AA260" s="456">
        <f>AA259</f>
        <v>10366</v>
      </c>
      <c r="AB260" s="456">
        <f>SUM(AB258:AB259)</f>
        <v>1304</v>
      </c>
      <c r="AC260" s="454">
        <f t="shared" si="140"/>
        <v>174.77280470235559</v>
      </c>
      <c r="AD260" s="456">
        <f>AD258</f>
        <v>433</v>
      </c>
      <c r="AE260" s="456">
        <f>AE259</f>
        <v>458</v>
      </c>
      <c r="AF260" s="456">
        <f>SUM(AF258:AF259)</f>
        <v>25</v>
      </c>
      <c r="AG260" s="454">
        <f t="shared" si="141"/>
        <v>3.3507056116249156</v>
      </c>
      <c r="AH260" s="456">
        <f>AH258</f>
        <v>20321</v>
      </c>
      <c r="AI260" s="456">
        <f>AI259</f>
        <v>21457</v>
      </c>
      <c r="AJ260" s="456">
        <f>SUM(AJ258:AJ259)</f>
        <v>1136</v>
      </c>
      <c r="AK260" s="454">
        <f t="shared" si="142"/>
        <v>152.25606299223617</v>
      </c>
      <c r="AL260" s="456">
        <f>AL258</f>
        <v>-11743.9</v>
      </c>
      <c r="AM260" s="456">
        <f>AM259</f>
        <v>-11605.720363</v>
      </c>
      <c r="AN260" s="456">
        <f>SUM(AN258:AN259)</f>
        <v>138.17963699999927</v>
      </c>
      <c r="AO260" s="454">
        <f t="shared" si="143"/>
        <v>18.519971404327656</v>
      </c>
      <c r="AP260" s="456">
        <f>AP258</f>
        <v>1726.3188070000001</v>
      </c>
      <c r="AQ260" s="456">
        <f>AQ259</f>
        <v>1837.7779640000001</v>
      </c>
      <c r="AR260" s="456">
        <f>SUM(AR258:AR259)</f>
        <v>111.43927699999995</v>
      </c>
      <c r="AS260" s="454">
        <f t="shared" si="144"/>
        <v>14.936008431972928</v>
      </c>
      <c r="AT260" s="456">
        <f>AT258</f>
        <v>5.4</v>
      </c>
      <c r="AU260" s="456">
        <f>AU259</f>
        <v>5.6</v>
      </c>
      <c r="AV260" s="456">
        <f>SUM(AV258:AV259)</f>
        <v>0.19999999999999929</v>
      </c>
      <c r="AW260" s="454">
        <f t="shared" si="145"/>
        <v>2.6805644892999227E-2</v>
      </c>
      <c r="AX260" s="456">
        <f>AX258</f>
        <v>14.6</v>
      </c>
      <c r="AY260" s="456">
        <f>AY259</f>
        <v>15.5</v>
      </c>
      <c r="AZ260" s="456">
        <f>SUM(AZ258:AZ259)</f>
        <v>0.90000000000000036</v>
      </c>
      <c r="BA260" s="454">
        <f t="shared" si="146"/>
        <v>0.120625402018497</v>
      </c>
      <c r="BB260" s="456">
        <f>BB258</f>
        <v>-43.4</v>
      </c>
      <c r="BC260" s="456">
        <f>BC259</f>
        <v>-44.19</v>
      </c>
      <c r="BD260" s="456">
        <f>SUM(BD258:BD259)</f>
        <v>-0.78999999999999915</v>
      </c>
      <c r="BE260" s="530">
        <f>AVERAGE(BE258:BE259)</f>
        <v>-2.0454784999999998</v>
      </c>
      <c r="BF260" s="454">
        <f t="shared" si="147"/>
        <v>-0.10588229732734722</v>
      </c>
      <c r="BG260" s="445"/>
      <c r="BH260" s="445"/>
      <c r="BI260" s="445">
        <f>SUM(BI258:BI259)</f>
        <v>-1.5</v>
      </c>
      <c r="BJ260" s="496" t="s">
        <v>1040</v>
      </c>
      <c r="BK260" s="496" t="s">
        <v>1041</v>
      </c>
      <c r="BL260" s="496">
        <f>SUM(BL258:BL259)</f>
        <v>1.4000000000014552</v>
      </c>
      <c r="BM260" s="496" t="s">
        <v>1042</v>
      </c>
      <c r="BN260" s="496" t="s">
        <v>1043</v>
      </c>
      <c r="BO260" s="496">
        <f>SUM(BO258:BO259)</f>
        <v>0</v>
      </c>
      <c r="BP260" s="445"/>
      <c r="BQ260" s="445"/>
      <c r="BR260" s="445"/>
      <c r="BS260" s="445"/>
      <c r="BT260" s="524" t="s">
        <v>723</v>
      </c>
      <c r="BU260" s="512"/>
      <c r="BV260" s="512"/>
      <c r="BW260" s="512"/>
      <c r="BX260" s="512"/>
      <c r="BY260" s="512"/>
      <c r="BZ260" s="512"/>
      <c r="CA260" s="512"/>
      <c r="CB260" s="512"/>
      <c r="CC260" s="512"/>
      <c r="CD260" s="512"/>
      <c r="CE260" s="512"/>
      <c r="CF260" s="512"/>
      <c r="CG260" s="512"/>
    </row>
    <row r="261" spans="1:85" s="519" customFormat="1" ht="22.5">
      <c r="A261" s="546">
        <v>62006041</v>
      </c>
      <c r="B261" s="543" t="s">
        <v>1003</v>
      </c>
      <c r="C261" s="543" t="s">
        <v>695</v>
      </c>
      <c r="D261" s="521" t="s">
        <v>1044</v>
      </c>
      <c r="E261" s="513" t="s">
        <v>1045</v>
      </c>
      <c r="F261" s="536" t="str">
        <f t="shared" si="138"/>
        <v>06/16/20</v>
      </c>
      <c r="G261" s="524" t="s">
        <v>1046</v>
      </c>
      <c r="H261" s="524" t="s">
        <v>708</v>
      </c>
      <c r="I261" s="532"/>
      <c r="J261" s="531">
        <v>139.241263</v>
      </c>
      <c r="K261" s="531">
        <v>182.07245499999999</v>
      </c>
      <c r="L261" s="531">
        <v>156.38137800000001</v>
      </c>
      <c r="M261" s="531">
        <v>184.36381700000001</v>
      </c>
      <c r="N261" s="528">
        <v>4250</v>
      </c>
      <c r="O261" s="528">
        <v>38.71</v>
      </c>
      <c r="P261" s="528">
        <v>3.0499999999999999E-2</v>
      </c>
      <c r="Q261" s="528">
        <v>1.4999999999999999E-2</v>
      </c>
      <c r="R261" s="529">
        <v>291.59607165</v>
      </c>
      <c r="S261" s="529">
        <f>R261+R260</f>
        <v>299.05718667999997</v>
      </c>
      <c r="T261" s="544">
        <v>86.9</v>
      </c>
      <c r="U261" s="544">
        <v>3</v>
      </c>
      <c r="V261" s="530">
        <v>10394</v>
      </c>
      <c r="W261" s="530">
        <v>75007</v>
      </c>
      <c r="X261" s="530">
        <f>W261-V261</f>
        <v>64613</v>
      </c>
      <c r="Y261" s="530">
        <f t="shared" si="139"/>
        <v>221.5839178984358</v>
      </c>
      <c r="Z261" s="534">
        <v>10411</v>
      </c>
      <c r="AA261" s="530">
        <v>75067</v>
      </c>
      <c r="AB261" s="530">
        <f>AA261-Z261</f>
        <v>64656</v>
      </c>
      <c r="AC261" s="533">
        <f t="shared" si="140"/>
        <v>221.73138216212317</v>
      </c>
      <c r="AD261" s="534">
        <v>457</v>
      </c>
      <c r="AE261" s="530">
        <v>459</v>
      </c>
      <c r="AF261" s="530">
        <f>AE261-AD261</f>
        <v>2</v>
      </c>
      <c r="AG261" s="533">
        <f t="shared" si="141"/>
        <v>6.8588029622037609E-3</v>
      </c>
      <c r="AH261" s="534">
        <v>21458</v>
      </c>
      <c r="AI261" s="530">
        <v>84422</v>
      </c>
      <c r="AJ261" s="530">
        <f>AI261-AH261</f>
        <v>62964</v>
      </c>
      <c r="AK261" s="533">
        <f t="shared" si="142"/>
        <v>215.9288348560988</v>
      </c>
      <c r="AL261" s="534">
        <v>-11564.706416999999</v>
      </c>
      <c r="AM261" s="530">
        <v>-9970.7999999999993</v>
      </c>
      <c r="AN261" s="530">
        <f>AM261-AL261</f>
        <v>1593.9064170000001</v>
      </c>
      <c r="AO261" s="533">
        <f t="shared" si="143"/>
        <v>5.4661450271975918</v>
      </c>
      <c r="AP261" s="534">
        <v>1867.8387170000001</v>
      </c>
      <c r="AQ261" s="530">
        <v>3168.71</v>
      </c>
      <c r="AR261" s="530">
        <f>AQ261-AP261</f>
        <v>1300.8712829999999</v>
      </c>
      <c r="AS261" s="533">
        <f t="shared" si="144"/>
        <v>4.4612099046431029</v>
      </c>
      <c r="AT261" s="534">
        <v>5.7</v>
      </c>
      <c r="AU261" s="530">
        <v>7.4</v>
      </c>
      <c r="AV261" s="530">
        <f>AU261-AT261</f>
        <v>1.7000000000000002</v>
      </c>
      <c r="AW261" s="533">
        <f t="shared" si="145"/>
        <v>5.8299825178731975E-3</v>
      </c>
      <c r="AX261" s="534">
        <v>15.8</v>
      </c>
      <c r="AY261" s="530">
        <v>22.4</v>
      </c>
      <c r="AZ261" s="530">
        <f>AY261-AX261</f>
        <v>6.5999999999999979</v>
      </c>
      <c r="BA261" s="533">
        <f t="shared" si="146"/>
        <v>2.2634049775272402E-2</v>
      </c>
      <c r="BB261" s="534">
        <v>-44.53</v>
      </c>
      <c r="BC261" s="530">
        <v>-51.83</v>
      </c>
      <c r="BD261" s="530">
        <f>BC261-BB261</f>
        <v>-7.2999999999999972</v>
      </c>
      <c r="BE261" s="530">
        <v>-8.6450929999999993</v>
      </c>
      <c r="BF261" s="533">
        <f t="shared" si="147"/>
        <v>-2.5034630812043716E-2</v>
      </c>
      <c r="BG261" s="527">
        <v>86.9</v>
      </c>
      <c r="BH261" s="527">
        <v>3</v>
      </c>
      <c r="BI261" s="527">
        <f>BH261-BG261</f>
        <v>-83.9</v>
      </c>
      <c r="BJ261" s="545">
        <v>14998.3</v>
      </c>
      <c r="BK261" s="545">
        <v>15014.1</v>
      </c>
      <c r="BL261" s="545">
        <f>BK261-BJ261</f>
        <v>15.800000000001091</v>
      </c>
      <c r="BM261" s="545">
        <v>-14826.1</v>
      </c>
      <c r="BN261" s="545">
        <v>-14826.1</v>
      </c>
      <c r="BO261" s="545">
        <f>BN261-BM261</f>
        <v>0</v>
      </c>
      <c r="BP261" s="527"/>
      <c r="BQ261" s="527"/>
      <c r="BR261" s="527"/>
      <c r="BS261" s="527"/>
      <c r="BT261" s="524" t="s">
        <v>723</v>
      </c>
      <c r="BU261" s="512">
        <v>7.8689842399999996</v>
      </c>
      <c r="BV261" s="512">
        <v>126.77594007</v>
      </c>
      <c r="BW261" s="512">
        <v>1317.9129112400001</v>
      </c>
      <c r="BX261" s="512">
        <v>581.15200000000004</v>
      </c>
      <c r="BY261" s="512">
        <v>218.49833477999999</v>
      </c>
      <c r="BZ261" s="512">
        <v>217.92417911999999</v>
      </c>
      <c r="CA261" s="512">
        <v>4.538201E-2</v>
      </c>
      <c r="CB261" s="512">
        <v>291.59859061999998</v>
      </c>
      <c r="CC261" s="512">
        <v>291.46631732999998</v>
      </c>
      <c r="CD261" s="512">
        <v>0.21751071</v>
      </c>
      <c r="CE261" s="512">
        <v>0.26346578999999998</v>
      </c>
      <c r="CF261" s="512">
        <v>3.7906400000000001E-3</v>
      </c>
      <c r="CG261" s="512"/>
    </row>
    <row r="262" spans="1:85" s="519" customFormat="1">
      <c r="A262" s="546">
        <v>62006042</v>
      </c>
      <c r="B262" s="543" t="s">
        <v>907</v>
      </c>
      <c r="C262" s="543" t="s">
        <v>695</v>
      </c>
      <c r="D262" s="521" t="s">
        <v>970</v>
      </c>
      <c r="E262" s="513" t="s">
        <v>1197</v>
      </c>
      <c r="F262" s="536" t="str">
        <f t="shared" si="138"/>
        <v>06/16/20</v>
      </c>
      <c r="G262" s="524" t="s">
        <v>1198</v>
      </c>
      <c r="H262" s="524" t="s">
        <v>708</v>
      </c>
      <c r="I262" s="532"/>
      <c r="J262" s="531">
        <v>-42.366683999999999</v>
      </c>
      <c r="K262" s="531">
        <v>-90.012067000000002</v>
      </c>
      <c r="L262" s="531">
        <v>-57.019435999999999</v>
      </c>
      <c r="M262" s="531">
        <v>-43.173597000000001</v>
      </c>
      <c r="N262" s="528">
        <v>4250</v>
      </c>
      <c r="O262" s="528">
        <v>38.71</v>
      </c>
      <c r="P262" s="528">
        <v>3.0499999999999999E-2</v>
      </c>
      <c r="Q262" s="528">
        <v>1.4999999999999999E-2</v>
      </c>
      <c r="R262" s="529">
        <v>1.0889039999999999E-2</v>
      </c>
      <c r="S262" s="529">
        <f>R262+R261</f>
        <v>291.60696068999999</v>
      </c>
      <c r="T262" s="544">
        <v>3</v>
      </c>
      <c r="U262" s="544">
        <v>99.9</v>
      </c>
      <c r="V262" s="530">
        <v>75009</v>
      </c>
      <c r="W262" s="530">
        <v>-3621</v>
      </c>
      <c r="X262" s="530">
        <f>W262-V262</f>
        <v>-78630</v>
      </c>
      <c r="Y262" s="530">
        <f>X262/$R262</f>
        <v>-7221022.2388750529</v>
      </c>
      <c r="Z262" s="534">
        <v>75070</v>
      </c>
      <c r="AA262" s="530">
        <v>-3585</v>
      </c>
      <c r="AB262" s="530">
        <f>AA262-Z262</f>
        <v>-78655</v>
      </c>
      <c r="AC262" s="533">
        <f>AB262/$R262</f>
        <v>-7223318.1253811177</v>
      </c>
      <c r="AD262" s="534">
        <v>459</v>
      </c>
      <c r="AE262" s="530">
        <v>460</v>
      </c>
      <c r="AF262" s="530">
        <f>AE262-AD262</f>
        <v>1</v>
      </c>
      <c r="AG262" s="533">
        <f>AF262/$R262</f>
        <v>91.835460242592561</v>
      </c>
      <c r="AH262" s="534">
        <v>84422</v>
      </c>
      <c r="AI262" s="530">
        <v>84452</v>
      </c>
      <c r="AJ262" s="530">
        <f>AI262-AH262</f>
        <v>30</v>
      </c>
      <c r="AK262" s="533">
        <f>AJ262/$R262</f>
        <v>2755.063807277777</v>
      </c>
      <c r="AL262" s="534">
        <v>-9968.4</v>
      </c>
      <c r="AM262" s="530">
        <v>-88650</v>
      </c>
      <c r="AN262" s="530">
        <f>AM262-AL262</f>
        <v>-78681.600000000006</v>
      </c>
      <c r="AO262" s="533">
        <f>AN262/$R262</f>
        <v>-7225760.9486235715</v>
      </c>
      <c r="AP262" s="534">
        <v>3170.23</v>
      </c>
      <c r="AQ262" s="530">
        <v>3777.57</v>
      </c>
      <c r="AR262" s="530">
        <f>AQ262-AP262</f>
        <v>607.34000000000015</v>
      </c>
      <c r="AS262" s="533">
        <f>AR262/$R262</f>
        <v>55775.348423736177</v>
      </c>
      <c r="AT262" s="534">
        <v>7.4</v>
      </c>
      <c r="AU262" s="530">
        <v>1</v>
      </c>
      <c r="AV262" s="530">
        <f>AU262-AT262</f>
        <v>-6.4</v>
      </c>
      <c r="AW262" s="533">
        <f>AV262/$R262</f>
        <v>-587.74694555259236</v>
      </c>
      <c r="AX262" s="534">
        <v>22.5</v>
      </c>
      <c r="AY262" s="530">
        <v>29.2</v>
      </c>
      <c r="AZ262" s="530">
        <f>AY262-AX262</f>
        <v>6.6999999999999993</v>
      </c>
      <c r="BA262" s="533">
        <f>AZ262/$R262</f>
        <v>615.29758362537007</v>
      </c>
      <c r="BB262" s="534">
        <v>-39.754750999999999</v>
      </c>
      <c r="BC262" s="530">
        <v>-67.48</v>
      </c>
      <c r="BD262" s="530">
        <f>BC262-BB262</f>
        <v>-27.725249000000005</v>
      </c>
      <c r="BE262" s="530">
        <v>4.4660450000000003</v>
      </c>
      <c r="BF262" s="533">
        <f>BD262/$R262</f>
        <v>-2546.1610022554796</v>
      </c>
      <c r="BG262" s="527">
        <v>3</v>
      </c>
      <c r="BH262" s="527">
        <v>99.9</v>
      </c>
      <c r="BI262" s="527">
        <f>BH262-BG262</f>
        <v>96.9</v>
      </c>
      <c r="BJ262" s="545">
        <v>15014.5</v>
      </c>
      <c r="BK262" s="545">
        <v>100390</v>
      </c>
      <c r="BL262" s="545">
        <f>BK262-BJ262</f>
        <v>85375.5</v>
      </c>
      <c r="BM262" s="545">
        <v>-14826.1</v>
      </c>
      <c r="BN262" s="545">
        <v>-99669.1</v>
      </c>
      <c r="BO262" s="545">
        <f>BN262-BM262</f>
        <v>-84843</v>
      </c>
      <c r="BP262" s="527"/>
      <c r="BQ262" s="527"/>
      <c r="BR262" s="527"/>
      <c r="BS262" s="527"/>
      <c r="BT262" s="524"/>
      <c r="BU262" s="512"/>
      <c r="BV262" s="512"/>
      <c r="BW262" s="512"/>
      <c r="BX262" s="512"/>
      <c r="BY262" s="512"/>
      <c r="BZ262" s="512"/>
      <c r="CA262" s="512"/>
      <c r="CB262" s="512"/>
      <c r="CC262" s="512"/>
      <c r="CD262" s="512"/>
      <c r="CE262" s="512"/>
      <c r="CF262" s="512"/>
      <c r="CG262" s="512"/>
    </row>
    <row r="263" spans="1:85" s="520" customFormat="1" ht="15.75">
      <c r="A263" s="535" t="s">
        <v>1255</v>
      </c>
      <c r="B263" s="537"/>
      <c r="C263" s="537"/>
      <c r="D263" s="538"/>
      <c r="E263" s="537"/>
      <c r="F263" s="537"/>
      <c r="G263" s="538"/>
      <c r="H263" s="538"/>
      <c r="I263" s="538"/>
      <c r="J263" s="538"/>
      <c r="K263" s="538"/>
      <c r="L263" s="538"/>
      <c r="M263" s="538"/>
      <c r="N263" s="538"/>
      <c r="O263" s="538"/>
      <c r="P263" s="539"/>
      <c r="Q263" s="540"/>
      <c r="R263" s="537"/>
      <c r="S263" s="537"/>
      <c r="T263" s="537"/>
      <c r="U263" s="537"/>
      <c r="V263" s="537"/>
      <c r="W263" s="537"/>
      <c r="X263" s="537"/>
      <c r="Y263" s="537"/>
      <c r="Z263" s="537"/>
      <c r="AA263" s="537"/>
      <c r="AB263" s="537"/>
      <c r="AC263" s="537"/>
      <c r="AD263" s="537"/>
      <c r="AE263" s="537"/>
      <c r="AF263" s="537"/>
      <c r="AG263" s="537"/>
      <c r="AH263" s="537"/>
      <c r="AI263" s="537"/>
      <c r="AJ263" s="537"/>
      <c r="AK263" s="537"/>
      <c r="AL263" s="537"/>
      <c r="AM263" s="537"/>
      <c r="AN263" s="537"/>
      <c r="AO263" s="537"/>
      <c r="AP263" s="537"/>
      <c r="AQ263" s="537"/>
      <c r="AR263" s="537"/>
      <c r="AS263" s="537"/>
      <c r="AT263" s="537"/>
      <c r="AU263" s="537"/>
      <c r="AV263" s="537"/>
      <c r="AW263" s="537"/>
      <c r="AX263" s="537"/>
      <c r="AY263" s="537"/>
      <c r="AZ263" s="537"/>
      <c r="BA263" s="537"/>
      <c r="BB263" s="537"/>
      <c r="BC263" s="537"/>
      <c r="BD263" s="537"/>
      <c r="BE263" s="537"/>
      <c r="BF263" s="537"/>
      <c r="BG263" s="537"/>
      <c r="BH263" s="537"/>
      <c r="BI263" s="537"/>
      <c r="BJ263" s="537"/>
      <c r="BK263" s="537"/>
      <c r="BL263" s="537"/>
      <c r="BM263" s="537"/>
      <c r="BN263" s="537"/>
      <c r="BO263" s="537"/>
      <c r="BP263" s="537"/>
      <c r="BQ263" s="537"/>
      <c r="BR263" s="537"/>
      <c r="BS263" s="537"/>
      <c r="BT263" s="537"/>
      <c r="BU263" s="537"/>
      <c r="BV263" s="537"/>
      <c r="BW263" s="537"/>
      <c r="BX263" s="537"/>
      <c r="BY263" s="537"/>
      <c r="BZ263" s="537"/>
      <c r="CA263" s="537"/>
      <c r="CB263" s="537"/>
      <c r="CC263" s="537"/>
      <c r="CD263" s="537"/>
      <c r="CE263" s="537"/>
      <c r="CF263" s="542"/>
      <c r="CG263" s="541"/>
    </row>
    <row r="264" spans="1:85" s="519" customFormat="1" ht="22.5">
      <c r="A264" s="546">
        <v>62006043</v>
      </c>
      <c r="B264" s="543" t="s">
        <v>1254</v>
      </c>
      <c r="C264" s="543" t="s">
        <v>695</v>
      </c>
      <c r="D264" s="521" t="s">
        <v>917</v>
      </c>
      <c r="E264" s="513" t="s">
        <v>1199</v>
      </c>
      <c r="F264" s="536" t="str">
        <f>LEFT(E264,8)</f>
        <v>06/26/20</v>
      </c>
      <c r="G264" s="524" t="s">
        <v>1253</v>
      </c>
      <c r="H264" s="524" t="s">
        <v>708</v>
      </c>
      <c r="I264" s="532"/>
      <c r="J264" s="531">
        <v>245.70521400000001</v>
      </c>
      <c r="K264" s="531">
        <v>519.87082699999996</v>
      </c>
      <c r="L264" s="531">
        <v>326.10881599999999</v>
      </c>
      <c r="M264" s="531">
        <v>239.804845</v>
      </c>
      <c r="N264" s="528">
        <v>4250</v>
      </c>
      <c r="O264" s="528">
        <v>38.71</v>
      </c>
      <c r="P264" s="528">
        <v>3.0499999999999999E-2</v>
      </c>
      <c r="Q264" s="528">
        <v>1.4999999999999999E-2</v>
      </c>
      <c r="R264" s="529">
        <v>1.1353419999999999E-2</v>
      </c>
      <c r="S264" s="529">
        <f>R264+R262</f>
        <v>2.2242459999999999E-2</v>
      </c>
      <c r="T264" s="544" t="s">
        <v>1200</v>
      </c>
      <c r="U264" s="544" t="s">
        <v>1201</v>
      </c>
      <c r="V264" s="530">
        <v>17</v>
      </c>
      <c r="W264" s="530">
        <v>871</v>
      </c>
      <c r="X264" s="530">
        <f>W264-V264</f>
        <v>854</v>
      </c>
      <c r="Y264" s="530">
        <f>X264/$R264</f>
        <v>75219.625452066422</v>
      </c>
      <c r="Z264" s="534">
        <v>16</v>
      </c>
      <c r="AA264" s="530">
        <v>851</v>
      </c>
      <c r="AB264" s="530">
        <f>AA264-Z264</f>
        <v>835</v>
      </c>
      <c r="AC264" s="533">
        <f>AB264/$R264</f>
        <v>73546.120904538024</v>
      </c>
      <c r="AD264" s="534">
        <v>0</v>
      </c>
      <c r="AE264" s="530">
        <v>0</v>
      </c>
      <c r="AF264" s="530">
        <f>AE264-AD264</f>
        <v>0</v>
      </c>
      <c r="AG264" s="533">
        <f>AF264/$R264</f>
        <v>0</v>
      </c>
      <c r="AH264" s="534">
        <v>0</v>
      </c>
      <c r="AI264" s="530">
        <v>30</v>
      </c>
      <c r="AJ264" s="530">
        <f>AI264-AH264</f>
        <v>30</v>
      </c>
      <c r="AK264" s="533">
        <f>AJ264/$R264</f>
        <v>2642.3756013606476</v>
      </c>
      <c r="AL264" s="534">
        <v>15.9</v>
      </c>
      <c r="AM264" s="530">
        <v>825.6</v>
      </c>
      <c r="AN264" s="530">
        <f>AM264-AL264</f>
        <v>809.7</v>
      </c>
      <c r="AO264" s="533">
        <f>AN264/$R264</f>
        <v>71317.717480723877</v>
      </c>
      <c r="AP264" s="534">
        <v>11.73</v>
      </c>
      <c r="AQ264" s="530">
        <v>572.83000000000004</v>
      </c>
      <c r="AR264" s="530">
        <f>AQ264-AP264</f>
        <v>561.1</v>
      </c>
      <c r="AS264" s="533">
        <f>AR264/$R264</f>
        <v>49421.231664115308</v>
      </c>
      <c r="AT264" s="534">
        <v>0.1</v>
      </c>
      <c r="AU264" s="530">
        <v>2.9</v>
      </c>
      <c r="AV264" s="530">
        <f>AU264-AT264</f>
        <v>2.8</v>
      </c>
      <c r="AW264" s="533">
        <f>AV264/$R264</f>
        <v>246.62172279366041</v>
      </c>
      <c r="AX264" s="534">
        <v>0.2</v>
      </c>
      <c r="AY264" s="530">
        <v>9.6</v>
      </c>
      <c r="AZ264" s="530">
        <f>AY264-AX264</f>
        <v>9.4</v>
      </c>
      <c r="BA264" s="533">
        <f>AZ264/$R264</f>
        <v>827.94435509300286</v>
      </c>
      <c r="BB264" s="534">
        <v>-0.9</v>
      </c>
      <c r="BC264" s="530">
        <v>-21.68</v>
      </c>
      <c r="BD264" s="530">
        <f>BC264-BB264</f>
        <v>-20.78</v>
      </c>
      <c r="BE264" s="530">
        <v>-58.173437</v>
      </c>
      <c r="BF264" s="533">
        <f>BD264/$R264</f>
        <v>-1830.2854998758085</v>
      </c>
      <c r="BG264" s="527" t="s">
        <v>1202</v>
      </c>
      <c r="BH264" s="527" t="s">
        <v>1203</v>
      </c>
      <c r="BI264" s="527" t="e">
        <f>BH264-BG264</f>
        <v>#VALUE!</v>
      </c>
      <c r="BJ264" s="545">
        <v>1.1000000000000001</v>
      </c>
      <c r="BK264" s="545">
        <v>15.3</v>
      </c>
      <c r="BL264" s="545">
        <f>BK264-BJ264</f>
        <v>14.200000000000001</v>
      </c>
      <c r="BM264" s="545">
        <v>0</v>
      </c>
      <c r="BN264" s="545">
        <v>0</v>
      </c>
      <c r="BO264" s="545">
        <f>BN264-BM264</f>
        <v>0</v>
      </c>
      <c r="BP264" s="527"/>
      <c r="BQ264" s="527"/>
      <c r="BR264" s="527"/>
      <c r="BS264" s="527"/>
      <c r="BT264" s="524"/>
      <c r="BU264" s="512"/>
      <c r="BV264" s="512"/>
      <c r="BW264" s="512"/>
      <c r="BX264" s="512"/>
      <c r="BY264" s="512"/>
      <c r="BZ264" s="512"/>
      <c r="CA264" s="512"/>
      <c r="CB264" s="512"/>
      <c r="CC264" s="512"/>
      <c r="CD264" s="512"/>
      <c r="CE264" s="512"/>
      <c r="CF264" s="512"/>
      <c r="CG264" s="512"/>
    </row>
    <row r="265" spans="1:85" s="520" customFormat="1" ht="15.75">
      <c r="A265" s="535" t="s">
        <v>1251</v>
      </c>
      <c r="B265" s="537"/>
      <c r="C265" s="537"/>
      <c r="D265" s="538"/>
      <c r="E265" s="537"/>
      <c r="F265" s="537"/>
      <c r="G265" s="538"/>
      <c r="H265" s="538"/>
      <c r="I265" s="538"/>
      <c r="J265" s="538"/>
      <c r="K265" s="538"/>
      <c r="L265" s="538"/>
      <c r="M265" s="538"/>
      <c r="N265" s="538"/>
      <c r="O265" s="538"/>
      <c r="P265" s="539"/>
      <c r="Q265" s="540"/>
      <c r="R265" s="537"/>
      <c r="S265" s="537"/>
      <c r="T265" s="537"/>
      <c r="U265" s="537"/>
      <c r="V265" s="537"/>
      <c r="W265" s="537"/>
      <c r="X265" s="537"/>
      <c r="Y265" s="537"/>
      <c r="Z265" s="537"/>
      <c r="AA265" s="537"/>
      <c r="AB265" s="537"/>
      <c r="AC265" s="537"/>
      <c r="AD265" s="537"/>
      <c r="AE265" s="537"/>
      <c r="AF265" s="537"/>
      <c r="AG265" s="537"/>
      <c r="AH265" s="537"/>
      <c r="AI265" s="537"/>
      <c r="AJ265" s="537"/>
      <c r="AK265" s="537"/>
      <c r="AL265" s="537"/>
      <c r="AM265" s="537"/>
      <c r="AN265" s="537"/>
      <c r="AO265" s="537"/>
      <c r="AP265" s="537"/>
      <c r="AQ265" s="537"/>
      <c r="AR265" s="537"/>
      <c r="AS265" s="537"/>
      <c r="AT265" s="537"/>
      <c r="AU265" s="537"/>
      <c r="AV265" s="537"/>
      <c r="AW265" s="537"/>
      <c r="AX265" s="537"/>
      <c r="AY265" s="537"/>
      <c r="AZ265" s="537"/>
      <c r="BA265" s="537"/>
      <c r="BB265" s="537"/>
      <c r="BC265" s="537"/>
      <c r="BD265" s="537"/>
      <c r="BE265" s="537"/>
      <c r="BF265" s="537"/>
      <c r="BG265" s="537"/>
      <c r="BH265" s="537"/>
      <c r="BI265" s="537"/>
      <c r="BJ265" s="537"/>
      <c r="BK265" s="537"/>
      <c r="BL265" s="537"/>
      <c r="BM265" s="537"/>
      <c r="BN265" s="537"/>
      <c r="BO265" s="537"/>
      <c r="BP265" s="537"/>
      <c r="BQ265" s="537"/>
      <c r="BR265" s="537"/>
      <c r="BS265" s="537"/>
      <c r="BT265" s="537"/>
      <c r="BU265" s="537"/>
      <c r="BV265" s="537"/>
      <c r="BW265" s="537"/>
      <c r="BX265" s="537"/>
      <c r="BY265" s="537"/>
      <c r="BZ265" s="537"/>
      <c r="CA265" s="537"/>
      <c r="CB265" s="537"/>
      <c r="CC265" s="537"/>
      <c r="CD265" s="537"/>
      <c r="CE265" s="537"/>
      <c r="CF265" s="542"/>
      <c r="CG265" s="541"/>
    </row>
    <row r="266" spans="1:85" s="519" customFormat="1" ht="22.5">
      <c r="A266" s="546">
        <v>62007001</v>
      </c>
      <c r="B266" s="543" t="s">
        <v>1047</v>
      </c>
      <c r="C266" s="543" t="s">
        <v>695</v>
      </c>
      <c r="D266" s="521" t="s">
        <v>1204</v>
      </c>
      <c r="E266" s="513" t="s">
        <v>1205</v>
      </c>
      <c r="F266" s="536" t="str">
        <f>LEFT(E266,8)</f>
        <v>07/06/20</v>
      </c>
      <c r="G266" s="524" t="s">
        <v>1206</v>
      </c>
      <c r="H266" s="524" t="s">
        <v>1207</v>
      </c>
      <c r="I266" s="532"/>
      <c r="J266" s="531">
        <v>36.970109999999998</v>
      </c>
      <c r="K266" s="531">
        <v>35.316226</v>
      </c>
      <c r="L266" s="531">
        <v>29.283978999999999</v>
      </c>
      <c r="M266" s="531">
        <v>38.982008999999998</v>
      </c>
      <c r="N266" s="528">
        <v>4250</v>
      </c>
      <c r="O266" s="528">
        <v>38.71</v>
      </c>
      <c r="P266" s="528">
        <v>3.0499999999999999E-2</v>
      </c>
      <c r="Q266" s="528">
        <v>1.4999999999999999E-2</v>
      </c>
      <c r="R266" s="529">
        <v>3.5846180599999999</v>
      </c>
      <c r="S266" s="529">
        <f>R266+R265</f>
        <v>3.5846180599999999</v>
      </c>
      <c r="T266" s="544">
        <v>29</v>
      </c>
      <c r="U266" s="544">
        <v>27.8</v>
      </c>
      <c r="V266" s="530">
        <v>1985</v>
      </c>
      <c r="W266" s="530">
        <v>2895</v>
      </c>
      <c r="X266" s="530">
        <f>W266-V266</f>
        <v>910</v>
      </c>
      <c r="Y266" s="530">
        <f>X266/$R266</f>
        <v>253.86247147346015</v>
      </c>
      <c r="Z266" s="534">
        <v>1927</v>
      </c>
      <c r="AA266" s="530">
        <v>2831.5813170000001</v>
      </c>
      <c r="AB266" s="530">
        <f>AA266-Z266</f>
        <v>904.58131700000013</v>
      </c>
      <c r="AC266" s="533">
        <f>AB266/$R266</f>
        <v>252.35082283773355</v>
      </c>
      <c r="AD266" s="534">
        <v>39</v>
      </c>
      <c r="AE266" s="530">
        <v>50</v>
      </c>
      <c r="AF266" s="530">
        <f>AE266-AD266</f>
        <v>11</v>
      </c>
      <c r="AG266" s="533">
        <f>AF266/$R266</f>
        <v>3.0686672375912765</v>
      </c>
      <c r="AH266" s="534">
        <v>558</v>
      </c>
      <c r="AI266" s="530">
        <v>1073</v>
      </c>
      <c r="AJ266" s="530">
        <f>AI266-AH266</f>
        <v>515</v>
      </c>
      <c r="AK266" s="533">
        <f>AJ266/$R266</f>
        <v>143.66942066904613</v>
      </c>
      <c r="AL266" s="534">
        <v>499.1</v>
      </c>
      <c r="AM266" s="530">
        <v>576.29999999999995</v>
      </c>
      <c r="AN266" s="530">
        <f>AM266-AL266</f>
        <v>77.199999999999932</v>
      </c>
      <c r="AO266" s="533">
        <f>AN266/$R266</f>
        <v>21.536464612913303</v>
      </c>
      <c r="AP266" s="534">
        <v>440.27618200000001</v>
      </c>
      <c r="AQ266" s="530">
        <v>509.21581400000002</v>
      </c>
      <c r="AR266" s="530">
        <f>AQ266-AP266</f>
        <v>68.939632000000017</v>
      </c>
      <c r="AS266" s="533">
        <f>AR266/$R266</f>
        <v>19.232071826363565</v>
      </c>
      <c r="AT266" s="534">
        <v>-20.8</v>
      </c>
      <c r="AU266" s="530">
        <v>-23.4</v>
      </c>
      <c r="AV266" s="530">
        <f>AU266-AT266</f>
        <v>-2.5999999999999979</v>
      </c>
      <c r="AW266" s="533">
        <f>AV266/$R266</f>
        <v>-0.72532134706702833</v>
      </c>
      <c r="AX266" s="534">
        <v>845.3</v>
      </c>
      <c r="AY266" s="530">
        <v>1144.95814</v>
      </c>
      <c r="AZ266" s="530">
        <f>AY266-AX266</f>
        <v>299.65814</v>
      </c>
      <c r="BA266" s="533">
        <f>AZ266/$R266</f>
        <v>83.595556063230902</v>
      </c>
      <c r="BB266" s="534">
        <v>-0.83</v>
      </c>
      <c r="BC266" s="530">
        <v>-0.97</v>
      </c>
      <c r="BD266" s="530">
        <f>BC266-BB266</f>
        <v>-0.14000000000000001</v>
      </c>
      <c r="BE266" s="530">
        <v>-0.837978</v>
      </c>
      <c r="BF266" s="533">
        <f>BD266/$R266</f>
        <v>-3.9055764842070795E-2</v>
      </c>
      <c r="BG266" s="527">
        <v>29</v>
      </c>
      <c r="BH266" s="527">
        <v>27.8</v>
      </c>
      <c r="BI266" s="527">
        <f>BH266-BG266</f>
        <v>-1.1999999999999993</v>
      </c>
      <c r="BJ266" s="545">
        <v>5.6</v>
      </c>
      <c r="BK266" s="545">
        <v>6.2</v>
      </c>
      <c r="BL266" s="545">
        <f>BK266-BJ266</f>
        <v>0.60000000000000053</v>
      </c>
      <c r="BM266" s="545">
        <v>0</v>
      </c>
      <c r="BN266" s="545">
        <v>0</v>
      </c>
      <c r="BO266" s="545">
        <f>BN266-BM266</f>
        <v>0</v>
      </c>
      <c r="BP266" s="527"/>
      <c r="BQ266" s="527"/>
      <c r="BR266" s="527"/>
      <c r="BS266" s="527"/>
      <c r="BT266" s="524" t="s">
        <v>723</v>
      </c>
      <c r="BU266" s="512">
        <v>2320.2514036799998</v>
      </c>
      <c r="BV266" s="512">
        <v>-1.7000538700000001</v>
      </c>
      <c r="BW266" s="512">
        <v>2488.4153905899998</v>
      </c>
      <c r="BX266" s="512">
        <v>2531.4514285499999</v>
      </c>
      <c r="BY266" s="512">
        <v>3.17809644</v>
      </c>
      <c r="BZ266" s="512">
        <v>3.1994977599999999</v>
      </c>
      <c r="CA266" s="512">
        <v>0.13901901</v>
      </c>
      <c r="CB266" s="512">
        <v>3.5844506300000001</v>
      </c>
      <c r="CC266" s="512">
        <v>3.57947448</v>
      </c>
      <c r="CD266" s="512">
        <v>-0.81335592000000001</v>
      </c>
      <c r="CE266" s="512">
        <v>-0.66889639999999995</v>
      </c>
      <c r="CF266" s="512">
        <v>0.71688861999999998</v>
      </c>
      <c r="CG266" s="512"/>
    </row>
    <row r="267" spans="1:85" s="519" customFormat="1" ht="22.5">
      <c r="A267" s="546">
        <v>62007001</v>
      </c>
      <c r="B267" s="543" t="s">
        <v>1048</v>
      </c>
      <c r="C267" s="543" t="s">
        <v>696</v>
      </c>
      <c r="D267" s="521" t="s">
        <v>1204</v>
      </c>
      <c r="E267" s="513" t="s">
        <v>1205</v>
      </c>
      <c r="F267" s="536" t="str">
        <f>LEFT(E267,8)</f>
        <v>07/06/20</v>
      </c>
      <c r="G267" s="524" t="s">
        <v>1206</v>
      </c>
      <c r="H267" s="524" t="s">
        <v>1207</v>
      </c>
      <c r="I267" s="532"/>
      <c r="J267" s="531">
        <v>36.072149000000003</v>
      </c>
      <c r="K267" s="531">
        <v>38.572288999999998</v>
      </c>
      <c r="L267" s="531">
        <v>29.274654000000002</v>
      </c>
      <c r="M267" s="531">
        <v>40.812258</v>
      </c>
      <c r="N267" s="528">
        <v>4250</v>
      </c>
      <c r="O267" s="528">
        <v>38.71</v>
      </c>
      <c r="P267" s="528">
        <v>3.0499999999999999E-2</v>
      </c>
      <c r="Q267" s="528">
        <v>1.4999999999999999E-2</v>
      </c>
      <c r="R267" s="529">
        <v>3.5874986899999999</v>
      </c>
      <c r="S267" s="529">
        <f>R267+R266</f>
        <v>7.1721167499999998</v>
      </c>
      <c r="T267" s="544">
        <v>27.7</v>
      </c>
      <c r="U267" s="544">
        <v>26.5</v>
      </c>
      <c r="V267" s="530">
        <v>2938</v>
      </c>
      <c r="W267" s="530">
        <v>3859</v>
      </c>
      <c r="X267" s="530">
        <f>W267-V267</f>
        <v>921</v>
      </c>
      <c r="Y267" s="530">
        <f>X267/$R267</f>
        <v>256.72483242077504</v>
      </c>
      <c r="Z267" s="534">
        <v>2869</v>
      </c>
      <c r="AA267" s="530">
        <v>3783</v>
      </c>
      <c r="AB267" s="530">
        <f>AA267-Z267</f>
        <v>914</v>
      </c>
      <c r="AC267" s="533">
        <f>AB267/$R267</f>
        <v>254.7736121960786</v>
      </c>
      <c r="AD267" s="534">
        <v>50</v>
      </c>
      <c r="AE267" s="530">
        <v>61</v>
      </c>
      <c r="AF267" s="530">
        <f>AE267-AD267</f>
        <v>11</v>
      </c>
      <c r="AG267" s="533">
        <f>AF267/$R267</f>
        <v>3.06620321023727</v>
      </c>
      <c r="AH267" s="534">
        <v>1072</v>
      </c>
      <c r="AI267" s="530">
        <v>1577</v>
      </c>
      <c r="AJ267" s="530">
        <f>AI267-AH267</f>
        <v>505</v>
      </c>
      <c r="AK267" s="533">
        <f>AJ267/$R267</f>
        <v>140.7666019245292</v>
      </c>
      <c r="AL267" s="534">
        <v>613</v>
      </c>
      <c r="AM267" s="530">
        <v>695.4</v>
      </c>
      <c r="AN267" s="530">
        <f>AM267-AL267</f>
        <v>82.399999999999977</v>
      </c>
      <c r="AO267" s="533">
        <f>AN267/$R267</f>
        <v>22.968649502140998</v>
      </c>
      <c r="AP267" s="534">
        <v>538.43559400000004</v>
      </c>
      <c r="AQ267" s="530">
        <v>613.09522500000003</v>
      </c>
      <c r="AR267" s="530">
        <f>AQ267-AP267</f>
        <v>74.65963099999999</v>
      </c>
      <c r="AS267" s="533">
        <f>AR267/$R267</f>
        <v>20.811054567939088</v>
      </c>
      <c r="AT267" s="534">
        <v>-25.9</v>
      </c>
      <c r="AU267" s="530">
        <v>-28.4</v>
      </c>
      <c r="AV267" s="530">
        <f>AU267-AT267</f>
        <v>-2.5</v>
      </c>
      <c r="AW267" s="533">
        <f>AV267/$R267</f>
        <v>-0.69686436596301593</v>
      </c>
      <c r="AX267" s="534">
        <v>1144.0999999999999</v>
      </c>
      <c r="AY267" s="530">
        <v>1458.2</v>
      </c>
      <c r="AZ267" s="530">
        <f>AY267-AX267</f>
        <v>314.10000000000014</v>
      </c>
      <c r="BA267" s="533">
        <f>AZ267/$R267</f>
        <v>87.554038939593354</v>
      </c>
      <c r="BB267" s="534">
        <v>-1.07</v>
      </c>
      <c r="BC267" s="530">
        <v>-1.18</v>
      </c>
      <c r="BD267" s="530">
        <f>BC267-BB267</f>
        <v>-0.10999999999999988</v>
      </c>
      <c r="BE267" s="530">
        <v>-0.63576699999999997</v>
      </c>
      <c r="BF267" s="533">
        <f>BD267/$R267</f>
        <v>-3.0662032102372665E-2</v>
      </c>
      <c r="BG267" s="527">
        <v>27.7</v>
      </c>
      <c r="BH267" s="527">
        <v>26.5</v>
      </c>
      <c r="BI267" s="527">
        <f>BH267-BG267</f>
        <v>-1.1999999999999993</v>
      </c>
      <c r="BJ267" s="545">
        <v>6.8</v>
      </c>
      <c r="BK267" s="545">
        <v>7.5</v>
      </c>
      <c r="BL267" s="545">
        <f>BK267-BJ267</f>
        <v>0.70000000000000018</v>
      </c>
      <c r="BM267" s="545">
        <v>0</v>
      </c>
      <c r="BN267" s="545">
        <v>0</v>
      </c>
      <c r="BO267" s="545">
        <f>BN267-BM267</f>
        <v>0</v>
      </c>
      <c r="BP267" s="527"/>
      <c r="BQ267" s="527"/>
      <c r="BR267" s="527"/>
      <c r="BS267" s="527"/>
      <c r="BT267" s="524" t="s">
        <v>723</v>
      </c>
      <c r="BU267" s="512">
        <v>2318.0709284300001</v>
      </c>
      <c r="BV267" s="512">
        <v>-1.7678887999999999</v>
      </c>
      <c r="BW267" s="512">
        <v>2486.4655867199999</v>
      </c>
      <c r="BX267" s="512">
        <v>2531.21464698</v>
      </c>
      <c r="BY267" s="512">
        <v>3.1777892799999998</v>
      </c>
      <c r="BZ267" s="512">
        <v>3.1992576100000001</v>
      </c>
      <c r="CA267" s="512">
        <v>0.21960737999999999</v>
      </c>
      <c r="CB267" s="512">
        <v>3.5873346399999999</v>
      </c>
      <c r="CC267" s="512">
        <v>3.5794738499999998</v>
      </c>
      <c r="CD267" s="512">
        <v>-0.89666526999999996</v>
      </c>
      <c r="CE267" s="512">
        <v>-0.67104090000000005</v>
      </c>
      <c r="CF267" s="512">
        <v>0.71686954000000003</v>
      </c>
      <c r="CG267" s="512"/>
    </row>
    <row r="268" spans="1:85" s="519" customFormat="1" ht="22.5">
      <c r="A268" s="546">
        <v>62007001</v>
      </c>
      <c r="B268" s="543" t="s">
        <v>829</v>
      </c>
      <c r="C268" s="543" t="s">
        <v>697</v>
      </c>
      <c r="D268" s="521" t="s">
        <v>1204</v>
      </c>
      <c r="E268" s="513" t="s">
        <v>1205</v>
      </c>
      <c r="F268" s="536" t="str">
        <f>LEFT(E268,8)</f>
        <v>07/06/20</v>
      </c>
      <c r="G268" s="524" t="s">
        <v>1206</v>
      </c>
      <c r="H268" s="524" t="s">
        <v>1207</v>
      </c>
      <c r="I268" s="532"/>
      <c r="J268" s="531">
        <v>37.566716999999997</v>
      </c>
      <c r="K268" s="531">
        <v>33.851771999999997</v>
      </c>
      <c r="L268" s="531">
        <v>29.279125000000001</v>
      </c>
      <c r="M268" s="531">
        <v>42.266531999999998</v>
      </c>
      <c r="N268" s="528">
        <v>4250</v>
      </c>
      <c r="O268" s="528">
        <v>38.71</v>
      </c>
      <c r="P268" s="528">
        <v>3.0499999999999999E-2</v>
      </c>
      <c r="Q268" s="528">
        <v>1.4999999999999999E-2</v>
      </c>
      <c r="R268" s="529">
        <v>5.4276605099999999</v>
      </c>
      <c r="S268" s="529" t="e">
        <f>R268+#REF!</f>
        <v>#REF!</v>
      </c>
      <c r="T268" s="544">
        <v>26.5</v>
      </c>
      <c r="U268" s="544">
        <v>23.6</v>
      </c>
      <c r="V268" s="530">
        <v>3861</v>
      </c>
      <c r="W268" s="530">
        <v>5924</v>
      </c>
      <c r="X268" s="530">
        <f>W268-V268</f>
        <v>2063</v>
      </c>
      <c r="Y268" s="530">
        <f>X268/$R268</f>
        <v>380.09009520752062</v>
      </c>
      <c r="Z268" s="534">
        <v>3785</v>
      </c>
      <c r="AA268" s="530">
        <v>5843</v>
      </c>
      <c r="AB268" s="530">
        <f>AA268-Z268</f>
        <v>2058</v>
      </c>
      <c r="AC268" s="533">
        <f>AB268/$R268</f>
        <v>379.16888799664446</v>
      </c>
      <c r="AD268" s="534">
        <v>61</v>
      </c>
      <c r="AE268" s="530">
        <v>424</v>
      </c>
      <c r="AF268" s="530">
        <f>AE268-AD268</f>
        <v>363</v>
      </c>
      <c r="AG268" s="533">
        <f>AF268/$R268</f>
        <v>66.879643509612208</v>
      </c>
      <c r="AH268" s="534">
        <v>1577</v>
      </c>
      <c r="AI268" s="530">
        <v>2619</v>
      </c>
      <c r="AJ268" s="530">
        <f>AI268-AH268</f>
        <v>1042</v>
      </c>
      <c r="AK268" s="533">
        <f>AJ268/$R268</f>
        <v>191.97958274660033</v>
      </c>
      <c r="AL268" s="534">
        <v>695.8</v>
      </c>
      <c r="AM268" s="530">
        <v>748.2</v>
      </c>
      <c r="AN268" s="530">
        <f>AM268-AL268</f>
        <v>52.400000000000091</v>
      </c>
      <c r="AO268" s="533">
        <f>AN268/$R268</f>
        <v>9.6542515699826055</v>
      </c>
      <c r="AP268" s="534">
        <v>613.44045400000005</v>
      </c>
      <c r="AQ268" s="530">
        <v>659.6</v>
      </c>
      <c r="AR268" s="530">
        <f>AQ268-AP268</f>
        <v>46.159545999999978</v>
      </c>
      <c r="AS268" s="533">
        <f>AR268/$R268</f>
        <v>8.5045013251943384</v>
      </c>
      <c r="AT268" s="534">
        <v>-28.5</v>
      </c>
      <c r="AU268" s="530">
        <v>-30.4</v>
      </c>
      <c r="AV268" s="530">
        <f>AU268-AT268</f>
        <v>-1.8999999999999986</v>
      </c>
      <c r="AW268" s="533">
        <f>AV268/$R268</f>
        <v>-0.35005874013295624</v>
      </c>
      <c r="AX268" s="534">
        <v>1459.2</v>
      </c>
      <c r="AY268" s="530">
        <v>1602.6</v>
      </c>
      <c r="AZ268" s="530">
        <f>AY268-AX268</f>
        <v>143.39999999999986</v>
      </c>
      <c r="BA268" s="533">
        <f>AZ268/$R268</f>
        <v>26.420222807929427</v>
      </c>
      <c r="BB268" s="534">
        <v>-1.18</v>
      </c>
      <c r="BC268" s="530">
        <v>-1.26</v>
      </c>
      <c r="BD268" s="530">
        <f>BC268-BB268</f>
        <v>-8.0000000000000071E-2</v>
      </c>
      <c r="BE268" s="530">
        <v>-0.66189200000000004</v>
      </c>
      <c r="BF268" s="533">
        <f>BD268/$R268</f>
        <v>-1.4739315374019233E-2</v>
      </c>
      <c r="BG268" s="527">
        <v>26.5</v>
      </c>
      <c r="BH268" s="527">
        <v>23.6</v>
      </c>
      <c r="BI268" s="527">
        <f>BH268-BG268</f>
        <v>-2.8999999999999986</v>
      </c>
      <c r="BJ268" s="545">
        <v>7.5</v>
      </c>
      <c r="BK268" s="545">
        <v>7.9</v>
      </c>
      <c r="BL268" s="545">
        <f>BK268-BJ268</f>
        <v>0.40000000000000036</v>
      </c>
      <c r="BM268" s="545">
        <v>0</v>
      </c>
      <c r="BN268" s="545">
        <v>0</v>
      </c>
      <c r="BO268" s="545">
        <f>BN268-BM268</f>
        <v>0</v>
      </c>
      <c r="BP268" s="527"/>
      <c r="BQ268" s="527"/>
      <c r="BR268" s="527"/>
      <c r="BS268" s="527"/>
      <c r="BT268" s="524" t="s">
        <v>723</v>
      </c>
      <c r="BU268" s="512">
        <v>1855.1496279999999</v>
      </c>
      <c r="BV268" s="512">
        <v>-2.0717835899999999</v>
      </c>
      <c r="BW268" s="512">
        <v>993.03637342000002</v>
      </c>
      <c r="BX268" s="512">
        <v>1014.04519541</v>
      </c>
      <c r="BY268" s="512">
        <v>3.8508578600000001</v>
      </c>
      <c r="BZ268" s="512">
        <v>4.4667080500000003</v>
      </c>
      <c r="CA268" s="512">
        <v>-12.800812540000001</v>
      </c>
      <c r="CB268" s="512">
        <v>5.4276696600000003</v>
      </c>
      <c r="CC268" s="512">
        <v>6.2244498100000003</v>
      </c>
      <c r="CD268" s="512">
        <v>-1.1445572100000001</v>
      </c>
      <c r="CE268" s="512">
        <v>-13.787563199999999</v>
      </c>
      <c r="CF268" s="512">
        <v>0.35926038999999999</v>
      </c>
      <c r="CG268" s="512"/>
    </row>
    <row r="269" spans="1:85" s="520" customFormat="1" ht="15.75">
      <c r="A269" s="535" t="s">
        <v>1256</v>
      </c>
      <c r="B269" s="537"/>
      <c r="C269" s="537"/>
      <c r="D269" s="538"/>
      <c r="E269" s="537"/>
      <c r="F269" s="537"/>
      <c r="G269" s="538"/>
      <c r="H269" s="538"/>
      <c r="I269" s="538"/>
      <c r="J269" s="538"/>
      <c r="K269" s="538"/>
      <c r="L269" s="538"/>
      <c r="M269" s="538"/>
      <c r="N269" s="538"/>
      <c r="O269" s="538"/>
      <c r="P269" s="539"/>
      <c r="Q269" s="540"/>
      <c r="R269" s="537"/>
      <c r="S269" s="537"/>
      <c r="T269" s="537"/>
      <c r="U269" s="537"/>
      <c r="V269" s="537"/>
      <c r="W269" s="537"/>
      <c r="X269" s="537"/>
      <c r="Y269" s="537"/>
      <c r="Z269" s="537"/>
      <c r="AA269" s="537"/>
      <c r="AB269" s="537"/>
      <c r="AC269" s="537"/>
      <c r="AD269" s="537"/>
      <c r="AE269" s="537"/>
      <c r="AF269" s="537"/>
      <c r="AG269" s="537"/>
      <c r="AH269" s="537"/>
      <c r="AI269" s="537"/>
      <c r="AJ269" s="537"/>
      <c r="AK269" s="537"/>
      <c r="AL269" s="537"/>
      <c r="AM269" s="537"/>
      <c r="AN269" s="537"/>
      <c r="AO269" s="537"/>
      <c r="AP269" s="537"/>
      <c r="AQ269" s="537"/>
      <c r="AR269" s="537"/>
      <c r="AS269" s="537"/>
      <c r="AT269" s="537"/>
      <c r="AU269" s="537"/>
      <c r="AV269" s="537"/>
      <c r="AW269" s="537"/>
      <c r="AX269" s="537"/>
      <c r="AY269" s="537"/>
      <c r="AZ269" s="537"/>
      <c r="BA269" s="537"/>
      <c r="BB269" s="537"/>
      <c r="BC269" s="537"/>
      <c r="BD269" s="537"/>
      <c r="BE269" s="537"/>
      <c r="BF269" s="537"/>
      <c r="BG269" s="537"/>
      <c r="BH269" s="537"/>
      <c r="BI269" s="537"/>
      <c r="BJ269" s="537"/>
      <c r="BK269" s="537"/>
      <c r="BL269" s="537"/>
      <c r="BM269" s="537"/>
      <c r="BN269" s="537"/>
      <c r="BO269" s="537"/>
      <c r="BP269" s="537"/>
      <c r="BQ269" s="537"/>
      <c r="BR269" s="537"/>
      <c r="BS269" s="537"/>
      <c r="BT269" s="537"/>
      <c r="BU269" s="537"/>
      <c r="BV269" s="537"/>
      <c r="BW269" s="537"/>
      <c r="BX269" s="537"/>
      <c r="BY269" s="537"/>
      <c r="BZ269" s="537"/>
      <c r="CA269" s="537"/>
      <c r="CB269" s="537"/>
      <c r="CC269" s="537"/>
      <c r="CD269" s="537"/>
      <c r="CE269" s="537"/>
      <c r="CF269" s="542"/>
      <c r="CG269" s="541"/>
    </row>
    <row r="270" spans="1:85" s="519" customFormat="1" ht="22.5">
      <c r="A270" s="546">
        <v>62007002</v>
      </c>
      <c r="B270" s="543" t="s">
        <v>832</v>
      </c>
      <c r="C270" s="543" t="s">
        <v>695</v>
      </c>
      <c r="D270" s="521" t="s">
        <v>752</v>
      </c>
      <c r="E270" s="513" t="s">
        <v>1208</v>
      </c>
      <c r="F270" s="536" t="str">
        <f t="shared" ref="F270:F288" si="148">LEFT(E270,8)</f>
        <v>07/07/20</v>
      </c>
      <c r="G270" s="524" t="s">
        <v>1209</v>
      </c>
      <c r="H270" s="524" t="s">
        <v>708</v>
      </c>
      <c r="I270" s="532"/>
      <c r="J270" s="531">
        <v>36.299714999999999</v>
      </c>
      <c r="K270" s="531">
        <v>37.552376000000002</v>
      </c>
      <c r="L270" s="531">
        <v>29.289248000000001</v>
      </c>
      <c r="M270" s="531">
        <v>39.080013999999998</v>
      </c>
      <c r="N270" s="528">
        <v>4250</v>
      </c>
      <c r="O270" s="528">
        <v>38.71</v>
      </c>
      <c r="P270" s="528">
        <v>3.0499999999999999E-2</v>
      </c>
      <c r="Q270" s="528">
        <v>1.4999999999999999E-2</v>
      </c>
      <c r="R270" s="529">
        <v>3.5963170099999999</v>
      </c>
      <c r="S270" s="529">
        <f>R270+R268</f>
        <v>9.023977519999999</v>
      </c>
      <c r="T270" s="544">
        <v>99.4</v>
      </c>
      <c r="U270" s="544">
        <v>98.2</v>
      </c>
      <c r="V270" s="530">
        <v>70</v>
      </c>
      <c r="W270" s="530">
        <v>1116</v>
      </c>
      <c r="X270" s="530">
        <f>W270-V270</f>
        <v>1046</v>
      </c>
      <c r="Y270" s="530">
        <f t="shared" ref="Y270:Y288" si="149">X270/$R270</f>
        <v>290.8531136413917</v>
      </c>
      <c r="Z270" s="534">
        <v>69</v>
      </c>
      <c r="AA270" s="530">
        <v>1114</v>
      </c>
      <c r="AB270" s="530">
        <f>AA270-Z270</f>
        <v>1045</v>
      </c>
      <c r="AC270" s="533">
        <f t="shared" ref="AC270:AC288" si="150">AB270/$R270</f>
        <v>290.57505139125652</v>
      </c>
      <c r="AD270" s="534">
        <v>2</v>
      </c>
      <c r="AE270" s="530">
        <v>24</v>
      </c>
      <c r="AF270" s="530">
        <f>AE270-AD270</f>
        <v>22</v>
      </c>
      <c r="AG270" s="533">
        <f t="shared" ref="AG270:AG288" si="151">AF270/$R270</f>
        <v>6.1173695029738218</v>
      </c>
      <c r="AH270" s="534">
        <v>2</v>
      </c>
      <c r="AI270" s="530">
        <v>587</v>
      </c>
      <c r="AJ270" s="530">
        <f>AI270-AH270</f>
        <v>585</v>
      </c>
      <c r="AK270" s="533">
        <f t="shared" ref="AK270:AK288" si="152">AJ270/$R270</f>
        <v>162.66641632907661</v>
      </c>
      <c r="AL270" s="534">
        <v>63.6</v>
      </c>
      <c r="AM270" s="530">
        <v>143.4</v>
      </c>
      <c r="AN270" s="530">
        <f>AM270-AL270</f>
        <v>79.800000000000011</v>
      </c>
      <c r="AO270" s="533">
        <f t="shared" ref="AO270:AO288" si="153">AN270/$R270</f>
        <v>22.189367560786867</v>
      </c>
      <c r="AP270" s="534">
        <v>42.588779000000002</v>
      </c>
      <c r="AQ270" s="530">
        <v>111.807014</v>
      </c>
      <c r="AR270" s="530">
        <f>AQ270-AP270</f>
        <v>69.218234999999993</v>
      </c>
      <c r="AS270" s="533">
        <f t="shared" ref="AS270:AS288" si="154">AR270/$R270</f>
        <v>19.246978174485236</v>
      </c>
      <c r="AT270" s="534">
        <v>0</v>
      </c>
      <c r="AU270" s="530">
        <v>0</v>
      </c>
      <c r="AV270" s="530">
        <f>AU270-AT270</f>
        <v>0</v>
      </c>
      <c r="AW270" s="533">
        <f t="shared" ref="AW270:AW288" si="155">AV270/$R270</f>
        <v>0</v>
      </c>
      <c r="AX270" s="534">
        <v>1</v>
      </c>
      <c r="AY270" s="530">
        <v>359.8</v>
      </c>
      <c r="AZ270" s="530">
        <f>AY270-AX270</f>
        <v>358.8</v>
      </c>
      <c r="BA270" s="533">
        <f t="shared" ref="BA270:BA288" si="156">AZ270/$R270</f>
        <v>99.768735348500329</v>
      </c>
      <c r="BB270" s="534">
        <v>-8.52</v>
      </c>
      <c r="BC270" s="530">
        <v>-9.7899999999999991</v>
      </c>
      <c r="BD270" s="530">
        <f>BC270-BB270</f>
        <v>-1.2699999999999996</v>
      </c>
      <c r="BE270" s="530">
        <v>-9.1550469999999997</v>
      </c>
      <c r="BF270" s="533">
        <f t="shared" ref="BF270:BF288" si="157">BD270/$R270</f>
        <v>-0.35313905767167048</v>
      </c>
      <c r="BG270" s="527">
        <v>99.4</v>
      </c>
      <c r="BH270" s="527">
        <v>98.2</v>
      </c>
      <c r="BI270" s="527">
        <f>BH270-BG270</f>
        <v>-1.2000000000000028</v>
      </c>
      <c r="BJ270" s="545">
        <v>1.3</v>
      </c>
      <c r="BK270" s="545">
        <v>1.8</v>
      </c>
      <c r="BL270" s="545">
        <f>BK270-BJ270</f>
        <v>0.5</v>
      </c>
      <c r="BM270" s="545">
        <v>0</v>
      </c>
      <c r="BN270" s="545">
        <v>0</v>
      </c>
      <c r="BO270" s="545">
        <f>BN270-BM270</f>
        <v>0</v>
      </c>
      <c r="BP270" s="527"/>
      <c r="BQ270" s="527"/>
      <c r="BR270" s="527"/>
      <c r="BS270" s="527"/>
      <c r="BT270" s="524" t="s">
        <v>723</v>
      </c>
      <c r="BU270" s="512">
        <v>2370.7729276</v>
      </c>
      <c r="BV270" s="512">
        <v>-0.76191365</v>
      </c>
      <c r="BW270" s="512">
        <v>2033.1790309600001</v>
      </c>
      <c r="BX270" s="512">
        <v>2048.78903425</v>
      </c>
      <c r="BY270" s="512">
        <v>3.0286518400000002</v>
      </c>
      <c r="BZ270" s="512">
        <v>3.0319560999999999</v>
      </c>
      <c r="CA270" s="512">
        <v>0.14776992999999999</v>
      </c>
      <c r="CB270" s="512">
        <v>3.5962867799999998</v>
      </c>
      <c r="CC270" s="512">
        <v>3.5909803999999999</v>
      </c>
      <c r="CD270" s="512">
        <v>-0.25703118000000003</v>
      </c>
      <c r="CE270" s="512">
        <v>-0.10898114</v>
      </c>
      <c r="CF270" s="512">
        <v>0.63449347</v>
      </c>
      <c r="CG270" s="512"/>
    </row>
    <row r="271" spans="1:85" s="519" customFormat="1" ht="22.5">
      <c r="A271" s="546">
        <v>62007002</v>
      </c>
      <c r="B271" s="543" t="s">
        <v>831</v>
      </c>
      <c r="C271" s="543" t="s">
        <v>696</v>
      </c>
      <c r="D271" s="521" t="s">
        <v>752</v>
      </c>
      <c r="E271" s="513" t="s">
        <v>1208</v>
      </c>
      <c r="F271" s="536" t="str">
        <f t="shared" si="148"/>
        <v>07/07/20</v>
      </c>
      <c r="G271" s="524" t="s">
        <v>1209</v>
      </c>
      <c r="H271" s="524" t="s">
        <v>708</v>
      </c>
      <c r="I271" s="532"/>
      <c r="J271" s="531">
        <v>34.003360000000001</v>
      </c>
      <c r="K271" s="531">
        <v>46.104627000000001</v>
      </c>
      <c r="L271" s="531">
        <v>29.285356</v>
      </c>
      <c r="M271" s="531">
        <v>41.192627000000002</v>
      </c>
      <c r="N271" s="528">
        <v>4250</v>
      </c>
      <c r="O271" s="528">
        <v>38.71</v>
      </c>
      <c r="P271" s="528">
        <v>3.0499999999999999E-2</v>
      </c>
      <c r="Q271" s="528">
        <v>1.4999999999999999E-2</v>
      </c>
      <c r="R271" s="529">
        <v>3.86220498</v>
      </c>
      <c r="S271" s="529">
        <f>R271+R270</f>
        <v>7.4585219899999995</v>
      </c>
      <c r="T271" s="544">
        <v>98.2</v>
      </c>
      <c r="U271" s="544">
        <v>97.2</v>
      </c>
      <c r="V271" s="530">
        <v>1116</v>
      </c>
      <c r="W271" s="530">
        <v>1982</v>
      </c>
      <c r="X271" s="530">
        <f>W271-V271</f>
        <v>866</v>
      </c>
      <c r="Y271" s="530">
        <f t="shared" si="149"/>
        <v>224.22424611963501</v>
      </c>
      <c r="Z271" s="534">
        <v>1114</v>
      </c>
      <c r="AA271" s="530">
        <v>1977</v>
      </c>
      <c r="AB271" s="530">
        <f>AA271-Z271</f>
        <v>863</v>
      </c>
      <c r="AC271" s="533">
        <f t="shared" si="150"/>
        <v>223.44748776125289</v>
      </c>
      <c r="AD271" s="534">
        <v>24</v>
      </c>
      <c r="AE271" s="530">
        <v>46</v>
      </c>
      <c r="AF271" s="530">
        <f>AE271-AD271</f>
        <v>22</v>
      </c>
      <c r="AG271" s="533">
        <f t="shared" si="151"/>
        <v>5.6962279614687876</v>
      </c>
      <c r="AH271" s="534">
        <v>587</v>
      </c>
      <c r="AI271" s="530">
        <v>1069</v>
      </c>
      <c r="AJ271" s="530">
        <f>AI271-AH271</f>
        <v>482</v>
      </c>
      <c r="AK271" s="533">
        <f t="shared" si="152"/>
        <v>124.79917624672525</v>
      </c>
      <c r="AL271" s="534">
        <v>143.42790299999999</v>
      </c>
      <c r="AM271" s="530">
        <v>255.8</v>
      </c>
      <c r="AN271" s="530">
        <f>AM271-AL271</f>
        <v>112.37209700000002</v>
      </c>
      <c r="AO271" s="533">
        <f t="shared" si="153"/>
        <v>29.095321864558318</v>
      </c>
      <c r="AP271" s="534">
        <v>111.83116099999999</v>
      </c>
      <c r="AQ271" s="530">
        <v>205.94796400000001</v>
      </c>
      <c r="AR271" s="530">
        <f>AQ271-AP271</f>
        <v>94.116803000000019</v>
      </c>
      <c r="AS271" s="533">
        <f t="shared" si="154"/>
        <v>24.368671131484071</v>
      </c>
      <c r="AT271" s="534">
        <v>0</v>
      </c>
      <c r="AU271" s="530">
        <v>-0.1</v>
      </c>
      <c r="AV271" s="530">
        <f>AU271-AT271</f>
        <v>-0.1</v>
      </c>
      <c r="AW271" s="533">
        <f t="shared" si="155"/>
        <v>-2.5891945279403583E-2</v>
      </c>
      <c r="AX271" s="534">
        <v>359.92790300000001</v>
      </c>
      <c r="AY271" s="530">
        <v>608</v>
      </c>
      <c r="AZ271" s="530">
        <f>AY271-AX271</f>
        <v>248.07209699999999</v>
      </c>
      <c r="BA271" s="533">
        <f t="shared" si="156"/>
        <v>64.230691608708966</v>
      </c>
      <c r="BB271" s="534">
        <v>-9.7984939999999998</v>
      </c>
      <c r="BC271" s="530">
        <v>-10.97</v>
      </c>
      <c r="BD271" s="530">
        <f>BC271-BB271</f>
        <v>-1.1715060000000008</v>
      </c>
      <c r="BE271" s="530">
        <v>-4.8404129999999999</v>
      </c>
      <c r="BF271" s="533">
        <f t="shared" si="157"/>
        <v>-0.30332569246492991</v>
      </c>
      <c r="BG271" s="527">
        <v>98.2</v>
      </c>
      <c r="BH271" s="527">
        <v>97.2</v>
      </c>
      <c r="BI271" s="527">
        <f>BH271-BG271</f>
        <v>-1</v>
      </c>
      <c r="BJ271" s="545">
        <v>1.8</v>
      </c>
      <c r="BK271" s="545">
        <v>2.7</v>
      </c>
      <c r="BL271" s="545">
        <f>BK271-BJ271</f>
        <v>0.90000000000000013</v>
      </c>
      <c r="BM271" s="545">
        <v>0</v>
      </c>
      <c r="BN271" s="545">
        <v>0</v>
      </c>
      <c r="BO271" s="545">
        <f>BN271-BM271</f>
        <v>0</v>
      </c>
      <c r="BP271" s="527"/>
      <c r="BQ271" s="527"/>
      <c r="BR271" s="527"/>
      <c r="BS271" s="527"/>
      <c r="BT271" s="524" t="s">
        <v>723</v>
      </c>
      <c r="BU271" s="512">
        <v>1474.2056678900001</v>
      </c>
      <c r="BV271" s="512">
        <v>-1.1731752799999999</v>
      </c>
      <c r="BW271" s="512">
        <v>3376.0293465899999</v>
      </c>
      <c r="BX271" s="512">
        <v>3416.1062609000001</v>
      </c>
      <c r="BY271" s="512">
        <v>2.9835159600000001</v>
      </c>
      <c r="BZ271" s="512">
        <v>2.9951890900000002</v>
      </c>
      <c r="CA271" s="512">
        <v>5.79946E-2</v>
      </c>
      <c r="CB271" s="512">
        <v>3.8620686200000001</v>
      </c>
      <c r="CC271" s="512">
        <v>3.8598301300000002</v>
      </c>
      <c r="CD271" s="512">
        <v>-0.44947573000000002</v>
      </c>
      <c r="CE271" s="512">
        <v>-0.38972939000000001</v>
      </c>
      <c r="CF271" s="512">
        <v>0.72009117</v>
      </c>
      <c r="CG271" s="512"/>
    </row>
    <row r="272" spans="1:85" s="519" customFormat="1" ht="22.5">
      <c r="A272" s="546">
        <v>62007002</v>
      </c>
      <c r="B272" s="543" t="s">
        <v>830</v>
      </c>
      <c r="C272" s="543" t="s">
        <v>698</v>
      </c>
      <c r="D272" s="521" t="s">
        <v>752</v>
      </c>
      <c r="E272" s="513" t="s">
        <v>1208</v>
      </c>
      <c r="F272" s="536" t="str">
        <f t="shared" si="148"/>
        <v>07/07/20</v>
      </c>
      <c r="G272" s="524" t="s">
        <v>1209</v>
      </c>
      <c r="H272" s="524" t="s">
        <v>708</v>
      </c>
      <c r="I272" s="532"/>
      <c r="J272" s="468">
        <f>AVERAGE(J270:J271)</f>
        <v>35.151537500000003</v>
      </c>
      <c r="K272" s="468">
        <f>AVERAGE(K270:K271)</f>
        <v>41.828501500000002</v>
      </c>
      <c r="L272" s="468">
        <f>AVERAGE(L270:L271)</f>
        <v>29.287302</v>
      </c>
      <c r="M272" s="468">
        <f>AVERAGE(M270:M271)</f>
        <v>40.136320499999997</v>
      </c>
      <c r="N272" s="452"/>
      <c r="O272" s="528"/>
      <c r="P272" s="470"/>
      <c r="Q272" s="469"/>
      <c r="R272" s="453">
        <f>R271+R270</f>
        <v>7.4585219899999995</v>
      </c>
      <c r="S272" s="453">
        <f>S271</f>
        <v>7.4585219899999995</v>
      </c>
      <c r="T272" s="493">
        <f>T270</f>
        <v>99.4</v>
      </c>
      <c r="U272" s="493">
        <f>U271</f>
        <v>97.2</v>
      </c>
      <c r="V272" s="456">
        <f>V270</f>
        <v>70</v>
      </c>
      <c r="W272" s="456">
        <f>W271</f>
        <v>1982</v>
      </c>
      <c r="X272" s="456">
        <f>SUM(X270:X271)</f>
        <v>1912</v>
      </c>
      <c r="Y272" s="456">
        <f t="shared" si="149"/>
        <v>256.35105756388606</v>
      </c>
      <c r="Z272" s="456">
        <f>Z270</f>
        <v>69</v>
      </c>
      <c r="AA272" s="456">
        <f>AA271</f>
        <v>1977</v>
      </c>
      <c r="AB272" s="456">
        <f>SUM(AB270:AB271)</f>
        <v>1908</v>
      </c>
      <c r="AC272" s="454">
        <f t="shared" si="150"/>
        <v>255.81475828027962</v>
      </c>
      <c r="AD272" s="456">
        <f>AD270</f>
        <v>2</v>
      </c>
      <c r="AE272" s="456">
        <f>AE271</f>
        <v>46</v>
      </c>
      <c r="AF272" s="456">
        <f>SUM(AF270:AF271)</f>
        <v>44</v>
      </c>
      <c r="AG272" s="454">
        <f t="shared" si="151"/>
        <v>5.8992921196710189</v>
      </c>
      <c r="AH272" s="456">
        <f>AH270</f>
        <v>2</v>
      </c>
      <c r="AI272" s="456">
        <f>AI271</f>
        <v>1069</v>
      </c>
      <c r="AJ272" s="456">
        <f>SUM(AJ270:AJ271)</f>
        <v>1067</v>
      </c>
      <c r="AK272" s="454">
        <f t="shared" si="152"/>
        <v>143.0578339020222</v>
      </c>
      <c r="AL272" s="456">
        <f>AL270</f>
        <v>63.6</v>
      </c>
      <c r="AM272" s="456">
        <f>AM271</f>
        <v>255.8</v>
      </c>
      <c r="AN272" s="456">
        <f>SUM(AN270:AN271)</f>
        <v>192.17209700000004</v>
      </c>
      <c r="AO272" s="454">
        <f t="shared" si="153"/>
        <v>25.76543948756261</v>
      </c>
      <c r="AP272" s="456">
        <f>AP270</f>
        <v>42.588779000000002</v>
      </c>
      <c r="AQ272" s="456">
        <f>AQ271</f>
        <v>205.94796400000001</v>
      </c>
      <c r="AR272" s="456">
        <f>SUM(AR270:AR271)</f>
        <v>163.335038</v>
      </c>
      <c r="AS272" s="454">
        <f t="shared" si="154"/>
        <v>21.899115966808324</v>
      </c>
      <c r="AT272" s="456">
        <f>AT270</f>
        <v>0</v>
      </c>
      <c r="AU272" s="456">
        <f>AU271</f>
        <v>-0.1</v>
      </c>
      <c r="AV272" s="456">
        <f>SUM(AV270:AV271)</f>
        <v>-0.1</v>
      </c>
      <c r="AW272" s="454">
        <f t="shared" si="155"/>
        <v>-1.3407482090161406E-2</v>
      </c>
      <c r="AX272" s="456">
        <f>AX270</f>
        <v>1</v>
      </c>
      <c r="AY272" s="456">
        <f>AY271</f>
        <v>608</v>
      </c>
      <c r="AZ272" s="456">
        <f>SUM(AZ270:AZ271)</f>
        <v>606.87209699999994</v>
      </c>
      <c r="BA272" s="454">
        <f t="shared" si="156"/>
        <v>81.366267715461944</v>
      </c>
      <c r="BB272" s="456">
        <f>BB270</f>
        <v>-8.52</v>
      </c>
      <c r="BC272" s="456">
        <f>BC271</f>
        <v>-10.97</v>
      </c>
      <c r="BD272" s="456">
        <f>SUM(BD270:BD271)</f>
        <v>-2.4415060000000004</v>
      </c>
      <c r="BE272" s="530">
        <f>AVERAGE(BE270:BE271)</f>
        <v>-6.9977299999999998</v>
      </c>
      <c r="BF272" s="454">
        <f t="shared" si="157"/>
        <v>-0.32734447968021618</v>
      </c>
      <c r="BG272" s="445"/>
      <c r="BH272" s="445"/>
      <c r="BI272" s="445">
        <f>SUM(BI270:BI271)</f>
        <v>-2.2000000000000028</v>
      </c>
      <c r="BJ272" s="496" t="s">
        <v>1210</v>
      </c>
      <c r="BK272" s="496" t="s">
        <v>1211</v>
      </c>
      <c r="BL272" s="496">
        <f>SUM(BL270:BL271)</f>
        <v>1.4000000000000001</v>
      </c>
      <c r="BM272" s="496" t="s">
        <v>1212</v>
      </c>
      <c r="BN272" s="496" t="s">
        <v>1213</v>
      </c>
      <c r="BO272" s="496">
        <f>SUM(BO270:BO271)</f>
        <v>0</v>
      </c>
      <c r="BP272" s="445"/>
      <c r="BQ272" s="445"/>
      <c r="BR272" s="445"/>
      <c r="BS272" s="445"/>
      <c r="BT272" s="524" t="s">
        <v>723</v>
      </c>
      <c r="BU272" s="512"/>
      <c r="BV272" s="512"/>
      <c r="BW272" s="512"/>
      <c r="BX272" s="512"/>
      <c r="BY272" s="512"/>
      <c r="BZ272" s="512"/>
      <c r="CA272" s="512"/>
      <c r="CB272" s="512"/>
      <c r="CC272" s="512"/>
      <c r="CD272" s="512"/>
      <c r="CE272" s="512"/>
      <c r="CF272" s="512"/>
      <c r="CG272" s="512"/>
    </row>
    <row r="273" spans="1:85" s="519" customFormat="1" ht="22.5">
      <c r="A273" s="546">
        <v>62007002</v>
      </c>
      <c r="B273" s="543" t="s">
        <v>829</v>
      </c>
      <c r="C273" s="543" t="s">
        <v>697</v>
      </c>
      <c r="D273" s="521" t="s">
        <v>752</v>
      </c>
      <c r="E273" s="513" t="s">
        <v>1208</v>
      </c>
      <c r="F273" s="536" t="str">
        <f t="shared" si="148"/>
        <v>07/07/20</v>
      </c>
      <c r="G273" s="524" t="s">
        <v>1209</v>
      </c>
      <c r="H273" s="524" t="s">
        <v>708</v>
      </c>
      <c r="I273" s="532"/>
      <c r="J273" s="531">
        <v>37.950699</v>
      </c>
      <c r="K273" s="531">
        <v>34.068098999999997</v>
      </c>
      <c r="L273" s="531">
        <v>29.293837</v>
      </c>
      <c r="M273" s="531">
        <v>43.029350999999998</v>
      </c>
      <c r="N273" s="528">
        <v>4250</v>
      </c>
      <c r="O273" s="528">
        <v>38.71</v>
      </c>
      <c r="P273" s="528">
        <v>3.0499999999999999E-2</v>
      </c>
      <c r="Q273" s="528">
        <v>1.4999999999999999E-2</v>
      </c>
      <c r="R273" s="529">
        <v>10.28326779</v>
      </c>
      <c r="S273" s="529">
        <f>R273+R272</f>
        <v>17.741789779999998</v>
      </c>
      <c r="T273" s="544">
        <v>97.2</v>
      </c>
      <c r="U273" s="544">
        <v>95.1</v>
      </c>
      <c r="V273" s="530">
        <v>1989</v>
      </c>
      <c r="W273" s="530">
        <v>3882</v>
      </c>
      <c r="X273" s="530">
        <f>W273-V273</f>
        <v>1893</v>
      </c>
      <c r="Y273" s="530">
        <f t="shared" si="149"/>
        <v>184.08545208176477</v>
      </c>
      <c r="Z273" s="534">
        <v>1984</v>
      </c>
      <c r="AA273" s="530">
        <v>3873</v>
      </c>
      <c r="AB273" s="530">
        <f>AA273-Z273</f>
        <v>1889</v>
      </c>
      <c r="AC273" s="533">
        <f t="shared" si="150"/>
        <v>183.69647067218892</v>
      </c>
      <c r="AD273" s="534">
        <v>46</v>
      </c>
      <c r="AE273" s="530">
        <v>51</v>
      </c>
      <c r="AF273" s="530">
        <f>AE273-AD273</f>
        <v>5</v>
      </c>
      <c r="AG273" s="533">
        <f t="shared" si="151"/>
        <v>0.48622676196979597</v>
      </c>
      <c r="AH273" s="534">
        <v>1069</v>
      </c>
      <c r="AI273" s="530">
        <v>2706</v>
      </c>
      <c r="AJ273" s="530">
        <f>AI273-AH273</f>
        <v>1637</v>
      </c>
      <c r="AK273" s="533">
        <f t="shared" si="152"/>
        <v>159.1906418689112</v>
      </c>
      <c r="AL273" s="534">
        <v>257.89999999999998</v>
      </c>
      <c r="AM273" s="530">
        <v>350.6</v>
      </c>
      <c r="AN273" s="530">
        <f>AM273-AL273</f>
        <v>92.700000000000045</v>
      </c>
      <c r="AO273" s="533">
        <f t="shared" si="153"/>
        <v>9.0146441669200215</v>
      </c>
      <c r="AP273" s="534">
        <v>207.67796100000001</v>
      </c>
      <c r="AQ273" s="530">
        <v>284.77524099999999</v>
      </c>
      <c r="AR273" s="530">
        <f>AQ273-AP273</f>
        <v>77.097279999999984</v>
      </c>
      <c r="AS273" s="533">
        <f t="shared" si="154"/>
        <v>7.4973521622157406</v>
      </c>
      <c r="AT273" s="534">
        <v>-0.1</v>
      </c>
      <c r="AU273" s="530">
        <v>-0.2</v>
      </c>
      <c r="AV273" s="530">
        <f>AU273-AT273</f>
        <v>-0.1</v>
      </c>
      <c r="AW273" s="533">
        <f t="shared" si="155"/>
        <v>-9.7245352393959209E-3</v>
      </c>
      <c r="AX273" s="534">
        <v>612.5</v>
      </c>
      <c r="AY273" s="530">
        <v>769</v>
      </c>
      <c r="AZ273" s="530">
        <f>AY273-AX273</f>
        <v>156.5</v>
      </c>
      <c r="BA273" s="533">
        <f t="shared" si="156"/>
        <v>15.218897649654615</v>
      </c>
      <c r="BB273" s="534">
        <v>-10.98</v>
      </c>
      <c r="BC273" s="530">
        <v>-11.57</v>
      </c>
      <c r="BD273" s="530">
        <f>BC273-BB273</f>
        <v>-0.58999999999999986</v>
      </c>
      <c r="BE273" s="530">
        <v>-2.7547299999999999</v>
      </c>
      <c r="BF273" s="533">
        <f t="shared" si="157"/>
        <v>-5.737475791243591E-2</v>
      </c>
      <c r="BG273" s="527">
        <v>97.2</v>
      </c>
      <c r="BH273" s="527">
        <v>95.1</v>
      </c>
      <c r="BI273" s="527">
        <f>BH273-BG273</f>
        <v>-2.1000000000000085</v>
      </c>
      <c r="BJ273" s="545">
        <v>2.7</v>
      </c>
      <c r="BK273" s="545">
        <v>3.5</v>
      </c>
      <c r="BL273" s="545">
        <f>BK273-BJ273</f>
        <v>0.79999999999999982</v>
      </c>
      <c r="BM273" s="545">
        <v>0</v>
      </c>
      <c r="BN273" s="545">
        <v>0</v>
      </c>
      <c r="BO273" s="545">
        <f>BN273-BM273</f>
        <v>0</v>
      </c>
      <c r="BP273" s="527"/>
      <c r="BQ273" s="527"/>
      <c r="BR273" s="527"/>
      <c r="BS273" s="527"/>
      <c r="BT273" s="524" t="s">
        <v>723</v>
      </c>
      <c r="BU273" s="512">
        <v>1872.8260999399999</v>
      </c>
      <c r="BV273" s="512">
        <v>-0.15288958</v>
      </c>
      <c r="BW273" s="512">
        <v>1304.71639665</v>
      </c>
      <c r="BX273" s="512">
        <v>1306.71422656</v>
      </c>
      <c r="BY273" s="512">
        <v>6.8051632700000004</v>
      </c>
      <c r="BZ273" s="512">
        <v>6.7902643400000002</v>
      </c>
      <c r="CA273" s="512">
        <v>0.26009885999999999</v>
      </c>
      <c r="CB273" s="512">
        <v>10.28335794</v>
      </c>
      <c r="CC273" s="512">
        <v>10.256680429999999</v>
      </c>
      <c r="CD273" s="512">
        <v>-4.059364E-2</v>
      </c>
      <c r="CE273" s="512">
        <v>0.21941615</v>
      </c>
      <c r="CF273" s="512">
        <v>0.33397608000000001</v>
      </c>
      <c r="CG273" s="512"/>
    </row>
    <row r="274" spans="1:85" s="519" customFormat="1" ht="22.5">
      <c r="A274" s="546">
        <v>62007002</v>
      </c>
      <c r="B274" s="543" t="s">
        <v>828</v>
      </c>
      <c r="C274" s="543" t="s">
        <v>699</v>
      </c>
      <c r="D274" s="521" t="s">
        <v>752</v>
      </c>
      <c r="E274" s="513" t="s">
        <v>1208</v>
      </c>
      <c r="F274" s="536" t="str">
        <f t="shared" si="148"/>
        <v>07/07/20</v>
      </c>
      <c r="G274" s="524" t="s">
        <v>1209</v>
      </c>
      <c r="H274" s="524" t="s">
        <v>708</v>
      </c>
      <c r="I274" s="532"/>
      <c r="J274" s="531">
        <v>35.725670000000001</v>
      </c>
      <c r="K274" s="531">
        <v>40.042155999999999</v>
      </c>
      <c r="L274" s="531">
        <v>29.288661000000001</v>
      </c>
      <c r="M274" s="531">
        <v>43.932948000000003</v>
      </c>
      <c r="N274" s="528">
        <v>4250</v>
      </c>
      <c r="O274" s="528">
        <v>38.71</v>
      </c>
      <c r="P274" s="528">
        <v>3.0499999999999999E-2</v>
      </c>
      <c r="Q274" s="528">
        <v>1.4999999999999999E-2</v>
      </c>
      <c r="R274" s="529">
        <v>3.5963880600000002</v>
      </c>
      <c r="S274" s="529">
        <f>R274+R273</f>
        <v>13.879655850000001</v>
      </c>
      <c r="T274" s="544">
        <v>95</v>
      </c>
      <c r="U274" s="544">
        <v>94.1</v>
      </c>
      <c r="V274" s="530">
        <v>3926</v>
      </c>
      <c r="W274" s="530">
        <v>4758</v>
      </c>
      <c r="X274" s="530">
        <f>W274-V274</f>
        <v>832</v>
      </c>
      <c r="Y274" s="530">
        <f t="shared" si="149"/>
        <v>231.3432216210839</v>
      </c>
      <c r="Z274" s="534">
        <v>3915</v>
      </c>
      <c r="AA274" s="530">
        <v>4745</v>
      </c>
      <c r="AB274" s="530">
        <f>AA274-Z274</f>
        <v>830</v>
      </c>
      <c r="AC274" s="533">
        <f t="shared" si="150"/>
        <v>230.78710810757167</v>
      </c>
      <c r="AD274" s="534">
        <v>52</v>
      </c>
      <c r="AE274" s="530">
        <v>60</v>
      </c>
      <c r="AF274" s="530">
        <f>AE274-AD274</f>
        <v>8</v>
      </c>
      <c r="AG274" s="533">
        <f t="shared" si="151"/>
        <v>2.2244540540488837</v>
      </c>
      <c r="AH274" s="534">
        <v>2707</v>
      </c>
      <c r="AI274" s="530">
        <v>3239</v>
      </c>
      <c r="AJ274" s="530">
        <f>AI274-AH274</f>
        <v>532</v>
      </c>
      <c r="AK274" s="533">
        <f t="shared" si="152"/>
        <v>147.92619459425075</v>
      </c>
      <c r="AL274" s="534">
        <v>390.9</v>
      </c>
      <c r="AM274" s="530">
        <v>460.7</v>
      </c>
      <c r="AN274" s="530">
        <f>AM274-AL274</f>
        <v>69.800000000000011</v>
      </c>
      <c r="AO274" s="533">
        <f t="shared" si="153"/>
        <v>19.408361621576514</v>
      </c>
      <c r="AP274" s="534">
        <v>314.637315</v>
      </c>
      <c r="AQ274" s="530">
        <v>374.42412100000001</v>
      </c>
      <c r="AR274" s="530">
        <f>AQ274-AP274</f>
        <v>59.786806000000013</v>
      </c>
      <c r="AS274" s="533">
        <f t="shared" si="154"/>
        <v>16.62412537316677</v>
      </c>
      <c r="AT274" s="534">
        <v>-0.2</v>
      </c>
      <c r="AU274" s="530">
        <v>-0.3</v>
      </c>
      <c r="AV274" s="530">
        <f>AU274-AT274</f>
        <v>-9.9999999999999978E-2</v>
      </c>
      <c r="AW274" s="533">
        <f t="shared" si="155"/>
        <v>-2.7805675675611038E-2</v>
      </c>
      <c r="AX274" s="534">
        <v>770.3</v>
      </c>
      <c r="AY274" s="530">
        <v>991.4</v>
      </c>
      <c r="AZ274" s="530">
        <f>AY274-AX274</f>
        <v>221.10000000000002</v>
      </c>
      <c r="BA274" s="533">
        <f t="shared" si="156"/>
        <v>61.478348918776028</v>
      </c>
      <c r="BB274" s="534">
        <v>-11.96</v>
      </c>
      <c r="BC274" s="530">
        <v>-12.26</v>
      </c>
      <c r="BD274" s="530">
        <f>BC274-BB274</f>
        <v>-0.29999999999999893</v>
      </c>
      <c r="BE274" s="530">
        <v>-2.1267879999999999</v>
      </c>
      <c r="BF274" s="533">
        <f t="shared" si="157"/>
        <v>-8.3417027026832832E-2</v>
      </c>
      <c r="BG274" s="527">
        <v>95</v>
      </c>
      <c r="BH274" s="527">
        <v>94.1</v>
      </c>
      <c r="BI274" s="527">
        <f>BH274-BG274</f>
        <v>-0.90000000000000568</v>
      </c>
      <c r="BJ274" s="545">
        <v>4.0999999999999996</v>
      </c>
      <c r="BK274" s="545">
        <v>4.5999999999999996</v>
      </c>
      <c r="BL274" s="545">
        <f>BK274-BJ274</f>
        <v>0.5</v>
      </c>
      <c r="BM274" s="545">
        <v>0</v>
      </c>
      <c r="BN274" s="545">
        <v>0</v>
      </c>
      <c r="BO274" s="545">
        <f>BN274-BM274</f>
        <v>0</v>
      </c>
      <c r="BP274" s="527"/>
      <c r="BQ274" s="527"/>
      <c r="BR274" s="527"/>
      <c r="BS274" s="527"/>
      <c r="BT274" s="524" t="s">
        <v>723</v>
      </c>
      <c r="BU274" s="512">
        <v>2363.0671437999999</v>
      </c>
      <c r="BV274" s="512">
        <v>-0.87333777999999995</v>
      </c>
      <c r="BW274" s="512">
        <v>2030.7507745</v>
      </c>
      <c r="BX274" s="512">
        <v>2048.6423420900001</v>
      </c>
      <c r="BY274" s="512">
        <v>3.0230653799999998</v>
      </c>
      <c r="BZ274" s="512">
        <v>3.0317459699999998</v>
      </c>
      <c r="CA274" s="512">
        <v>0.15019645000000001</v>
      </c>
      <c r="CB274" s="512">
        <v>3.5963727799999998</v>
      </c>
      <c r="CC274" s="512">
        <v>3.5909792500000002</v>
      </c>
      <c r="CD274" s="512">
        <v>-0.43777306999999999</v>
      </c>
      <c r="CE274" s="512">
        <v>-0.28632317000000002</v>
      </c>
      <c r="CF274" s="512">
        <v>0.63447023000000002</v>
      </c>
      <c r="CG274" s="512"/>
    </row>
    <row r="275" spans="1:85" s="519" customFormat="1" ht="22.5">
      <c r="A275" s="546">
        <v>62007002</v>
      </c>
      <c r="B275" s="543" t="s">
        <v>239</v>
      </c>
      <c r="C275" s="543" t="s">
        <v>700</v>
      </c>
      <c r="D275" s="521" t="s">
        <v>752</v>
      </c>
      <c r="E275" s="513" t="s">
        <v>1208</v>
      </c>
      <c r="F275" s="536" t="str">
        <f t="shared" si="148"/>
        <v>07/07/20</v>
      </c>
      <c r="G275" s="524" t="s">
        <v>1209</v>
      </c>
      <c r="H275" s="524" t="s">
        <v>708</v>
      </c>
      <c r="I275" s="532"/>
      <c r="J275" s="531">
        <v>33.944397000000002</v>
      </c>
      <c r="K275" s="531">
        <v>44.406931999999998</v>
      </c>
      <c r="L275" s="531">
        <v>29.282617999999999</v>
      </c>
      <c r="M275" s="531">
        <v>43.525196000000001</v>
      </c>
      <c r="N275" s="528">
        <v>4250</v>
      </c>
      <c r="O275" s="528">
        <v>38.71</v>
      </c>
      <c r="P275" s="528">
        <v>3.0499999999999999E-2</v>
      </c>
      <c r="Q275" s="528">
        <v>1.4999999999999999E-2</v>
      </c>
      <c r="R275" s="529">
        <v>3.86431652</v>
      </c>
      <c r="S275" s="529">
        <f>R275+R274</f>
        <v>7.4607045799999998</v>
      </c>
      <c r="T275" s="544">
        <v>94.1</v>
      </c>
      <c r="U275" s="544">
        <v>93.2</v>
      </c>
      <c r="V275" s="530">
        <v>4758</v>
      </c>
      <c r="W275" s="530">
        <v>5542</v>
      </c>
      <c r="X275" s="530">
        <f>W275-V275</f>
        <v>784</v>
      </c>
      <c r="Y275" s="530">
        <f t="shared" si="149"/>
        <v>202.88193162810586</v>
      </c>
      <c r="Z275" s="534">
        <v>4745</v>
      </c>
      <c r="AA275" s="530">
        <v>5526</v>
      </c>
      <c r="AB275" s="530">
        <f>AA275-Z275</f>
        <v>781</v>
      </c>
      <c r="AC275" s="533">
        <f t="shared" si="150"/>
        <v>202.10559770605954</v>
      </c>
      <c r="AD275" s="534">
        <v>60</v>
      </c>
      <c r="AE275" s="530">
        <v>80</v>
      </c>
      <c r="AF275" s="530">
        <f>AE275-AD275</f>
        <v>20</v>
      </c>
      <c r="AG275" s="533">
        <f t="shared" si="151"/>
        <v>5.1755594803088227</v>
      </c>
      <c r="AH275" s="534">
        <v>3239</v>
      </c>
      <c r="AI275" s="530">
        <v>3708</v>
      </c>
      <c r="AJ275" s="530">
        <f>AI275-AH275</f>
        <v>469</v>
      </c>
      <c r="AK275" s="533">
        <f t="shared" si="152"/>
        <v>121.36686981324191</v>
      </c>
      <c r="AL275" s="534">
        <v>460.8</v>
      </c>
      <c r="AM275" s="530">
        <v>570.20000000000005</v>
      </c>
      <c r="AN275" s="530">
        <f>AM275-AL275</f>
        <v>109.40000000000003</v>
      </c>
      <c r="AO275" s="533">
        <f t="shared" si="153"/>
        <v>28.310310357289271</v>
      </c>
      <c r="AP275" s="534">
        <v>374.44706500000001</v>
      </c>
      <c r="AQ275" s="530">
        <v>466.526589</v>
      </c>
      <c r="AR275" s="530">
        <f>AQ275-AP275</f>
        <v>92.079523999999992</v>
      </c>
      <c r="AS275" s="533">
        <f t="shared" si="154"/>
        <v>23.828152669026188</v>
      </c>
      <c r="AT275" s="534">
        <v>-0.3</v>
      </c>
      <c r="AU275" s="530">
        <v>-0.4</v>
      </c>
      <c r="AV275" s="530">
        <f>AU275-AT275</f>
        <v>-0.10000000000000003</v>
      </c>
      <c r="AW275" s="533">
        <f t="shared" si="155"/>
        <v>-2.5877797401544125E-2</v>
      </c>
      <c r="AX275" s="534">
        <v>991.47064699999999</v>
      </c>
      <c r="AY275" s="530">
        <v>1176.3</v>
      </c>
      <c r="AZ275" s="530">
        <f>AY275-AX275</f>
        <v>184.82935299999997</v>
      </c>
      <c r="BA275" s="533">
        <f t="shared" si="156"/>
        <v>47.82976550792479</v>
      </c>
      <c r="BB275" s="534">
        <v>-12.26</v>
      </c>
      <c r="BC275" s="530">
        <v>-12.74</v>
      </c>
      <c r="BD275" s="530">
        <f>BC275-BB275</f>
        <v>-0.48000000000000043</v>
      </c>
      <c r="BE275" s="530">
        <v>-2.0248789999999999</v>
      </c>
      <c r="BF275" s="533">
        <f t="shared" si="157"/>
        <v>-0.12421342752741187</v>
      </c>
      <c r="BG275" s="527">
        <v>94.1</v>
      </c>
      <c r="BH275" s="527">
        <v>93.2</v>
      </c>
      <c r="BI275" s="527">
        <f>BH275-BG275</f>
        <v>-0.89999999999999147</v>
      </c>
      <c r="BJ275" s="545">
        <v>4.5999999999999996</v>
      </c>
      <c r="BK275" s="545">
        <v>5.5</v>
      </c>
      <c r="BL275" s="545">
        <f>BK275-BJ275</f>
        <v>0.90000000000000036</v>
      </c>
      <c r="BM275" s="545">
        <v>0</v>
      </c>
      <c r="BN275" s="545">
        <v>0</v>
      </c>
      <c r="BO275" s="545">
        <f>BN275-BM275</f>
        <v>0</v>
      </c>
      <c r="BP275" s="527"/>
      <c r="BQ275" s="527"/>
      <c r="BR275" s="527"/>
      <c r="BS275" s="527"/>
      <c r="BT275" s="524" t="s">
        <v>723</v>
      </c>
      <c r="BU275" s="512">
        <v>1473.3563428499999</v>
      </c>
      <c r="BV275" s="512">
        <v>-1.51658318</v>
      </c>
      <c r="BW275" s="512">
        <v>3364.19579359</v>
      </c>
      <c r="BX275" s="512">
        <v>3416.0023101400002</v>
      </c>
      <c r="BY275" s="512">
        <v>2.9802606599999999</v>
      </c>
      <c r="BZ275" s="512">
        <v>2.9950261399999998</v>
      </c>
      <c r="CA275" s="512">
        <v>0.11262811</v>
      </c>
      <c r="CB275" s="512">
        <v>3.8641765100000001</v>
      </c>
      <c r="CC275" s="512">
        <v>3.8598292500000002</v>
      </c>
      <c r="CD275" s="512">
        <v>-0.60862839999999996</v>
      </c>
      <c r="CE275" s="512">
        <v>-0.49299976000000001</v>
      </c>
      <c r="CF275" s="512">
        <v>0.72010109</v>
      </c>
      <c r="CG275" s="512"/>
    </row>
    <row r="276" spans="1:85" s="519" customFormat="1" ht="22.5">
      <c r="A276" s="546">
        <v>62007002</v>
      </c>
      <c r="B276" s="543" t="s">
        <v>833</v>
      </c>
      <c r="C276" s="543" t="s">
        <v>701</v>
      </c>
      <c r="D276" s="521" t="s">
        <v>752</v>
      </c>
      <c r="E276" s="513" t="s">
        <v>1208</v>
      </c>
      <c r="F276" s="536" t="str">
        <f t="shared" si="148"/>
        <v>07/07/20</v>
      </c>
      <c r="G276" s="524" t="s">
        <v>1209</v>
      </c>
      <c r="H276" s="524" t="s">
        <v>708</v>
      </c>
      <c r="I276" s="532"/>
      <c r="J276" s="468">
        <f>AVERAGE(J274:J275)</f>
        <v>34.835033500000002</v>
      </c>
      <c r="K276" s="468">
        <f>AVERAGE(K274:K275)</f>
        <v>42.224543999999995</v>
      </c>
      <c r="L276" s="468">
        <f>AVERAGE(L274:L275)</f>
        <v>29.285639500000002</v>
      </c>
      <c r="M276" s="468">
        <f>AVERAGE(M274:M275)</f>
        <v>43.729072000000002</v>
      </c>
      <c r="N276" s="452"/>
      <c r="O276" s="528"/>
      <c r="P276" s="470"/>
      <c r="Q276" s="469"/>
      <c r="R276" s="453">
        <f>R275+R274</f>
        <v>7.4607045799999998</v>
      </c>
      <c r="S276" s="453">
        <f>S275</f>
        <v>7.4607045799999998</v>
      </c>
      <c r="T276" s="493">
        <f>T274</f>
        <v>95</v>
      </c>
      <c r="U276" s="493">
        <f>U275</f>
        <v>93.2</v>
      </c>
      <c r="V276" s="456">
        <f>V274</f>
        <v>3926</v>
      </c>
      <c r="W276" s="456">
        <f>W275</f>
        <v>5542</v>
      </c>
      <c r="X276" s="456">
        <f>SUM(X274:X275)</f>
        <v>1616</v>
      </c>
      <c r="Y276" s="456">
        <f t="shared" si="149"/>
        <v>216.60152639363722</v>
      </c>
      <c r="Z276" s="456">
        <f>Z274</f>
        <v>3915</v>
      </c>
      <c r="AA276" s="456">
        <f>AA275</f>
        <v>5526</v>
      </c>
      <c r="AB276" s="456">
        <f>SUM(AB274:AB275)</f>
        <v>1611</v>
      </c>
      <c r="AC276" s="454">
        <f t="shared" si="150"/>
        <v>215.93134840355788</v>
      </c>
      <c r="AD276" s="456">
        <f>AD274</f>
        <v>52</v>
      </c>
      <c r="AE276" s="456">
        <f>AE275</f>
        <v>80</v>
      </c>
      <c r="AF276" s="456">
        <f>SUM(AF274:AF275)</f>
        <v>28</v>
      </c>
      <c r="AG276" s="454">
        <f t="shared" si="151"/>
        <v>3.7529967444442089</v>
      </c>
      <c r="AH276" s="456">
        <f>AH274</f>
        <v>2707</v>
      </c>
      <c r="AI276" s="456">
        <f>AI275</f>
        <v>3708</v>
      </c>
      <c r="AJ276" s="456">
        <f>SUM(AJ274:AJ275)</f>
        <v>1001</v>
      </c>
      <c r="AK276" s="454">
        <f t="shared" si="152"/>
        <v>134.16963361388048</v>
      </c>
      <c r="AL276" s="456">
        <f>AL274</f>
        <v>390.9</v>
      </c>
      <c r="AM276" s="456">
        <f>AM275</f>
        <v>570.20000000000005</v>
      </c>
      <c r="AN276" s="456">
        <f>SUM(AN274:AN275)</f>
        <v>179.20000000000005</v>
      </c>
      <c r="AO276" s="454">
        <f t="shared" si="153"/>
        <v>24.019179164442946</v>
      </c>
      <c r="AP276" s="456">
        <f>AP274</f>
        <v>314.637315</v>
      </c>
      <c r="AQ276" s="456">
        <f>AQ275</f>
        <v>466.526589</v>
      </c>
      <c r="AR276" s="456">
        <f>SUM(AR274:AR275)</f>
        <v>151.86633</v>
      </c>
      <c r="AS276" s="454">
        <f t="shared" si="154"/>
        <v>20.35549436002464</v>
      </c>
      <c r="AT276" s="456">
        <f>AT274</f>
        <v>-0.2</v>
      </c>
      <c r="AU276" s="456">
        <f>AU275</f>
        <v>-0.4</v>
      </c>
      <c r="AV276" s="456">
        <f>SUM(AV274:AV275)</f>
        <v>-0.2</v>
      </c>
      <c r="AW276" s="454">
        <f t="shared" si="155"/>
        <v>-2.6807119603172926E-2</v>
      </c>
      <c r="AX276" s="456">
        <f>AX274</f>
        <v>770.3</v>
      </c>
      <c r="AY276" s="456">
        <f>AY275</f>
        <v>1176.3</v>
      </c>
      <c r="AZ276" s="456">
        <f>SUM(AZ274:AZ275)</f>
        <v>405.92935299999999</v>
      </c>
      <c r="BA276" s="454">
        <f t="shared" si="156"/>
        <v>54.408983581548007</v>
      </c>
      <c r="BB276" s="456">
        <f>BB274</f>
        <v>-11.96</v>
      </c>
      <c r="BC276" s="456">
        <f>BC275</f>
        <v>-12.74</v>
      </c>
      <c r="BD276" s="456">
        <f>SUM(BD274:BD275)</f>
        <v>-0.77999999999999936</v>
      </c>
      <c r="BE276" s="530">
        <f>AVERAGE(BE274:BE275)</f>
        <v>-2.0758334999999999</v>
      </c>
      <c r="BF276" s="454">
        <f t="shared" si="157"/>
        <v>-0.1045477664523743</v>
      </c>
      <c r="BG276" s="445"/>
      <c r="BH276" s="445"/>
      <c r="BI276" s="445">
        <f>SUM(BI274:BI275)</f>
        <v>-1.7999999999999972</v>
      </c>
      <c r="BJ276" s="496" t="s">
        <v>1214</v>
      </c>
      <c r="BK276" s="496" t="s">
        <v>1215</v>
      </c>
      <c r="BL276" s="496">
        <f>SUM(BL274:BL275)</f>
        <v>1.4000000000000004</v>
      </c>
      <c r="BM276" s="496" t="s">
        <v>1216</v>
      </c>
      <c r="BN276" s="496" t="s">
        <v>1217</v>
      </c>
      <c r="BO276" s="496">
        <f>SUM(BO274:BO275)</f>
        <v>0</v>
      </c>
      <c r="BP276" s="445"/>
      <c r="BQ276" s="445"/>
      <c r="BR276" s="445"/>
      <c r="BS276" s="445"/>
      <c r="BT276" s="524" t="s">
        <v>723</v>
      </c>
      <c r="BU276" s="512"/>
      <c r="BV276" s="512"/>
      <c r="BW276" s="512"/>
      <c r="BX276" s="512"/>
      <c r="BY276" s="512"/>
      <c r="BZ276" s="512"/>
      <c r="CA276" s="512"/>
      <c r="CB276" s="512"/>
      <c r="CC276" s="512"/>
      <c r="CD276" s="512"/>
      <c r="CE276" s="512"/>
      <c r="CF276" s="512"/>
      <c r="CG276" s="512"/>
    </row>
    <row r="277" spans="1:85" s="519" customFormat="1" ht="22.5">
      <c r="A277" s="546">
        <v>62007002</v>
      </c>
      <c r="B277" s="543" t="s">
        <v>836</v>
      </c>
      <c r="C277" s="543" t="s">
        <v>770</v>
      </c>
      <c r="D277" s="521" t="s">
        <v>752</v>
      </c>
      <c r="E277" s="513" t="s">
        <v>1208</v>
      </c>
      <c r="F277" s="536" t="str">
        <f t="shared" si="148"/>
        <v>07/07/20</v>
      </c>
      <c r="G277" s="524" t="s">
        <v>1209</v>
      </c>
      <c r="H277" s="524" t="s">
        <v>708</v>
      </c>
      <c r="I277" s="532"/>
      <c r="J277" s="531">
        <v>36.113672999999999</v>
      </c>
      <c r="K277" s="531">
        <v>36.243962000000003</v>
      </c>
      <c r="L277" s="531">
        <v>29.289235999999999</v>
      </c>
      <c r="M277" s="531">
        <v>44.782125999999998</v>
      </c>
      <c r="N277" s="528">
        <v>4250</v>
      </c>
      <c r="O277" s="528">
        <v>38.71</v>
      </c>
      <c r="P277" s="528">
        <v>3.0499999999999999E-2</v>
      </c>
      <c r="Q277" s="528">
        <v>1.4999999999999999E-2</v>
      </c>
      <c r="R277" s="529">
        <v>1.77427687</v>
      </c>
      <c r="S277" s="529">
        <f>R277+R276</f>
        <v>9.2349814499999994</v>
      </c>
      <c r="T277" s="544">
        <v>93.1</v>
      </c>
      <c r="U277" s="544">
        <v>90.8</v>
      </c>
      <c r="V277" s="530">
        <v>5573</v>
      </c>
      <c r="W277" s="530">
        <v>7529</v>
      </c>
      <c r="X277" s="530">
        <f>W277-V277-X278</f>
        <v>481</v>
      </c>
      <c r="Y277" s="530">
        <f t="shared" si="149"/>
        <v>271.09635938611996</v>
      </c>
      <c r="Z277" s="534">
        <v>5557</v>
      </c>
      <c r="AA277" s="530">
        <v>7510</v>
      </c>
      <c r="AB277" s="530">
        <f>AA277-Z277-AB278</f>
        <v>479</v>
      </c>
      <c r="AC277" s="533">
        <f t="shared" si="150"/>
        <v>269.96913959657263</v>
      </c>
      <c r="AD277" s="534">
        <v>80</v>
      </c>
      <c r="AE277" s="530">
        <v>136</v>
      </c>
      <c r="AF277" s="530">
        <f>AE277-AD277-AF278</f>
        <v>39</v>
      </c>
      <c r="AG277" s="533">
        <f t="shared" si="151"/>
        <v>21.980785896171888</v>
      </c>
      <c r="AH277" s="534">
        <v>3708</v>
      </c>
      <c r="AI277" s="530">
        <v>5423</v>
      </c>
      <c r="AJ277" s="530">
        <f>AI277-AH277-AJ278</f>
        <v>368</v>
      </c>
      <c r="AK277" s="533">
        <f t="shared" si="152"/>
        <v>207.40844127669882</v>
      </c>
      <c r="AL277" s="534">
        <v>581.9</v>
      </c>
      <c r="AM277" s="530">
        <v>656.2</v>
      </c>
      <c r="AN277" s="530">
        <f>AM277-AL277-AN278</f>
        <v>29.654345000000035</v>
      </c>
      <c r="AO277" s="533">
        <f t="shared" si="153"/>
        <v>16.713482265031182</v>
      </c>
      <c r="AP277" s="534">
        <v>476.32659000000001</v>
      </c>
      <c r="AQ277" s="530">
        <v>538.65621699999997</v>
      </c>
      <c r="AR277" s="530">
        <f>AQ277-AP277-AR278</f>
        <v>25.055127999999911</v>
      </c>
      <c r="AS277" s="533">
        <f t="shared" si="154"/>
        <v>14.121318055619984</v>
      </c>
      <c r="AT277" s="534">
        <v>-0.4</v>
      </c>
      <c r="AU277" s="530">
        <v>-0.5</v>
      </c>
      <c r="AV277" s="530">
        <f>AU277-AT277-AV278</f>
        <v>-9.9999999999999978E-2</v>
      </c>
      <c r="AW277" s="533">
        <f t="shared" si="155"/>
        <v>-5.6360989477363801E-2</v>
      </c>
      <c r="AX277" s="534">
        <v>1195.0659020000001</v>
      </c>
      <c r="AY277" s="530">
        <v>1304.962172</v>
      </c>
      <c r="AZ277" s="530">
        <f>AY277-AX277-AZ278</f>
        <v>44.350614999999834</v>
      </c>
      <c r="BA277" s="533">
        <f t="shared" si="156"/>
        <v>24.996445453296044</v>
      </c>
      <c r="BB277" s="534">
        <v>-12.79</v>
      </c>
      <c r="BC277" s="530">
        <v>-13.1</v>
      </c>
      <c r="BD277" s="530">
        <f>BC277-BB277-BD278</f>
        <v>-0.11999999999999922</v>
      </c>
      <c r="BE277" s="530">
        <v>-1.87287</v>
      </c>
      <c r="BF277" s="533">
        <f t="shared" si="157"/>
        <v>-6.7633187372836134E-2</v>
      </c>
      <c r="BG277" s="527">
        <v>93.1</v>
      </c>
      <c r="BH277" s="527">
        <v>90.8</v>
      </c>
      <c r="BI277" s="527">
        <f>BH277-BG277-BI278</f>
        <v>-0.59999999999999432</v>
      </c>
      <c r="BJ277" s="545">
        <v>5.6</v>
      </c>
      <c r="BK277" s="545">
        <v>6.2</v>
      </c>
      <c r="BL277" s="545">
        <f>BK277-BJ277-BL278</f>
        <v>0.20000000000000107</v>
      </c>
      <c r="BM277" s="545">
        <v>0</v>
      </c>
      <c r="BN277" s="545">
        <v>0</v>
      </c>
      <c r="BO277" s="545">
        <f>BN277-BM277-BO278</f>
        <v>0</v>
      </c>
      <c r="BP277" s="527"/>
      <c r="BQ277" s="527"/>
      <c r="BR277" s="527"/>
      <c r="BS277" s="527"/>
      <c r="BT277" s="524" t="s">
        <v>723</v>
      </c>
      <c r="BU277" s="512">
        <v>5470.2974915599998</v>
      </c>
      <c r="BV277" s="512">
        <v>-4.2630120299999996</v>
      </c>
      <c r="BW277" s="512">
        <v>2354.4599456300002</v>
      </c>
      <c r="BX277" s="512">
        <v>2459.3002095100001</v>
      </c>
      <c r="BY277" s="512">
        <v>3.01129772</v>
      </c>
      <c r="BZ277" s="512">
        <v>3.0981921400000001</v>
      </c>
      <c r="CA277" s="512">
        <v>0.12086049</v>
      </c>
      <c r="CB277" s="512">
        <v>1.7742457300000001</v>
      </c>
      <c r="CC277" s="512">
        <v>1.7721039599999999</v>
      </c>
      <c r="CD277" s="512">
        <v>-3.0099618299999999</v>
      </c>
      <c r="CE277" s="512">
        <v>-2.8046815</v>
      </c>
      <c r="CF277" s="512">
        <v>0.84359141999999998</v>
      </c>
      <c r="CG277" s="512"/>
    </row>
    <row r="278" spans="1:85" s="519" customFormat="1" ht="22.5">
      <c r="A278" s="546">
        <v>62007002</v>
      </c>
      <c r="B278" s="543" t="s">
        <v>837</v>
      </c>
      <c r="C278" s="543" t="s">
        <v>705</v>
      </c>
      <c r="D278" s="521" t="s">
        <v>752</v>
      </c>
      <c r="E278" s="513" t="s">
        <v>1208</v>
      </c>
      <c r="F278" s="536" t="str">
        <f t="shared" si="148"/>
        <v>07/07/20</v>
      </c>
      <c r="G278" s="524" t="s">
        <v>1209</v>
      </c>
      <c r="H278" s="524" t="s">
        <v>708</v>
      </c>
      <c r="I278" s="532"/>
      <c r="J278" s="531">
        <v>39.266945999999997</v>
      </c>
      <c r="K278" s="531">
        <v>29.693235000000001</v>
      </c>
      <c r="L278" s="531">
        <v>29.312877</v>
      </c>
      <c r="M278" s="531">
        <v>44.501562999999997</v>
      </c>
      <c r="N278" s="528">
        <v>4250</v>
      </c>
      <c r="O278" s="528">
        <v>38.71</v>
      </c>
      <c r="P278" s="528">
        <v>3.0499999999999999E-2</v>
      </c>
      <c r="Q278" s="528">
        <v>1.4999999999999999E-2</v>
      </c>
      <c r="R278" s="529">
        <v>6.2501815199999999</v>
      </c>
      <c r="S278" s="529">
        <f>R278+R277</f>
        <v>8.0244583899999995</v>
      </c>
      <c r="T278" s="544">
        <v>92.7</v>
      </c>
      <c r="U278" s="544">
        <v>91</v>
      </c>
      <c r="V278" s="530">
        <v>5886</v>
      </c>
      <c r="W278" s="530">
        <v>7361</v>
      </c>
      <c r="X278" s="530">
        <f>W278-V278</f>
        <v>1475</v>
      </c>
      <c r="Y278" s="530">
        <f t="shared" si="149"/>
        <v>235.99314600386199</v>
      </c>
      <c r="Z278" s="534">
        <v>5868</v>
      </c>
      <c r="AA278" s="530">
        <v>7342</v>
      </c>
      <c r="AB278" s="530">
        <f>AA278-Z278</f>
        <v>1474</v>
      </c>
      <c r="AC278" s="533">
        <f t="shared" si="150"/>
        <v>235.83315065063903</v>
      </c>
      <c r="AD278" s="534">
        <v>94</v>
      </c>
      <c r="AE278" s="530">
        <v>111</v>
      </c>
      <c r="AF278" s="530">
        <f>AE278-AD278</f>
        <v>17</v>
      </c>
      <c r="AG278" s="533">
        <f t="shared" si="151"/>
        <v>2.7199210047902738</v>
      </c>
      <c r="AH278" s="534">
        <v>3966</v>
      </c>
      <c r="AI278" s="530">
        <v>5313</v>
      </c>
      <c r="AJ278" s="530">
        <f>AI278-AH278</f>
        <v>1347</v>
      </c>
      <c r="AK278" s="533">
        <f t="shared" si="152"/>
        <v>215.51374079132344</v>
      </c>
      <c r="AL278" s="534">
        <v>598.05434500000001</v>
      </c>
      <c r="AM278" s="530">
        <v>642.70000000000005</v>
      </c>
      <c r="AN278" s="530">
        <f>AM278-AL278</f>
        <v>44.645655000000033</v>
      </c>
      <c r="AO278" s="533">
        <f t="shared" si="153"/>
        <v>7.1430973415952943</v>
      </c>
      <c r="AP278" s="534">
        <v>489.89173799999998</v>
      </c>
      <c r="AQ278" s="530">
        <v>527.16623700000002</v>
      </c>
      <c r="AR278" s="530">
        <f>AQ278-AP278</f>
        <v>37.274499000000048</v>
      </c>
      <c r="AS278" s="533">
        <f t="shared" si="154"/>
        <v>5.9637466337137752</v>
      </c>
      <c r="AT278" s="534">
        <v>-0.4</v>
      </c>
      <c r="AU278" s="530">
        <v>-0.4</v>
      </c>
      <c r="AV278" s="530">
        <f>AU278-AT278</f>
        <v>0</v>
      </c>
      <c r="AW278" s="533">
        <f t="shared" si="155"/>
        <v>0</v>
      </c>
      <c r="AX278" s="534">
        <v>1219.6543449999999</v>
      </c>
      <c r="AY278" s="530">
        <v>1285.2</v>
      </c>
      <c r="AZ278" s="530">
        <f>AY278-AX278</f>
        <v>65.545655000000124</v>
      </c>
      <c r="BA278" s="533">
        <f t="shared" si="156"/>
        <v>10.487000223955116</v>
      </c>
      <c r="BB278" s="534">
        <v>-12.86</v>
      </c>
      <c r="BC278" s="530">
        <v>-13.05</v>
      </c>
      <c r="BD278" s="530">
        <f>BC278-BB278</f>
        <v>-0.19000000000000128</v>
      </c>
      <c r="BE278" s="530">
        <v>-1.89103</v>
      </c>
      <c r="BF278" s="533">
        <f t="shared" si="157"/>
        <v>-3.0399117112362088E-2</v>
      </c>
      <c r="BG278" s="527">
        <v>92.7</v>
      </c>
      <c r="BH278" s="527">
        <v>91</v>
      </c>
      <c r="BI278" s="527">
        <f>BH278-BG278</f>
        <v>-1.7000000000000028</v>
      </c>
      <c r="BJ278" s="545">
        <v>5.7</v>
      </c>
      <c r="BK278" s="545">
        <v>6.1</v>
      </c>
      <c r="BL278" s="545">
        <f>BK278-BJ278</f>
        <v>0.39999999999999947</v>
      </c>
      <c r="BM278" s="545">
        <v>0</v>
      </c>
      <c r="BN278" s="545">
        <v>0</v>
      </c>
      <c r="BO278" s="545">
        <f>BN278-BM278</f>
        <v>0</v>
      </c>
      <c r="BP278" s="527"/>
      <c r="BQ278" s="527"/>
      <c r="BR278" s="527"/>
      <c r="BS278" s="527"/>
      <c r="BT278" s="524" t="s">
        <v>723</v>
      </c>
      <c r="BU278" s="512">
        <v>11272.19229481</v>
      </c>
      <c r="BV278" s="512">
        <v>-1.0558707899999999</v>
      </c>
      <c r="BW278" s="512">
        <v>1126.3224480599999</v>
      </c>
      <c r="BX278" s="512">
        <v>1138.3418673799999</v>
      </c>
      <c r="BY278" s="512">
        <v>5.8847772799999998</v>
      </c>
      <c r="BZ278" s="512">
        <v>5.89193078</v>
      </c>
      <c r="CA278" s="512">
        <v>0.24660348000000001</v>
      </c>
      <c r="CB278" s="512">
        <v>6.2502333200000004</v>
      </c>
      <c r="CC278" s="512">
        <v>6.2348579500000003</v>
      </c>
      <c r="CD278" s="512">
        <v>-0.36846265</v>
      </c>
      <c r="CE278" s="512">
        <v>-0.12141181</v>
      </c>
      <c r="CF278" s="512">
        <v>0.41954553999999999</v>
      </c>
      <c r="CG278" s="512"/>
    </row>
    <row r="279" spans="1:85" s="519" customFormat="1" ht="22.5">
      <c r="A279" s="546">
        <v>62007002</v>
      </c>
      <c r="B279" s="543" t="s">
        <v>835</v>
      </c>
      <c r="C279" s="543" t="s">
        <v>703</v>
      </c>
      <c r="D279" s="521" t="s">
        <v>752</v>
      </c>
      <c r="E279" s="513" t="s">
        <v>1208</v>
      </c>
      <c r="F279" s="536" t="str">
        <f t="shared" si="148"/>
        <v>07/07/20</v>
      </c>
      <c r="G279" s="524" t="s">
        <v>1209</v>
      </c>
      <c r="H279" s="524" t="s">
        <v>708</v>
      </c>
      <c r="I279" s="532"/>
      <c r="J279" s="468">
        <f>AVERAGE(J277:J278)</f>
        <v>37.690309499999998</v>
      </c>
      <c r="K279" s="468">
        <f>AVERAGE(K277:K278)</f>
        <v>32.968598499999999</v>
      </c>
      <c r="L279" s="468">
        <f>AVERAGE(L277:L278)</f>
        <v>29.301056500000001</v>
      </c>
      <c r="M279" s="468">
        <f>AVERAGE(M277:M278)</f>
        <v>44.641844499999998</v>
      </c>
      <c r="N279" s="452"/>
      <c r="O279" s="528"/>
      <c r="P279" s="470"/>
      <c r="Q279" s="469"/>
      <c r="R279" s="453">
        <f>R278+R277</f>
        <v>8.0244583899999995</v>
      </c>
      <c r="S279" s="453">
        <f>S278</f>
        <v>8.0244583899999995</v>
      </c>
      <c r="T279" s="493">
        <f>T277</f>
        <v>93.1</v>
      </c>
      <c r="U279" s="493">
        <f>U278</f>
        <v>91</v>
      </c>
      <c r="V279" s="456">
        <f>V277</f>
        <v>5573</v>
      </c>
      <c r="W279" s="456">
        <f>W278</f>
        <v>7361</v>
      </c>
      <c r="X279" s="456">
        <f>SUM(X277:X278)</f>
        <v>1956</v>
      </c>
      <c r="Y279" s="456">
        <f t="shared" si="149"/>
        <v>243.75476884988871</v>
      </c>
      <c r="Z279" s="456">
        <f>Z277</f>
        <v>5557</v>
      </c>
      <c r="AA279" s="456">
        <f>AA278</f>
        <v>7342</v>
      </c>
      <c r="AB279" s="456">
        <f>SUM(AB277:AB278)</f>
        <v>1953</v>
      </c>
      <c r="AC279" s="454">
        <f t="shared" si="150"/>
        <v>243.38091184245025</v>
      </c>
      <c r="AD279" s="456">
        <f>AD277</f>
        <v>80</v>
      </c>
      <c r="AE279" s="456">
        <f>AE278</f>
        <v>111</v>
      </c>
      <c r="AF279" s="456">
        <f>SUM(AF277:AF278)</f>
        <v>56</v>
      </c>
      <c r="AG279" s="454">
        <f t="shared" si="151"/>
        <v>6.9786641388516193</v>
      </c>
      <c r="AH279" s="456">
        <f>AH277</f>
        <v>3708</v>
      </c>
      <c r="AI279" s="456">
        <f>AI278</f>
        <v>5313</v>
      </c>
      <c r="AJ279" s="456">
        <f>SUM(AJ277:AJ278)</f>
        <v>1715</v>
      </c>
      <c r="AK279" s="454">
        <f t="shared" si="152"/>
        <v>213.72158925233086</v>
      </c>
      <c r="AL279" s="456">
        <f>AL277</f>
        <v>581.9</v>
      </c>
      <c r="AM279" s="456">
        <f>AM278</f>
        <v>642.70000000000005</v>
      </c>
      <c r="AN279" s="456">
        <f>SUM(AN277:AN278)</f>
        <v>74.300000000000068</v>
      </c>
      <c r="AO279" s="454">
        <f t="shared" si="153"/>
        <v>9.2591918842263539</v>
      </c>
      <c r="AP279" s="456">
        <f>AP277</f>
        <v>476.32659000000001</v>
      </c>
      <c r="AQ279" s="456">
        <f>AQ278</f>
        <v>527.16623700000002</v>
      </c>
      <c r="AR279" s="456">
        <f>SUM(AR277:AR278)</f>
        <v>62.329626999999959</v>
      </c>
      <c r="AS279" s="454">
        <f t="shared" si="154"/>
        <v>7.7674559416588815</v>
      </c>
      <c r="AT279" s="456">
        <f>AT277</f>
        <v>-0.4</v>
      </c>
      <c r="AU279" s="456">
        <f>AU278</f>
        <v>-0.4</v>
      </c>
      <c r="AV279" s="456">
        <f>SUM(AV277:AV278)</f>
        <v>-9.9999999999999978E-2</v>
      </c>
      <c r="AW279" s="454">
        <f t="shared" si="155"/>
        <v>-1.2461900247949317E-2</v>
      </c>
      <c r="AX279" s="456">
        <f>AX277</f>
        <v>1195.0659020000001</v>
      </c>
      <c r="AY279" s="456">
        <f>AY278</f>
        <v>1285.2</v>
      </c>
      <c r="AZ279" s="456">
        <f>SUM(AZ277:AZ278)</f>
        <v>109.89626999999996</v>
      </c>
      <c r="BA279" s="454">
        <f t="shared" si="156"/>
        <v>13.695163543617049</v>
      </c>
      <c r="BB279" s="456">
        <f>BB277</f>
        <v>-12.79</v>
      </c>
      <c r="BC279" s="456">
        <f>BC278</f>
        <v>-13.05</v>
      </c>
      <c r="BD279" s="456">
        <f>SUM(BD277:BD278)</f>
        <v>-0.3100000000000005</v>
      </c>
      <c r="BE279" s="530">
        <f>AVERAGE(BE277:BE278)</f>
        <v>-1.88195</v>
      </c>
      <c r="BF279" s="454">
        <f t="shared" si="157"/>
        <v>-3.8631890768642957E-2</v>
      </c>
      <c r="BG279" s="445"/>
      <c r="BH279" s="445"/>
      <c r="BI279" s="445">
        <f>SUM(BI277:BI278)</f>
        <v>-2.2999999999999972</v>
      </c>
      <c r="BJ279" s="496" t="s">
        <v>1218</v>
      </c>
      <c r="BK279" s="496" t="s">
        <v>1219</v>
      </c>
      <c r="BL279" s="496">
        <f>SUM(BL277:BL278)</f>
        <v>0.60000000000000053</v>
      </c>
      <c r="BM279" s="496" t="s">
        <v>1220</v>
      </c>
      <c r="BN279" s="496" t="s">
        <v>1221</v>
      </c>
      <c r="BO279" s="496">
        <f>SUM(BO277:BO278)</f>
        <v>0</v>
      </c>
      <c r="BP279" s="445"/>
      <c r="BQ279" s="445"/>
      <c r="BR279" s="445"/>
      <c r="BS279" s="445"/>
      <c r="BT279" s="524" t="s">
        <v>723</v>
      </c>
      <c r="BU279" s="512"/>
      <c r="BV279" s="512"/>
      <c r="BW279" s="512"/>
      <c r="BX279" s="512"/>
      <c r="BY279" s="512"/>
      <c r="BZ279" s="512"/>
      <c r="CA279" s="512"/>
      <c r="CB279" s="512"/>
      <c r="CC279" s="512"/>
      <c r="CD279" s="512"/>
      <c r="CE279" s="512"/>
      <c r="CF279" s="512"/>
      <c r="CG279" s="512"/>
    </row>
    <row r="280" spans="1:85" s="519" customFormat="1" ht="22.5">
      <c r="A280" s="546">
        <v>62007003</v>
      </c>
      <c r="B280" s="543" t="s">
        <v>838</v>
      </c>
      <c r="C280" s="543" t="s">
        <v>695</v>
      </c>
      <c r="D280" s="521" t="s">
        <v>756</v>
      </c>
      <c r="E280" s="513" t="s">
        <v>1222</v>
      </c>
      <c r="F280" s="536" t="str">
        <f t="shared" si="148"/>
        <v>07/07/20</v>
      </c>
      <c r="G280" s="524" t="s">
        <v>1223</v>
      </c>
      <c r="H280" s="524" t="s">
        <v>708</v>
      </c>
      <c r="I280" s="532"/>
      <c r="J280" s="531">
        <v>2406.1682679999999</v>
      </c>
      <c r="K280" s="531">
        <v>1935.1933019999999</v>
      </c>
      <c r="L280" s="531">
        <v>1799.6053489999999</v>
      </c>
      <c r="M280" s="531">
        <v>2920.1277449999998</v>
      </c>
      <c r="N280" s="528">
        <v>4250</v>
      </c>
      <c r="O280" s="528">
        <v>38.71</v>
      </c>
      <c r="P280" s="528">
        <v>3.0499999999999999E-2</v>
      </c>
      <c r="Q280" s="528">
        <v>1.4999999999999999E-2</v>
      </c>
      <c r="R280" s="529">
        <v>240.66058111999999</v>
      </c>
      <c r="S280" s="529">
        <f>R280+R279</f>
        <v>248.68503951</v>
      </c>
      <c r="T280" s="544">
        <v>90.8</v>
      </c>
      <c r="U280" s="544">
        <v>24.8</v>
      </c>
      <c r="V280" s="530">
        <v>7570</v>
      </c>
      <c r="W280" s="530">
        <v>60629</v>
      </c>
      <c r="X280" s="530">
        <f t="shared" ref="X280:X285" si="158">W280-V280</f>
        <v>53059</v>
      </c>
      <c r="Y280" s="530">
        <f t="shared" si="149"/>
        <v>220.47233391139915</v>
      </c>
      <c r="Z280" s="534">
        <v>7548</v>
      </c>
      <c r="AA280" s="530">
        <v>60548</v>
      </c>
      <c r="AB280" s="530">
        <f t="shared" ref="AB280:AB285" si="159">AA280-Z280</f>
        <v>53000</v>
      </c>
      <c r="AC280" s="533">
        <f t="shared" si="150"/>
        <v>220.22717535769908</v>
      </c>
      <c r="AD280" s="534">
        <v>137</v>
      </c>
      <c r="AE280" s="530">
        <v>168</v>
      </c>
      <c r="AF280" s="530">
        <f t="shared" ref="AF280:AF285" si="160">AE280-AD280</f>
        <v>31</v>
      </c>
      <c r="AG280" s="533">
        <f t="shared" si="151"/>
        <v>0.12881212143563531</v>
      </c>
      <c r="AH280" s="534">
        <v>5423</v>
      </c>
      <c r="AI280" s="530">
        <v>54197</v>
      </c>
      <c r="AJ280" s="530">
        <f t="shared" ref="AJ280:AJ285" si="161">AI280-AH280</f>
        <v>48774</v>
      </c>
      <c r="AK280" s="533">
        <f t="shared" si="152"/>
        <v>202.66717454521537</v>
      </c>
      <c r="AL280" s="534">
        <v>692.6</v>
      </c>
      <c r="AM280" s="530">
        <v>2270.4973319999999</v>
      </c>
      <c r="AN280" s="530">
        <f t="shared" ref="AN280:AN285" si="162">AM280-AL280</f>
        <v>1577.897332</v>
      </c>
      <c r="AO280" s="533">
        <f t="shared" si="153"/>
        <v>6.5565258949209344</v>
      </c>
      <c r="AP280" s="534">
        <v>565.23646599999995</v>
      </c>
      <c r="AQ280" s="530">
        <v>1889.46</v>
      </c>
      <c r="AR280" s="530">
        <f t="shared" ref="AR280:AR285" si="163">AQ280-AP280</f>
        <v>1324.2235340000002</v>
      </c>
      <c r="AS280" s="533">
        <f t="shared" si="154"/>
        <v>5.5024529893398118</v>
      </c>
      <c r="AT280" s="534">
        <v>-0.5</v>
      </c>
      <c r="AU280" s="530">
        <v>-0.8</v>
      </c>
      <c r="AV280" s="530">
        <f t="shared" ref="AV280:AV285" si="164">AU280-AT280</f>
        <v>-0.30000000000000004</v>
      </c>
      <c r="AW280" s="533">
        <f t="shared" si="155"/>
        <v>-1.2465689171190515E-3</v>
      </c>
      <c r="AX280" s="534">
        <v>1307</v>
      </c>
      <c r="AY280" s="530">
        <v>3927.897332</v>
      </c>
      <c r="AZ280" s="530">
        <f t="shared" ref="AZ280:AZ285" si="165">AY280-AX280</f>
        <v>2620.897332</v>
      </c>
      <c r="BA280" s="533">
        <f t="shared" si="156"/>
        <v>10.890430496771502</v>
      </c>
      <c r="BB280" s="534">
        <v>-13.39</v>
      </c>
      <c r="BC280" s="530">
        <v>-19.649999999999999</v>
      </c>
      <c r="BD280" s="530">
        <f t="shared" ref="BD280:BD285" si="166">BC280-BB280</f>
        <v>-6.259999999999998</v>
      </c>
      <c r="BE280" s="530">
        <v>-103.420108</v>
      </c>
      <c r="BF280" s="533">
        <f t="shared" si="157"/>
        <v>-2.6011738070550863E-2</v>
      </c>
      <c r="BG280" s="527">
        <v>90.8</v>
      </c>
      <c r="BH280" s="527">
        <v>24.8</v>
      </c>
      <c r="BI280" s="527">
        <f t="shared" ref="BI280:BI285" si="167">BH280-BG280</f>
        <v>-66</v>
      </c>
      <c r="BJ280" s="545">
        <v>6.8</v>
      </c>
      <c r="BK280" s="545">
        <v>20.3</v>
      </c>
      <c r="BL280" s="545">
        <f t="shared" ref="BL280:BL285" si="168">BK280-BJ280</f>
        <v>13.5</v>
      </c>
      <c r="BM280" s="545">
        <v>0</v>
      </c>
      <c r="BN280" s="545">
        <v>0</v>
      </c>
      <c r="BO280" s="545">
        <f t="shared" ref="BO280:BO285" si="169">BN280-BM280</f>
        <v>0</v>
      </c>
      <c r="BP280" s="527"/>
      <c r="BQ280" s="527"/>
      <c r="BR280" s="527"/>
      <c r="BS280" s="527"/>
      <c r="BT280" s="524" t="s">
        <v>723</v>
      </c>
      <c r="BU280" s="512">
        <v>9.5469114200000007</v>
      </c>
      <c r="BV280" s="512">
        <v>92.470154300000004</v>
      </c>
      <c r="BW280" s="512">
        <v>1118.54415113</v>
      </c>
      <c r="BX280" s="512">
        <v>581.15200000000004</v>
      </c>
      <c r="BY280" s="512">
        <v>180.60685190999999</v>
      </c>
      <c r="BZ280" s="512">
        <v>179.40006278000001</v>
      </c>
      <c r="CA280" s="512">
        <v>0.30095861000000002</v>
      </c>
      <c r="CB280" s="512">
        <v>240.66262422</v>
      </c>
      <c r="CC280" s="512">
        <v>239.94050261999999</v>
      </c>
      <c r="CD280" s="512">
        <v>0.36923802999999999</v>
      </c>
      <c r="CE280" s="512">
        <v>0.67268044000000005</v>
      </c>
      <c r="CF280" s="512">
        <v>4.6046300000000002E-3</v>
      </c>
      <c r="CG280" s="512"/>
    </row>
    <row r="281" spans="1:85" s="519" customFormat="1" ht="22.5">
      <c r="A281" s="546">
        <v>62007004</v>
      </c>
      <c r="B281" s="543" t="s">
        <v>1047</v>
      </c>
      <c r="C281" s="543" t="s">
        <v>695</v>
      </c>
      <c r="D281" s="521" t="s">
        <v>1204</v>
      </c>
      <c r="E281" s="513" t="s">
        <v>1224</v>
      </c>
      <c r="F281" s="536" t="str">
        <f t="shared" si="148"/>
        <v>07/07/20</v>
      </c>
      <c r="G281" s="524" t="s">
        <v>1225</v>
      </c>
      <c r="H281" s="524" t="s">
        <v>708</v>
      </c>
      <c r="I281" s="532"/>
      <c r="J281" s="531">
        <v>35.548025000000003</v>
      </c>
      <c r="K281" s="531">
        <v>46.740397000000002</v>
      </c>
      <c r="L281" s="531">
        <v>29.233563</v>
      </c>
      <c r="M281" s="531">
        <v>47.491773999999999</v>
      </c>
      <c r="N281" s="528">
        <v>4250</v>
      </c>
      <c r="O281" s="528">
        <v>38.71</v>
      </c>
      <c r="P281" s="528">
        <v>3.0499999999999999E-2</v>
      </c>
      <c r="Q281" s="528">
        <v>1.4999999999999999E-2</v>
      </c>
      <c r="R281" s="529">
        <v>3.58475309</v>
      </c>
      <c r="S281" s="529">
        <f>R281+R269</f>
        <v>3.58475309</v>
      </c>
      <c r="T281" s="544">
        <v>24.8</v>
      </c>
      <c r="U281" s="544">
        <v>23.8</v>
      </c>
      <c r="V281" s="530">
        <v>60660</v>
      </c>
      <c r="W281" s="530">
        <v>61401</v>
      </c>
      <c r="X281" s="530">
        <f t="shared" si="158"/>
        <v>741</v>
      </c>
      <c r="Y281" s="530">
        <f t="shared" si="149"/>
        <v>206.70879734146487</v>
      </c>
      <c r="Z281" s="534">
        <v>60575</v>
      </c>
      <c r="AA281" s="530">
        <v>61314</v>
      </c>
      <c r="AB281" s="530">
        <f t="shared" si="159"/>
        <v>739</v>
      </c>
      <c r="AC281" s="533">
        <f t="shared" si="150"/>
        <v>206.15087886011139</v>
      </c>
      <c r="AD281" s="534">
        <v>168</v>
      </c>
      <c r="AE281" s="530">
        <v>179</v>
      </c>
      <c r="AF281" s="530">
        <f t="shared" si="160"/>
        <v>11</v>
      </c>
      <c r="AG281" s="533">
        <f t="shared" si="151"/>
        <v>3.0685516474441479</v>
      </c>
      <c r="AH281" s="534">
        <v>54197</v>
      </c>
      <c r="AI281" s="530">
        <v>54684</v>
      </c>
      <c r="AJ281" s="530">
        <f t="shared" si="161"/>
        <v>487</v>
      </c>
      <c r="AK281" s="533">
        <f t="shared" si="152"/>
        <v>135.85315020957273</v>
      </c>
      <c r="AL281" s="534">
        <v>2298.1082000000001</v>
      </c>
      <c r="AM281" s="530">
        <v>2374.8000000000002</v>
      </c>
      <c r="AN281" s="530">
        <f t="shared" si="162"/>
        <v>76.691800000000057</v>
      </c>
      <c r="AO281" s="533">
        <f t="shared" si="153"/>
        <v>21.393886294132482</v>
      </c>
      <c r="AP281" s="534">
        <v>1910.44082</v>
      </c>
      <c r="AQ281" s="530">
        <v>1976.3205290000001</v>
      </c>
      <c r="AR281" s="530">
        <f t="shared" si="163"/>
        <v>65.879709000000048</v>
      </c>
      <c r="AS281" s="533">
        <f t="shared" si="154"/>
        <v>18.377753598644656</v>
      </c>
      <c r="AT281" s="534">
        <v>-0.8</v>
      </c>
      <c r="AU281" s="530">
        <v>-0.8</v>
      </c>
      <c r="AV281" s="530">
        <f t="shared" si="164"/>
        <v>0</v>
      </c>
      <c r="AW281" s="533">
        <f t="shared" si="155"/>
        <v>0</v>
      </c>
      <c r="AX281" s="534">
        <v>3928.8</v>
      </c>
      <c r="AY281" s="530">
        <v>4094.3</v>
      </c>
      <c r="AZ281" s="530">
        <f t="shared" si="165"/>
        <v>165.5</v>
      </c>
      <c r="BA281" s="533">
        <f t="shared" si="156"/>
        <v>46.167754332000591</v>
      </c>
      <c r="BB281" s="534">
        <v>-19.84</v>
      </c>
      <c r="BC281" s="530">
        <v>-20.100000000000001</v>
      </c>
      <c r="BD281" s="530">
        <f t="shared" si="166"/>
        <v>-0.26000000000000156</v>
      </c>
      <c r="BE281" s="530">
        <v>-1.6096429999999999</v>
      </c>
      <c r="BF281" s="533">
        <f t="shared" si="157"/>
        <v>-7.2529402575953028E-2</v>
      </c>
      <c r="BG281" s="527">
        <v>24.8</v>
      </c>
      <c r="BH281" s="527">
        <v>23.8</v>
      </c>
      <c r="BI281" s="527">
        <f t="shared" si="167"/>
        <v>-1</v>
      </c>
      <c r="BJ281" s="545">
        <v>20.7</v>
      </c>
      <c r="BK281" s="545">
        <v>21.3</v>
      </c>
      <c r="BL281" s="545">
        <f t="shared" si="168"/>
        <v>0.60000000000000142</v>
      </c>
      <c r="BM281" s="545">
        <v>0</v>
      </c>
      <c r="BN281" s="545">
        <v>0</v>
      </c>
      <c r="BO281" s="545">
        <f t="shared" si="169"/>
        <v>0</v>
      </c>
      <c r="BP281" s="527"/>
      <c r="BQ281" s="527"/>
      <c r="BR281" s="527"/>
      <c r="BS281" s="527"/>
      <c r="BT281" s="524" t="s">
        <v>723</v>
      </c>
      <c r="BU281" s="512">
        <v>2321.4373020899998</v>
      </c>
      <c r="BV281" s="512">
        <v>-1.9597093699999999</v>
      </c>
      <c r="BW281" s="512">
        <v>2481.9591493299999</v>
      </c>
      <c r="BX281" s="512">
        <v>2531.5705751700002</v>
      </c>
      <c r="BY281" s="512">
        <v>3.1721709300000001</v>
      </c>
      <c r="BZ281" s="512">
        <v>3.1996053500000001</v>
      </c>
      <c r="CA281" s="512">
        <v>0.14399302999999999</v>
      </c>
      <c r="CB281" s="512">
        <v>3.58462864</v>
      </c>
      <c r="CC281" s="512">
        <v>3.5794744500000002</v>
      </c>
      <c r="CD281" s="512">
        <v>-1.0100852</v>
      </c>
      <c r="CE281" s="512">
        <v>-0.85743137000000003</v>
      </c>
      <c r="CF281" s="512">
        <v>0.71689778000000004</v>
      </c>
      <c r="CG281" s="512"/>
    </row>
    <row r="282" spans="1:85" s="519" customFormat="1" ht="22.5">
      <c r="A282" s="546">
        <v>62007004</v>
      </c>
      <c r="B282" s="543" t="s">
        <v>1049</v>
      </c>
      <c r="C282" s="543" t="s">
        <v>696</v>
      </c>
      <c r="D282" s="521" t="s">
        <v>1204</v>
      </c>
      <c r="E282" s="513" t="s">
        <v>1224</v>
      </c>
      <c r="F282" s="536" t="str">
        <f t="shared" si="148"/>
        <v>07/07/20</v>
      </c>
      <c r="G282" s="524" t="s">
        <v>1225</v>
      </c>
      <c r="H282" s="524" t="s">
        <v>708</v>
      </c>
      <c r="I282" s="532"/>
      <c r="J282" s="531">
        <v>35.623418000000001</v>
      </c>
      <c r="K282" s="531">
        <v>47.191729000000002</v>
      </c>
      <c r="L282" s="531">
        <v>29.235143999999998</v>
      </c>
      <c r="M282" s="531">
        <v>45.051935</v>
      </c>
      <c r="N282" s="528">
        <v>4250</v>
      </c>
      <c r="O282" s="528">
        <v>38.71</v>
      </c>
      <c r="P282" s="528">
        <v>3.0499999999999999E-2</v>
      </c>
      <c r="Q282" s="528">
        <v>1.4999999999999999E-2</v>
      </c>
      <c r="R282" s="529">
        <v>3.58557499</v>
      </c>
      <c r="S282" s="529">
        <f>R282+R281</f>
        <v>7.17032808</v>
      </c>
      <c r="T282" s="544">
        <v>23.7</v>
      </c>
      <c r="U282" s="544">
        <v>22.6</v>
      </c>
      <c r="V282" s="530">
        <v>61443</v>
      </c>
      <c r="W282" s="530">
        <v>62246</v>
      </c>
      <c r="X282" s="530">
        <f t="shared" si="158"/>
        <v>803</v>
      </c>
      <c r="Y282" s="530">
        <f t="shared" si="149"/>
        <v>223.95292309867435</v>
      </c>
      <c r="Z282" s="534">
        <v>61354</v>
      </c>
      <c r="AA282" s="530">
        <v>62155</v>
      </c>
      <c r="AB282" s="530">
        <f t="shared" si="159"/>
        <v>801</v>
      </c>
      <c r="AC282" s="533">
        <f t="shared" si="150"/>
        <v>223.39513250565147</v>
      </c>
      <c r="AD282" s="534">
        <v>180</v>
      </c>
      <c r="AE282" s="530">
        <v>191</v>
      </c>
      <c r="AF282" s="530">
        <f t="shared" si="160"/>
        <v>11</v>
      </c>
      <c r="AG282" s="533">
        <f t="shared" si="151"/>
        <v>3.0678482616256759</v>
      </c>
      <c r="AH282" s="534">
        <v>54684</v>
      </c>
      <c r="AI282" s="530">
        <v>55177</v>
      </c>
      <c r="AJ282" s="530">
        <f t="shared" si="161"/>
        <v>493</v>
      </c>
      <c r="AK282" s="533">
        <f t="shared" si="152"/>
        <v>137.49538118013257</v>
      </c>
      <c r="AL282" s="534">
        <v>2413.6</v>
      </c>
      <c r="AM282" s="530">
        <v>2493.6999999999998</v>
      </c>
      <c r="AN282" s="530">
        <f t="shared" si="162"/>
        <v>80.099999999999909</v>
      </c>
      <c r="AO282" s="533">
        <f t="shared" si="153"/>
        <v>22.339513250565123</v>
      </c>
      <c r="AP282" s="534">
        <v>2005.4002089999999</v>
      </c>
      <c r="AQ282" s="530">
        <v>2074.9998900000001</v>
      </c>
      <c r="AR282" s="530">
        <f t="shared" si="163"/>
        <v>69.599681000000146</v>
      </c>
      <c r="AS282" s="533">
        <f t="shared" si="154"/>
        <v>19.41102366959564</v>
      </c>
      <c r="AT282" s="534">
        <v>-0.8</v>
      </c>
      <c r="AU282" s="530">
        <v>-0.9</v>
      </c>
      <c r="AV282" s="530">
        <f t="shared" si="164"/>
        <v>-9.9999999999999978E-2</v>
      </c>
      <c r="AW282" s="533">
        <f t="shared" si="155"/>
        <v>-2.7889529651142501E-2</v>
      </c>
      <c r="AX282" s="534">
        <v>4095.3</v>
      </c>
      <c r="AY282" s="530">
        <v>4313.2</v>
      </c>
      <c r="AZ282" s="530">
        <f t="shared" si="165"/>
        <v>217.89999999999964</v>
      </c>
      <c r="BA282" s="533">
        <f t="shared" si="156"/>
        <v>60.771285109839425</v>
      </c>
      <c r="BB282" s="534">
        <v>-20.37</v>
      </c>
      <c r="BC282" s="530">
        <v>-20.62</v>
      </c>
      <c r="BD282" s="530">
        <f t="shared" si="166"/>
        <v>-0.25</v>
      </c>
      <c r="BE282" s="530">
        <v>-1.5008280000000001</v>
      </c>
      <c r="BF282" s="533">
        <f t="shared" si="157"/>
        <v>-6.9723824127856271E-2</v>
      </c>
      <c r="BG282" s="527">
        <v>23.7</v>
      </c>
      <c r="BH282" s="527">
        <v>22.6</v>
      </c>
      <c r="BI282" s="527">
        <f t="shared" si="167"/>
        <v>-1.0999999999999979</v>
      </c>
      <c r="BJ282" s="545">
        <v>21.9</v>
      </c>
      <c r="BK282" s="545">
        <v>22.6</v>
      </c>
      <c r="BL282" s="545">
        <f t="shared" si="168"/>
        <v>0.70000000000000284</v>
      </c>
      <c r="BM282" s="545">
        <v>0</v>
      </c>
      <c r="BN282" s="545">
        <v>0</v>
      </c>
      <c r="BO282" s="545">
        <f t="shared" si="169"/>
        <v>0</v>
      </c>
      <c r="BP282" s="527"/>
      <c r="BQ282" s="527"/>
      <c r="BR282" s="527"/>
      <c r="BS282" s="527"/>
      <c r="BT282" s="524" t="s">
        <v>723</v>
      </c>
      <c r="BU282" s="512">
        <v>2318.5647141700001</v>
      </c>
      <c r="BV282" s="512">
        <v>-1.7923425900000001</v>
      </c>
      <c r="BW282" s="512">
        <v>2485.93740088</v>
      </c>
      <c r="BX282" s="512">
        <v>2531.3070960700002</v>
      </c>
      <c r="BY282" s="512">
        <v>3.1745317200000001</v>
      </c>
      <c r="BZ282" s="512">
        <v>3.19935378</v>
      </c>
      <c r="CA282" s="512">
        <v>0.16614598999999999</v>
      </c>
      <c r="CB282" s="512">
        <v>3.5854211899999999</v>
      </c>
      <c r="CC282" s="512">
        <v>3.57947404</v>
      </c>
      <c r="CD282" s="512">
        <v>-0.94935767000000004</v>
      </c>
      <c r="CE282" s="512">
        <v>-0.77584613000000002</v>
      </c>
      <c r="CF282" s="512">
        <v>0.71687752999999999</v>
      </c>
      <c r="CG282" s="512"/>
    </row>
    <row r="283" spans="1:85" s="519" customFormat="1" ht="22.5">
      <c r="A283" s="546">
        <v>62007004</v>
      </c>
      <c r="B283" s="543" t="s">
        <v>829</v>
      </c>
      <c r="C283" s="543" t="s">
        <v>697</v>
      </c>
      <c r="D283" s="521" t="s">
        <v>1204</v>
      </c>
      <c r="E283" s="513" t="s">
        <v>1224</v>
      </c>
      <c r="F283" s="536" t="str">
        <f t="shared" si="148"/>
        <v>07/07/20</v>
      </c>
      <c r="G283" s="524" t="s">
        <v>1225</v>
      </c>
      <c r="H283" s="524" t="s">
        <v>708</v>
      </c>
      <c r="I283" s="532"/>
      <c r="J283" s="531">
        <v>37.697535999999999</v>
      </c>
      <c r="K283" s="531">
        <v>35.106133999999997</v>
      </c>
      <c r="L283" s="531">
        <v>29.238916</v>
      </c>
      <c r="M283" s="531">
        <v>45.244244999999999</v>
      </c>
      <c r="N283" s="528">
        <v>4250</v>
      </c>
      <c r="O283" s="528">
        <v>38.71</v>
      </c>
      <c r="P283" s="528">
        <v>3.0499999999999999E-2</v>
      </c>
      <c r="Q283" s="528">
        <v>1.4999999999999999E-2</v>
      </c>
      <c r="R283" s="529">
        <v>10.28292987</v>
      </c>
      <c r="S283" s="529">
        <f>R283+R282</f>
        <v>13.86850486</v>
      </c>
      <c r="T283" s="544">
        <v>22.6</v>
      </c>
      <c r="U283" s="544">
        <v>20</v>
      </c>
      <c r="V283" s="530">
        <v>62247</v>
      </c>
      <c r="W283" s="530">
        <v>64083</v>
      </c>
      <c r="X283" s="530">
        <f t="shared" si="158"/>
        <v>1836</v>
      </c>
      <c r="Y283" s="530">
        <f t="shared" si="149"/>
        <v>178.54833429881205</v>
      </c>
      <c r="Z283" s="534">
        <v>62156</v>
      </c>
      <c r="AA283" s="530">
        <v>63989</v>
      </c>
      <c r="AB283" s="530">
        <f t="shared" si="159"/>
        <v>1833</v>
      </c>
      <c r="AC283" s="533">
        <f t="shared" si="150"/>
        <v>178.25658865453295</v>
      </c>
      <c r="AD283" s="534">
        <v>191</v>
      </c>
      <c r="AE283" s="530">
        <v>194</v>
      </c>
      <c r="AF283" s="530">
        <f t="shared" si="160"/>
        <v>3</v>
      </c>
      <c r="AG283" s="533">
        <f t="shared" si="151"/>
        <v>0.29174564427910465</v>
      </c>
      <c r="AH283" s="534">
        <v>55177</v>
      </c>
      <c r="AI283" s="530">
        <v>56790</v>
      </c>
      <c r="AJ283" s="530">
        <f t="shared" si="161"/>
        <v>1613</v>
      </c>
      <c r="AK283" s="533">
        <f t="shared" si="152"/>
        <v>156.86190807406527</v>
      </c>
      <c r="AL283" s="534">
        <v>2494.1</v>
      </c>
      <c r="AM283" s="530">
        <v>2582.9</v>
      </c>
      <c r="AN283" s="530">
        <f t="shared" si="162"/>
        <v>88.800000000000182</v>
      </c>
      <c r="AO283" s="533">
        <f t="shared" si="153"/>
        <v>8.6356710706615161</v>
      </c>
      <c r="AP283" s="534">
        <v>2075.3398649999999</v>
      </c>
      <c r="AQ283" s="530">
        <v>2151.2490210000001</v>
      </c>
      <c r="AR283" s="530">
        <f t="shared" si="163"/>
        <v>75.909156000000166</v>
      </c>
      <c r="AS283" s="533">
        <f t="shared" si="154"/>
        <v>7.3820552079677038</v>
      </c>
      <c r="AT283" s="534">
        <v>-0.9</v>
      </c>
      <c r="AU283" s="530">
        <v>-1</v>
      </c>
      <c r="AV283" s="530">
        <f t="shared" si="164"/>
        <v>-9.9999999999999978E-2</v>
      </c>
      <c r="AW283" s="533">
        <f t="shared" si="155"/>
        <v>-9.7248548093034869E-3</v>
      </c>
      <c r="AX283" s="534">
        <v>4313.8</v>
      </c>
      <c r="AY283" s="530">
        <v>4443.3999999999996</v>
      </c>
      <c r="AZ283" s="530">
        <f t="shared" si="165"/>
        <v>129.59999999999945</v>
      </c>
      <c r="BA283" s="533">
        <f t="shared" si="156"/>
        <v>12.603411832857269</v>
      </c>
      <c r="BB283" s="534">
        <v>-20.62</v>
      </c>
      <c r="BC283" s="530">
        <v>-20.92</v>
      </c>
      <c r="BD283" s="530">
        <f t="shared" si="166"/>
        <v>-0.30000000000000071</v>
      </c>
      <c r="BE283" s="530">
        <v>-1.447597</v>
      </c>
      <c r="BF283" s="533">
        <f t="shared" si="157"/>
        <v>-2.9174564427910533E-2</v>
      </c>
      <c r="BG283" s="527">
        <v>22.6</v>
      </c>
      <c r="BH283" s="527">
        <v>20</v>
      </c>
      <c r="BI283" s="527">
        <f t="shared" si="167"/>
        <v>-2.6000000000000014</v>
      </c>
      <c r="BJ283" s="545">
        <v>22.6</v>
      </c>
      <c r="BK283" s="545">
        <v>23.3</v>
      </c>
      <c r="BL283" s="545">
        <f t="shared" si="168"/>
        <v>0.69999999999999929</v>
      </c>
      <c r="BM283" s="545">
        <v>0</v>
      </c>
      <c r="BN283" s="545">
        <v>0</v>
      </c>
      <c r="BO283" s="545">
        <f t="shared" si="169"/>
        <v>0</v>
      </c>
      <c r="BP283" s="527"/>
      <c r="BQ283" s="527"/>
      <c r="BR283" s="527"/>
      <c r="BS283" s="527"/>
      <c r="BT283" s="524" t="s">
        <v>723</v>
      </c>
      <c r="BU283" s="512">
        <v>1873.1227794700001</v>
      </c>
      <c r="BV283" s="512">
        <v>-0.66857949999999999</v>
      </c>
      <c r="BW283" s="512">
        <v>1297.9892292899999</v>
      </c>
      <c r="BX283" s="512">
        <v>1306.7257296099999</v>
      </c>
      <c r="BY283" s="512">
        <v>6.7991890599999998</v>
      </c>
      <c r="BZ283" s="512">
        <v>6.7902879</v>
      </c>
      <c r="CA283" s="512">
        <v>0.25656343999999998</v>
      </c>
      <c r="CB283" s="512">
        <v>10.28299531</v>
      </c>
      <c r="CC283" s="512">
        <v>10.25668042</v>
      </c>
      <c r="CD283" s="512">
        <v>-0.12531266999999999</v>
      </c>
      <c r="CE283" s="512">
        <v>0.13108649999999999</v>
      </c>
      <c r="CF283" s="512">
        <v>0.33397833999999998</v>
      </c>
      <c r="CG283" s="512"/>
    </row>
    <row r="284" spans="1:85" s="519" customFormat="1" ht="22.5">
      <c r="A284" s="546">
        <v>62007004</v>
      </c>
      <c r="B284" s="543" t="s">
        <v>828</v>
      </c>
      <c r="C284" s="543" t="s">
        <v>699</v>
      </c>
      <c r="D284" s="521" t="s">
        <v>1204</v>
      </c>
      <c r="E284" s="513" t="s">
        <v>1224</v>
      </c>
      <c r="F284" s="536" t="str">
        <f t="shared" si="148"/>
        <v>07/07/20</v>
      </c>
      <c r="G284" s="524" t="s">
        <v>1225</v>
      </c>
      <c r="H284" s="524" t="s">
        <v>708</v>
      </c>
      <c r="I284" s="532"/>
      <c r="J284" s="531">
        <v>35.345008</v>
      </c>
      <c r="K284" s="531">
        <v>46.314793000000002</v>
      </c>
      <c r="L284" s="531">
        <v>29.23049</v>
      </c>
      <c r="M284" s="531">
        <v>45.626828000000003</v>
      </c>
      <c r="N284" s="528">
        <v>4250</v>
      </c>
      <c r="O284" s="528">
        <v>38.71</v>
      </c>
      <c r="P284" s="528">
        <v>3.0499999999999999E-2</v>
      </c>
      <c r="Q284" s="528">
        <v>1.4999999999999999E-2</v>
      </c>
      <c r="R284" s="529">
        <v>3.5963594099999998</v>
      </c>
      <c r="S284" s="529">
        <f>R284+R283</f>
        <v>13.87928928</v>
      </c>
      <c r="T284" s="544">
        <v>20</v>
      </c>
      <c r="U284" s="544">
        <v>18.899999999999999</v>
      </c>
      <c r="V284" s="530">
        <v>64125</v>
      </c>
      <c r="W284" s="530">
        <v>64906</v>
      </c>
      <c r="X284" s="530">
        <f t="shared" si="158"/>
        <v>781</v>
      </c>
      <c r="Y284" s="530">
        <f t="shared" si="149"/>
        <v>217.16405702621364</v>
      </c>
      <c r="Z284" s="534">
        <v>64029</v>
      </c>
      <c r="AA284" s="530">
        <v>64809</v>
      </c>
      <c r="AB284" s="530">
        <f t="shared" si="159"/>
        <v>780</v>
      </c>
      <c r="AC284" s="533">
        <f t="shared" si="150"/>
        <v>216.8859980543491</v>
      </c>
      <c r="AD284" s="534">
        <v>195</v>
      </c>
      <c r="AE284" s="530">
        <v>202</v>
      </c>
      <c r="AF284" s="530">
        <f t="shared" si="160"/>
        <v>7</v>
      </c>
      <c r="AG284" s="533">
        <f t="shared" si="151"/>
        <v>1.9464128030518508</v>
      </c>
      <c r="AH284" s="534">
        <v>56790</v>
      </c>
      <c r="AI284" s="530">
        <v>57314</v>
      </c>
      <c r="AJ284" s="530">
        <f t="shared" si="161"/>
        <v>524</v>
      </c>
      <c r="AK284" s="533">
        <f t="shared" si="152"/>
        <v>145.70290125702425</v>
      </c>
      <c r="AL284" s="534">
        <v>2621.7</v>
      </c>
      <c r="AM284" s="530">
        <v>2688.3</v>
      </c>
      <c r="AN284" s="530">
        <f t="shared" si="162"/>
        <v>66.600000000000364</v>
      </c>
      <c r="AO284" s="533">
        <f t="shared" si="153"/>
        <v>18.518727526179138</v>
      </c>
      <c r="AP284" s="534">
        <v>2180.7390850000002</v>
      </c>
      <c r="AQ284" s="530">
        <v>2238.7178370000001</v>
      </c>
      <c r="AR284" s="530">
        <f t="shared" si="163"/>
        <v>57.978751999999986</v>
      </c>
      <c r="AS284" s="533">
        <f t="shared" si="154"/>
        <v>16.121512171109725</v>
      </c>
      <c r="AT284" s="534">
        <v>-1.1000000000000001</v>
      </c>
      <c r="AU284" s="530">
        <v>-1.1000000000000001</v>
      </c>
      <c r="AV284" s="530">
        <f t="shared" si="164"/>
        <v>0</v>
      </c>
      <c r="AW284" s="533">
        <f t="shared" si="155"/>
        <v>0</v>
      </c>
      <c r="AX284" s="534">
        <v>4444.2</v>
      </c>
      <c r="AY284" s="530">
        <v>4626.5</v>
      </c>
      <c r="AZ284" s="530">
        <f t="shared" si="165"/>
        <v>182.30000000000018</v>
      </c>
      <c r="BA284" s="533">
        <f t="shared" si="156"/>
        <v>50.690150570907534</v>
      </c>
      <c r="BB284" s="534">
        <v>-21.16</v>
      </c>
      <c r="BC284" s="530">
        <v>-21.37</v>
      </c>
      <c r="BD284" s="530">
        <f t="shared" si="166"/>
        <v>-0.21000000000000085</v>
      </c>
      <c r="BE284" s="530">
        <v>-1.4081999999999999</v>
      </c>
      <c r="BF284" s="533">
        <f t="shared" si="157"/>
        <v>-5.8392384091555762E-2</v>
      </c>
      <c r="BG284" s="527">
        <v>20</v>
      </c>
      <c r="BH284" s="527">
        <v>18.899999999999999</v>
      </c>
      <c r="BI284" s="527">
        <f t="shared" si="167"/>
        <v>-1.1000000000000014</v>
      </c>
      <c r="BJ284" s="545">
        <v>23.9</v>
      </c>
      <c r="BK284" s="545">
        <v>24.489225000000001</v>
      </c>
      <c r="BL284" s="545">
        <f t="shared" si="168"/>
        <v>0.58922500000000255</v>
      </c>
      <c r="BM284" s="545">
        <v>0</v>
      </c>
      <c r="BN284" s="545">
        <v>0</v>
      </c>
      <c r="BO284" s="545">
        <f t="shared" si="169"/>
        <v>0</v>
      </c>
      <c r="BP284" s="527"/>
      <c r="BQ284" s="527"/>
      <c r="BR284" s="527"/>
      <c r="BS284" s="527"/>
      <c r="BT284" s="524" t="s">
        <v>723</v>
      </c>
      <c r="BU284" s="512">
        <v>2364.1719929599999</v>
      </c>
      <c r="BV284" s="512">
        <v>-1.0511172600000001</v>
      </c>
      <c r="BW284" s="512">
        <v>2027.1163083599999</v>
      </c>
      <c r="BX284" s="512">
        <v>2048.6500224000001</v>
      </c>
      <c r="BY284" s="512">
        <v>3.0199004399999998</v>
      </c>
      <c r="BZ284" s="512">
        <v>3.0317548900000002</v>
      </c>
      <c r="CA284" s="512">
        <v>0.14624306000000001</v>
      </c>
      <c r="CB284" s="512">
        <v>3.5962312299999999</v>
      </c>
      <c r="CC284" s="512">
        <v>3.5909796799999998</v>
      </c>
      <c r="CD284" s="512">
        <v>-0.53936161000000005</v>
      </c>
      <c r="CE284" s="512">
        <v>-0.39100959000000002</v>
      </c>
      <c r="CF284" s="512">
        <v>0.63447176999999999</v>
      </c>
      <c r="CG284" s="512"/>
    </row>
    <row r="285" spans="1:85" s="519" customFormat="1" ht="22.5">
      <c r="A285" s="546">
        <v>62007004</v>
      </c>
      <c r="B285" s="543" t="s">
        <v>239</v>
      </c>
      <c r="C285" s="543" t="s">
        <v>700</v>
      </c>
      <c r="D285" s="521" t="s">
        <v>1204</v>
      </c>
      <c r="E285" s="513" t="s">
        <v>1224</v>
      </c>
      <c r="F285" s="536" t="str">
        <f t="shared" si="148"/>
        <v>07/07/20</v>
      </c>
      <c r="G285" s="524" t="s">
        <v>1225</v>
      </c>
      <c r="H285" s="524" t="s">
        <v>708</v>
      </c>
      <c r="I285" s="532"/>
      <c r="J285" s="531">
        <v>33.075409999999998</v>
      </c>
      <c r="K285" s="531">
        <v>49.746657999999996</v>
      </c>
      <c r="L285" s="531">
        <v>29.225225999999999</v>
      </c>
      <c r="M285" s="531">
        <v>45.038652999999996</v>
      </c>
      <c r="N285" s="528">
        <v>4250</v>
      </c>
      <c r="O285" s="528">
        <v>38.71</v>
      </c>
      <c r="P285" s="528">
        <v>3.0499999999999999E-2</v>
      </c>
      <c r="Q285" s="528">
        <v>1.4999999999999999E-2</v>
      </c>
      <c r="R285" s="529">
        <v>3.8631632900000001</v>
      </c>
      <c r="S285" s="529">
        <f>R285+R284</f>
        <v>7.4595227</v>
      </c>
      <c r="T285" s="544">
        <v>18.899999999999999</v>
      </c>
      <c r="U285" s="544">
        <v>17.8</v>
      </c>
      <c r="V285" s="530">
        <v>64906</v>
      </c>
      <c r="W285" s="530">
        <v>65650</v>
      </c>
      <c r="X285" s="530">
        <f t="shared" si="158"/>
        <v>744</v>
      </c>
      <c r="Y285" s="530">
        <f t="shared" si="149"/>
        <v>192.58828689066362</v>
      </c>
      <c r="Z285" s="534">
        <v>64809</v>
      </c>
      <c r="AA285" s="530">
        <v>65550</v>
      </c>
      <c r="AB285" s="530">
        <f t="shared" si="159"/>
        <v>741</v>
      </c>
      <c r="AC285" s="533">
        <f t="shared" si="150"/>
        <v>191.81172121771741</v>
      </c>
      <c r="AD285" s="534">
        <v>202</v>
      </c>
      <c r="AE285" s="530">
        <v>220</v>
      </c>
      <c r="AF285" s="530">
        <f t="shared" si="160"/>
        <v>18</v>
      </c>
      <c r="AG285" s="533">
        <f t="shared" si="151"/>
        <v>4.6593940376773455</v>
      </c>
      <c r="AH285" s="534">
        <v>57314</v>
      </c>
      <c r="AI285" s="530">
        <v>57771</v>
      </c>
      <c r="AJ285" s="530">
        <f t="shared" si="161"/>
        <v>457</v>
      </c>
      <c r="AK285" s="533">
        <f t="shared" si="152"/>
        <v>118.29683751214151</v>
      </c>
      <c r="AL285" s="534">
        <v>2688.3</v>
      </c>
      <c r="AM285" s="530">
        <v>2792.1</v>
      </c>
      <c r="AN285" s="530">
        <f t="shared" si="162"/>
        <v>103.79999999999973</v>
      </c>
      <c r="AO285" s="533">
        <f t="shared" si="153"/>
        <v>26.869172283939289</v>
      </c>
      <c r="AP285" s="534">
        <v>2238.7289129999999</v>
      </c>
      <c r="AQ285" s="530">
        <v>2327.698461</v>
      </c>
      <c r="AR285" s="530">
        <f t="shared" si="163"/>
        <v>88.969548000000032</v>
      </c>
      <c r="AS285" s="533">
        <f t="shared" si="154"/>
        <v>23.030232304780476</v>
      </c>
      <c r="AT285" s="534">
        <v>-1.1000000000000001</v>
      </c>
      <c r="AU285" s="530">
        <v>-1.2</v>
      </c>
      <c r="AV285" s="530">
        <f t="shared" si="164"/>
        <v>-9.9999999999999867E-2</v>
      </c>
      <c r="AW285" s="533">
        <f t="shared" si="155"/>
        <v>-2.5885522431540776E-2</v>
      </c>
      <c r="AX285" s="534">
        <v>4626.6000000000004</v>
      </c>
      <c r="AY285" s="530">
        <v>4790</v>
      </c>
      <c r="AZ285" s="530">
        <f t="shared" si="165"/>
        <v>163.39999999999964</v>
      </c>
      <c r="BA285" s="533">
        <f t="shared" si="156"/>
        <v>42.296943653137589</v>
      </c>
      <c r="BB285" s="534">
        <v>-21.37</v>
      </c>
      <c r="BC285" s="530">
        <v>-21.71</v>
      </c>
      <c r="BD285" s="530">
        <f t="shared" si="166"/>
        <v>-0.33999999999999986</v>
      </c>
      <c r="BE285" s="530">
        <v>-1.441883</v>
      </c>
      <c r="BF285" s="533">
        <f t="shared" si="157"/>
        <v>-8.8010776267238716E-2</v>
      </c>
      <c r="BG285" s="527">
        <v>18.899999999999999</v>
      </c>
      <c r="BH285" s="527">
        <v>17.8</v>
      </c>
      <c r="BI285" s="527">
        <f t="shared" si="167"/>
        <v>-1.0999999999999979</v>
      </c>
      <c r="BJ285" s="545">
        <v>24.5</v>
      </c>
      <c r="BK285" s="545">
        <v>25.3</v>
      </c>
      <c r="BL285" s="545">
        <f t="shared" si="168"/>
        <v>0.80000000000000071</v>
      </c>
      <c r="BM285" s="545">
        <v>0</v>
      </c>
      <c r="BN285" s="545">
        <v>0</v>
      </c>
      <c r="BO285" s="545">
        <f t="shared" si="169"/>
        <v>0</v>
      </c>
      <c r="BP285" s="527"/>
      <c r="BQ285" s="527"/>
      <c r="BR285" s="527"/>
      <c r="BS285" s="527"/>
      <c r="BT285" s="524" t="s">
        <v>723</v>
      </c>
      <c r="BU285" s="512">
        <v>1474.96263746</v>
      </c>
      <c r="BV285" s="512">
        <v>-1.4251459799999999</v>
      </c>
      <c r="BW285" s="512">
        <v>3367.3106283799998</v>
      </c>
      <c r="BX285" s="512">
        <v>3415.99352284</v>
      </c>
      <c r="BY285" s="512">
        <v>2.9783218100000002</v>
      </c>
      <c r="BZ285" s="512">
        <v>2.9950109299999998</v>
      </c>
      <c r="CA285" s="512">
        <v>8.0021739999999994E-2</v>
      </c>
      <c r="CB285" s="512">
        <v>3.8629179599999999</v>
      </c>
      <c r="CC285" s="512">
        <v>3.8598292600000002</v>
      </c>
      <c r="CD285" s="512">
        <v>-0.64082333000000002</v>
      </c>
      <c r="CE285" s="512">
        <v>-0.55723073000000001</v>
      </c>
      <c r="CF285" s="512">
        <v>0.72010156999999997</v>
      </c>
      <c r="CG285" s="512"/>
    </row>
    <row r="286" spans="1:85" s="519" customFormat="1" ht="22.5">
      <c r="A286" s="546">
        <v>62007004</v>
      </c>
      <c r="B286" s="543" t="s">
        <v>833</v>
      </c>
      <c r="C286" s="543" t="s">
        <v>701</v>
      </c>
      <c r="D286" s="521" t="s">
        <v>1204</v>
      </c>
      <c r="E286" s="513" t="s">
        <v>1224</v>
      </c>
      <c r="F286" s="536" t="str">
        <f t="shared" si="148"/>
        <v>07/07/20</v>
      </c>
      <c r="G286" s="524" t="s">
        <v>1225</v>
      </c>
      <c r="H286" s="524" t="s">
        <v>708</v>
      </c>
      <c r="I286" s="532"/>
      <c r="J286" s="468">
        <f>AVERAGE(J284:J285)</f>
        <v>34.210208999999999</v>
      </c>
      <c r="K286" s="468">
        <f>AVERAGE(K284:K285)</f>
        <v>48.030725500000003</v>
      </c>
      <c r="L286" s="468">
        <f>AVERAGE(L284:L285)</f>
        <v>29.227857999999998</v>
      </c>
      <c r="M286" s="468">
        <f>AVERAGE(M284:M285)</f>
        <v>45.3327405</v>
      </c>
      <c r="N286" s="452"/>
      <c r="O286" s="528"/>
      <c r="P286" s="470"/>
      <c r="Q286" s="469"/>
      <c r="R286" s="453">
        <f>R285+R284</f>
        <v>7.4595227</v>
      </c>
      <c r="S286" s="453">
        <f>S285</f>
        <v>7.4595227</v>
      </c>
      <c r="T286" s="493">
        <f>T284</f>
        <v>20</v>
      </c>
      <c r="U286" s="493">
        <f>U285</f>
        <v>17.8</v>
      </c>
      <c r="V286" s="456">
        <f>V284</f>
        <v>64125</v>
      </c>
      <c r="W286" s="456">
        <f>W285</f>
        <v>65650</v>
      </c>
      <c r="X286" s="456">
        <f>SUM(X284:X285)</f>
        <v>1525</v>
      </c>
      <c r="Y286" s="456">
        <f t="shared" si="149"/>
        <v>204.43667260373107</v>
      </c>
      <c r="Z286" s="456">
        <f>Z284</f>
        <v>64029</v>
      </c>
      <c r="AA286" s="456">
        <f>AA285</f>
        <v>65550</v>
      </c>
      <c r="AB286" s="456">
        <f>SUM(AB284:AB285)</f>
        <v>1521</v>
      </c>
      <c r="AC286" s="454">
        <f t="shared" si="150"/>
        <v>203.90044526575406</v>
      </c>
      <c r="AD286" s="456">
        <f>AD284</f>
        <v>195</v>
      </c>
      <c r="AE286" s="456">
        <f>AE285</f>
        <v>220</v>
      </c>
      <c r="AF286" s="456">
        <f>SUM(AF284:AF285)</f>
        <v>25</v>
      </c>
      <c r="AG286" s="454">
        <f t="shared" si="151"/>
        <v>3.3514208623562469</v>
      </c>
      <c r="AH286" s="456">
        <f>AH284</f>
        <v>56790</v>
      </c>
      <c r="AI286" s="456">
        <f>AI285</f>
        <v>57771</v>
      </c>
      <c r="AJ286" s="456">
        <f>SUM(AJ284:AJ285)</f>
        <v>981</v>
      </c>
      <c r="AK286" s="454">
        <f t="shared" si="152"/>
        <v>131.50975463885914</v>
      </c>
      <c r="AL286" s="456">
        <f>AL284</f>
        <v>2621.7</v>
      </c>
      <c r="AM286" s="456">
        <f>AM285</f>
        <v>2792.1</v>
      </c>
      <c r="AN286" s="456">
        <f>SUM(AN284:AN285)</f>
        <v>170.40000000000009</v>
      </c>
      <c r="AO286" s="454">
        <f t="shared" si="153"/>
        <v>22.84328459782019</v>
      </c>
      <c r="AP286" s="456">
        <f>AP284</f>
        <v>2180.7390850000002</v>
      </c>
      <c r="AQ286" s="456">
        <f>AQ285</f>
        <v>2327.698461</v>
      </c>
      <c r="AR286" s="456">
        <f>SUM(AR284:AR285)</f>
        <v>146.94830000000002</v>
      </c>
      <c r="AS286" s="454">
        <f t="shared" si="154"/>
        <v>19.699423932311383</v>
      </c>
      <c r="AT286" s="456">
        <f>AT284</f>
        <v>-1.1000000000000001</v>
      </c>
      <c r="AU286" s="456">
        <f>AU285</f>
        <v>-1.2</v>
      </c>
      <c r="AV286" s="456">
        <f>SUM(AV284:AV285)</f>
        <v>-9.9999999999999867E-2</v>
      </c>
      <c r="AW286" s="454">
        <f t="shared" si="155"/>
        <v>-1.3405683449424971E-2</v>
      </c>
      <c r="AX286" s="456">
        <f>AX284</f>
        <v>4444.2</v>
      </c>
      <c r="AY286" s="456">
        <f>AY285</f>
        <v>4790</v>
      </c>
      <c r="AZ286" s="456">
        <f>SUM(AZ284:AZ285)</f>
        <v>345.69999999999982</v>
      </c>
      <c r="BA286" s="454">
        <f t="shared" si="156"/>
        <v>46.343447684662159</v>
      </c>
      <c r="BB286" s="456">
        <f>BB284</f>
        <v>-21.16</v>
      </c>
      <c r="BC286" s="456">
        <f>BC285</f>
        <v>-21.71</v>
      </c>
      <c r="BD286" s="456">
        <f>SUM(BD284:BD285)</f>
        <v>-0.55000000000000071</v>
      </c>
      <c r="BE286" s="530">
        <f>AVERAGE(BE284:BE285)</f>
        <v>-1.4250414999999998</v>
      </c>
      <c r="BF286" s="454">
        <f t="shared" si="157"/>
        <v>-7.3731258971837535E-2</v>
      </c>
      <c r="BG286" s="445"/>
      <c r="BH286" s="445"/>
      <c r="BI286" s="445">
        <f>SUM(BI284:BI285)</f>
        <v>-2.1999999999999993</v>
      </c>
      <c r="BJ286" s="496" t="s">
        <v>1214</v>
      </c>
      <c r="BK286" s="496" t="s">
        <v>1215</v>
      </c>
      <c r="BL286" s="496">
        <f>SUM(BL284:BL285)</f>
        <v>1.3892250000000033</v>
      </c>
      <c r="BM286" s="496" t="s">
        <v>1216</v>
      </c>
      <c r="BN286" s="496" t="s">
        <v>1217</v>
      </c>
      <c r="BO286" s="496">
        <f>SUM(BO284:BO285)</f>
        <v>0</v>
      </c>
      <c r="BP286" s="445"/>
      <c r="BQ286" s="445"/>
      <c r="BR286" s="445"/>
      <c r="BS286" s="445"/>
      <c r="BT286" s="524" t="s">
        <v>723</v>
      </c>
      <c r="BU286" s="512"/>
      <c r="BV286" s="512"/>
      <c r="BW286" s="512"/>
      <c r="BX286" s="512"/>
      <c r="BY286" s="512"/>
      <c r="BZ286" s="512"/>
      <c r="CA286" s="512"/>
      <c r="CB286" s="512"/>
      <c r="CC286" s="512"/>
      <c r="CD286" s="512"/>
      <c r="CE286" s="512"/>
      <c r="CF286" s="512"/>
      <c r="CG286" s="512"/>
    </row>
    <row r="287" spans="1:85" s="519" customFormat="1" ht="33.75">
      <c r="A287" s="546">
        <v>62007005</v>
      </c>
      <c r="B287" s="543" t="s">
        <v>838</v>
      </c>
      <c r="C287" s="543" t="s">
        <v>695</v>
      </c>
      <c r="D287" s="521" t="s">
        <v>763</v>
      </c>
      <c r="E287" s="513" t="s">
        <v>1226</v>
      </c>
      <c r="F287" s="536" t="str">
        <f t="shared" si="148"/>
        <v>07/07/20</v>
      </c>
      <c r="G287" s="524" t="s">
        <v>1227</v>
      </c>
      <c r="H287" s="524" t="s">
        <v>708</v>
      </c>
      <c r="I287" s="532"/>
      <c r="J287" s="531">
        <v>38.768559000000003</v>
      </c>
      <c r="K287" s="531">
        <v>28.947244000000001</v>
      </c>
      <c r="L287" s="531">
        <v>29.220208</v>
      </c>
      <c r="M287" s="531">
        <v>47.066865</v>
      </c>
      <c r="N287" s="528">
        <v>4250</v>
      </c>
      <c r="O287" s="528">
        <v>38.71</v>
      </c>
      <c r="P287" s="528">
        <v>3.0499999999999999E-2</v>
      </c>
      <c r="Q287" s="528">
        <v>1.4999999999999999E-2</v>
      </c>
      <c r="R287" s="529">
        <v>47.531046449999998</v>
      </c>
      <c r="S287" s="529">
        <f>R287+R286</f>
        <v>54.990569149999999</v>
      </c>
      <c r="T287" s="544">
        <v>17.8</v>
      </c>
      <c r="U287" s="544">
        <v>2.1</v>
      </c>
      <c r="V287" s="530">
        <v>65669</v>
      </c>
      <c r="W287" s="530">
        <v>75998</v>
      </c>
      <c r="X287" s="530">
        <f>W287-V287</f>
        <v>10329</v>
      </c>
      <c r="Y287" s="530">
        <f t="shared" si="149"/>
        <v>217.31059531511747</v>
      </c>
      <c r="Z287" s="534">
        <v>65568</v>
      </c>
      <c r="AA287" s="530">
        <v>75880</v>
      </c>
      <c r="AB287" s="530">
        <f>AA287-Z287</f>
        <v>10312</v>
      </c>
      <c r="AC287" s="533">
        <f t="shared" si="150"/>
        <v>216.95293434887125</v>
      </c>
      <c r="AD287" s="534">
        <v>220</v>
      </c>
      <c r="AE287" s="530">
        <v>225</v>
      </c>
      <c r="AF287" s="530">
        <f>AE287-AD287</f>
        <v>5</v>
      </c>
      <c r="AG287" s="533">
        <f t="shared" si="151"/>
        <v>0.10519440183711756</v>
      </c>
      <c r="AH287" s="534">
        <v>57771</v>
      </c>
      <c r="AI287" s="530">
        <v>67326</v>
      </c>
      <c r="AJ287" s="530">
        <f>AI287-AH287</f>
        <v>9555</v>
      </c>
      <c r="AK287" s="533">
        <f t="shared" si="152"/>
        <v>201.02650191073167</v>
      </c>
      <c r="AL287" s="534">
        <v>2808.7</v>
      </c>
      <c r="AM287" s="530">
        <v>3106.4</v>
      </c>
      <c r="AN287" s="530">
        <f>AM287-AL287</f>
        <v>297.70000000000027</v>
      </c>
      <c r="AO287" s="533">
        <f t="shared" si="153"/>
        <v>6.2632746853819858</v>
      </c>
      <c r="AP287" s="534">
        <v>2340.6888450000001</v>
      </c>
      <c r="AQ287" s="530">
        <v>2595.0300000000002</v>
      </c>
      <c r="AR287" s="530">
        <f>AQ287-AP287</f>
        <v>254.34115500000007</v>
      </c>
      <c r="AS287" s="533">
        <f t="shared" si="154"/>
        <v>5.3510531325573218</v>
      </c>
      <c r="AT287" s="534">
        <v>-1.3</v>
      </c>
      <c r="AU287" s="530">
        <v>-1.5</v>
      </c>
      <c r="AV287" s="530">
        <f>AU287-AT287</f>
        <v>-0.19999999999999996</v>
      </c>
      <c r="AW287" s="533">
        <f t="shared" si="155"/>
        <v>-4.2077760734847017E-3</v>
      </c>
      <c r="AX287" s="534">
        <v>4790.9884519999996</v>
      </c>
      <c r="AY287" s="530">
        <v>5254.3</v>
      </c>
      <c r="AZ287" s="530">
        <f>AY287-AX287</f>
        <v>463.31154800000058</v>
      </c>
      <c r="BA287" s="533">
        <f t="shared" si="156"/>
        <v>9.7475562312178088</v>
      </c>
      <c r="BB287" s="534">
        <v>-21.8</v>
      </c>
      <c r="BC287" s="530">
        <v>-20.39</v>
      </c>
      <c r="BD287" s="530">
        <f>BC287-BB287</f>
        <v>1.4100000000000001</v>
      </c>
      <c r="BE287" s="530">
        <v>3.8609870000000002</v>
      </c>
      <c r="BF287" s="533">
        <f t="shared" si="157"/>
        <v>2.9664821318067157E-2</v>
      </c>
      <c r="BG287" s="527">
        <v>17.8</v>
      </c>
      <c r="BH287" s="527">
        <v>2.1</v>
      </c>
      <c r="BI287" s="527">
        <f>BH287-BG287</f>
        <v>-15.700000000000001</v>
      </c>
      <c r="BJ287" s="545">
        <v>25.6</v>
      </c>
      <c r="BK287" s="545">
        <v>28.3</v>
      </c>
      <c r="BL287" s="545">
        <f>BK287-BJ287</f>
        <v>2.6999999999999993</v>
      </c>
      <c r="BM287" s="545">
        <v>0</v>
      </c>
      <c r="BN287" s="545">
        <v>0</v>
      </c>
      <c r="BO287" s="545">
        <f>BN287-BM287</f>
        <v>0</v>
      </c>
      <c r="BP287" s="527"/>
      <c r="BQ287" s="527"/>
      <c r="BR287" s="527"/>
      <c r="BS287" s="527"/>
      <c r="BT287" s="524" t="s">
        <v>723</v>
      </c>
      <c r="BU287" s="512">
        <v>46.648055849999999</v>
      </c>
      <c r="BV287" s="512">
        <v>15.008322100000001</v>
      </c>
      <c r="BW287" s="512">
        <v>668.37316406000002</v>
      </c>
      <c r="BX287" s="512">
        <v>581.15200000000004</v>
      </c>
      <c r="BY287" s="512">
        <v>35.888485770000003</v>
      </c>
      <c r="BZ287" s="512">
        <v>37.16016905</v>
      </c>
      <c r="CA287" s="512">
        <v>-2.7248089000000002</v>
      </c>
      <c r="CB287" s="512">
        <v>47.531426019999998</v>
      </c>
      <c r="CC287" s="512">
        <v>48.86284517</v>
      </c>
      <c r="CD287" s="512">
        <v>-0.72206914</v>
      </c>
      <c r="CE287" s="512">
        <v>-3.4221676300000001</v>
      </c>
      <c r="CF287" s="512">
        <v>2.223002E-2</v>
      </c>
      <c r="CG287" s="512"/>
    </row>
    <row r="288" spans="1:85" s="519" customFormat="1">
      <c r="A288" s="546">
        <v>62007006</v>
      </c>
      <c r="B288" s="543" t="s">
        <v>1319</v>
      </c>
      <c r="C288" s="543" t="s">
        <v>695</v>
      </c>
      <c r="D288" s="521" t="s">
        <v>766</v>
      </c>
      <c r="E288" s="513" t="s">
        <v>1228</v>
      </c>
      <c r="F288" s="536" t="str">
        <f t="shared" si="148"/>
        <v>07/07/20</v>
      </c>
      <c r="G288" s="524" t="s">
        <v>1229</v>
      </c>
      <c r="H288" s="524" t="s">
        <v>708</v>
      </c>
      <c r="I288" s="532"/>
      <c r="J288" s="531">
        <v>-41.124222000000003</v>
      </c>
      <c r="K288" s="531">
        <v>-55.86645</v>
      </c>
      <c r="L288" s="531">
        <v>-35.619380999999997</v>
      </c>
      <c r="M288" s="531">
        <v>-42.829694000000003</v>
      </c>
      <c r="N288" s="528">
        <v>4250</v>
      </c>
      <c r="O288" s="528">
        <v>38.71</v>
      </c>
      <c r="P288" s="528">
        <v>3.0499999999999999E-2</v>
      </c>
      <c r="Q288" s="528">
        <v>1.4999999999999999E-2</v>
      </c>
      <c r="R288" s="529">
        <v>8.7576400000000006E-3</v>
      </c>
      <c r="S288" s="529">
        <f>R288+R287</f>
        <v>47.539804089999997</v>
      </c>
      <c r="T288" s="544">
        <v>2.1</v>
      </c>
      <c r="U288" s="544">
        <v>99.6</v>
      </c>
      <c r="V288" s="530">
        <v>75998</v>
      </c>
      <c r="W288" s="530">
        <v>-2584</v>
      </c>
      <c r="X288" s="530">
        <f>W288-V288</f>
        <v>-78582</v>
      </c>
      <c r="Y288" s="530">
        <f t="shared" si="149"/>
        <v>-8972965.3194239531</v>
      </c>
      <c r="Z288" s="534">
        <v>75880</v>
      </c>
      <c r="AA288" s="530">
        <v>-2690</v>
      </c>
      <c r="AB288" s="530">
        <f>AA288-Z288</f>
        <v>-78570</v>
      </c>
      <c r="AC288" s="533">
        <f t="shared" si="150"/>
        <v>-8971595.0872609504</v>
      </c>
      <c r="AD288" s="534">
        <v>225</v>
      </c>
      <c r="AE288" s="530">
        <v>252</v>
      </c>
      <c r="AF288" s="530">
        <f>AE288-AD288</f>
        <v>27</v>
      </c>
      <c r="AG288" s="533">
        <f t="shared" si="151"/>
        <v>3083.0223667563405</v>
      </c>
      <c r="AH288" s="534">
        <v>67326</v>
      </c>
      <c r="AI288" s="530">
        <v>67342</v>
      </c>
      <c r="AJ288" s="530">
        <f>AI288-AH288</f>
        <v>16</v>
      </c>
      <c r="AK288" s="533">
        <f t="shared" si="152"/>
        <v>1826.9762173370907</v>
      </c>
      <c r="AL288" s="534">
        <v>3106.4</v>
      </c>
      <c r="AM288" s="530">
        <v>-75591.399999999994</v>
      </c>
      <c r="AN288" s="530">
        <f>AM288-AL288</f>
        <v>-78697.799999999988</v>
      </c>
      <c r="AO288" s="533">
        <f t="shared" si="153"/>
        <v>-8986188.0597969294</v>
      </c>
      <c r="AP288" s="534">
        <v>2594.38</v>
      </c>
      <c r="AQ288" s="530">
        <v>3382.55</v>
      </c>
      <c r="AR288" s="530">
        <f>AQ288-AP288</f>
        <v>788.17000000000007</v>
      </c>
      <c r="AS288" s="533">
        <f t="shared" si="154"/>
        <v>89997.990326160929</v>
      </c>
      <c r="AT288" s="534">
        <v>-1.5</v>
      </c>
      <c r="AU288" s="530">
        <v>-14</v>
      </c>
      <c r="AV288" s="530">
        <f>AU288-AT288</f>
        <v>-12.5</v>
      </c>
      <c r="AW288" s="533">
        <f t="shared" si="155"/>
        <v>-1427.3251697946021</v>
      </c>
      <c r="AX288" s="534">
        <v>5254.3</v>
      </c>
      <c r="AY288" s="530">
        <v>5270.9</v>
      </c>
      <c r="AZ288" s="530">
        <f>AY288-AX288</f>
        <v>16.599999999999454</v>
      </c>
      <c r="BA288" s="533">
        <f t="shared" si="156"/>
        <v>1895.4878254871692</v>
      </c>
      <c r="BB288" s="534">
        <v>-1.3463179999999999</v>
      </c>
      <c r="BC288" s="530">
        <v>-41.67</v>
      </c>
      <c r="BD288" s="530">
        <f>BC288-BB288</f>
        <v>-40.323682000000005</v>
      </c>
      <c r="BE288" s="530">
        <v>4.9429699999999999</v>
      </c>
      <c r="BF288" s="533">
        <f t="shared" si="157"/>
        <v>-4604.4005005914842</v>
      </c>
      <c r="BG288" s="527">
        <v>2.1</v>
      </c>
      <c r="BH288" s="527">
        <v>99.6</v>
      </c>
      <c r="BI288" s="527">
        <f>BH288-BG288</f>
        <v>97.5</v>
      </c>
      <c r="BJ288" s="545">
        <v>28.8</v>
      </c>
      <c r="BK288" s="545">
        <v>86126.9</v>
      </c>
      <c r="BL288" s="545">
        <f>BK288-BJ288</f>
        <v>86098.099999999991</v>
      </c>
      <c r="BM288" s="545">
        <v>0</v>
      </c>
      <c r="BN288" s="545">
        <v>-85185.1</v>
      </c>
      <c r="BO288" s="545">
        <f>BN288-BM288</f>
        <v>-85185.1</v>
      </c>
      <c r="BP288" s="527"/>
      <c r="BQ288" s="527"/>
      <c r="BR288" s="527"/>
      <c r="BS288" s="527"/>
      <c r="BT288" s="524"/>
      <c r="BU288" s="512"/>
      <c r="BV288" s="512"/>
      <c r="BW288" s="512"/>
      <c r="BX288" s="512"/>
      <c r="BY288" s="512"/>
      <c r="BZ288" s="512"/>
      <c r="CA288" s="512"/>
      <c r="CB288" s="512"/>
      <c r="CC288" s="512"/>
      <c r="CD288" s="512"/>
      <c r="CE288" s="512"/>
      <c r="CF288" s="512"/>
      <c r="CG288" s="512"/>
    </row>
    <row r="289" spans="1:85" s="520" customFormat="1" ht="15.75">
      <c r="A289" s="535" t="s">
        <v>1252</v>
      </c>
      <c r="B289" s="537"/>
      <c r="C289" s="537"/>
      <c r="D289" s="538"/>
      <c r="E289" s="537"/>
      <c r="F289" s="537"/>
      <c r="G289" s="538"/>
      <c r="H289" s="538"/>
      <c r="I289" s="538"/>
      <c r="J289" s="538"/>
      <c r="K289" s="538"/>
      <c r="L289" s="538"/>
      <c r="M289" s="538"/>
      <c r="N289" s="538"/>
      <c r="O289" s="538"/>
      <c r="P289" s="539"/>
      <c r="Q289" s="540"/>
      <c r="R289" s="537"/>
      <c r="S289" s="537"/>
      <c r="T289" s="537"/>
      <c r="U289" s="537"/>
      <c r="V289" s="537"/>
      <c r="W289" s="537"/>
      <c r="X289" s="537"/>
      <c r="Y289" s="537"/>
      <c r="Z289" s="537"/>
      <c r="AA289" s="537"/>
      <c r="AB289" s="537"/>
      <c r="AC289" s="537"/>
      <c r="AD289" s="537"/>
      <c r="AE289" s="537"/>
      <c r="AF289" s="537"/>
      <c r="AG289" s="537"/>
      <c r="AH289" s="537"/>
      <c r="AI289" s="537"/>
      <c r="AJ289" s="537"/>
      <c r="AK289" s="537"/>
      <c r="AL289" s="537"/>
      <c r="AM289" s="537"/>
      <c r="AN289" s="537"/>
      <c r="AO289" s="537"/>
      <c r="AP289" s="537"/>
      <c r="AQ289" s="537"/>
      <c r="AR289" s="537"/>
      <c r="AS289" s="537"/>
      <c r="AT289" s="537"/>
      <c r="AU289" s="537"/>
      <c r="AV289" s="537"/>
      <c r="AW289" s="537"/>
      <c r="AX289" s="537"/>
      <c r="AY289" s="537"/>
      <c r="AZ289" s="537"/>
      <c r="BA289" s="537"/>
      <c r="BB289" s="537"/>
      <c r="BC289" s="537"/>
      <c r="BD289" s="537"/>
      <c r="BE289" s="537"/>
      <c r="BF289" s="537"/>
      <c r="BG289" s="537"/>
      <c r="BH289" s="537"/>
      <c r="BI289" s="537"/>
      <c r="BJ289" s="537"/>
      <c r="BK289" s="537"/>
      <c r="BL289" s="537"/>
      <c r="BM289" s="537"/>
      <c r="BN289" s="537"/>
      <c r="BO289" s="537"/>
      <c r="BP289" s="537"/>
      <c r="BQ289" s="537"/>
      <c r="BR289" s="537"/>
      <c r="BS289" s="537"/>
      <c r="BT289" s="537"/>
      <c r="BU289" s="537"/>
      <c r="BV289" s="537"/>
      <c r="BW289" s="537"/>
      <c r="BX289" s="537"/>
      <c r="BY289" s="537"/>
      <c r="BZ289" s="537"/>
      <c r="CA289" s="537"/>
      <c r="CB289" s="537"/>
      <c r="CC289" s="537"/>
      <c r="CD289" s="537"/>
      <c r="CE289" s="537"/>
      <c r="CF289" s="542"/>
      <c r="CG289" s="541"/>
    </row>
    <row r="290" spans="1:85" s="519" customFormat="1">
      <c r="A290" s="546">
        <v>62007007</v>
      </c>
      <c r="B290" s="543" t="s">
        <v>1050</v>
      </c>
      <c r="C290" s="543" t="s">
        <v>695</v>
      </c>
      <c r="D290" s="521" t="s">
        <v>1230</v>
      </c>
      <c r="E290" s="513" t="s">
        <v>1231</v>
      </c>
      <c r="F290" s="536" t="str">
        <f t="shared" ref="F290:F295" si="170">LEFT(E290,8)</f>
        <v>07/08/20</v>
      </c>
      <c r="G290" s="524" t="s">
        <v>1232</v>
      </c>
      <c r="H290" s="524" t="s">
        <v>708</v>
      </c>
      <c r="I290" s="532"/>
      <c r="J290" s="531">
        <v>23.401595</v>
      </c>
      <c r="K290" s="531">
        <v>41.567543000000001</v>
      </c>
      <c r="L290" s="531">
        <v>29.247769999999999</v>
      </c>
      <c r="M290" s="531">
        <v>30.789470999999999</v>
      </c>
      <c r="N290" s="528">
        <v>4250</v>
      </c>
      <c r="O290" s="528">
        <v>38.71</v>
      </c>
      <c r="P290" s="528">
        <v>3.0499999999999999E-2</v>
      </c>
      <c r="Q290" s="528">
        <v>1.4999999999999999E-2</v>
      </c>
      <c r="R290" s="529">
        <v>9.8331093700000007</v>
      </c>
      <c r="S290" s="529">
        <f>R290+R288</f>
        <v>9.8418670100000014</v>
      </c>
      <c r="T290" s="544">
        <v>99.4</v>
      </c>
      <c r="U290" s="544">
        <v>96.7</v>
      </c>
      <c r="V290" s="530">
        <v>14.917552000000001</v>
      </c>
      <c r="W290" s="530">
        <v>2420</v>
      </c>
      <c r="X290" s="530">
        <f t="shared" ref="X290:X295" si="171">W290-V290</f>
        <v>2405.0824480000001</v>
      </c>
      <c r="Y290" s="530">
        <f t="shared" ref="Y290:Y295" si="172">X290/$R290</f>
        <v>244.59022649922991</v>
      </c>
      <c r="Z290" s="534">
        <v>15.917552000000001</v>
      </c>
      <c r="AA290" s="530">
        <v>2434</v>
      </c>
      <c r="AB290" s="530">
        <f t="shared" ref="AB290:AB295" si="173">AA290-Z290</f>
        <v>2418.0824480000001</v>
      </c>
      <c r="AC290" s="533">
        <f t="shared" ref="AC290:AC295" si="174">AB290/$R290</f>
        <v>245.91229050877524</v>
      </c>
      <c r="AD290" s="534">
        <v>0</v>
      </c>
      <c r="AE290" s="530">
        <v>44</v>
      </c>
      <c r="AF290" s="530">
        <f t="shared" ref="AF290:AF295" si="175">AE290-AD290</f>
        <v>44</v>
      </c>
      <c r="AG290" s="533">
        <f t="shared" ref="AG290:AG295" si="176">AF290/$R290</f>
        <v>4.4746781861534402</v>
      </c>
      <c r="AH290" s="534">
        <v>0</v>
      </c>
      <c r="AI290" s="530">
        <v>2193</v>
      </c>
      <c r="AJ290" s="530">
        <f t="shared" ref="AJ290:AJ295" si="177">AI290-AH290</f>
        <v>2193</v>
      </c>
      <c r="AK290" s="533">
        <f t="shared" ref="AK290:AK295" si="178">AJ290/$R290</f>
        <v>223.02202868714761</v>
      </c>
      <c r="AL290" s="534">
        <v>14</v>
      </c>
      <c r="AM290" s="530">
        <v>179.7</v>
      </c>
      <c r="AN290" s="530">
        <f t="shared" ref="AN290:AN295" si="179">AM290-AL290</f>
        <v>165.7</v>
      </c>
      <c r="AO290" s="533">
        <f t="shared" ref="AO290:AO295" si="180">AN290/$R290</f>
        <v>16.85123126012784</v>
      </c>
      <c r="AP290" s="534">
        <v>11.067822</v>
      </c>
      <c r="AQ290" s="530">
        <v>145.33708899999999</v>
      </c>
      <c r="AR290" s="530">
        <f t="shared" ref="AR290:AR295" si="181">AQ290-AP290</f>
        <v>134.26926699999999</v>
      </c>
      <c r="AS290" s="533">
        <f t="shared" ref="AS290:AS295" si="182">AR290/$R290</f>
        <v>13.654812729902543</v>
      </c>
      <c r="AT290" s="534">
        <v>-0.1</v>
      </c>
      <c r="AU290" s="530">
        <v>-0.7</v>
      </c>
      <c r="AV290" s="530">
        <f t="shared" ref="AV290:AV295" si="183">AU290-AT290</f>
        <v>-0.6</v>
      </c>
      <c r="AW290" s="533">
        <f t="shared" ref="AW290:AW295" si="184">AV290/$R290</f>
        <v>-6.1018338902092364E-2</v>
      </c>
      <c r="AX290" s="534">
        <v>0.2</v>
      </c>
      <c r="AY290" s="530">
        <v>1.8</v>
      </c>
      <c r="AZ290" s="530">
        <f t="shared" ref="AZ290:AZ295" si="185">AY290-AX290</f>
        <v>1.6</v>
      </c>
      <c r="BA290" s="533">
        <f t="shared" ref="BA290:BA295" si="186">AZ290/$R290</f>
        <v>0.16271557040557966</v>
      </c>
      <c r="BB290" s="534">
        <v>-0.52</v>
      </c>
      <c r="BC290" s="530">
        <v>-4.54</v>
      </c>
      <c r="BD290" s="530">
        <f t="shared" ref="BD290:BD295" si="187">BC290-BB290</f>
        <v>-4.0199999999999996</v>
      </c>
      <c r="BE290" s="530">
        <v>-10.126628999999999</v>
      </c>
      <c r="BF290" s="533">
        <f t="shared" ref="BF290:BF295" si="188">BD290/$R290</f>
        <v>-0.40882287064401879</v>
      </c>
      <c r="BG290" s="527">
        <v>99.4</v>
      </c>
      <c r="BH290" s="527">
        <v>96.7</v>
      </c>
      <c r="BI290" s="527">
        <f t="shared" ref="BI290:BI295" si="189">BH290-BG290</f>
        <v>-2.7000000000000028</v>
      </c>
      <c r="BJ290" s="545">
        <v>0.1</v>
      </c>
      <c r="BK290" s="545">
        <v>1.6</v>
      </c>
      <c r="BL290" s="545">
        <f t="shared" ref="BL290:BL295" si="190">BK290-BJ290</f>
        <v>1.5</v>
      </c>
      <c r="BM290" s="545">
        <v>0</v>
      </c>
      <c r="BN290" s="545">
        <v>0</v>
      </c>
      <c r="BO290" s="545">
        <f t="shared" ref="BO290:BO295" si="191">BN290-BM290</f>
        <v>0</v>
      </c>
      <c r="BP290" s="527"/>
      <c r="BQ290" s="527"/>
      <c r="BR290" s="527"/>
      <c r="BS290" s="527"/>
      <c r="BT290" s="524" t="s">
        <v>723</v>
      </c>
      <c r="BU290" s="512">
        <v>3590.8068287000001</v>
      </c>
      <c r="BV290" s="512">
        <v>-0.88108931000000001</v>
      </c>
      <c r="BW290" s="512">
        <v>7216.5150075600004</v>
      </c>
      <c r="BX290" s="512">
        <v>7280.6641608899999</v>
      </c>
      <c r="BY290" s="512">
        <v>10.018354929999999</v>
      </c>
      <c r="BZ290" s="512">
        <v>10.03850293</v>
      </c>
      <c r="CA290" s="512">
        <v>0.17297013</v>
      </c>
      <c r="CB290" s="512">
        <v>9.8329681999999998</v>
      </c>
      <c r="CC290" s="512">
        <v>9.8159894699999999</v>
      </c>
      <c r="CD290" s="512">
        <v>-0.37442887000000002</v>
      </c>
      <c r="CE290" s="512">
        <v>-0.20070722999999999</v>
      </c>
      <c r="CF290" s="512">
        <v>0.68622114999999995</v>
      </c>
      <c r="CG290" s="512"/>
    </row>
    <row r="291" spans="1:85" s="519" customFormat="1">
      <c r="A291" s="546">
        <v>62007007</v>
      </c>
      <c r="B291" s="543" t="s">
        <v>1051</v>
      </c>
      <c r="C291" s="543" t="s">
        <v>696</v>
      </c>
      <c r="D291" s="521" t="s">
        <v>1230</v>
      </c>
      <c r="E291" s="513" t="s">
        <v>1231</v>
      </c>
      <c r="F291" s="536" t="str">
        <f t="shared" si="170"/>
        <v>07/08/20</v>
      </c>
      <c r="G291" s="524" t="s">
        <v>1232</v>
      </c>
      <c r="H291" s="524" t="s">
        <v>708</v>
      </c>
      <c r="I291" s="532"/>
      <c r="J291" s="531">
        <v>21.232724999999999</v>
      </c>
      <c r="K291" s="531">
        <v>47.128667999999998</v>
      </c>
      <c r="L291" s="531">
        <v>29.238427000000001</v>
      </c>
      <c r="M291" s="531">
        <v>32.456435999999997</v>
      </c>
      <c r="N291" s="528">
        <v>4250</v>
      </c>
      <c r="O291" s="528">
        <v>38.71</v>
      </c>
      <c r="P291" s="528">
        <v>3.0499999999999999E-2</v>
      </c>
      <c r="Q291" s="528">
        <v>1.4999999999999999E-2</v>
      </c>
      <c r="R291" s="529">
        <v>9.8403884000000001</v>
      </c>
      <c r="S291" s="529">
        <f>R291+R290</f>
        <v>19.673497770000001</v>
      </c>
      <c r="T291" s="544">
        <v>96.7</v>
      </c>
      <c r="U291" s="544">
        <v>94.2</v>
      </c>
      <c r="V291" s="530">
        <v>2422</v>
      </c>
      <c r="W291" s="530">
        <v>4530</v>
      </c>
      <c r="X291" s="530">
        <f t="shared" si="171"/>
        <v>2108</v>
      </c>
      <c r="Y291" s="530">
        <f t="shared" si="172"/>
        <v>214.21918671421545</v>
      </c>
      <c r="Z291" s="534">
        <v>2436</v>
      </c>
      <c r="AA291" s="530">
        <v>4555</v>
      </c>
      <c r="AB291" s="530">
        <f t="shared" si="173"/>
        <v>2119</v>
      </c>
      <c r="AC291" s="533">
        <f t="shared" si="174"/>
        <v>215.33702877012456</v>
      </c>
      <c r="AD291" s="534">
        <v>44</v>
      </c>
      <c r="AE291" s="530">
        <v>74</v>
      </c>
      <c r="AF291" s="530">
        <f t="shared" si="175"/>
        <v>30</v>
      </c>
      <c r="AG291" s="533">
        <f t="shared" si="176"/>
        <v>3.0486601524793473</v>
      </c>
      <c r="AH291" s="534">
        <v>2193</v>
      </c>
      <c r="AI291" s="530">
        <v>4113</v>
      </c>
      <c r="AJ291" s="530">
        <f t="shared" si="177"/>
        <v>1920</v>
      </c>
      <c r="AK291" s="533">
        <f t="shared" si="178"/>
        <v>195.11424975867823</v>
      </c>
      <c r="AL291" s="534">
        <v>181.7</v>
      </c>
      <c r="AM291" s="530">
        <v>336.1</v>
      </c>
      <c r="AN291" s="530">
        <f t="shared" si="179"/>
        <v>154.40000000000003</v>
      </c>
      <c r="AO291" s="533">
        <f t="shared" si="180"/>
        <v>15.690437584760376</v>
      </c>
      <c r="AP291" s="534">
        <v>146.92697899999999</v>
      </c>
      <c r="AQ291" s="530">
        <v>271.146275</v>
      </c>
      <c r="AR291" s="530">
        <f t="shared" si="181"/>
        <v>124.21929600000001</v>
      </c>
      <c r="AS291" s="533">
        <f t="shared" si="182"/>
        <v>12.623413929474573</v>
      </c>
      <c r="AT291" s="534">
        <v>-0.7</v>
      </c>
      <c r="AU291" s="530">
        <v>-1.3</v>
      </c>
      <c r="AV291" s="530">
        <f t="shared" si="183"/>
        <v>-0.60000000000000009</v>
      </c>
      <c r="AW291" s="533">
        <f t="shared" si="184"/>
        <v>-6.0973203049586956E-2</v>
      </c>
      <c r="AX291" s="534">
        <v>1.8</v>
      </c>
      <c r="AY291" s="530">
        <v>3.3</v>
      </c>
      <c r="AZ291" s="530">
        <f t="shared" si="185"/>
        <v>1.4999999999999998</v>
      </c>
      <c r="BA291" s="533">
        <f t="shared" si="186"/>
        <v>0.15243300762396733</v>
      </c>
      <c r="BB291" s="534">
        <v>-4.58</v>
      </c>
      <c r="BC291" s="530">
        <v>-6.73</v>
      </c>
      <c r="BD291" s="530">
        <f t="shared" si="187"/>
        <v>-2.1500000000000004</v>
      </c>
      <c r="BE291" s="530">
        <v>-5.3591870000000004</v>
      </c>
      <c r="BF291" s="533">
        <f t="shared" si="188"/>
        <v>-0.21848731092768658</v>
      </c>
      <c r="BG291" s="527">
        <v>96.7</v>
      </c>
      <c r="BH291" s="527">
        <v>94.2</v>
      </c>
      <c r="BI291" s="527">
        <f t="shared" si="189"/>
        <v>-2.5</v>
      </c>
      <c r="BJ291" s="545">
        <v>1.6</v>
      </c>
      <c r="BK291" s="545">
        <v>3</v>
      </c>
      <c r="BL291" s="545">
        <f t="shared" si="190"/>
        <v>1.4</v>
      </c>
      <c r="BM291" s="545">
        <v>0</v>
      </c>
      <c r="BN291" s="545">
        <v>0</v>
      </c>
      <c r="BO291" s="545">
        <f t="shared" si="191"/>
        <v>0</v>
      </c>
      <c r="BP291" s="527"/>
      <c r="BQ291" s="527"/>
      <c r="BR291" s="527"/>
      <c r="BS291" s="527"/>
      <c r="BT291" s="524" t="s">
        <v>723</v>
      </c>
      <c r="BU291" s="512">
        <v>3535.0678357299998</v>
      </c>
      <c r="BV291" s="512">
        <v>-2.09357719</v>
      </c>
      <c r="BW291" s="512">
        <v>7127.2670623499998</v>
      </c>
      <c r="BX291" s="512">
        <v>7279.6726278799997</v>
      </c>
      <c r="BY291" s="512">
        <v>9.9871699399999994</v>
      </c>
      <c r="BZ291" s="512">
        <v>10.03726546</v>
      </c>
      <c r="CA291" s="512">
        <v>0.24731860999999999</v>
      </c>
      <c r="CB291" s="512">
        <v>9.84027064</v>
      </c>
      <c r="CC291" s="512">
        <v>9.8159938600000007</v>
      </c>
      <c r="CD291" s="512">
        <v>-0.75015794999999996</v>
      </c>
      <c r="CE291" s="512">
        <v>-0.49909533</v>
      </c>
      <c r="CF291" s="512">
        <v>0.68619516999999997</v>
      </c>
      <c r="CG291" s="512"/>
    </row>
    <row r="292" spans="1:85" s="519" customFormat="1" ht="22.5">
      <c r="A292" s="546">
        <v>62007008</v>
      </c>
      <c r="B292" s="543" t="s">
        <v>1052</v>
      </c>
      <c r="C292" s="543" t="s">
        <v>695</v>
      </c>
      <c r="D292" s="521" t="s">
        <v>945</v>
      </c>
      <c r="E292" s="513" t="s">
        <v>1233</v>
      </c>
      <c r="F292" s="536" t="str">
        <f t="shared" si="170"/>
        <v>07/08/20</v>
      </c>
      <c r="G292" s="524" t="s">
        <v>1234</v>
      </c>
      <c r="H292" s="524" t="s">
        <v>708</v>
      </c>
      <c r="I292" s="532"/>
      <c r="J292" s="531">
        <v>24.811001000000001</v>
      </c>
      <c r="K292" s="531">
        <v>38.514206999999999</v>
      </c>
      <c r="L292" s="531">
        <v>29.254875999999999</v>
      </c>
      <c r="M292" s="531">
        <v>32.388550000000002</v>
      </c>
      <c r="N292" s="528">
        <v>4250</v>
      </c>
      <c r="O292" s="528">
        <v>38.71</v>
      </c>
      <c r="P292" s="528">
        <v>3.0499999999999999E-2</v>
      </c>
      <c r="Q292" s="528">
        <v>1.4999999999999999E-2</v>
      </c>
      <c r="R292" s="529">
        <v>10.27446834</v>
      </c>
      <c r="S292" s="529">
        <f>R292+R291</f>
        <v>20.11485674</v>
      </c>
      <c r="T292" s="544">
        <v>94.2</v>
      </c>
      <c r="U292" s="544">
        <v>92</v>
      </c>
      <c r="V292" s="530">
        <v>4564</v>
      </c>
      <c r="W292" s="530">
        <v>6455</v>
      </c>
      <c r="X292" s="530">
        <f t="shared" si="171"/>
        <v>1891</v>
      </c>
      <c r="Y292" s="530">
        <f t="shared" si="172"/>
        <v>184.04845267156665</v>
      </c>
      <c r="Z292" s="534">
        <v>4593</v>
      </c>
      <c r="AA292" s="530">
        <v>6491</v>
      </c>
      <c r="AB292" s="530">
        <f t="shared" si="173"/>
        <v>1898</v>
      </c>
      <c r="AC292" s="533">
        <f t="shared" si="174"/>
        <v>184.72975313095372</v>
      </c>
      <c r="AD292" s="534">
        <v>74</v>
      </c>
      <c r="AE292" s="530">
        <v>76</v>
      </c>
      <c r="AF292" s="530">
        <f t="shared" si="175"/>
        <v>2</v>
      </c>
      <c r="AG292" s="533">
        <f t="shared" si="176"/>
        <v>0.19465727411059403</v>
      </c>
      <c r="AH292" s="534">
        <v>4113</v>
      </c>
      <c r="AI292" s="530">
        <v>5907</v>
      </c>
      <c r="AJ292" s="530">
        <f t="shared" si="177"/>
        <v>1794</v>
      </c>
      <c r="AK292" s="533">
        <f t="shared" si="178"/>
        <v>174.60757487720284</v>
      </c>
      <c r="AL292" s="534">
        <v>368.764139</v>
      </c>
      <c r="AM292" s="530">
        <v>462.4</v>
      </c>
      <c r="AN292" s="530">
        <f t="shared" si="179"/>
        <v>93.635860999999977</v>
      </c>
      <c r="AO292" s="533">
        <f t="shared" si="180"/>
        <v>9.1134507306292374</v>
      </c>
      <c r="AP292" s="534">
        <v>295.15641399999998</v>
      </c>
      <c r="AQ292" s="530">
        <v>372.44596300000001</v>
      </c>
      <c r="AR292" s="530">
        <f t="shared" si="181"/>
        <v>77.289549000000022</v>
      </c>
      <c r="AS292" s="533">
        <f t="shared" si="182"/>
        <v>7.5224864627885966</v>
      </c>
      <c r="AT292" s="534">
        <v>-1.4</v>
      </c>
      <c r="AU292" s="530">
        <v>-1.8</v>
      </c>
      <c r="AV292" s="530">
        <f t="shared" si="183"/>
        <v>-0.40000000000000013</v>
      </c>
      <c r="AW292" s="533">
        <f t="shared" si="184"/>
        <v>-3.8931454822118815E-2</v>
      </c>
      <c r="AX292" s="534">
        <v>3.8</v>
      </c>
      <c r="AY292" s="530">
        <v>4.5999999999999996</v>
      </c>
      <c r="AZ292" s="530">
        <f t="shared" si="185"/>
        <v>0.79999999999999982</v>
      </c>
      <c r="BA292" s="533">
        <f t="shared" si="186"/>
        <v>7.7862909644237588E-2</v>
      </c>
      <c r="BB292" s="534">
        <v>-7.17</v>
      </c>
      <c r="BC292" s="530">
        <v>-7.79</v>
      </c>
      <c r="BD292" s="530">
        <f t="shared" si="187"/>
        <v>-0.62000000000000011</v>
      </c>
      <c r="BE292" s="530">
        <v>-2.89601</v>
      </c>
      <c r="BF292" s="533">
        <f t="shared" si="188"/>
        <v>-6.034375497428416E-2</v>
      </c>
      <c r="BG292" s="527">
        <v>94.2</v>
      </c>
      <c r="BH292" s="527">
        <v>92</v>
      </c>
      <c r="BI292" s="527">
        <f t="shared" si="189"/>
        <v>-2.2000000000000028</v>
      </c>
      <c r="BJ292" s="545">
        <v>3.5</v>
      </c>
      <c r="BK292" s="545">
        <v>4.3</v>
      </c>
      <c r="BL292" s="545">
        <f t="shared" si="190"/>
        <v>0.79999999999999982</v>
      </c>
      <c r="BM292" s="545">
        <v>0</v>
      </c>
      <c r="BN292" s="545">
        <v>0</v>
      </c>
      <c r="BO292" s="545">
        <f t="shared" si="191"/>
        <v>0</v>
      </c>
      <c r="BP292" s="527"/>
      <c r="BQ292" s="527"/>
      <c r="BR292" s="527"/>
      <c r="BS292" s="527"/>
      <c r="BT292" s="524" t="s">
        <v>723</v>
      </c>
      <c r="BU292" s="512">
        <v>1883.3169500399999</v>
      </c>
      <c r="BV292" s="512">
        <v>-0.39699082000000002</v>
      </c>
      <c r="BW292" s="512">
        <v>1301.5910181700001</v>
      </c>
      <c r="BX292" s="512">
        <v>1306.7788100499999</v>
      </c>
      <c r="BY292" s="512">
        <v>6.8067537500000004</v>
      </c>
      <c r="BZ292" s="512">
        <v>6.7835034600000004</v>
      </c>
      <c r="CA292" s="512">
        <v>0.34657294999999999</v>
      </c>
      <c r="CB292" s="512">
        <v>10.274546920000001</v>
      </c>
      <c r="CC292" s="512">
        <v>10.23906111</v>
      </c>
      <c r="CD292" s="512">
        <v>-3.81241E-3</v>
      </c>
      <c r="CE292" s="512">
        <v>0.34274747</v>
      </c>
      <c r="CF292" s="512">
        <v>0.33432783999999999</v>
      </c>
      <c r="CG292" s="512"/>
    </row>
    <row r="293" spans="1:85" s="519" customFormat="1" ht="22.5">
      <c r="A293" s="546">
        <v>62007008</v>
      </c>
      <c r="B293" s="543" t="s">
        <v>1053</v>
      </c>
      <c r="C293" s="543" t="s">
        <v>696</v>
      </c>
      <c r="D293" s="521" t="s">
        <v>945</v>
      </c>
      <c r="E293" s="513" t="s">
        <v>1233</v>
      </c>
      <c r="F293" s="536" t="str">
        <f t="shared" si="170"/>
        <v>07/08/20</v>
      </c>
      <c r="G293" s="524" t="s">
        <v>1234</v>
      </c>
      <c r="H293" s="524" t="s">
        <v>708</v>
      </c>
      <c r="I293" s="532"/>
      <c r="J293" s="531">
        <v>24.803372</v>
      </c>
      <c r="K293" s="531">
        <v>38.478025000000002</v>
      </c>
      <c r="L293" s="531">
        <v>29.228414000000001</v>
      </c>
      <c r="M293" s="531">
        <v>33.970429000000003</v>
      </c>
      <c r="N293" s="528">
        <v>4250</v>
      </c>
      <c r="O293" s="528">
        <v>38.71</v>
      </c>
      <c r="P293" s="528">
        <v>3.0499999999999999E-2</v>
      </c>
      <c r="Q293" s="528">
        <v>1.4999999999999999E-2</v>
      </c>
      <c r="R293" s="529">
        <v>10.267234459999999</v>
      </c>
      <c r="S293" s="529">
        <f>R293+R292</f>
        <v>20.541702799999999</v>
      </c>
      <c r="T293" s="544">
        <v>92</v>
      </c>
      <c r="U293" s="544">
        <v>89.8</v>
      </c>
      <c r="V293" s="530">
        <v>6455</v>
      </c>
      <c r="W293" s="530">
        <v>8311</v>
      </c>
      <c r="X293" s="530">
        <f t="shared" si="171"/>
        <v>1856</v>
      </c>
      <c r="Y293" s="530">
        <f t="shared" si="172"/>
        <v>180.76922341948742</v>
      </c>
      <c r="Z293" s="534">
        <v>6491</v>
      </c>
      <c r="AA293" s="530">
        <v>8354</v>
      </c>
      <c r="AB293" s="530">
        <f t="shared" si="173"/>
        <v>1863</v>
      </c>
      <c r="AC293" s="533">
        <f t="shared" si="174"/>
        <v>181.45100389574625</v>
      </c>
      <c r="AD293" s="534">
        <v>76</v>
      </c>
      <c r="AE293" s="530">
        <v>78</v>
      </c>
      <c r="AF293" s="530">
        <f t="shared" si="175"/>
        <v>2</v>
      </c>
      <c r="AG293" s="533">
        <f t="shared" si="176"/>
        <v>0.19479442178824075</v>
      </c>
      <c r="AH293" s="534">
        <v>5907</v>
      </c>
      <c r="AI293" s="530">
        <v>7665</v>
      </c>
      <c r="AJ293" s="530">
        <f t="shared" si="177"/>
        <v>1758</v>
      </c>
      <c r="AK293" s="533">
        <f t="shared" si="178"/>
        <v>171.22429675186362</v>
      </c>
      <c r="AL293" s="534">
        <v>462.4</v>
      </c>
      <c r="AM293" s="530">
        <v>556.6</v>
      </c>
      <c r="AN293" s="530">
        <f t="shared" si="179"/>
        <v>94.200000000000045</v>
      </c>
      <c r="AO293" s="533">
        <f t="shared" si="180"/>
        <v>9.1748172662261425</v>
      </c>
      <c r="AP293" s="534">
        <v>372.46600599999999</v>
      </c>
      <c r="AQ293" s="530">
        <v>450.22556900000001</v>
      </c>
      <c r="AR293" s="530">
        <f t="shared" si="181"/>
        <v>77.759563000000014</v>
      </c>
      <c r="AS293" s="533">
        <f t="shared" si="182"/>
        <v>7.5735645565456409</v>
      </c>
      <c r="AT293" s="534">
        <v>-1.8</v>
      </c>
      <c r="AU293" s="530">
        <v>-2.1</v>
      </c>
      <c r="AV293" s="530">
        <f t="shared" si="183"/>
        <v>-0.30000000000000004</v>
      </c>
      <c r="AW293" s="533">
        <f t="shared" si="184"/>
        <v>-2.9219163268236117E-2</v>
      </c>
      <c r="AX293" s="534">
        <v>4.5999999999999996</v>
      </c>
      <c r="AY293" s="530">
        <v>5.5</v>
      </c>
      <c r="AZ293" s="530">
        <f t="shared" si="185"/>
        <v>0.90000000000000036</v>
      </c>
      <c r="BA293" s="533">
        <f t="shared" si="186"/>
        <v>8.7657489804708374E-2</v>
      </c>
      <c r="BB293" s="534">
        <v>-7.79</v>
      </c>
      <c r="BC293" s="530">
        <v>-8.33</v>
      </c>
      <c r="BD293" s="530">
        <f t="shared" si="187"/>
        <v>-0.54</v>
      </c>
      <c r="BE293" s="530">
        <v>-2.513509</v>
      </c>
      <c r="BF293" s="533">
        <f t="shared" si="188"/>
        <v>-5.2594493882825007E-2</v>
      </c>
      <c r="BG293" s="527">
        <v>92</v>
      </c>
      <c r="BH293" s="527">
        <v>89.8</v>
      </c>
      <c r="BI293" s="527">
        <f t="shared" si="189"/>
        <v>-2.2000000000000028</v>
      </c>
      <c r="BJ293" s="545">
        <v>4.3</v>
      </c>
      <c r="BK293" s="545">
        <v>5</v>
      </c>
      <c r="BL293" s="545">
        <f t="shared" si="190"/>
        <v>0.70000000000000018</v>
      </c>
      <c r="BM293" s="545">
        <v>0</v>
      </c>
      <c r="BN293" s="545">
        <v>0</v>
      </c>
      <c r="BO293" s="545">
        <f t="shared" si="191"/>
        <v>0</v>
      </c>
      <c r="BP293" s="527"/>
      <c r="BQ293" s="527"/>
      <c r="BR293" s="527"/>
      <c r="BS293" s="527"/>
      <c r="BT293" s="524" t="s">
        <v>723</v>
      </c>
      <c r="BU293" s="512">
        <v>1880.22818297</v>
      </c>
      <c r="BV293" s="512">
        <v>-0.44671263</v>
      </c>
      <c r="BW293" s="512">
        <v>1300.9096754699999</v>
      </c>
      <c r="BX293" s="512">
        <v>1306.7470797200001</v>
      </c>
      <c r="BY293" s="512">
        <v>6.8005542300000004</v>
      </c>
      <c r="BZ293" s="512">
        <v>6.7834108500000001</v>
      </c>
      <c r="CA293" s="512">
        <v>0.27589327000000002</v>
      </c>
      <c r="CB293" s="512">
        <v>10.267309770000001</v>
      </c>
      <c r="CC293" s="512">
        <v>10.239060889999999</v>
      </c>
      <c r="CD293" s="512">
        <v>-2.3109709999999999E-2</v>
      </c>
      <c r="CE293" s="512">
        <v>0.25272516</v>
      </c>
      <c r="CF293" s="512">
        <v>0.33432300999999998</v>
      </c>
      <c r="CG293" s="512"/>
    </row>
    <row r="294" spans="1:85" s="519" customFormat="1" ht="22.5">
      <c r="A294" s="546">
        <v>62007008</v>
      </c>
      <c r="B294" s="543" t="s">
        <v>1054</v>
      </c>
      <c r="C294" s="543" t="s">
        <v>697</v>
      </c>
      <c r="D294" s="521" t="s">
        <v>945</v>
      </c>
      <c r="E294" s="513" t="s">
        <v>1233</v>
      </c>
      <c r="F294" s="536" t="str">
        <f t="shared" si="170"/>
        <v>07/08/20</v>
      </c>
      <c r="G294" s="524" t="s">
        <v>1234</v>
      </c>
      <c r="H294" s="524" t="s">
        <v>708</v>
      </c>
      <c r="I294" s="532"/>
      <c r="J294" s="531">
        <v>24.654156</v>
      </c>
      <c r="K294" s="531">
        <v>39.480080000000001</v>
      </c>
      <c r="L294" s="531">
        <v>29.226417999999999</v>
      </c>
      <c r="M294" s="531">
        <v>34.021065999999998</v>
      </c>
      <c r="N294" s="528">
        <v>4250</v>
      </c>
      <c r="O294" s="528">
        <v>38.71</v>
      </c>
      <c r="P294" s="528">
        <v>3.0499999999999999E-2</v>
      </c>
      <c r="Q294" s="528">
        <v>1.4999999999999999E-2</v>
      </c>
      <c r="R294" s="529">
        <v>10.265042619999999</v>
      </c>
      <c r="S294" s="529">
        <f>R294+R293</f>
        <v>20.53227708</v>
      </c>
      <c r="T294" s="544">
        <v>89.8</v>
      </c>
      <c r="U294" s="544">
        <v>87.7</v>
      </c>
      <c r="V294" s="530">
        <v>8311</v>
      </c>
      <c r="W294" s="530">
        <v>10161</v>
      </c>
      <c r="X294" s="530">
        <f t="shared" si="171"/>
        <v>1850</v>
      </c>
      <c r="Y294" s="530">
        <f t="shared" si="172"/>
        <v>180.22331406549972</v>
      </c>
      <c r="Z294" s="534">
        <v>8354</v>
      </c>
      <c r="AA294" s="530">
        <v>10211</v>
      </c>
      <c r="AB294" s="530">
        <f t="shared" si="173"/>
        <v>1857</v>
      </c>
      <c r="AC294" s="533">
        <f t="shared" si="174"/>
        <v>180.90524011872054</v>
      </c>
      <c r="AD294" s="534">
        <v>78</v>
      </c>
      <c r="AE294" s="530">
        <v>80</v>
      </c>
      <c r="AF294" s="530">
        <f t="shared" si="175"/>
        <v>2</v>
      </c>
      <c r="AG294" s="533">
        <f t="shared" si="176"/>
        <v>0.19483601520594565</v>
      </c>
      <c r="AH294" s="534">
        <v>7665</v>
      </c>
      <c r="AI294" s="530">
        <v>9417</v>
      </c>
      <c r="AJ294" s="530">
        <f t="shared" si="177"/>
        <v>1752</v>
      </c>
      <c r="AK294" s="533">
        <f t="shared" si="178"/>
        <v>170.67634932040838</v>
      </c>
      <c r="AL294" s="534">
        <v>556.6</v>
      </c>
      <c r="AM294" s="530">
        <v>650.951504</v>
      </c>
      <c r="AN294" s="530">
        <f t="shared" si="179"/>
        <v>94.351503999999977</v>
      </c>
      <c r="AO294" s="533">
        <f t="shared" si="180"/>
        <v>9.1915355340239184</v>
      </c>
      <c r="AP294" s="534">
        <v>450.24558100000002</v>
      </c>
      <c r="AQ294" s="530">
        <v>528.24514999999997</v>
      </c>
      <c r="AR294" s="530">
        <f t="shared" si="181"/>
        <v>77.999568999999951</v>
      </c>
      <c r="AS294" s="533">
        <f t="shared" si="182"/>
        <v>7.5985626058705984</v>
      </c>
      <c r="AT294" s="534">
        <v>-2.1</v>
      </c>
      <c r="AU294" s="530">
        <v>-2.5</v>
      </c>
      <c r="AV294" s="530">
        <f t="shared" si="183"/>
        <v>-0.39999999999999991</v>
      </c>
      <c r="AW294" s="533">
        <f t="shared" si="184"/>
        <v>-3.896720304118912E-2</v>
      </c>
      <c r="AX294" s="534">
        <v>5.5</v>
      </c>
      <c r="AY294" s="530">
        <v>6.3</v>
      </c>
      <c r="AZ294" s="530">
        <f t="shared" si="185"/>
        <v>0.79999999999999982</v>
      </c>
      <c r="BA294" s="533">
        <f t="shared" si="186"/>
        <v>7.7934406082378241E-2</v>
      </c>
      <c r="BB294" s="534">
        <v>-8.33</v>
      </c>
      <c r="BC294" s="530">
        <v>-8.82</v>
      </c>
      <c r="BD294" s="530">
        <f t="shared" si="187"/>
        <v>-0.49000000000000021</v>
      </c>
      <c r="BE294" s="530">
        <v>-2.2712159999999999</v>
      </c>
      <c r="BF294" s="533">
        <f t="shared" si="188"/>
        <v>-4.7734823725456704E-2</v>
      </c>
      <c r="BG294" s="527">
        <v>89.8</v>
      </c>
      <c r="BH294" s="527">
        <v>87.7</v>
      </c>
      <c r="BI294" s="527">
        <f t="shared" si="189"/>
        <v>-2.0999999999999943</v>
      </c>
      <c r="BJ294" s="545">
        <v>5</v>
      </c>
      <c r="BK294" s="545">
        <v>5.8</v>
      </c>
      <c r="BL294" s="545">
        <f t="shared" si="190"/>
        <v>0.79999999999999982</v>
      </c>
      <c r="BM294" s="545">
        <v>0</v>
      </c>
      <c r="BN294" s="545">
        <v>0</v>
      </c>
      <c r="BO294" s="545">
        <f t="shared" si="191"/>
        <v>0</v>
      </c>
      <c r="BP294" s="527"/>
      <c r="BQ294" s="527"/>
      <c r="BR294" s="527"/>
      <c r="BS294" s="527"/>
      <c r="BT294" s="524" t="s">
        <v>723</v>
      </c>
      <c r="BU294" s="512">
        <v>1877.19841352</v>
      </c>
      <c r="BV294" s="512">
        <v>-0.30029533000000003</v>
      </c>
      <c r="BW294" s="512">
        <v>1302.79937182</v>
      </c>
      <c r="BX294" s="512">
        <v>1306.72340121</v>
      </c>
      <c r="BY294" s="512">
        <v>6.7961617700000003</v>
      </c>
      <c r="BZ294" s="512">
        <v>6.7833416900000003</v>
      </c>
      <c r="CA294" s="512">
        <v>0.25451827999999999</v>
      </c>
      <c r="CB294" s="512">
        <v>10.265121239999999</v>
      </c>
      <c r="CC294" s="512">
        <v>10.23906096</v>
      </c>
      <c r="CD294" s="512">
        <v>-6.5401200000000007E-2</v>
      </c>
      <c r="CE294" s="512">
        <v>0.18899347</v>
      </c>
      <c r="CF294" s="512">
        <v>0.33431973999999998</v>
      </c>
      <c r="CG294" s="512"/>
    </row>
    <row r="295" spans="1:85" s="519" customFormat="1">
      <c r="A295" s="546">
        <v>62007009</v>
      </c>
      <c r="B295" s="543" t="s">
        <v>1055</v>
      </c>
      <c r="C295" s="543" t="s">
        <v>695</v>
      </c>
      <c r="D295" s="521" t="s">
        <v>1235</v>
      </c>
      <c r="E295" s="513" t="s">
        <v>1236</v>
      </c>
      <c r="F295" s="536" t="str">
        <f t="shared" si="170"/>
        <v>07/14/20</v>
      </c>
      <c r="G295" s="524" t="s">
        <v>1237</v>
      </c>
      <c r="H295" s="524" t="s">
        <v>708</v>
      </c>
      <c r="I295" s="532"/>
      <c r="J295" s="531">
        <v>22.450612</v>
      </c>
      <c r="K295" s="531">
        <v>45.330666999999998</v>
      </c>
      <c r="L295" s="531">
        <v>29.340952999999999</v>
      </c>
      <c r="M295" s="531">
        <v>22.137080000000001</v>
      </c>
      <c r="N295" s="528">
        <v>4250</v>
      </c>
      <c r="O295" s="528">
        <v>38.71</v>
      </c>
      <c r="P295" s="528">
        <v>3.0499999999999999E-2</v>
      </c>
      <c r="Q295" s="528">
        <v>1.4999999999999999E-2</v>
      </c>
      <c r="R295" s="529">
        <v>1.9039899999999999E-3</v>
      </c>
      <c r="S295" s="529">
        <f>R295+R294</f>
        <v>10.26694661</v>
      </c>
      <c r="T295" s="544">
        <v>86.6</v>
      </c>
      <c r="U295" s="544">
        <v>85.7</v>
      </c>
      <c r="V295" s="530">
        <v>182</v>
      </c>
      <c r="W295" s="530">
        <v>909</v>
      </c>
      <c r="X295" s="530">
        <f t="shared" si="171"/>
        <v>727</v>
      </c>
      <c r="Y295" s="530">
        <f t="shared" si="172"/>
        <v>381829.73650071694</v>
      </c>
      <c r="Z295" s="534">
        <v>178</v>
      </c>
      <c r="AA295" s="530">
        <v>910</v>
      </c>
      <c r="AB295" s="530">
        <f t="shared" si="173"/>
        <v>732</v>
      </c>
      <c r="AC295" s="533">
        <f t="shared" si="174"/>
        <v>384455.80071323906</v>
      </c>
      <c r="AD295" s="534">
        <v>0</v>
      </c>
      <c r="AE295" s="530">
        <v>0</v>
      </c>
      <c r="AF295" s="530">
        <f t="shared" si="175"/>
        <v>0</v>
      </c>
      <c r="AG295" s="533">
        <f t="shared" si="176"/>
        <v>0</v>
      </c>
      <c r="AH295" s="534">
        <v>4</v>
      </c>
      <c r="AI295" s="530">
        <v>7</v>
      </c>
      <c r="AJ295" s="530">
        <f t="shared" si="177"/>
        <v>3</v>
      </c>
      <c r="AK295" s="533">
        <f t="shared" si="178"/>
        <v>1575.6385275132748</v>
      </c>
      <c r="AL295" s="534">
        <v>172.1</v>
      </c>
      <c r="AM295" s="530">
        <v>406.8</v>
      </c>
      <c r="AN295" s="530">
        <f t="shared" si="179"/>
        <v>234.70000000000002</v>
      </c>
      <c r="AO295" s="533">
        <f t="shared" si="180"/>
        <v>123267.45413578855</v>
      </c>
      <c r="AP295" s="534">
        <v>113.29</v>
      </c>
      <c r="AQ295" s="530">
        <v>300.85000000000002</v>
      </c>
      <c r="AR295" s="530">
        <f t="shared" si="181"/>
        <v>187.56</v>
      </c>
      <c r="AS295" s="533">
        <f t="shared" si="182"/>
        <v>98508.920740129935</v>
      </c>
      <c r="AT295" s="534">
        <v>1</v>
      </c>
      <c r="AU295" s="530">
        <v>353.2</v>
      </c>
      <c r="AV295" s="530">
        <f t="shared" si="183"/>
        <v>352.2</v>
      </c>
      <c r="AW295" s="533">
        <f t="shared" si="184"/>
        <v>184979.96313005846</v>
      </c>
      <c r="AX295" s="534">
        <v>2.2999999999999998</v>
      </c>
      <c r="AY295" s="530">
        <v>138.5</v>
      </c>
      <c r="AZ295" s="530">
        <f t="shared" si="185"/>
        <v>136.19999999999999</v>
      </c>
      <c r="BA295" s="533">
        <f t="shared" si="186"/>
        <v>71533.989149102665</v>
      </c>
      <c r="BB295" s="534">
        <v>-23.65</v>
      </c>
      <c r="BC295" s="530">
        <v>-31.21</v>
      </c>
      <c r="BD295" s="530">
        <f t="shared" si="187"/>
        <v>-7.5600000000000023</v>
      </c>
      <c r="BE295" s="530">
        <v>-11.878424000000001</v>
      </c>
      <c r="BF295" s="533">
        <f t="shared" si="188"/>
        <v>-3970.6090893334535</v>
      </c>
      <c r="BG295" s="527">
        <v>86.6</v>
      </c>
      <c r="BH295" s="527">
        <v>85.7</v>
      </c>
      <c r="BI295" s="527">
        <f t="shared" si="189"/>
        <v>-0.89999999999999147</v>
      </c>
      <c r="BJ295" s="545">
        <v>72</v>
      </c>
      <c r="BK295" s="545">
        <v>74.2</v>
      </c>
      <c r="BL295" s="545">
        <f t="shared" si="190"/>
        <v>2.2000000000000028</v>
      </c>
      <c r="BM295" s="545">
        <v>0</v>
      </c>
      <c r="BN295" s="545">
        <v>0</v>
      </c>
      <c r="BO295" s="545">
        <f t="shared" si="191"/>
        <v>0</v>
      </c>
      <c r="BP295" s="527"/>
      <c r="BQ295" s="527"/>
      <c r="BR295" s="527"/>
      <c r="BS295" s="527"/>
      <c r="BT295" s="524"/>
      <c r="BU295" s="512"/>
      <c r="BV295" s="512"/>
      <c r="BW295" s="512"/>
      <c r="BX295" s="512"/>
      <c r="BY295" s="512"/>
      <c r="BZ295" s="512"/>
      <c r="CA295" s="512"/>
      <c r="CB295" s="512"/>
      <c r="CC295" s="512"/>
      <c r="CD295" s="512"/>
      <c r="CE295" s="512"/>
      <c r="CF295" s="512"/>
      <c r="CG295" s="512"/>
    </row>
    <row r="296" spans="1:85" s="520" customFormat="1" ht="15.75">
      <c r="A296" s="535" t="s">
        <v>1056</v>
      </c>
      <c r="B296" s="537"/>
      <c r="C296" s="537"/>
      <c r="D296" s="538"/>
      <c r="E296" s="537"/>
      <c r="F296" s="537"/>
      <c r="G296" s="538"/>
      <c r="H296" s="538"/>
      <c r="I296" s="538"/>
      <c r="J296" s="538"/>
      <c r="K296" s="538"/>
      <c r="L296" s="538"/>
      <c r="M296" s="538"/>
      <c r="N296" s="538"/>
      <c r="O296" s="538"/>
      <c r="P296" s="539"/>
      <c r="Q296" s="540"/>
      <c r="R296" s="537"/>
      <c r="S296" s="537"/>
      <c r="T296" s="537"/>
      <c r="U296" s="537"/>
      <c r="V296" s="537"/>
      <c r="W296" s="537"/>
      <c r="X296" s="537"/>
      <c r="Y296" s="537"/>
      <c r="Z296" s="537"/>
      <c r="AA296" s="537"/>
      <c r="AB296" s="537"/>
      <c r="AC296" s="537"/>
      <c r="AD296" s="537"/>
      <c r="AE296" s="537"/>
      <c r="AF296" s="537"/>
      <c r="AG296" s="537"/>
      <c r="AH296" s="537"/>
      <c r="AI296" s="537"/>
      <c r="AJ296" s="537"/>
      <c r="AK296" s="537"/>
      <c r="AL296" s="537"/>
      <c r="AM296" s="537"/>
      <c r="AN296" s="537"/>
      <c r="AO296" s="537"/>
      <c r="AP296" s="537"/>
      <c r="AQ296" s="537"/>
      <c r="AR296" s="537"/>
      <c r="AS296" s="537"/>
      <c r="AT296" s="537"/>
      <c r="AU296" s="537"/>
      <c r="AV296" s="537"/>
      <c r="AW296" s="537"/>
      <c r="AX296" s="537"/>
      <c r="AY296" s="537"/>
      <c r="AZ296" s="537"/>
      <c r="BA296" s="537"/>
      <c r="BB296" s="537"/>
      <c r="BC296" s="537"/>
      <c r="BD296" s="537"/>
      <c r="BE296" s="537"/>
      <c r="BF296" s="537"/>
      <c r="BG296" s="537"/>
      <c r="BH296" s="537"/>
      <c r="BI296" s="537"/>
      <c r="BJ296" s="537"/>
      <c r="BK296" s="537"/>
      <c r="BL296" s="537"/>
      <c r="BM296" s="537"/>
      <c r="BN296" s="537"/>
      <c r="BO296" s="537"/>
      <c r="BP296" s="537"/>
      <c r="BQ296" s="537"/>
      <c r="BR296" s="537"/>
      <c r="BS296" s="537"/>
      <c r="BT296" s="537"/>
      <c r="BU296" s="537"/>
      <c r="BV296" s="537"/>
      <c r="BW296" s="537"/>
      <c r="BX296" s="537"/>
      <c r="BY296" s="537"/>
      <c r="BZ296" s="537"/>
      <c r="CA296" s="537"/>
      <c r="CB296" s="537"/>
      <c r="CC296" s="537"/>
      <c r="CD296" s="537"/>
      <c r="CE296" s="537"/>
      <c r="CF296" s="542"/>
      <c r="CG296" s="541"/>
    </row>
  </sheetData>
  <mergeCells count="4">
    <mergeCell ref="T3:U3"/>
    <mergeCell ref="Y3:Z3"/>
    <mergeCell ref="BP6:BS6"/>
    <mergeCell ref="BG6:BI6"/>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V267"/>
  <sheetViews>
    <sheetView zoomScale="70" zoomScaleNormal="70" workbookViewId="0">
      <pane xSplit="3" ySplit="8" topLeftCell="D9" activePane="bottomRight" state="frozen"/>
      <selection pane="topRight" activeCell="G1" sqref="G1"/>
      <selection pane="bottomLeft" activeCell="A9" sqref="A9"/>
      <selection pane="bottomRight" activeCell="BD24" sqref="BD24"/>
    </sheetView>
  </sheetViews>
  <sheetFormatPr defaultColWidth="9.140625" defaultRowHeight="15"/>
  <cols>
    <col min="1" max="1" width="21.7109375" style="520" customWidth="1"/>
    <col min="2" max="2" width="50.140625" style="565" bestFit="1" customWidth="1"/>
    <col min="3" max="3" width="14.42578125" style="565" customWidth="1"/>
    <col min="4" max="4" width="16.42578125" style="565" customWidth="1"/>
    <col min="5" max="5" width="43.5703125" style="565" customWidth="1"/>
    <col min="6" max="6" width="37.5703125" style="520" customWidth="1"/>
    <col min="7" max="9" width="10" style="520" customWidth="1"/>
    <col min="10" max="10" width="15.42578125" style="520" customWidth="1"/>
    <col min="11" max="11" width="15.28515625" style="565" customWidth="1"/>
    <col min="12" max="14" width="12.28515625" style="565" customWidth="1"/>
    <col min="15" max="15" width="9.7109375" style="520" bestFit="1" customWidth="1"/>
    <col min="16" max="16" width="10" style="118" customWidth="1"/>
    <col min="17" max="17" width="11.42578125" style="118" bestFit="1" customWidth="1"/>
    <col min="18" max="19" width="14.42578125" style="520" customWidth="1"/>
    <col min="20" max="20" width="9.5703125" style="118" customWidth="1"/>
    <col min="21" max="21" width="12.5703125" style="118" customWidth="1"/>
    <col min="22" max="22" width="11.42578125" style="118" bestFit="1" customWidth="1"/>
    <col min="23" max="23" width="14.42578125" style="520" customWidth="1"/>
    <col min="24" max="28" width="12.42578125" style="520" customWidth="1"/>
    <col min="29" max="34" width="9.5703125" style="520" customWidth="1"/>
    <col min="35" max="35" width="10.85546875" style="520" customWidth="1"/>
    <col min="36" max="43" width="9.5703125" style="520" customWidth="1"/>
    <col min="44" max="45" width="9.42578125" style="520" customWidth="1"/>
    <col min="46" max="46" width="12.5703125" style="520" customWidth="1"/>
    <col min="47" max="47" width="19" style="520" customWidth="1"/>
    <col min="48" max="48" width="14.28515625" style="520" customWidth="1"/>
    <col min="49" max="49" width="13" style="520" customWidth="1"/>
    <col min="50" max="50" width="16" style="520" customWidth="1"/>
    <col min="51" max="51" width="13.5703125" style="520" customWidth="1"/>
    <col min="52" max="52" width="13" style="520" customWidth="1"/>
    <col min="53" max="53" width="12.85546875" style="520" customWidth="1"/>
    <col min="54" max="54" width="15.7109375" style="520" customWidth="1"/>
    <col min="55" max="60" width="24" style="520" customWidth="1"/>
    <col min="61" max="61" width="9.140625" style="565"/>
    <col min="62" max="16384" width="9.140625" style="512"/>
  </cols>
  <sheetData>
    <row r="1" spans="1:74">
      <c r="H1" s="565"/>
      <c r="J1" s="565"/>
      <c r="P1" s="520"/>
      <c r="Q1" s="565"/>
      <c r="S1" s="565"/>
      <c r="T1" s="520"/>
      <c r="U1" s="565"/>
      <c r="V1" s="520"/>
      <c r="W1" s="565"/>
      <c r="Y1" s="565"/>
      <c r="AA1" s="565"/>
      <c r="AC1" s="565"/>
      <c r="AE1" s="565"/>
      <c r="AG1" s="565"/>
      <c r="AI1" s="565"/>
      <c r="AK1" s="565"/>
      <c r="AM1" s="565"/>
      <c r="AO1" s="565"/>
      <c r="AQ1" s="565"/>
      <c r="AS1" s="565"/>
      <c r="AU1" s="565"/>
      <c r="AW1" s="565"/>
      <c r="AY1" s="565"/>
      <c r="BA1" s="565"/>
      <c r="BC1" s="512"/>
      <c r="BD1" s="512"/>
      <c r="BE1" s="512"/>
      <c r="BF1" s="512"/>
      <c r="BG1" s="512"/>
      <c r="BH1" s="512"/>
    </row>
    <row r="2" spans="1:74">
      <c r="A2" s="229" t="s">
        <v>5</v>
      </c>
      <c r="B2" s="259" t="s">
        <v>483</v>
      </c>
      <c r="C2" s="259"/>
      <c r="D2" s="159" t="s">
        <v>6</v>
      </c>
      <c r="E2" s="23" t="s">
        <v>1293</v>
      </c>
      <c r="F2" s="23"/>
      <c r="G2" s="23"/>
      <c r="H2" s="23"/>
      <c r="I2" s="23"/>
      <c r="K2" s="259"/>
      <c r="L2" s="259"/>
      <c r="M2" s="259"/>
      <c r="N2" s="509"/>
      <c r="P2" s="520"/>
      <c r="Q2" s="520"/>
      <c r="T2" s="520"/>
      <c r="U2" s="520"/>
      <c r="V2" s="520"/>
      <c r="AC2" s="512"/>
      <c r="AD2" s="512"/>
      <c r="AE2" s="512"/>
      <c r="AL2" s="512"/>
      <c r="AM2" s="512"/>
      <c r="AN2" s="512"/>
      <c r="AO2" s="512"/>
      <c r="AP2" s="512"/>
      <c r="AQ2" s="512"/>
      <c r="AR2" s="512"/>
      <c r="AS2" s="512"/>
      <c r="AT2" s="512"/>
      <c r="AU2" s="512"/>
      <c r="AV2" s="512"/>
      <c r="AW2" s="512"/>
      <c r="AX2" s="512"/>
      <c r="AY2" s="512"/>
      <c r="AZ2" s="512"/>
      <c r="BA2" s="512"/>
      <c r="BB2" s="512"/>
      <c r="BC2" s="512"/>
      <c r="BD2" s="512"/>
      <c r="BE2" s="512"/>
      <c r="BF2" s="512"/>
      <c r="BG2" s="512"/>
      <c r="BH2" s="512"/>
    </row>
    <row r="3" spans="1:74">
      <c r="A3" s="229" t="s">
        <v>7</v>
      </c>
      <c r="B3" s="259" t="s">
        <v>480</v>
      </c>
      <c r="C3" s="259"/>
      <c r="E3" s="223"/>
      <c r="F3" s="22"/>
      <c r="G3" s="110"/>
      <c r="H3" s="110"/>
      <c r="I3" s="22"/>
      <c r="K3" s="548"/>
      <c r="L3" s="548"/>
      <c r="M3" s="548"/>
      <c r="N3" s="509"/>
      <c r="P3" s="48"/>
      <c r="Q3" s="48"/>
      <c r="T3" s="520"/>
      <c r="U3" s="520"/>
      <c r="V3" s="520"/>
      <c r="AC3" s="512"/>
      <c r="AD3" s="512"/>
      <c r="AE3" s="512"/>
      <c r="AL3" s="512"/>
      <c r="AM3" s="512"/>
      <c r="AN3" s="512"/>
      <c r="AO3" s="512"/>
      <c r="AP3" s="512"/>
      <c r="AQ3" s="512"/>
      <c r="AR3" s="512"/>
      <c r="AS3" s="512"/>
      <c r="AT3" s="512"/>
      <c r="AU3" s="512"/>
      <c r="AV3" s="512"/>
      <c r="AW3" s="512"/>
      <c r="AX3" s="512"/>
      <c r="AY3" s="512"/>
      <c r="AZ3" s="512"/>
      <c r="BA3" s="512"/>
      <c r="BB3" s="512"/>
      <c r="BC3" s="512"/>
      <c r="BD3" s="512"/>
      <c r="BE3" s="512"/>
      <c r="BF3" s="512"/>
      <c r="BG3" s="512"/>
      <c r="BH3" s="512"/>
    </row>
    <row r="4" spans="1:74">
      <c r="A4" s="116" t="s">
        <v>8</v>
      </c>
      <c r="B4" s="223" t="s">
        <v>320</v>
      </c>
      <c r="C4" s="223"/>
      <c r="D4" s="223"/>
      <c r="E4" s="223"/>
      <c r="F4" s="116"/>
      <c r="G4" s="116"/>
      <c r="H4" s="116"/>
      <c r="I4" s="116"/>
      <c r="J4" s="116"/>
      <c r="K4" s="223"/>
      <c r="L4" s="223"/>
      <c r="M4" s="223"/>
      <c r="N4" s="509"/>
      <c r="P4" s="520"/>
      <c r="Q4" s="520"/>
      <c r="T4" s="520"/>
      <c r="U4" s="520"/>
      <c r="V4" s="520"/>
      <c r="AC4" s="512"/>
      <c r="AD4" s="512"/>
      <c r="AE4" s="512"/>
      <c r="AL4" s="512"/>
      <c r="AM4" s="512"/>
      <c r="AN4" s="512"/>
      <c r="AO4" s="512"/>
      <c r="AP4" s="512"/>
      <c r="AQ4" s="512"/>
      <c r="AR4" s="512"/>
      <c r="AS4" s="512"/>
      <c r="AT4" s="512"/>
      <c r="AU4" s="512"/>
      <c r="AV4" s="512"/>
      <c r="AW4" s="512"/>
      <c r="AX4" s="512"/>
      <c r="AY4" s="512"/>
      <c r="AZ4" s="512"/>
      <c r="BA4" s="512"/>
      <c r="BB4" s="512"/>
      <c r="BC4" s="512"/>
      <c r="BD4" s="512"/>
      <c r="BE4" s="512"/>
      <c r="BF4" s="512"/>
      <c r="BG4" s="512"/>
      <c r="BH4" s="512"/>
    </row>
    <row r="5" spans="1:74" ht="15.75" thickBot="1">
      <c r="A5" s="116" t="s">
        <v>1289</v>
      </c>
      <c r="B5" s="223" t="s">
        <v>1290</v>
      </c>
      <c r="C5" s="223"/>
      <c r="D5" s="223"/>
      <c r="E5" s="223"/>
      <c r="F5" s="116"/>
      <c r="G5" s="116"/>
      <c r="H5" s="116"/>
      <c r="I5" s="116"/>
      <c r="J5" s="116"/>
      <c r="K5" s="223"/>
      <c r="L5" s="223"/>
      <c r="M5" s="223"/>
      <c r="N5" s="509"/>
      <c r="O5" s="115"/>
    </row>
    <row r="6" spans="1:74" s="120" customFormat="1" ht="15" customHeight="1" thickBot="1">
      <c r="B6" s="566"/>
      <c r="C6" s="566"/>
      <c r="D6" s="566"/>
      <c r="E6" s="566"/>
      <c r="K6" s="566"/>
      <c r="L6" s="566"/>
      <c r="M6" s="566"/>
      <c r="N6" s="575"/>
      <c r="O6" s="121"/>
      <c r="P6" s="121"/>
      <c r="Q6" s="121"/>
      <c r="R6" s="730" t="s">
        <v>1291</v>
      </c>
      <c r="S6" s="731"/>
      <c r="T6" s="731"/>
      <c r="U6" s="731"/>
      <c r="V6" s="731"/>
      <c r="W6" s="731"/>
      <c r="X6" s="731"/>
      <c r="Y6" s="731"/>
      <c r="Z6" s="731"/>
      <c r="AA6" s="731"/>
      <c r="AB6" s="731"/>
      <c r="AC6" s="731"/>
      <c r="AD6" s="731"/>
      <c r="AE6" s="731"/>
      <c r="AF6" s="731"/>
      <c r="AG6" s="731"/>
      <c r="AH6" s="731"/>
      <c r="AI6" s="731"/>
      <c r="AJ6" s="731"/>
      <c r="AK6" s="731"/>
      <c r="AL6" s="731"/>
      <c r="AM6" s="731"/>
      <c r="AN6" s="731"/>
      <c r="AO6" s="731"/>
      <c r="AP6" s="731"/>
      <c r="AQ6" s="731"/>
      <c r="AR6" s="731"/>
      <c r="AS6" s="731"/>
      <c r="AT6" s="731"/>
      <c r="AU6" s="731"/>
      <c r="AV6" s="731"/>
      <c r="AW6" s="731"/>
      <c r="AX6" s="731"/>
      <c r="AY6" s="731"/>
      <c r="AZ6" s="731"/>
      <c r="BA6" s="731"/>
      <c r="BB6" s="732"/>
      <c r="BC6" s="728" t="s">
        <v>392</v>
      </c>
      <c r="BD6" s="729"/>
      <c r="BE6" s="729"/>
      <c r="BF6" s="729"/>
      <c r="BG6" s="729"/>
      <c r="BH6" s="729"/>
      <c r="BI6" s="573"/>
      <c r="BJ6" s="733" t="s">
        <v>1292</v>
      </c>
      <c r="BK6" s="734"/>
      <c r="BL6" s="734"/>
      <c r="BM6" s="734"/>
      <c r="BN6" s="734"/>
      <c r="BO6" s="734"/>
      <c r="BP6" s="734"/>
      <c r="BQ6" s="734"/>
      <c r="BR6" s="734"/>
      <c r="BS6" s="734"/>
      <c r="BT6" s="734"/>
      <c r="BU6" s="735"/>
    </row>
    <row r="7" spans="1:74" s="595" customFormat="1" ht="60">
      <c r="A7" s="582" t="s">
        <v>391</v>
      </c>
      <c r="B7" s="583" t="s">
        <v>1</v>
      </c>
      <c r="C7" s="583" t="s">
        <v>632</v>
      </c>
      <c r="D7" s="584" t="s">
        <v>633</v>
      </c>
      <c r="E7" s="584" t="s">
        <v>2</v>
      </c>
      <c r="F7" s="584" t="s">
        <v>3</v>
      </c>
      <c r="G7" s="585" t="s">
        <v>390</v>
      </c>
      <c r="H7" s="585" t="s">
        <v>317</v>
      </c>
      <c r="I7" s="585" t="s">
        <v>318</v>
      </c>
      <c r="J7" s="585" t="s">
        <v>634</v>
      </c>
      <c r="K7" s="586" t="s">
        <v>221</v>
      </c>
      <c r="L7" s="586" t="s">
        <v>46</v>
      </c>
      <c r="M7" s="586" t="s">
        <v>47</v>
      </c>
      <c r="N7" s="586" t="s">
        <v>48</v>
      </c>
      <c r="O7" s="587" t="s">
        <v>319</v>
      </c>
      <c r="P7" s="588" t="s">
        <v>635</v>
      </c>
      <c r="Q7" s="588" t="s">
        <v>636</v>
      </c>
      <c r="R7" s="589" t="s">
        <v>637</v>
      </c>
      <c r="S7" s="589" t="s">
        <v>638</v>
      </c>
      <c r="T7" s="589" t="s">
        <v>639</v>
      </c>
      <c r="U7" s="589" t="s">
        <v>640</v>
      </c>
      <c r="V7" s="589" t="s">
        <v>657</v>
      </c>
      <c r="W7" s="589" t="s">
        <v>658</v>
      </c>
      <c r="X7" s="589" t="s">
        <v>659</v>
      </c>
      <c r="Y7" s="589" t="s">
        <v>660</v>
      </c>
      <c r="Z7" s="589" t="s">
        <v>661</v>
      </c>
      <c r="AA7" s="589" t="s">
        <v>662</v>
      </c>
      <c r="AB7" s="589" t="s">
        <v>663</v>
      </c>
      <c r="AC7" s="589" t="s">
        <v>664</v>
      </c>
      <c r="AD7" s="589" t="s">
        <v>665</v>
      </c>
      <c r="AE7" s="589" t="s">
        <v>666</v>
      </c>
      <c r="AF7" s="589" t="s">
        <v>667</v>
      </c>
      <c r="AG7" s="589" t="s">
        <v>668</v>
      </c>
      <c r="AH7" s="589" t="s">
        <v>677</v>
      </c>
      <c r="AI7" s="589" t="s">
        <v>678</v>
      </c>
      <c r="AJ7" s="589" t="s">
        <v>679</v>
      </c>
      <c r="AK7" s="589" t="s">
        <v>680</v>
      </c>
      <c r="AL7" s="589" t="s">
        <v>681</v>
      </c>
      <c r="AM7" s="589" t="s">
        <v>682</v>
      </c>
      <c r="AN7" s="589" t="s">
        <v>683</v>
      </c>
      <c r="AO7" s="589" t="s">
        <v>684</v>
      </c>
      <c r="AP7" s="589" t="s">
        <v>669</v>
      </c>
      <c r="AQ7" s="589" t="s">
        <v>670</v>
      </c>
      <c r="AR7" s="589" t="s">
        <v>671</v>
      </c>
      <c r="AS7" s="589" t="s">
        <v>672</v>
      </c>
      <c r="AT7" s="589" t="s">
        <v>673</v>
      </c>
      <c r="AU7" s="589" t="s">
        <v>674</v>
      </c>
      <c r="AV7" s="589" t="s">
        <v>675</v>
      </c>
      <c r="AW7" s="589" t="s">
        <v>676</v>
      </c>
      <c r="AX7" s="589" t="s">
        <v>685</v>
      </c>
      <c r="AY7" s="589" t="s">
        <v>686</v>
      </c>
      <c r="AZ7" s="589" t="s">
        <v>641</v>
      </c>
      <c r="BA7" s="589" t="s">
        <v>687</v>
      </c>
      <c r="BB7" s="589" t="s">
        <v>642</v>
      </c>
      <c r="BC7" s="590" t="s">
        <v>691</v>
      </c>
      <c r="BD7" s="590" t="s">
        <v>692</v>
      </c>
      <c r="BE7" s="590" t="s">
        <v>689</v>
      </c>
      <c r="BF7" s="590" t="s">
        <v>693</v>
      </c>
      <c r="BG7" s="590" t="s">
        <v>694</v>
      </c>
      <c r="BH7" s="591" t="s">
        <v>690</v>
      </c>
      <c r="BI7" s="592" t="s">
        <v>643</v>
      </c>
      <c r="BJ7" s="593" t="s">
        <v>644</v>
      </c>
      <c r="BK7" s="593" t="s">
        <v>645</v>
      </c>
      <c r="BL7" s="593" t="s">
        <v>646</v>
      </c>
      <c r="BM7" s="593" t="s">
        <v>647</v>
      </c>
      <c r="BN7" s="593" t="s">
        <v>648</v>
      </c>
      <c r="BO7" s="593" t="s">
        <v>649</v>
      </c>
      <c r="BP7" s="593" t="s">
        <v>650</v>
      </c>
      <c r="BQ7" s="593" t="s">
        <v>651</v>
      </c>
      <c r="BR7" s="593" t="s">
        <v>652</v>
      </c>
      <c r="BS7" s="593" t="s">
        <v>653</v>
      </c>
      <c r="BT7" s="593" t="s">
        <v>654</v>
      </c>
      <c r="BU7" s="594" t="s">
        <v>655</v>
      </c>
    </row>
    <row r="8" spans="1:74" s="520" customFormat="1" ht="15.75">
      <c r="A8" s="535" t="s">
        <v>656</v>
      </c>
      <c r="B8" s="537"/>
      <c r="C8" s="537"/>
      <c r="D8" s="537"/>
      <c r="E8" s="538"/>
      <c r="F8" s="538"/>
      <c r="G8" s="538"/>
      <c r="H8" s="538"/>
      <c r="I8" s="538"/>
      <c r="J8" s="538"/>
      <c r="K8" s="537"/>
      <c r="L8" s="537"/>
      <c r="M8" s="576"/>
      <c r="N8" s="577"/>
      <c r="O8" s="537"/>
      <c r="P8" s="537"/>
      <c r="Q8" s="537"/>
      <c r="R8" s="537"/>
      <c r="S8" s="537"/>
      <c r="T8" s="537"/>
      <c r="U8" s="537"/>
      <c r="V8" s="537"/>
      <c r="W8" s="537"/>
      <c r="X8" s="537"/>
      <c r="Y8" s="537"/>
      <c r="Z8" s="537"/>
      <c r="AA8" s="537"/>
      <c r="AB8" s="537"/>
      <c r="AC8" s="537"/>
      <c r="AD8" s="537"/>
      <c r="AE8" s="537"/>
      <c r="AF8" s="537"/>
      <c r="AG8" s="537"/>
      <c r="AH8" s="537"/>
      <c r="AI8" s="537"/>
      <c r="AJ8" s="537"/>
      <c r="AK8" s="537"/>
      <c r="AL8" s="537"/>
      <c r="AM8" s="537"/>
      <c r="AN8" s="537"/>
      <c r="AO8" s="537"/>
      <c r="AP8" s="537"/>
      <c r="AQ8" s="537"/>
      <c r="AR8" s="537"/>
      <c r="AS8" s="537"/>
      <c r="AT8" s="537"/>
      <c r="AU8" s="537"/>
      <c r="AV8" s="537"/>
      <c r="AW8" s="537"/>
      <c r="AX8" s="537"/>
      <c r="AY8" s="537"/>
      <c r="AZ8" s="537"/>
      <c r="BA8" s="537"/>
      <c r="BB8" s="537"/>
      <c r="BC8" s="537"/>
      <c r="BD8" s="537"/>
      <c r="BE8" s="537"/>
      <c r="BF8" s="537"/>
      <c r="BG8" s="537"/>
      <c r="BH8" s="537"/>
      <c r="BI8" s="569"/>
      <c r="BJ8" s="537"/>
      <c r="BK8" s="537"/>
      <c r="BL8" s="537"/>
      <c r="BM8" s="537"/>
      <c r="BN8" s="537"/>
      <c r="BO8" s="537"/>
      <c r="BP8" s="537"/>
      <c r="BQ8" s="537"/>
      <c r="BR8" s="537"/>
      <c r="BS8" s="537"/>
      <c r="BT8" s="537"/>
      <c r="BU8" s="542"/>
    </row>
    <row r="9" spans="1:74" s="519" customFormat="1">
      <c r="A9" s="543">
        <v>62005005</v>
      </c>
      <c r="B9" s="543" t="s">
        <v>818</v>
      </c>
      <c r="C9" s="543" t="s">
        <v>695</v>
      </c>
      <c r="D9" s="513" t="s">
        <v>725</v>
      </c>
      <c r="E9" s="524" t="s">
        <v>726</v>
      </c>
      <c r="F9" s="524" t="s">
        <v>708</v>
      </c>
      <c r="G9" s="531">
        <v>25.635573000000001</v>
      </c>
      <c r="H9" s="531">
        <v>37.686678000000001</v>
      </c>
      <c r="I9" s="531">
        <v>29.30613</v>
      </c>
      <c r="J9" s="531">
        <v>29.154872000000001</v>
      </c>
      <c r="K9" s="578">
        <v>4250</v>
      </c>
      <c r="L9" s="578">
        <v>38.71</v>
      </c>
      <c r="M9" s="578">
        <v>3.0499999999999999E-2</v>
      </c>
      <c r="N9" s="578">
        <v>1.4999999999999999E-2</v>
      </c>
      <c r="O9" s="529">
        <v>10.29349865</v>
      </c>
      <c r="P9" s="544">
        <v>52.4</v>
      </c>
      <c r="Q9" s="544">
        <v>49.9</v>
      </c>
      <c r="R9" s="530">
        <v>9028</v>
      </c>
      <c r="S9" s="530">
        <v>10987</v>
      </c>
      <c r="T9" s="530">
        <v>1959</v>
      </c>
      <c r="U9" s="530">
        <v>190.31430095927587</v>
      </c>
      <c r="V9" s="534">
        <v>8779</v>
      </c>
      <c r="W9" s="530">
        <v>10733</v>
      </c>
      <c r="X9" s="530">
        <v>1954</v>
      </c>
      <c r="Y9" s="533">
        <v>189.82855746525016</v>
      </c>
      <c r="Z9" s="534">
        <v>1361</v>
      </c>
      <c r="AA9" s="530">
        <v>1365</v>
      </c>
      <c r="AB9" s="530">
        <v>4</v>
      </c>
      <c r="AC9" s="533">
        <v>0.3885947952205735</v>
      </c>
      <c r="AD9" s="534">
        <v>5816</v>
      </c>
      <c r="AE9" s="530">
        <v>7673</v>
      </c>
      <c r="AF9" s="530">
        <v>1857</v>
      </c>
      <c r="AG9" s="533">
        <v>180.40513368115126</v>
      </c>
      <c r="AH9" s="534">
        <v>1219.5</v>
      </c>
      <c r="AI9" s="530">
        <v>1320.8</v>
      </c>
      <c r="AJ9" s="530">
        <v>101.29999999999995</v>
      </c>
      <c r="AK9" s="533">
        <v>9.8411631889610192</v>
      </c>
      <c r="AL9" s="534">
        <v>1784.06513</v>
      </c>
      <c r="AM9" s="530">
        <v>1868.934835</v>
      </c>
      <c r="AN9" s="530">
        <v>84.869705000000067</v>
      </c>
      <c r="AO9" s="533">
        <v>8.2449814087263782</v>
      </c>
      <c r="AP9" s="534">
        <v>339</v>
      </c>
      <c r="AQ9" s="530">
        <v>339.1</v>
      </c>
      <c r="AR9" s="530">
        <v>0.10000000000002274</v>
      </c>
      <c r="AS9" s="533">
        <v>9.7148698805165461E-3</v>
      </c>
      <c r="AT9" s="534">
        <v>259.2</v>
      </c>
      <c r="AU9" s="530">
        <v>259.7</v>
      </c>
      <c r="AV9" s="530">
        <v>0.5</v>
      </c>
      <c r="AW9" s="533">
        <v>4.8574349402571687E-2</v>
      </c>
      <c r="AX9" s="534">
        <v>-72.25</v>
      </c>
      <c r="AY9" s="530">
        <v>-73.66</v>
      </c>
      <c r="AZ9" s="530">
        <v>-1.4099999999999966</v>
      </c>
      <c r="BA9" s="530">
        <v>-6.6987459999999999</v>
      </c>
      <c r="BB9" s="533">
        <v>-0.13697966531525183</v>
      </c>
      <c r="BC9" s="545"/>
      <c r="BD9" s="545"/>
      <c r="BE9" s="545"/>
      <c r="BF9" s="545"/>
      <c r="BG9" s="545"/>
      <c r="BH9" s="567"/>
      <c r="BI9" s="574" t="s">
        <v>723</v>
      </c>
      <c r="BJ9" s="1">
        <v>1865.68720695</v>
      </c>
      <c r="BK9" s="1">
        <v>-0.65690289999999996</v>
      </c>
      <c r="BL9" s="1">
        <v>1298.18952769</v>
      </c>
      <c r="BM9" s="1">
        <v>1306.77376239</v>
      </c>
      <c r="BN9" s="1">
        <v>6.8074094599999997</v>
      </c>
      <c r="BO9" s="1">
        <v>6.7904396900000004</v>
      </c>
      <c r="BP9" s="1">
        <v>0.35901311000000002</v>
      </c>
      <c r="BQ9" s="1">
        <v>10.29352285</v>
      </c>
      <c r="BR9" s="1">
        <v>10.256699960000001</v>
      </c>
      <c r="BS9" s="1">
        <v>-0.10883431</v>
      </c>
      <c r="BT9" s="1">
        <v>0.24990681000000001</v>
      </c>
      <c r="BU9" s="128">
        <v>0.33398489999999997</v>
      </c>
      <c r="BV9" s="512"/>
    </row>
    <row r="10" spans="1:74" s="519" customFormat="1">
      <c r="A10" s="543">
        <v>62005005</v>
      </c>
      <c r="B10" s="543" t="s">
        <v>818</v>
      </c>
      <c r="C10" s="543" t="s">
        <v>696</v>
      </c>
      <c r="D10" s="513" t="s">
        <v>725</v>
      </c>
      <c r="E10" s="524" t="s">
        <v>726</v>
      </c>
      <c r="F10" s="524" t="s">
        <v>708</v>
      </c>
      <c r="G10" s="531">
        <v>24.647652000000001</v>
      </c>
      <c r="H10" s="531">
        <v>39.432262000000001</v>
      </c>
      <c r="I10" s="531">
        <v>29.294592000000002</v>
      </c>
      <c r="J10" s="531">
        <v>31.595939999999999</v>
      </c>
      <c r="K10" s="578">
        <v>4250</v>
      </c>
      <c r="L10" s="578">
        <v>38.71</v>
      </c>
      <c r="M10" s="578">
        <v>3.0499999999999999E-2</v>
      </c>
      <c r="N10" s="578">
        <v>1.4999999999999999E-2</v>
      </c>
      <c r="O10" s="529">
        <v>10.292716009999999</v>
      </c>
      <c r="P10" s="544">
        <v>49.9</v>
      </c>
      <c r="Q10" s="544">
        <v>47.5</v>
      </c>
      <c r="R10" s="530">
        <v>10989</v>
      </c>
      <c r="S10" s="530">
        <v>12889</v>
      </c>
      <c r="T10" s="530">
        <v>1900</v>
      </c>
      <c r="U10" s="530">
        <v>184.59656306013247</v>
      </c>
      <c r="V10" s="534">
        <v>10735</v>
      </c>
      <c r="W10" s="530">
        <v>12628</v>
      </c>
      <c r="X10" s="530">
        <v>1893</v>
      </c>
      <c r="Y10" s="533">
        <v>183.91647045938461</v>
      </c>
      <c r="Z10" s="534">
        <v>1365</v>
      </c>
      <c r="AA10" s="530">
        <v>1369</v>
      </c>
      <c r="AB10" s="530">
        <v>4</v>
      </c>
      <c r="AC10" s="533">
        <v>0.38862434328448942</v>
      </c>
      <c r="AD10" s="534">
        <v>7673</v>
      </c>
      <c r="AE10" s="530">
        <v>9470</v>
      </c>
      <c r="AF10" s="530">
        <v>1797</v>
      </c>
      <c r="AG10" s="533">
        <v>174.58948622055686</v>
      </c>
      <c r="AH10" s="534">
        <v>1322.9</v>
      </c>
      <c r="AI10" s="530">
        <v>1424.7</v>
      </c>
      <c r="AJ10" s="530">
        <v>101.79999999999995</v>
      </c>
      <c r="AK10" s="533">
        <v>9.8904895365902519</v>
      </c>
      <c r="AL10" s="534">
        <v>1870.694888</v>
      </c>
      <c r="AM10" s="530">
        <v>1956.0088699999999</v>
      </c>
      <c r="AN10" s="530">
        <v>85.313981999999896</v>
      </c>
      <c r="AO10" s="533">
        <v>8.2887725569336776</v>
      </c>
      <c r="AP10" s="534">
        <v>339.2</v>
      </c>
      <c r="AQ10" s="530">
        <v>339.3</v>
      </c>
      <c r="AR10" s="530">
        <v>0.10000000000002274</v>
      </c>
      <c r="AS10" s="533">
        <v>9.715608582114444E-3</v>
      </c>
      <c r="AT10" s="534">
        <v>259.7</v>
      </c>
      <c r="AU10" s="530">
        <v>260.2</v>
      </c>
      <c r="AV10" s="530">
        <v>0.5</v>
      </c>
      <c r="AW10" s="533">
        <v>4.8578042910561177E-2</v>
      </c>
      <c r="AX10" s="534">
        <v>-73.680000000000007</v>
      </c>
      <c r="AY10" s="530">
        <v>-74.739999999999995</v>
      </c>
      <c r="AZ10" s="530">
        <v>-1.0599999999999881</v>
      </c>
      <c r="BA10" s="530">
        <v>-4.9841150000000001</v>
      </c>
      <c r="BB10" s="533">
        <v>-0.10298545097038854</v>
      </c>
      <c r="BC10" s="545"/>
      <c r="BD10" s="545"/>
      <c r="BE10" s="545"/>
      <c r="BF10" s="545"/>
      <c r="BG10" s="545"/>
      <c r="BH10" s="567"/>
      <c r="BI10" s="574" t="s">
        <v>723</v>
      </c>
      <c r="BJ10" s="1">
        <v>1865.5795744</v>
      </c>
      <c r="BK10" s="1">
        <v>-0.36702633000000001</v>
      </c>
      <c r="BL10" s="1">
        <v>1301.9781995400001</v>
      </c>
      <c r="BM10" s="1">
        <v>1306.7744056500001</v>
      </c>
      <c r="BN10" s="1">
        <v>6.8088342400000004</v>
      </c>
      <c r="BO10" s="1">
        <v>6.7904306800000001</v>
      </c>
      <c r="BP10" s="1">
        <v>0.35109728000000001</v>
      </c>
      <c r="BQ10" s="1">
        <v>10.292710939999999</v>
      </c>
      <c r="BR10" s="1">
        <v>10.25669995</v>
      </c>
      <c r="BS10" s="1">
        <v>-7.9858810000000002E-2</v>
      </c>
      <c r="BT10" s="1">
        <v>0.27102203000000002</v>
      </c>
      <c r="BU10" s="128">
        <v>0.33398591</v>
      </c>
      <c r="BV10" s="512"/>
    </row>
    <row r="11" spans="1:74" s="519" customFormat="1">
      <c r="A11" s="543">
        <v>62005005</v>
      </c>
      <c r="B11" s="543" t="s">
        <v>818</v>
      </c>
      <c r="C11" s="543" t="s">
        <v>697</v>
      </c>
      <c r="D11" s="513" t="s">
        <v>725</v>
      </c>
      <c r="E11" s="524" t="s">
        <v>726</v>
      </c>
      <c r="F11" s="524" t="s">
        <v>708</v>
      </c>
      <c r="G11" s="531">
        <v>24.328399999999998</v>
      </c>
      <c r="H11" s="531">
        <v>40.357691000000003</v>
      </c>
      <c r="I11" s="531">
        <v>29.293666999999999</v>
      </c>
      <c r="J11" s="531">
        <v>31.876930000000002</v>
      </c>
      <c r="K11" s="578">
        <v>4250</v>
      </c>
      <c r="L11" s="578">
        <v>38.71</v>
      </c>
      <c r="M11" s="578">
        <v>3.0499999999999999E-2</v>
      </c>
      <c r="N11" s="578">
        <v>1.4999999999999999E-2</v>
      </c>
      <c r="O11" s="529">
        <v>10.29337078</v>
      </c>
      <c r="P11" s="544">
        <v>47.5</v>
      </c>
      <c r="Q11" s="544">
        <v>45.1</v>
      </c>
      <c r="R11" s="530">
        <v>12891</v>
      </c>
      <c r="S11" s="530">
        <v>14778</v>
      </c>
      <c r="T11" s="530">
        <v>1887</v>
      </c>
      <c r="U11" s="530">
        <v>183.3218719436822</v>
      </c>
      <c r="V11" s="534">
        <v>12630</v>
      </c>
      <c r="W11" s="530">
        <v>14511</v>
      </c>
      <c r="X11" s="530">
        <v>1881</v>
      </c>
      <c r="Y11" s="533">
        <v>182.73897250983899</v>
      </c>
      <c r="Z11" s="534">
        <v>1369</v>
      </c>
      <c r="AA11" s="530">
        <v>1372</v>
      </c>
      <c r="AB11" s="530">
        <v>3</v>
      </c>
      <c r="AC11" s="533">
        <v>0.29144971692159327</v>
      </c>
      <c r="AD11" s="534">
        <v>9470</v>
      </c>
      <c r="AE11" s="530">
        <v>11256</v>
      </c>
      <c r="AF11" s="530">
        <v>1786</v>
      </c>
      <c r="AG11" s="533">
        <v>173.50973147398855</v>
      </c>
      <c r="AH11" s="534">
        <v>1426.8</v>
      </c>
      <c r="AI11" s="530">
        <v>1525.2</v>
      </c>
      <c r="AJ11" s="530">
        <v>98.400000000000091</v>
      </c>
      <c r="AK11" s="533">
        <v>9.5595507150282693</v>
      </c>
      <c r="AL11" s="534">
        <v>1957.8345440000001</v>
      </c>
      <c r="AM11" s="530">
        <v>2039.91392</v>
      </c>
      <c r="AN11" s="530">
        <v>82.079375999999911</v>
      </c>
      <c r="AO11" s="533">
        <v>7.9740036334336644</v>
      </c>
      <c r="AP11" s="534">
        <v>339.3</v>
      </c>
      <c r="AQ11" s="530">
        <v>339.5</v>
      </c>
      <c r="AR11" s="530">
        <v>0.19999999999998863</v>
      </c>
      <c r="AS11" s="533">
        <v>1.9429981128105116E-2</v>
      </c>
      <c r="AT11" s="534">
        <v>260.2</v>
      </c>
      <c r="AU11" s="530">
        <v>260.60000000000002</v>
      </c>
      <c r="AV11" s="530">
        <v>0.40000000000003411</v>
      </c>
      <c r="AW11" s="533">
        <v>3.8859962256215755E-2</v>
      </c>
      <c r="AX11" s="534">
        <v>-74.77</v>
      </c>
      <c r="AY11" s="530">
        <v>-75.77</v>
      </c>
      <c r="AZ11" s="530">
        <v>-1</v>
      </c>
      <c r="BA11" s="530">
        <v>-4.7143540000000002</v>
      </c>
      <c r="BB11" s="533">
        <v>-9.7149905640531095E-2</v>
      </c>
      <c r="BC11" s="545"/>
      <c r="BD11" s="545"/>
      <c r="BE11" s="545"/>
      <c r="BF11" s="545"/>
      <c r="BG11" s="545"/>
      <c r="BH11" s="567"/>
      <c r="BI11" s="574" t="s">
        <v>723</v>
      </c>
      <c r="BJ11" s="1">
        <v>1865.8973701</v>
      </c>
      <c r="BK11" s="1">
        <v>-0.45506867000000001</v>
      </c>
      <c r="BL11" s="1">
        <v>1300.81838066</v>
      </c>
      <c r="BM11" s="1">
        <v>1306.7650589899999</v>
      </c>
      <c r="BN11" s="1">
        <v>6.8105344600000004</v>
      </c>
      <c r="BO11" s="1">
        <v>6.7904241699999996</v>
      </c>
      <c r="BP11" s="1">
        <v>0.35750559999999998</v>
      </c>
      <c r="BQ11" s="1">
        <v>10.293368149999999</v>
      </c>
      <c r="BR11" s="1">
        <v>10.25669987</v>
      </c>
      <c r="BS11" s="1">
        <v>-6.116775E-2</v>
      </c>
      <c r="BT11" s="1">
        <v>0.29615669999999999</v>
      </c>
      <c r="BU11" s="128">
        <v>0.33398327999999999</v>
      </c>
      <c r="BV11" s="512"/>
    </row>
    <row r="12" spans="1:74" s="519" customFormat="1">
      <c r="A12" s="543">
        <v>62005011</v>
      </c>
      <c r="B12" s="543" t="s">
        <v>824</v>
      </c>
      <c r="C12" s="543" t="s">
        <v>695</v>
      </c>
      <c r="D12" s="513" t="s">
        <v>740</v>
      </c>
      <c r="E12" s="524" t="s">
        <v>741</v>
      </c>
      <c r="F12" s="524" t="s">
        <v>708</v>
      </c>
      <c r="G12" s="531">
        <v>22.009419000000001</v>
      </c>
      <c r="H12" s="531">
        <v>47.085937999999999</v>
      </c>
      <c r="I12" s="531">
        <v>29.220305</v>
      </c>
      <c r="J12" s="531">
        <v>31.848037000000001</v>
      </c>
      <c r="K12" s="578">
        <v>4250</v>
      </c>
      <c r="L12" s="578">
        <v>38.71</v>
      </c>
      <c r="M12" s="578">
        <v>3.0499999999999999E-2</v>
      </c>
      <c r="N12" s="578">
        <v>1.4999999999999999E-2</v>
      </c>
      <c r="O12" s="529">
        <v>7.7596448799999997</v>
      </c>
      <c r="P12" s="544">
        <v>29.9</v>
      </c>
      <c r="Q12" s="544">
        <v>27.6</v>
      </c>
      <c r="R12" s="530">
        <v>26211</v>
      </c>
      <c r="S12" s="530">
        <v>27913</v>
      </c>
      <c r="T12" s="530">
        <v>1702</v>
      </c>
      <c r="U12" s="530">
        <v>219.33993453576707</v>
      </c>
      <c r="V12" s="534">
        <v>25825</v>
      </c>
      <c r="W12" s="530">
        <v>27518</v>
      </c>
      <c r="X12" s="530">
        <v>1693</v>
      </c>
      <c r="Y12" s="533">
        <v>218.18008764339226</v>
      </c>
      <c r="Z12" s="534">
        <v>1571</v>
      </c>
      <c r="AA12" s="530">
        <v>1642</v>
      </c>
      <c r="AB12" s="530">
        <v>71</v>
      </c>
      <c r="AC12" s="533">
        <v>9.1499032620678378</v>
      </c>
      <c r="AD12" s="534">
        <v>21222</v>
      </c>
      <c r="AE12" s="530">
        <v>22757</v>
      </c>
      <c r="AF12" s="530">
        <v>1535</v>
      </c>
      <c r="AG12" s="533">
        <v>197.81833108836807</v>
      </c>
      <c r="AH12" s="534">
        <v>2823.6</v>
      </c>
      <c r="AI12" s="530">
        <v>2921.7</v>
      </c>
      <c r="AJ12" s="530">
        <v>98.099999999999909</v>
      </c>
      <c r="AK12" s="533">
        <v>12.642331126885269</v>
      </c>
      <c r="AL12" s="534">
        <v>3122.0598519999999</v>
      </c>
      <c r="AM12" s="530">
        <v>3204.8295480000002</v>
      </c>
      <c r="AN12" s="530">
        <v>82.769696000000295</v>
      </c>
      <c r="AO12" s="533">
        <v>10.666686076489663</v>
      </c>
      <c r="AP12" s="534">
        <v>341.1</v>
      </c>
      <c r="AQ12" s="530">
        <v>341.1</v>
      </c>
      <c r="AR12" s="530">
        <v>0</v>
      </c>
      <c r="AS12" s="533">
        <v>0</v>
      </c>
      <c r="AT12" s="534">
        <v>265.89999999999998</v>
      </c>
      <c r="AU12" s="530">
        <v>266.2</v>
      </c>
      <c r="AV12" s="530">
        <v>0.30000000000001137</v>
      </c>
      <c r="AW12" s="533">
        <v>3.8661563079161347E-2</v>
      </c>
      <c r="AX12" s="534">
        <v>-85.35</v>
      </c>
      <c r="AY12" s="530">
        <v>-85.95</v>
      </c>
      <c r="AZ12" s="530">
        <v>-0.60000000000000853</v>
      </c>
      <c r="BA12" s="530">
        <v>-2.5451079999999999</v>
      </c>
      <c r="BB12" s="533">
        <v>-7.7323126158320862E-2</v>
      </c>
      <c r="BC12" s="545"/>
      <c r="BD12" s="545"/>
      <c r="BE12" s="545"/>
      <c r="BF12" s="545"/>
      <c r="BG12" s="545"/>
      <c r="BH12" s="567"/>
      <c r="BI12" s="574" t="s">
        <v>723</v>
      </c>
      <c r="BJ12" s="1">
        <v>1658.90970255</v>
      </c>
      <c r="BK12" s="1">
        <v>-2.1939682999999999</v>
      </c>
      <c r="BL12" s="1">
        <v>5105.2182983700004</v>
      </c>
      <c r="BM12" s="1">
        <v>5219.73768836</v>
      </c>
      <c r="BN12" s="1">
        <v>8.8504133199999995</v>
      </c>
      <c r="BO12" s="1">
        <v>9.0321147199999992</v>
      </c>
      <c r="BP12" s="1">
        <v>0.35232437</v>
      </c>
      <c r="BQ12" s="1">
        <v>7.7595809899999999</v>
      </c>
      <c r="BR12" s="1">
        <v>7.7323380799999999</v>
      </c>
      <c r="BS12" s="1">
        <v>-2.4125849800000001</v>
      </c>
      <c r="BT12" s="1">
        <v>-2.0117260099999998</v>
      </c>
      <c r="BU12" s="128">
        <v>0.73999466999999997</v>
      </c>
      <c r="BV12" s="512"/>
    </row>
    <row r="13" spans="1:74" s="519" customFormat="1">
      <c r="A13" s="543">
        <v>62005012</v>
      </c>
      <c r="B13" s="543" t="s">
        <v>826</v>
      </c>
      <c r="C13" s="543" t="s">
        <v>695</v>
      </c>
      <c r="D13" s="513" t="s">
        <v>742</v>
      </c>
      <c r="E13" s="524" t="s">
        <v>743</v>
      </c>
      <c r="F13" s="524" t="s">
        <v>708</v>
      </c>
      <c r="G13" s="531">
        <v>20.547162</v>
      </c>
      <c r="H13" s="531">
        <v>50.818989000000002</v>
      </c>
      <c r="I13" s="531">
        <v>29.213585999999999</v>
      </c>
      <c r="J13" s="531">
        <v>32.573394</v>
      </c>
      <c r="K13" s="578">
        <v>4250</v>
      </c>
      <c r="L13" s="578">
        <v>38.71</v>
      </c>
      <c r="M13" s="578">
        <v>3.0499999999999999E-2</v>
      </c>
      <c r="N13" s="578">
        <v>1.4999999999999999E-2</v>
      </c>
      <c r="O13" s="529">
        <v>2.6985839199999999</v>
      </c>
      <c r="P13" s="544">
        <v>27.5</v>
      </c>
      <c r="Q13" s="544">
        <v>24.9</v>
      </c>
      <c r="R13" s="530">
        <v>17</v>
      </c>
      <c r="S13" s="530">
        <v>1519</v>
      </c>
      <c r="T13" s="530">
        <v>1502</v>
      </c>
      <c r="U13" s="530">
        <v>556.5882123836268</v>
      </c>
      <c r="V13" s="534">
        <v>15</v>
      </c>
      <c r="W13" s="530">
        <v>1512</v>
      </c>
      <c r="X13" s="530">
        <v>1497</v>
      </c>
      <c r="Y13" s="533">
        <v>554.73538877382771</v>
      </c>
      <c r="Z13" s="534">
        <v>1</v>
      </c>
      <c r="AA13" s="530">
        <v>1360</v>
      </c>
      <c r="AB13" s="530">
        <v>1359</v>
      </c>
      <c r="AC13" s="533">
        <v>503.5974571433747</v>
      </c>
      <c r="AD13" s="534">
        <v>1</v>
      </c>
      <c r="AE13" s="530">
        <v>-241</v>
      </c>
      <c r="AF13" s="530">
        <v>-242</v>
      </c>
      <c r="AG13" s="533">
        <v>-89.676662714272751</v>
      </c>
      <c r="AH13" s="534">
        <v>16.3</v>
      </c>
      <c r="AI13" s="530">
        <v>97.1</v>
      </c>
      <c r="AJ13" s="530">
        <v>80.8</v>
      </c>
      <c r="AK13" s="533">
        <v>29.941629534352224</v>
      </c>
      <c r="AL13" s="534">
        <v>12.289486999999999</v>
      </c>
      <c r="AM13" s="530">
        <v>80.87</v>
      </c>
      <c r="AN13" s="530">
        <v>68.58051300000001</v>
      </c>
      <c r="AO13" s="533">
        <v>25.413518731705778</v>
      </c>
      <c r="AP13" s="534">
        <v>0</v>
      </c>
      <c r="AQ13" s="530">
        <v>0</v>
      </c>
      <c r="AR13" s="530">
        <v>0</v>
      </c>
      <c r="AS13" s="533">
        <v>0</v>
      </c>
      <c r="AT13" s="534">
        <v>0.1</v>
      </c>
      <c r="AU13" s="530">
        <v>0.3</v>
      </c>
      <c r="AV13" s="530">
        <v>0.19999999999999998</v>
      </c>
      <c r="AW13" s="533">
        <v>7.411294439196095E-2</v>
      </c>
      <c r="AX13" s="534">
        <v>-0.17</v>
      </c>
      <c r="AY13" s="530">
        <v>-0.64</v>
      </c>
      <c r="AZ13" s="530">
        <v>-0.47</v>
      </c>
      <c r="BA13" s="530">
        <v>-2.5353189999999999</v>
      </c>
      <c r="BB13" s="533">
        <v>-0.17416541932110824</v>
      </c>
      <c r="BC13" s="545"/>
      <c r="BD13" s="545"/>
      <c r="BE13" s="545"/>
      <c r="BF13" s="545"/>
      <c r="BG13" s="545"/>
      <c r="BH13" s="567"/>
      <c r="BI13" s="574" t="s">
        <v>723</v>
      </c>
      <c r="BJ13" s="1"/>
      <c r="BK13" s="1"/>
      <c r="BL13" s="1"/>
      <c r="BM13" s="1"/>
      <c r="BN13" s="1"/>
      <c r="BO13" s="1"/>
      <c r="BP13" s="1"/>
      <c r="BQ13" s="1"/>
      <c r="BR13" s="1"/>
      <c r="BS13" s="1"/>
      <c r="BT13" s="1"/>
      <c r="BU13" s="128"/>
      <c r="BV13" s="512"/>
    </row>
    <row r="14" spans="1:74" s="519" customFormat="1">
      <c r="A14" s="543">
        <v>62005015</v>
      </c>
      <c r="B14" s="543" t="s">
        <v>907</v>
      </c>
      <c r="C14" s="543" t="s">
        <v>695</v>
      </c>
      <c r="D14" s="513" t="s">
        <v>750</v>
      </c>
      <c r="E14" s="524" t="s">
        <v>748</v>
      </c>
      <c r="F14" s="524" t="s">
        <v>751</v>
      </c>
      <c r="G14" s="531">
        <v>244.26084399999999</v>
      </c>
      <c r="H14" s="531">
        <v>519.94933800000001</v>
      </c>
      <c r="I14" s="531">
        <v>325.63890700000002</v>
      </c>
      <c r="J14" s="531">
        <v>245.16564</v>
      </c>
      <c r="K14" s="578">
        <v>4250</v>
      </c>
      <c r="L14" s="578">
        <v>38.71</v>
      </c>
      <c r="M14" s="578">
        <v>3.0499999999999999E-2</v>
      </c>
      <c r="N14" s="578">
        <v>1.4999999999999999E-2</v>
      </c>
      <c r="O14" s="529">
        <v>4.47585E-3</v>
      </c>
      <c r="P14" s="544">
        <v>26.1</v>
      </c>
      <c r="Q14" s="544">
        <v>99.7</v>
      </c>
      <c r="R14" s="530">
        <v>561</v>
      </c>
      <c r="S14" s="530">
        <v>-60759</v>
      </c>
      <c r="T14" s="530">
        <v>-61320</v>
      </c>
      <c r="U14" s="530">
        <v>-13700191.025168404</v>
      </c>
      <c r="V14" s="534">
        <v>536</v>
      </c>
      <c r="W14" s="530">
        <v>-61077</v>
      </c>
      <c r="X14" s="530">
        <v>-61613</v>
      </c>
      <c r="Y14" s="533">
        <v>-13765653.451299753</v>
      </c>
      <c r="Z14" s="534">
        <v>1366</v>
      </c>
      <c r="AA14" s="530">
        <v>1452</v>
      </c>
      <c r="AB14" s="530">
        <v>86</v>
      </c>
      <c r="AC14" s="533">
        <v>19214.227465174212</v>
      </c>
      <c r="AD14" s="534">
        <v>-235</v>
      </c>
      <c r="AE14" s="530">
        <v>-163</v>
      </c>
      <c r="AF14" s="530">
        <v>72</v>
      </c>
      <c r="AG14" s="533">
        <v>16086.329970843528</v>
      </c>
      <c r="AH14" s="534">
        <v>-864.6</v>
      </c>
      <c r="AI14" s="530">
        <v>-62271.7</v>
      </c>
      <c r="AJ14" s="530">
        <v>-61407.1</v>
      </c>
      <c r="AK14" s="533">
        <v>-13719651.016008133</v>
      </c>
      <c r="AL14" s="534">
        <v>137.19999999999999</v>
      </c>
      <c r="AM14" s="530">
        <v>600.84</v>
      </c>
      <c r="AN14" s="530">
        <v>463.64000000000004</v>
      </c>
      <c r="AO14" s="533">
        <v>103587.02816224852</v>
      </c>
      <c r="AP14" s="534">
        <v>-0.3</v>
      </c>
      <c r="AQ14" s="530">
        <v>-5.7</v>
      </c>
      <c r="AR14" s="530">
        <v>-5.4</v>
      </c>
      <c r="AS14" s="533">
        <v>-1206.4747478132647</v>
      </c>
      <c r="AT14" s="534">
        <v>1</v>
      </c>
      <c r="AU14" s="530">
        <v>3.9</v>
      </c>
      <c r="AV14" s="530">
        <v>2.9</v>
      </c>
      <c r="AW14" s="533">
        <v>647.92162382564209</v>
      </c>
      <c r="AX14" s="534">
        <v>-1.62</v>
      </c>
      <c r="AY14" s="530">
        <v>-17.8</v>
      </c>
      <c r="AZ14" s="530">
        <v>-16.18</v>
      </c>
      <c r="BA14" s="530">
        <v>-22.512236000000001</v>
      </c>
      <c r="BB14" s="533">
        <v>-3614.9558184478924</v>
      </c>
      <c r="BC14" s="545">
        <v>1109.4000000000001</v>
      </c>
      <c r="BD14" s="545">
        <v>66872.600000000006</v>
      </c>
      <c r="BE14" s="545">
        <v>65763.200000000012</v>
      </c>
      <c r="BF14" s="545">
        <v>-1112</v>
      </c>
      <c r="BG14" s="545">
        <v>-67272.800000000003</v>
      </c>
      <c r="BH14" s="567">
        <v>-66160.800000000003</v>
      </c>
      <c r="BI14" s="574" t="s">
        <v>723</v>
      </c>
      <c r="BJ14" s="1"/>
      <c r="BK14" s="1"/>
      <c r="BL14" s="1"/>
      <c r="BM14" s="1"/>
      <c r="BN14" s="1"/>
      <c r="BO14" s="1"/>
      <c r="BP14" s="1"/>
      <c r="BQ14" s="1"/>
      <c r="BR14" s="1"/>
      <c r="BS14" s="1"/>
      <c r="BT14" s="1"/>
      <c r="BU14" s="128"/>
      <c r="BV14" s="512"/>
    </row>
    <row r="15" spans="1:74" s="520" customFormat="1" ht="15.75">
      <c r="A15" s="535" t="s">
        <v>1238</v>
      </c>
      <c r="B15" s="537"/>
      <c r="C15" s="537"/>
      <c r="D15" s="537"/>
      <c r="E15" s="538"/>
      <c r="F15" s="538"/>
      <c r="G15" s="538"/>
      <c r="H15" s="538"/>
      <c r="I15" s="538"/>
      <c r="J15" s="538"/>
      <c r="K15" s="537"/>
      <c r="L15" s="537"/>
      <c r="M15" s="576"/>
      <c r="N15" s="577"/>
      <c r="O15" s="537"/>
      <c r="P15" s="537"/>
      <c r="Q15" s="537"/>
      <c r="R15" s="537"/>
      <c r="S15" s="537"/>
      <c r="T15" s="537"/>
      <c r="U15" s="537"/>
      <c r="V15" s="537"/>
      <c r="W15" s="537"/>
      <c r="X15" s="537"/>
      <c r="Y15" s="537"/>
      <c r="Z15" s="537"/>
      <c r="AA15" s="537"/>
      <c r="AB15" s="537"/>
      <c r="AC15" s="537"/>
      <c r="AD15" s="537"/>
      <c r="AE15" s="537"/>
      <c r="AF15" s="537"/>
      <c r="AG15" s="537"/>
      <c r="AH15" s="537"/>
      <c r="AI15" s="537"/>
      <c r="AJ15" s="537"/>
      <c r="AK15" s="537"/>
      <c r="AL15" s="537"/>
      <c r="AM15" s="537"/>
      <c r="AN15" s="537"/>
      <c r="AO15" s="537"/>
      <c r="AP15" s="537"/>
      <c r="AQ15" s="537"/>
      <c r="AR15" s="537"/>
      <c r="AS15" s="537"/>
      <c r="AT15" s="537"/>
      <c r="AU15" s="537"/>
      <c r="AV15" s="537"/>
      <c r="AW15" s="537"/>
      <c r="AX15" s="537"/>
      <c r="AY15" s="537"/>
      <c r="AZ15" s="537"/>
      <c r="BA15" s="537"/>
      <c r="BB15" s="537"/>
      <c r="BC15" s="537"/>
      <c r="BD15" s="537"/>
      <c r="BE15" s="537"/>
      <c r="BF15" s="537"/>
      <c r="BG15" s="537"/>
      <c r="BH15" s="537"/>
      <c r="BI15" s="569"/>
      <c r="BJ15" s="537"/>
      <c r="BK15" s="537"/>
      <c r="BL15" s="537"/>
      <c r="BM15" s="537"/>
      <c r="BN15" s="537"/>
      <c r="BO15" s="537"/>
      <c r="BP15" s="537"/>
      <c r="BQ15" s="537"/>
      <c r="BR15" s="537"/>
      <c r="BS15" s="537"/>
      <c r="BT15" s="537"/>
      <c r="BU15" s="542"/>
      <c r="BV15" s="541"/>
    </row>
    <row r="16" spans="1:74" s="519" customFormat="1" ht="22.5">
      <c r="A16" s="543">
        <v>62005016</v>
      </c>
      <c r="B16" s="543" t="s">
        <v>832</v>
      </c>
      <c r="C16" s="543" t="s">
        <v>695</v>
      </c>
      <c r="D16" s="513" t="s">
        <v>753</v>
      </c>
      <c r="E16" s="524" t="s">
        <v>754</v>
      </c>
      <c r="F16" s="524" t="s">
        <v>755</v>
      </c>
      <c r="G16" s="531">
        <v>22.485567</v>
      </c>
      <c r="H16" s="531">
        <v>45.706609</v>
      </c>
      <c r="I16" s="531">
        <v>29.257919999999999</v>
      </c>
      <c r="J16" s="531">
        <v>25.407831999999999</v>
      </c>
      <c r="K16" s="578">
        <v>4250</v>
      </c>
      <c r="L16" s="578">
        <v>38.71</v>
      </c>
      <c r="M16" s="578">
        <v>3.0499999999999999E-2</v>
      </c>
      <c r="N16" s="578">
        <v>1.4999999999999999E-2</v>
      </c>
      <c r="O16" s="529">
        <v>3.5986426699999998</v>
      </c>
      <c r="P16" s="544">
        <v>99.6</v>
      </c>
      <c r="Q16" s="544">
        <v>98.7</v>
      </c>
      <c r="R16" s="530">
        <v>21</v>
      </c>
      <c r="S16" s="530">
        <v>824</v>
      </c>
      <c r="T16" s="530">
        <v>803</v>
      </c>
      <c r="U16" s="530">
        <v>223.13968727548047</v>
      </c>
      <c r="V16" s="534">
        <v>21</v>
      </c>
      <c r="W16" s="530">
        <v>821</v>
      </c>
      <c r="X16" s="530">
        <v>800</v>
      </c>
      <c r="Y16" s="533">
        <v>222.30603962687965</v>
      </c>
      <c r="Z16" s="534">
        <v>0</v>
      </c>
      <c r="AA16" s="530">
        <v>34</v>
      </c>
      <c r="AB16" s="530">
        <v>34</v>
      </c>
      <c r="AC16" s="533">
        <v>9.4480066841423849</v>
      </c>
      <c r="AD16" s="534">
        <v>0</v>
      </c>
      <c r="AE16" s="530">
        <v>709</v>
      </c>
      <c r="AF16" s="530">
        <v>709</v>
      </c>
      <c r="AG16" s="533">
        <v>197.01872761932211</v>
      </c>
      <c r="AH16" s="534">
        <v>20.6</v>
      </c>
      <c r="AI16" s="530">
        <v>78.599999999999994</v>
      </c>
      <c r="AJ16" s="530">
        <v>57.999999999999993</v>
      </c>
      <c r="AK16" s="533">
        <v>16.117187872948772</v>
      </c>
      <c r="AL16" s="534">
        <v>16.736767</v>
      </c>
      <c r="AM16" s="530">
        <v>63.706598</v>
      </c>
      <c r="AN16" s="530">
        <v>46.969830999999999</v>
      </c>
      <c r="AO16" s="533">
        <v>13.052096389442301</v>
      </c>
      <c r="AP16" s="534">
        <v>0.1</v>
      </c>
      <c r="AQ16" s="530">
        <v>0.2</v>
      </c>
      <c r="AR16" s="530">
        <v>0.1</v>
      </c>
      <c r="AS16" s="533">
        <v>2.7788254953359959E-2</v>
      </c>
      <c r="AT16" s="534">
        <v>0.1</v>
      </c>
      <c r="AU16" s="530">
        <v>0.4</v>
      </c>
      <c r="AV16" s="530">
        <v>0.30000000000000004</v>
      </c>
      <c r="AW16" s="533">
        <v>8.336476486007989E-2</v>
      </c>
      <c r="AX16" s="534">
        <v>-0.88</v>
      </c>
      <c r="AY16" s="530">
        <v>-2.0499999999999998</v>
      </c>
      <c r="AZ16" s="530">
        <v>-1.17</v>
      </c>
      <c r="BA16" s="530">
        <v>-8.3814910000000005</v>
      </c>
      <c r="BB16" s="533">
        <v>-0.32512258295431151</v>
      </c>
      <c r="BC16" s="545"/>
      <c r="BD16" s="545"/>
      <c r="BE16" s="545"/>
      <c r="BF16" s="545"/>
      <c r="BG16" s="545"/>
      <c r="BH16" s="567"/>
      <c r="BI16" s="574" t="s">
        <v>723</v>
      </c>
      <c r="BJ16" s="1">
        <v>2372.8138598099999</v>
      </c>
      <c r="BK16" s="1">
        <v>-0.65211501000000005</v>
      </c>
      <c r="BL16" s="1">
        <v>2035.5091644199999</v>
      </c>
      <c r="BM16" s="1">
        <v>2048.8701541599999</v>
      </c>
      <c r="BN16" s="1">
        <v>3.0256276999999998</v>
      </c>
      <c r="BO16" s="1">
        <v>3.0320580100000001</v>
      </c>
      <c r="BP16" s="1">
        <v>0.21172957000000001</v>
      </c>
      <c r="BQ16" s="1">
        <v>3.5985833600000001</v>
      </c>
      <c r="BR16" s="1">
        <v>3.5909801899999998</v>
      </c>
      <c r="BS16" s="1">
        <v>-0.42470785999999999</v>
      </c>
      <c r="BT16" s="1">
        <v>-0.21207757999999999</v>
      </c>
      <c r="BU16" s="128">
        <v>0.63450921999999998</v>
      </c>
      <c r="BV16" s="512"/>
    </row>
    <row r="17" spans="1:74" s="519" customFormat="1" ht="22.5">
      <c r="A17" s="543">
        <v>62005016</v>
      </c>
      <c r="B17" s="543" t="s">
        <v>831</v>
      </c>
      <c r="C17" s="543" t="s">
        <v>696</v>
      </c>
      <c r="D17" s="513" t="s">
        <v>753</v>
      </c>
      <c r="E17" s="524" t="s">
        <v>754</v>
      </c>
      <c r="F17" s="524" t="s">
        <v>755</v>
      </c>
      <c r="G17" s="531">
        <v>21.29439</v>
      </c>
      <c r="H17" s="531">
        <v>48.773290000000003</v>
      </c>
      <c r="I17" s="531">
        <v>29.257853999999998</v>
      </c>
      <c r="J17" s="531">
        <v>27.792269999999998</v>
      </c>
      <c r="K17" s="578">
        <v>4250</v>
      </c>
      <c r="L17" s="578">
        <v>38.71</v>
      </c>
      <c r="M17" s="578">
        <v>3.0499999999999999E-2</v>
      </c>
      <c r="N17" s="578">
        <v>1.4999999999999999E-2</v>
      </c>
      <c r="O17" s="529">
        <v>3.8662682799999999</v>
      </c>
      <c r="P17" s="544">
        <v>98.7</v>
      </c>
      <c r="Q17" s="544">
        <v>97.9</v>
      </c>
      <c r="R17" s="530">
        <v>824</v>
      </c>
      <c r="S17" s="530">
        <v>1512</v>
      </c>
      <c r="T17" s="530">
        <v>688</v>
      </c>
      <c r="U17" s="530">
        <v>177.94936879031064</v>
      </c>
      <c r="V17" s="534">
        <v>822</v>
      </c>
      <c r="W17" s="530">
        <v>1507</v>
      </c>
      <c r="X17" s="530">
        <v>685</v>
      </c>
      <c r="Y17" s="533">
        <v>177.17342677523661</v>
      </c>
      <c r="Z17" s="534">
        <v>34</v>
      </c>
      <c r="AA17" s="530">
        <v>59</v>
      </c>
      <c r="AB17" s="530">
        <v>25</v>
      </c>
      <c r="AC17" s="533">
        <v>6.4661834589502414</v>
      </c>
      <c r="AD17" s="534">
        <v>709</v>
      </c>
      <c r="AE17" s="530">
        <v>1274</v>
      </c>
      <c r="AF17" s="530">
        <v>565</v>
      </c>
      <c r="AG17" s="533">
        <v>146.13574617227545</v>
      </c>
      <c r="AH17" s="534">
        <v>78.599999999999994</v>
      </c>
      <c r="AI17" s="530">
        <v>174.9</v>
      </c>
      <c r="AJ17" s="530">
        <v>96.300000000000011</v>
      </c>
      <c r="AK17" s="533">
        <v>24.907738683876332</v>
      </c>
      <c r="AL17" s="534">
        <v>63.726565999999998</v>
      </c>
      <c r="AM17" s="530">
        <v>141.125867</v>
      </c>
      <c r="AN17" s="530">
        <v>77.399301000000008</v>
      </c>
      <c r="AO17" s="533">
        <v>20.019123194420438</v>
      </c>
      <c r="AP17" s="534">
        <v>0.2</v>
      </c>
      <c r="AQ17" s="530">
        <v>0.5</v>
      </c>
      <c r="AR17" s="530">
        <v>0.3</v>
      </c>
      <c r="AS17" s="533">
        <v>7.7594201507402899E-2</v>
      </c>
      <c r="AT17" s="534">
        <v>0.4</v>
      </c>
      <c r="AU17" s="530">
        <v>0.9</v>
      </c>
      <c r="AV17" s="530">
        <v>0.5</v>
      </c>
      <c r="AW17" s="533">
        <v>0.12932366917900484</v>
      </c>
      <c r="AX17" s="534">
        <v>-2.0499999999999998</v>
      </c>
      <c r="AY17" s="530">
        <v>-3.4</v>
      </c>
      <c r="AZ17" s="530">
        <v>-1.35</v>
      </c>
      <c r="BA17" s="530">
        <v>-5.5818380000000003</v>
      </c>
      <c r="BB17" s="533">
        <v>-0.34917390678331306</v>
      </c>
      <c r="BC17" s="545"/>
      <c r="BD17" s="545"/>
      <c r="BE17" s="545"/>
      <c r="BF17" s="545"/>
      <c r="BG17" s="545"/>
      <c r="BH17" s="567"/>
      <c r="BI17" s="574" t="s">
        <v>723</v>
      </c>
      <c r="BJ17" s="1">
        <v>1476.5272395899999</v>
      </c>
      <c r="BK17" s="1">
        <v>-0.87317464</v>
      </c>
      <c r="BL17" s="1">
        <v>3386.47350194</v>
      </c>
      <c r="BM17" s="1">
        <v>3416.3038005100002</v>
      </c>
      <c r="BN17" s="1">
        <v>3.0066013900000002</v>
      </c>
      <c r="BO17" s="1">
        <v>2.9954536900000002</v>
      </c>
      <c r="BP17" s="1">
        <v>0.14835259000000001</v>
      </c>
      <c r="BQ17" s="1">
        <v>3.86555728</v>
      </c>
      <c r="BR17" s="1">
        <v>3.8598311199999999</v>
      </c>
      <c r="BS17" s="1">
        <v>0.22297157000000001</v>
      </c>
      <c r="BT17" s="1">
        <v>0.37215396000000001</v>
      </c>
      <c r="BU17" s="128">
        <v>0.72008276999999998</v>
      </c>
      <c r="BV17" s="512"/>
    </row>
    <row r="18" spans="1:74" s="519" customFormat="1" ht="22.5">
      <c r="A18" s="543">
        <v>62005016</v>
      </c>
      <c r="B18" s="543" t="s">
        <v>830</v>
      </c>
      <c r="C18" s="543" t="s">
        <v>698</v>
      </c>
      <c r="D18" s="513" t="s">
        <v>753</v>
      </c>
      <c r="E18" s="524" t="s">
        <v>754</v>
      </c>
      <c r="F18" s="524" t="s">
        <v>755</v>
      </c>
      <c r="G18" s="468">
        <v>21.889978499999998</v>
      </c>
      <c r="H18" s="468">
        <v>47.239949500000002</v>
      </c>
      <c r="I18" s="468">
        <v>29.257886999999997</v>
      </c>
      <c r="J18" s="468">
        <v>26.600051000000001</v>
      </c>
      <c r="K18" s="579"/>
      <c r="L18" s="578"/>
      <c r="M18" s="580"/>
      <c r="N18" s="581"/>
      <c r="O18" s="453">
        <v>7.4649109500000002</v>
      </c>
      <c r="P18" s="493">
        <v>99.6</v>
      </c>
      <c r="Q18" s="493">
        <v>97.9</v>
      </c>
      <c r="R18" s="456">
        <v>21</v>
      </c>
      <c r="S18" s="456">
        <v>1512</v>
      </c>
      <c r="T18" s="456">
        <v>1491</v>
      </c>
      <c r="U18" s="456">
        <v>199.73446568709571</v>
      </c>
      <c r="V18" s="456">
        <v>21</v>
      </c>
      <c r="W18" s="456">
        <v>1507</v>
      </c>
      <c r="X18" s="456">
        <v>1485</v>
      </c>
      <c r="Y18" s="454">
        <v>198.93070526179551</v>
      </c>
      <c r="Z18" s="456">
        <v>0</v>
      </c>
      <c r="AA18" s="456">
        <v>59</v>
      </c>
      <c r="AB18" s="456">
        <v>59</v>
      </c>
      <c r="AC18" s="454">
        <v>7.9036441821184749</v>
      </c>
      <c r="AD18" s="456">
        <v>0</v>
      </c>
      <c r="AE18" s="456">
        <v>1274</v>
      </c>
      <c r="AF18" s="456">
        <v>1274</v>
      </c>
      <c r="AG18" s="454">
        <v>170.66513030540571</v>
      </c>
      <c r="AH18" s="456">
        <v>20.6</v>
      </c>
      <c r="AI18" s="456">
        <v>174.9</v>
      </c>
      <c r="AJ18" s="456">
        <v>154.30000000000001</v>
      </c>
      <c r="AK18" s="454">
        <v>20.670038937303065</v>
      </c>
      <c r="AL18" s="456">
        <v>16.736767</v>
      </c>
      <c r="AM18" s="456">
        <v>141.125867</v>
      </c>
      <c r="AN18" s="456">
        <v>124.36913200000001</v>
      </c>
      <c r="AO18" s="454">
        <v>16.660497738422453</v>
      </c>
      <c r="AP18" s="456">
        <v>0.1</v>
      </c>
      <c r="AQ18" s="456">
        <v>0.5</v>
      </c>
      <c r="AR18" s="456">
        <v>0.4</v>
      </c>
      <c r="AS18" s="454">
        <v>5.3584028353345595E-2</v>
      </c>
      <c r="AT18" s="456">
        <v>0.1</v>
      </c>
      <c r="AU18" s="456">
        <v>0.9</v>
      </c>
      <c r="AV18" s="456">
        <v>0.8</v>
      </c>
      <c r="AW18" s="454">
        <v>0.10716805670669119</v>
      </c>
      <c r="AX18" s="456">
        <v>-0.88</v>
      </c>
      <c r="AY18" s="456">
        <v>-3.4</v>
      </c>
      <c r="AZ18" s="456">
        <v>-2.52</v>
      </c>
      <c r="BA18" s="530">
        <v>-6.9816645000000008</v>
      </c>
      <c r="BB18" s="454">
        <v>-0.33757937862607723</v>
      </c>
      <c r="BC18" s="496"/>
      <c r="BD18" s="496"/>
      <c r="BE18" s="496"/>
      <c r="BF18" s="496"/>
      <c r="BG18" s="496"/>
      <c r="BH18" s="568"/>
      <c r="BI18" s="574" t="s">
        <v>723</v>
      </c>
      <c r="BJ18" s="1"/>
      <c r="BK18" s="1"/>
      <c r="BL18" s="1"/>
      <c r="BM18" s="1"/>
      <c r="BN18" s="1"/>
      <c r="BO18" s="1"/>
      <c r="BP18" s="1"/>
      <c r="BQ18" s="1"/>
      <c r="BR18" s="1"/>
      <c r="BS18" s="1"/>
      <c r="BT18" s="1"/>
      <c r="BU18" s="128"/>
      <c r="BV18" s="512"/>
    </row>
    <row r="19" spans="1:74" s="519" customFormat="1" ht="22.5">
      <c r="A19" s="543">
        <v>62005016</v>
      </c>
      <c r="B19" s="543" t="s">
        <v>829</v>
      </c>
      <c r="C19" s="543" t="s">
        <v>697</v>
      </c>
      <c r="D19" s="513" t="s">
        <v>753</v>
      </c>
      <c r="E19" s="524" t="s">
        <v>754</v>
      </c>
      <c r="F19" s="524" t="s">
        <v>755</v>
      </c>
      <c r="G19" s="531">
        <v>25.225954000000002</v>
      </c>
      <c r="H19" s="531">
        <v>38.770197000000003</v>
      </c>
      <c r="I19" s="531">
        <v>29.262578000000001</v>
      </c>
      <c r="J19" s="531">
        <v>30.278462999999999</v>
      </c>
      <c r="K19" s="578">
        <v>4250</v>
      </c>
      <c r="L19" s="578">
        <v>38.71</v>
      </c>
      <c r="M19" s="578">
        <v>3.0499999999999999E-2</v>
      </c>
      <c r="N19" s="578">
        <v>1.4999999999999999E-2</v>
      </c>
      <c r="O19" s="529">
        <v>10.293208849999999</v>
      </c>
      <c r="P19" s="544">
        <v>97.9</v>
      </c>
      <c r="Q19" s="544">
        <v>95.6</v>
      </c>
      <c r="R19" s="530">
        <v>1514</v>
      </c>
      <c r="S19" s="530">
        <v>3470</v>
      </c>
      <c r="T19" s="530">
        <v>1956</v>
      </c>
      <c r="U19" s="530">
        <v>190.02820485858501</v>
      </c>
      <c r="V19" s="534">
        <v>1509</v>
      </c>
      <c r="W19" s="530">
        <v>3464</v>
      </c>
      <c r="X19" s="530">
        <v>1955</v>
      </c>
      <c r="Y19" s="533">
        <v>189.93105342460822</v>
      </c>
      <c r="Z19" s="534">
        <v>59</v>
      </c>
      <c r="AA19" s="530">
        <v>63</v>
      </c>
      <c r="AB19" s="530">
        <v>4</v>
      </c>
      <c r="AC19" s="533">
        <v>0.38860573590712677</v>
      </c>
      <c r="AD19" s="534">
        <v>1274</v>
      </c>
      <c r="AE19" s="530">
        <v>3140</v>
      </c>
      <c r="AF19" s="530">
        <v>1866</v>
      </c>
      <c r="AG19" s="533">
        <v>181.28457580067465</v>
      </c>
      <c r="AH19" s="534">
        <v>176.7</v>
      </c>
      <c r="AI19" s="530">
        <v>260.60000000000002</v>
      </c>
      <c r="AJ19" s="530">
        <v>83.900000000000034</v>
      </c>
      <c r="AK19" s="533">
        <v>8.1510053106519873</v>
      </c>
      <c r="AL19" s="534">
        <v>142.62</v>
      </c>
      <c r="AM19" s="530">
        <v>210.01586499999999</v>
      </c>
      <c r="AN19" s="530">
        <v>67.395864999999986</v>
      </c>
      <c r="AO19" s="533">
        <v>6.5476049288555913</v>
      </c>
      <c r="AP19" s="534">
        <v>0.5</v>
      </c>
      <c r="AQ19" s="530">
        <v>0.8</v>
      </c>
      <c r="AR19" s="530">
        <v>0.30000000000000004</v>
      </c>
      <c r="AS19" s="533">
        <v>2.9145430193034515E-2</v>
      </c>
      <c r="AT19" s="534">
        <v>0.9</v>
      </c>
      <c r="AU19" s="530">
        <v>1.4</v>
      </c>
      <c r="AV19" s="530">
        <v>0.49999999999999989</v>
      </c>
      <c r="AW19" s="533">
        <v>4.8575716988390839E-2</v>
      </c>
      <c r="AX19" s="534">
        <v>-3.42</v>
      </c>
      <c r="AY19" s="530">
        <v>-4.3499999999999996</v>
      </c>
      <c r="AZ19" s="530">
        <v>-0.92999999999999972</v>
      </c>
      <c r="BA19" s="530">
        <v>-4.3660909999999999</v>
      </c>
      <c r="BB19" s="533">
        <v>-9.0350833598406954E-2</v>
      </c>
      <c r="BC19" s="545"/>
      <c r="BD19" s="545"/>
      <c r="BE19" s="545"/>
      <c r="BF19" s="545"/>
      <c r="BG19" s="545"/>
      <c r="BH19" s="567"/>
      <c r="BI19" s="574" t="s">
        <v>723</v>
      </c>
      <c r="BJ19" s="1">
        <v>1876.0350796600001</v>
      </c>
      <c r="BK19" s="1">
        <v>-0.45221851000000002</v>
      </c>
      <c r="BL19" s="1">
        <v>1300.8768129499999</v>
      </c>
      <c r="BM19" s="1">
        <v>1306.7863426399999</v>
      </c>
      <c r="BN19" s="1">
        <v>6.81402281</v>
      </c>
      <c r="BO19" s="1">
        <v>6.7904697599999997</v>
      </c>
      <c r="BP19" s="1">
        <v>0.35626727000000002</v>
      </c>
      <c r="BQ19" s="1">
        <v>10.293221559999999</v>
      </c>
      <c r="BR19" s="1">
        <v>10.25668037</v>
      </c>
      <c r="BS19" s="1">
        <v>-9.3803399999999992E-3</v>
      </c>
      <c r="BT19" s="1">
        <v>0.34685439000000001</v>
      </c>
      <c r="BU19" s="128">
        <v>0.33398765000000002</v>
      </c>
      <c r="BV19" s="512"/>
    </row>
    <row r="20" spans="1:74" s="519" customFormat="1" ht="22.5">
      <c r="A20" s="543">
        <v>62005016</v>
      </c>
      <c r="B20" s="543" t="s">
        <v>828</v>
      </c>
      <c r="C20" s="543" t="s">
        <v>699</v>
      </c>
      <c r="D20" s="513" t="s">
        <v>753</v>
      </c>
      <c r="E20" s="524" t="s">
        <v>754</v>
      </c>
      <c r="F20" s="524" t="s">
        <v>755</v>
      </c>
      <c r="G20" s="531">
        <v>20.472801</v>
      </c>
      <c r="H20" s="531">
        <v>50.735106999999999</v>
      </c>
      <c r="I20" s="531">
        <v>29.249531000000001</v>
      </c>
      <c r="J20" s="531">
        <v>30.318152999999999</v>
      </c>
      <c r="K20" s="578">
        <v>4250</v>
      </c>
      <c r="L20" s="578">
        <v>38.71</v>
      </c>
      <c r="M20" s="578">
        <v>3.0499999999999999E-2</v>
      </c>
      <c r="N20" s="578">
        <v>1.4999999999999999E-2</v>
      </c>
      <c r="O20" s="529">
        <v>3.59853501</v>
      </c>
      <c r="P20" s="544">
        <v>95.6</v>
      </c>
      <c r="Q20" s="544">
        <v>94.8</v>
      </c>
      <c r="R20" s="530">
        <v>3515</v>
      </c>
      <c r="S20" s="530">
        <v>4193</v>
      </c>
      <c r="T20" s="530">
        <v>678</v>
      </c>
      <c r="U20" s="530">
        <v>188.41000521487214</v>
      </c>
      <c r="V20" s="534">
        <v>3507</v>
      </c>
      <c r="W20" s="530">
        <v>4184</v>
      </c>
      <c r="X20" s="530">
        <v>677</v>
      </c>
      <c r="Y20" s="533">
        <v>188.13211435172337</v>
      </c>
      <c r="Z20" s="534">
        <v>63</v>
      </c>
      <c r="AA20" s="530">
        <v>69.529663999999997</v>
      </c>
      <c r="AB20" s="530">
        <v>6.5296639999999968</v>
      </c>
      <c r="AC20" s="533">
        <v>1.8145339650315078</v>
      </c>
      <c r="AD20" s="534">
        <v>3142</v>
      </c>
      <c r="AE20" s="530">
        <v>3751</v>
      </c>
      <c r="AF20" s="530">
        <v>609</v>
      </c>
      <c r="AG20" s="533">
        <v>169.23553565760639</v>
      </c>
      <c r="AH20" s="534">
        <v>303</v>
      </c>
      <c r="AI20" s="530">
        <v>364.95293099999998</v>
      </c>
      <c r="AJ20" s="530">
        <v>61.952930999999978</v>
      </c>
      <c r="AK20" s="533">
        <v>17.21615347018674</v>
      </c>
      <c r="AL20" s="534">
        <v>241.55991599999999</v>
      </c>
      <c r="AM20" s="530">
        <v>292.89529299999998</v>
      </c>
      <c r="AN20" s="530">
        <v>51.335376999999994</v>
      </c>
      <c r="AO20" s="533">
        <v>14.265632224597974</v>
      </c>
      <c r="AP20" s="534">
        <v>1</v>
      </c>
      <c r="AQ20" s="530">
        <v>1.2</v>
      </c>
      <c r="AR20" s="530">
        <v>0.19999999999999996</v>
      </c>
      <c r="AS20" s="533">
        <v>5.5578172629755784E-2</v>
      </c>
      <c r="AT20" s="534">
        <v>1.8</v>
      </c>
      <c r="AU20" s="530">
        <v>2.1</v>
      </c>
      <c r="AV20" s="530">
        <v>0.30000000000000004</v>
      </c>
      <c r="AW20" s="533">
        <v>8.3367258944633704E-2</v>
      </c>
      <c r="AX20" s="534">
        <v>-4.87</v>
      </c>
      <c r="AY20" s="530">
        <v>-5.28</v>
      </c>
      <c r="AZ20" s="530">
        <v>-0.41000000000000014</v>
      </c>
      <c r="BA20" s="530">
        <v>-2.898517</v>
      </c>
      <c r="BB20" s="533">
        <v>-0.11393525389099943</v>
      </c>
      <c r="BC20" s="545"/>
      <c r="BD20" s="545"/>
      <c r="BE20" s="545"/>
      <c r="BF20" s="545"/>
      <c r="BG20" s="545"/>
      <c r="BH20" s="567"/>
      <c r="BI20" s="574" t="s">
        <v>723</v>
      </c>
      <c r="BJ20" s="1">
        <v>2368.1532292400002</v>
      </c>
      <c r="BK20" s="1">
        <v>-1.09751435</v>
      </c>
      <c r="BL20" s="1">
        <v>2026.34586752</v>
      </c>
      <c r="BM20" s="1">
        <v>2048.8320937499998</v>
      </c>
      <c r="BN20" s="1">
        <v>3.0229995500000002</v>
      </c>
      <c r="BO20" s="1">
        <v>3.03199818</v>
      </c>
      <c r="BP20" s="1">
        <v>0.20940249</v>
      </c>
      <c r="BQ20" s="1">
        <v>3.5984997600000002</v>
      </c>
      <c r="BR20" s="1">
        <v>3.59098016</v>
      </c>
      <c r="BS20" s="1">
        <v>-0.50769797000000005</v>
      </c>
      <c r="BT20" s="1">
        <v>-0.29678869000000002</v>
      </c>
      <c r="BU20" s="128">
        <v>0.63450430000000002</v>
      </c>
      <c r="BV20" s="512"/>
    </row>
    <row r="21" spans="1:74" s="519" customFormat="1" ht="22.5">
      <c r="A21" s="543">
        <v>62005016</v>
      </c>
      <c r="B21" s="543" t="s">
        <v>239</v>
      </c>
      <c r="C21" s="543" t="s">
        <v>700</v>
      </c>
      <c r="D21" s="513" t="s">
        <v>753</v>
      </c>
      <c r="E21" s="524" t="s">
        <v>754</v>
      </c>
      <c r="F21" s="524" t="s">
        <v>755</v>
      </c>
      <c r="G21" s="531">
        <v>19.521735</v>
      </c>
      <c r="H21" s="531">
        <v>54.267294</v>
      </c>
      <c r="I21" s="531">
        <v>29.249921000000001</v>
      </c>
      <c r="J21" s="531">
        <v>29.402463000000001</v>
      </c>
      <c r="K21" s="578">
        <v>4250</v>
      </c>
      <c r="L21" s="578">
        <v>38.71</v>
      </c>
      <c r="M21" s="578">
        <v>3.0499999999999999E-2</v>
      </c>
      <c r="N21" s="578">
        <v>1.4999999999999999E-2</v>
      </c>
      <c r="O21" s="529">
        <v>3.8700821699999999</v>
      </c>
      <c r="P21" s="544">
        <v>94.8</v>
      </c>
      <c r="Q21" s="544">
        <v>94</v>
      </c>
      <c r="R21" s="530">
        <v>4193</v>
      </c>
      <c r="S21" s="530">
        <v>4867</v>
      </c>
      <c r="T21" s="530">
        <v>674</v>
      </c>
      <c r="U21" s="530">
        <v>174.15650893014501</v>
      </c>
      <c r="V21" s="534">
        <v>4184</v>
      </c>
      <c r="W21" s="530">
        <v>4857</v>
      </c>
      <c r="X21" s="530">
        <v>673</v>
      </c>
      <c r="Y21" s="533">
        <v>173.89811648366111</v>
      </c>
      <c r="Z21" s="534">
        <v>70</v>
      </c>
      <c r="AA21" s="530">
        <v>87</v>
      </c>
      <c r="AB21" s="530">
        <v>17</v>
      </c>
      <c r="AC21" s="533">
        <v>4.3926715902262101</v>
      </c>
      <c r="AD21" s="534">
        <v>3751</v>
      </c>
      <c r="AE21" s="530">
        <v>4298</v>
      </c>
      <c r="AF21" s="530">
        <v>547</v>
      </c>
      <c r="AG21" s="533">
        <v>141.34066822669038</v>
      </c>
      <c r="AH21" s="534">
        <v>365</v>
      </c>
      <c r="AI21" s="530">
        <v>472.2</v>
      </c>
      <c r="AJ21" s="530">
        <v>107.19999999999999</v>
      </c>
      <c r="AK21" s="533">
        <v>27.699670263073507</v>
      </c>
      <c r="AL21" s="534">
        <v>292.91524600000002</v>
      </c>
      <c r="AM21" s="530">
        <v>381.914873</v>
      </c>
      <c r="AN21" s="530">
        <v>88.999626999999975</v>
      </c>
      <c r="AO21" s="533">
        <v>22.996831356684083</v>
      </c>
      <c r="AP21" s="534">
        <v>1.2</v>
      </c>
      <c r="AQ21" s="530">
        <v>1.4</v>
      </c>
      <c r="AR21" s="530">
        <v>0.19999999999999996</v>
      </c>
      <c r="AS21" s="533">
        <v>5.1678489296778929E-2</v>
      </c>
      <c r="AT21" s="534">
        <v>2.1</v>
      </c>
      <c r="AU21" s="530">
        <v>2.6</v>
      </c>
      <c r="AV21" s="530">
        <v>0.5</v>
      </c>
      <c r="AW21" s="533">
        <v>0.12919622324194735</v>
      </c>
      <c r="AX21" s="534">
        <v>-5.28</v>
      </c>
      <c r="AY21" s="530">
        <v>-5.94</v>
      </c>
      <c r="AZ21" s="530">
        <v>-0.66000000000000014</v>
      </c>
      <c r="BA21" s="530">
        <v>-2.7248899999999998</v>
      </c>
      <c r="BB21" s="533">
        <v>-0.17053901467937052</v>
      </c>
      <c r="BC21" s="545"/>
      <c r="BD21" s="545"/>
      <c r="BE21" s="545"/>
      <c r="BF21" s="545"/>
      <c r="BG21" s="545"/>
      <c r="BH21" s="567"/>
      <c r="BI21" s="574" t="s">
        <v>723</v>
      </c>
      <c r="BJ21" s="1">
        <v>1476.36668962</v>
      </c>
      <c r="BK21" s="1">
        <v>-1.30534935</v>
      </c>
      <c r="BL21" s="1">
        <v>3371.6532563000001</v>
      </c>
      <c r="BM21" s="1">
        <v>3416.24721731</v>
      </c>
      <c r="BN21" s="1">
        <v>2.9865086299999999</v>
      </c>
      <c r="BO21" s="1">
        <v>2.9953616799999998</v>
      </c>
      <c r="BP21" s="1">
        <v>0.26068671999999998</v>
      </c>
      <c r="BQ21" s="1">
        <v>3.8698926600000001</v>
      </c>
      <c r="BR21" s="1">
        <v>3.8598305900000001</v>
      </c>
      <c r="BS21" s="1">
        <v>-0.55789407000000002</v>
      </c>
      <c r="BT21" s="1">
        <v>-0.29555844999999997</v>
      </c>
      <c r="BU21" s="128">
        <v>0.72008974000000003</v>
      </c>
      <c r="BV21" s="512"/>
    </row>
    <row r="22" spans="1:74" s="519" customFormat="1" ht="22.5">
      <c r="A22" s="543">
        <v>62005016</v>
      </c>
      <c r="B22" s="543" t="s">
        <v>833</v>
      </c>
      <c r="C22" s="543" t="s">
        <v>701</v>
      </c>
      <c r="D22" s="513" t="s">
        <v>753</v>
      </c>
      <c r="E22" s="524" t="s">
        <v>754</v>
      </c>
      <c r="F22" s="524" t="s">
        <v>755</v>
      </c>
      <c r="G22" s="468">
        <v>19.997267999999998</v>
      </c>
      <c r="H22" s="468">
        <v>52.501200499999996</v>
      </c>
      <c r="I22" s="468">
        <v>29.249726000000003</v>
      </c>
      <c r="J22" s="468">
        <v>29.860308</v>
      </c>
      <c r="K22" s="579"/>
      <c r="L22" s="578"/>
      <c r="M22" s="580"/>
      <c r="N22" s="581"/>
      <c r="O22" s="453">
        <v>7.4686171799999999</v>
      </c>
      <c r="P22" s="493">
        <v>95.6</v>
      </c>
      <c r="Q22" s="493">
        <v>94</v>
      </c>
      <c r="R22" s="456">
        <v>3515</v>
      </c>
      <c r="S22" s="456">
        <v>4867</v>
      </c>
      <c r="T22" s="456">
        <v>1352</v>
      </c>
      <c r="U22" s="456">
        <v>181.0241397323835</v>
      </c>
      <c r="V22" s="456">
        <v>3507</v>
      </c>
      <c r="W22" s="456">
        <v>4857</v>
      </c>
      <c r="X22" s="456">
        <v>1350</v>
      </c>
      <c r="Y22" s="454">
        <v>180.75635254343027</v>
      </c>
      <c r="Z22" s="456">
        <v>63</v>
      </c>
      <c r="AA22" s="456">
        <v>87</v>
      </c>
      <c r="AB22" s="456">
        <v>23.529663999999997</v>
      </c>
      <c r="AC22" s="454">
        <v>3.1504712897870069</v>
      </c>
      <c r="AD22" s="456">
        <v>3142</v>
      </c>
      <c r="AE22" s="456">
        <v>4298</v>
      </c>
      <c r="AF22" s="456">
        <v>1156</v>
      </c>
      <c r="AG22" s="454">
        <v>154.78099521496696</v>
      </c>
      <c r="AH22" s="456">
        <v>303</v>
      </c>
      <c r="AI22" s="456">
        <v>472.2</v>
      </c>
      <c r="AJ22" s="456">
        <v>169.15293099999997</v>
      </c>
      <c r="AK22" s="454">
        <v>22.648493947844837</v>
      </c>
      <c r="AL22" s="456">
        <v>241.55991599999999</v>
      </c>
      <c r="AM22" s="456">
        <v>381.914873</v>
      </c>
      <c r="AN22" s="456">
        <v>140.33500399999997</v>
      </c>
      <c r="AO22" s="454">
        <v>18.789958116450141</v>
      </c>
      <c r="AP22" s="456">
        <v>1</v>
      </c>
      <c r="AQ22" s="456">
        <v>1.4</v>
      </c>
      <c r="AR22" s="456">
        <v>0.39999999999999991</v>
      </c>
      <c r="AS22" s="454">
        <v>5.3557437790645993E-2</v>
      </c>
      <c r="AT22" s="456">
        <v>1.8</v>
      </c>
      <c r="AU22" s="456">
        <v>2.6</v>
      </c>
      <c r="AV22" s="456">
        <v>0.8</v>
      </c>
      <c r="AW22" s="454">
        <v>0.10711487558129201</v>
      </c>
      <c r="AX22" s="456">
        <v>-4.87</v>
      </c>
      <c r="AY22" s="456">
        <v>-5.94</v>
      </c>
      <c r="AZ22" s="456">
        <v>-1.0700000000000003</v>
      </c>
      <c r="BA22" s="530">
        <v>-2.8117035000000001</v>
      </c>
      <c r="BB22" s="454">
        <v>-0.14326614608997812</v>
      </c>
      <c r="BC22" s="496"/>
      <c r="BD22" s="496"/>
      <c r="BE22" s="496"/>
      <c r="BF22" s="496"/>
      <c r="BG22" s="496"/>
      <c r="BH22" s="568"/>
      <c r="BI22" s="574" t="s">
        <v>723</v>
      </c>
      <c r="BJ22" s="1"/>
      <c r="BK22" s="1"/>
      <c r="BL22" s="1"/>
      <c r="BM22" s="1"/>
      <c r="BN22" s="1"/>
      <c r="BO22" s="1"/>
      <c r="BP22" s="1"/>
      <c r="BQ22" s="1"/>
      <c r="BR22" s="1"/>
      <c r="BS22" s="1"/>
      <c r="BT22" s="1"/>
      <c r="BU22" s="128"/>
      <c r="BV22" s="512"/>
    </row>
    <row r="23" spans="1:74" s="519" customFormat="1" ht="22.5">
      <c r="A23" s="543">
        <v>62005016</v>
      </c>
      <c r="B23" s="543" t="s">
        <v>836</v>
      </c>
      <c r="C23" s="543" t="s">
        <v>770</v>
      </c>
      <c r="D23" s="513" t="s">
        <v>753</v>
      </c>
      <c r="E23" s="524" t="s">
        <v>754</v>
      </c>
      <c r="F23" s="524" t="s">
        <v>755</v>
      </c>
      <c r="G23" s="531">
        <v>23.040631000000001</v>
      </c>
      <c r="H23" s="531">
        <v>43.727305000000001</v>
      </c>
      <c r="I23" s="531">
        <v>29.248778000000001</v>
      </c>
      <c r="J23" s="531">
        <v>31.142779000000001</v>
      </c>
      <c r="K23" s="578">
        <v>4250</v>
      </c>
      <c r="L23" s="578">
        <v>38.71</v>
      </c>
      <c r="M23" s="578">
        <v>3.0499999999999999E-2</v>
      </c>
      <c r="N23" s="578">
        <v>1.4999999999999999E-2</v>
      </c>
      <c r="O23" s="529">
        <v>1.7745031099999999</v>
      </c>
      <c r="P23" s="544">
        <v>94</v>
      </c>
      <c r="Q23" s="544">
        <v>91.6</v>
      </c>
      <c r="R23" s="530">
        <v>4879</v>
      </c>
      <c r="S23" s="530">
        <v>6910</v>
      </c>
      <c r="T23" s="530">
        <v>482</v>
      </c>
      <c r="U23" s="530">
        <v>271.62533403505842</v>
      </c>
      <c r="V23" s="534">
        <v>4868</v>
      </c>
      <c r="W23" s="530">
        <v>6899</v>
      </c>
      <c r="X23" s="530">
        <v>482</v>
      </c>
      <c r="Y23" s="533">
        <v>271.62533403505842</v>
      </c>
      <c r="Z23" s="534">
        <v>87</v>
      </c>
      <c r="AA23" s="530">
        <v>144</v>
      </c>
      <c r="AB23" s="530">
        <v>39</v>
      </c>
      <c r="AC23" s="533">
        <v>21.977983459268213</v>
      </c>
      <c r="AD23" s="534">
        <v>4298</v>
      </c>
      <c r="AE23" s="530">
        <v>6195</v>
      </c>
      <c r="AF23" s="530">
        <v>412</v>
      </c>
      <c r="AG23" s="533">
        <v>232.17767141585907</v>
      </c>
      <c r="AH23" s="534">
        <v>483.3</v>
      </c>
      <c r="AI23" s="530">
        <v>557.9</v>
      </c>
      <c r="AJ23" s="530">
        <v>29.469988999999941</v>
      </c>
      <c r="AK23" s="533">
        <v>16.607459763764485</v>
      </c>
      <c r="AL23" s="534">
        <v>391.09377999999998</v>
      </c>
      <c r="AM23" s="530">
        <v>453.11457999999999</v>
      </c>
      <c r="AN23" s="530">
        <v>24.569325000000049</v>
      </c>
      <c r="AO23" s="533">
        <v>13.845749191163744</v>
      </c>
      <c r="AP23" s="534">
        <v>1.5</v>
      </c>
      <c r="AQ23" s="530">
        <v>1.6</v>
      </c>
      <c r="AR23" s="530">
        <v>0</v>
      </c>
      <c r="AS23" s="533">
        <v>0</v>
      </c>
      <c r="AT23" s="534">
        <v>2.7</v>
      </c>
      <c r="AU23" s="530">
        <v>3.1</v>
      </c>
      <c r="AV23" s="530">
        <v>0.19999999999999973</v>
      </c>
      <c r="AW23" s="533">
        <v>0.11270760748342658</v>
      </c>
      <c r="AX23" s="534">
        <v>-6.01</v>
      </c>
      <c r="AY23" s="530">
        <v>-6.45</v>
      </c>
      <c r="AZ23" s="530">
        <v>-0.1800000000000006</v>
      </c>
      <c r="BA23" s="530">
        <v>-2.5938819999999998</v>
      </c>
      <c r="BB23" s="533">
        <v>-0.10143684673508439</v>
      </c>
      <c r="BC23" s="545"/>
      <c r="BD23" s="545"/>
      <c r="BE23" s="545"/>
      <c r="BF23" s="545"/>
      <c r="BG23" s="545"/>
      <c r="BH23" s="567"/>
      <c r="BI23" s="574" t="s">
        <v>723</v>
      </c>
      <c r="BJ23" s="1">
        <v>5478.2786310000001</v>
      </c>
      <c r="BK23" s="1">
        <v>-4.3948000900000004</v>
      </c>
      <c r="BL23" s="1">
        <v>2351.3761221599998</v>
      </c>
      <c r="BM23" s="1">
        <v>2459.46467807</v>
      </c>
      <c r="BN23" s="1">
        <v>3.0077957899999999</v>
      </c>
      <c r="BO23" s="1">
        <v>3.09838602</v>
      </c>
      <c r="BP23" s="1">
        <v>0.13453082999999999</v>
      </c>
      <c r="BQ23" s="1">
        <v>1.77448874</v>
      </c>
      <c r="BR23" s="1">
        <v>1.77210471</v>
      </c>
      <c r="BS23" s="1">
        <v>-3.1504302599999998</v>
      </c>
      <c r="BT23" s="1">
        <v>-2.9237875400000002</v>
      </c>
      <c r="BU23" s="128">
        <v>0.84360427999999998</v>
      </c>
      <c r="BV23" s="512"/>
    </row>
    <row r="24" spans="1:74" s="519" customFormat="1" ht="22.5">
      <c r="A24" s="543">
        <v>62005016</v>
      </c>
      <c r="B24" s="543" t="s">
        <v>837</v>
      </c>
      <c r="C24" s="543" t="s">
        <v>705</v>
      </c>
      <c r="D24" s="513" t="s">
        <v>753</v>
      </c>
      <c r="E24" s="524" t="s">
        <v>754</v>
      </c>
      <c r="F24" s="524" t="s">
        <v>755</v>
      </c>
      <c r="G24" s="531">
        <v>26.863195999999999</v>
      </c>
      <c r="H24" s="531">
        <v>35.634459999999997</v>
      </c>
      <c r="I24" s="531">
        <v>29.283846</v>
      </c>
      <c r="J24" s="531">
        <v>31.36694</v>
      </c>
      <c r="K24" s="578">
        <v>4250</v>
      </c>
      <c r="L24" s="578">
        <v>38.71</v>
      </c>
      <c r="M24" s="578">
        <v>3.0499999999999999E-2</v>
      </c>
      <c r="N24" s="578">
        <v>1.4999999999999999E-2</v>
      </c>
      <c r="O24" s="529">
        <v>6.2546746899999999</v>
      </c>
      <c r="P24" s="544">
        <v>93.6</v>
      </c>
      <c r="Q24" s="544">
        <v>91.8</v>
      </c>
      <c r="R24" s="530">
        <v>5202</v>
      </c>
      <c r="S24" s="530">
        <v>6751</v>
      </c>
      <c r="T24" s="530">
        <v>1549</v>
      </c>
      <c r="U24" s="530">
        <v>247.65476651832071</v>
      </c>
      <c r="V24" s="534">
        <v>5191</v>
      </c>
      <c r="W24" s="530">
        <v>6740</v>
      </c>
      <c r="X24" s="530">
        <v>1549</v>
      </c>
      <c r="Y24" s="533">
        <v>247.65476651832071</v>
      </c>
      <c r="Z24" s="534">
        <v>101</v>
      </c>
      <c r="AA24" s="530">
        <v>119</v>
      </c>
      <c r="AB24" s="530">
        <v>18</v>
      </c>
      <c r="AC24" s="533">
        <v>2.8778475128016612</v>
      </c>
      <c r="AD24" s="534">
        <v>4591</v>
      </c>
      <c r="AE24" s="530">
        <v>6076</v>
      </c>
      <c r="AF24" s="530">
        <v>1485</v>
      </c>
      <c r="AG24" s="533">
        <v>237.42241980613704</v>
      </c>
      <c r="AH24" s="534">
        <v>499.61525999999998</v>
      </c>
      <c r="AI24" s="530">
        <v>544.745271</v>
      </c>
      <c r="AJ24" s="530">
        <v>45.130011000000025</v>
      </c>
      <c r="AK24" s="533">
        <v>7.2154049949478711</v>
      </c>
      <c r="AL24" s="534">
        <v>404.69305200000002</v>
      </c>
      <c r="AM24" s="530">
        <v>442.14452699999998</v>
      </c>
      <c r="AN24" s="530">
        <v>37.451474999999959</v>
      </c>
      <c r="AO24" s="533">
        <v>5.9877574544168599</v>
      </c>
      <c r="AP24" s="534">
        <v>1.5</v>
      </c>
      <c r="AQ24" s="530">
        <v>1.6</v>
      </c>
      <c r="AR24" s="530">
        <v>0.10000000000000009</v>
      </c>
      <c r="AS24" s="533">
        <v>1.598804173778702E-2</v>
      </c>
      <c r="AT24" s="534">
        <v>2.8</v>
      </c>
      <c r="AU24" s="530">
        <v>3</v>
      </c>
      <c r="AV24" s="530">
        <v>0.20000000000000018</v>
      </c>
      <c r="AW24" s="533">
        <v>3.1976083475574041E-2</v>
      </c>
      <c r="AX24" s="534">
        <v>-6.11</v>
      </c>
      <c r="AY24" s="530">
        <v>-6.37</v>
      </c>
      <c r="AZ24" s="530">
        <v>-0.25999999999999979</v>
      </c>
      <c r="BA24" s="530">
        <v>-2.5739420000000002</v>
      </c>
      <c r="BB24" s="533">
        <v>-4.1568908518246184E-2</v>
      </c>
      <c r="BC24" s="545"/>
      <c r="BD24" s="545"/>
      <c r="BE24" s="545"/>
      <c r="BF24" s="545"/>
      <c r="BG24" s="545"/>
      <c r="BH24" s="567"/>
      <c r="BI24" s="574" t="s">
        <v>723</v>
      </c>
      <c r="BJ24" s="1">
        <v>11297.01850835</v>
      </c>
      <c r="BK24" s="1">
        <v>0.13722248000000001</v>
      </c>
      <c r="BL24" s="1">
        <v>1140.5304155399999</v>
      </c>
      <c r="BM24" s="1">
        <v>1138.9674960899999</v>
      </c>
      <c r="BN24" s="1">
        <v>5.9015723199999996</v>
      </c>
      <c r="BO24" s="1">
        <v>5.8930404899999997</v>
      </c>
      <c r="BP24" s="1">
        <v>0.31749767000000001</v>
      </c>
      <c r="BQ24" s="1">
        <v>6.2546536899999996</v>
      </c>
      <c r="BR24" s="1">
        <v>6.2348581599999999</v>
      </c>
      <c r="BS24" s="1">
        <v>-0.17247000000000001</v>
      </c>
      <c r="BT24" s="1">
        <v>0.14477796000000001</v>
      </c>
      <c r="BU24" s="128">
        <v>0.419769</v>
      </c>
      <c r="BV24" s="512"/>
    </row>
    <row r="25" spans="1:74" s="519" customFormat="1" ht="22.5">
      <c r="A25" s="543">
        <v>62005016</v>
      </c>
      <c r="B25" s="543" t="s">
        <v>835</v>
      </c>
      <c r="C25" s="543" t="s">
        <v>703</v>
      </c>
      <c r="D25" s="513" t="s">
        <v>753</v>
      </c>
      <c r="E25" s="524" t="s">
        <v>754</v>
      </c>
      <c r="F25" s="524" t="s">
        <v>755</v>
      </c>
      <c r="G25" s="468">
        <v>24.9519135</v>
      </c>
      <c r="H25" s="468">
        <v>39.680882499999996</v>
      </c>
      <c r="I25" s="468">
        <v>29.266311999999999</v>
      </c>
      <c r="J25" s="468">
        <v>31.254859500000002</v>
      </c>
      <c r="K25" s="579"/>
      <c r="L25" s="578"/>
      <c r="M25" s="580"/>
      <c r="N25" s="581"/>
      <c r="O25" s="453">
        <v>8.0291777999999994</v>
      </c>
      <c r="P25" s="493">
        <v>94</v>
      </c>
      <c r="Q25" s="493">
        <v>91.8</v>
      </c>
      <c r="R25" s="456">
        <v>4879</v>
      </c>
      <c r="S25" s="456">
        <v>6751</v>
      </c>
      <c r="T25" s="456">
        <v>2031</v>
      </c>
      <c r="U25" s="456">
        <v>252.95242558957906</v>
      </c>
      <c r="V25" s="456">
        <v>4868</v>
      </c>
      <c r="W25" s="456">
        <v>6740</v>
      </c>
      <c r="X25" s="456">
        <v>2031</v>
      </c>
      <c r="Y25" s="454">
        <v>252.95242558957906</v>
      </c>
      <c r="Z25" s="456">
        <v>87</v>
      </c>
      <c r="AA25" s="456">
        <v>119</v>
      </c>
      <c r="AB25" s="456">
        <v>57</v>
      </c>
      <c r="AC25" s="454">
        <v>7.0991079559852324</v>
      </c>
      <c r="AD25" s="456">
        <v>4298</v>
      </c>
      <c r="AE25" s="456">
        <v>6076</v>
      </c>
      <c r="AF25" s="456">
        <v>1897</v>
      </c>
      <c r="AG25" s="454">
        <v>236.26329460533307</v>
      </c>
      <c r="AH25" s="456">
        <v>483.3</v>
      </c>
      <c r="AI25" s="456">
        <v>544.745271</v>
      </c>
      <c r="AJ25" s="456">
        <v>74.599999999999966</v>
      </c>
      <c r="AK25" s="454">
        <v>9.291113219587686</v>
      </c>
      <c r="AL25" s="456">
        <v>391.09377999999998</v>
      </c>
      <c r="AM25" s="456">
        <v>442.14452699999998</v>
      </c>
      <c r="AN25" s="456">
        <v>62.020800000000008</v>
      </c>
      <c r="AO25" s="454">
        <v>7.7244272757292798</v>
      </c>
      <c r="AP25" s="456">
        <v>1.5</v>
      </c>
      <c r="AQ25" s="456">
        <v>1.6</v>
      </c>
      <c r="AR25" s="456">
        <v>0.10000000000000009</v>
      </c>
      <c r="AS25" s="454">
        <v>1.2454575361377611E-2</v>
      </c>
      <c r="AT25" s="456">
        <v>2.7</v>
      </c>
      <c r="AU25" s="456">
        <v>3</v>
      </c>
      <c r="AV25" s="456">
        <v>0.39999999999999991</v>
      </c>
      <c r="AW25" s="454">
        <v>4.9818301445510388E-2</v>
      </c>
      <c r="AX25" s="456">
        <v>-6.01</v>
      </c>
      <c r="AY25" s="456">
        <v>-6.37</v>
      </c>
      <c r="AZ25" s="456">
        <v>-0.44000000000000039</v>
      </c>
      <c r="BA25" s="530">
        <v>-2.5839119999999998</v>
      </c>
      <c r="BB25" s="454">
        <v>-5.4800131590061488E-2</v>
      </c>
      <c r="BC25" s="496"/>
      <c r="BD25" s="496"/>
      <c r="BE25" s="496"/>
      <c r="BF25" s="496"/>
      <c r="BG25" s="496"/>
      <c r="BH25" s="568"/>
      <c r="BI25" s="574" t="s">
        <v>723</v>
      </c>
      <c r="BJ25" s="1"/>
      <c r="BK25" s="1"/>
      <c r="BL25" s="1"/>
      <c r="BM25" s="1"/>
      <c r="BN25" s="1"/>
      <c r="BO25" s="1"/>
      <c r="BP25" s="1"/>
      <c r="BQ25" s="1"/>
      <c r="BR25" s="1"/>
      <c r="BS25" s="1"/>
      <c r="BT25" s="1"/>
      <c r="BU25" s="128"/>
      <c r="BV25" s="512"/>
    </row>
    <row r="26" spans="1:74" s="519" customFormat="1" ht="22.5">
      <c r="A26" s="543">
        <v>62005017</v>
      </c>
      <c r="B26" s="543" t="s">
        <v>838</v>
      </c>
      <c r="C26" s="543" t="s">
        <v>695</v>
      </c>
      <c r="D26" s="513" t="s">
        <v>757</v>
      </c>
      <c r="E26" s="524" t="s">
        <v>758</v>
      </c>
      <c r="F26" s="524" t="s">
        <v>759</v>
      </c>
      <c r="G26" s="531">
        <v>321.85344099999998</v>
      </c>
      <c r="H26" s="531">
        <v>425.19550199999998</v>
      </c>
      <c r="I26" s="531">
        <v>356.601133</v>
      </c>
      <c r="J26" s="531">
        <v>422.42125199999998</v>
      </c>
      <c r="K26" s="578">
        <v>4250</v>
      </c>
      <c r="L26" s="578">
        <v>38.71</v>
      </c>
      <c r="M26" s="578">
        <v>3.0499999999999999E-2</v>
      </c>
      <c r="N26" s="578">
        <v>1.4999999999999999E-2</v>
      </c>
      <c r="O26" s="529">
        <v>257.30084962000001</v>
      </c>
      <c r="P26" s="544">
        <v>91.5</v>
      </c>
      <c r="Q26" s="544">
        <v>18.899999999999999</v>
      </c>
      <c r="R26" s="530">
        <v>7020</v>
      </c>
      <c r="S26" s="530">
        <v>64989</v>
      </c>
      <c r="T26" s="530">
        <v>57969</v>
      </c>
      <c r="U26" s="530">
        <v>225.29657436270691</v>
      </c>
      <c r="V26" s="534">
        <v>7005</v>
      </c>
      <c r="W26" s="530">
        <v>64987</v>
      </c>
      <c r="X26" s="530">
        <v>57982</v>
      </c>
      <c r="Y26" s="533">
        <v>225.34709887523456</v>
      </c>
      <c r="Z26" s="534">
        <v>144</v>
      </c>
      <c r="AA26" s="530">
        <v>145</v>
      </c>
      <c r="AB26" s="530">
        <v>1</v>
      </c>
      <c r="AC26" s="533">
        <v>3.8865009636651817E-3</v>
      </c>
      <c r="AD26" s="534">
        <v>6198</v>
      </c>
      <c r="AE26" s="530">
        <v>62548</v>
      </c>
      <c r="AF26" s="530">
        <v>56350</v>
      </c>
      <c r="AG26" s="533">
        <v>219.00432930253299</v>
      </c>
      <c r="AH26" s="534">
        <v>662.347082</v>
      </c>
      <c r="AI26" s="530">
        <v>2220.3000000000002</v>
      </c>
      <c r="AJ26" s="530">
        <v>1557.9529180000002</v>
      </c>
      <c r="AK26" s="533">
        <v>6.054985517151982</v>
      </c>
      <c r="AL26" s="534">
        <v>533.57412499999998</v>
      </c>
      <c r="AM26" s="530">
        <v>1820.69</v>
      </c>
      <c r="AN26" s="530">
        <v>1287.115875</v>
      </c>
      <c r="AO26" s="533">
        <v>5.0023770885362531</v>
      </c>
      <c r="AP26" s="534">
        <v>2</v>
      </c>
      <c r="AQ26" s="530">
        <v>5.2</v>
      </c>
      <c r="AR26" s="530">
        <v>3.2</v>
      </c>
      <c r="AS26" s="533">
        <v>1.2436803083728581E-2</v>
      </c>
      <c r="AT26" s="534">
        <v>3.9</v>
      </c>
      <c r="AU26" s="530">
        <v>11.1</v>
      </c>
      <c r="AV26" s="530">
        <v>7.1999999999999993</v>
      </c>
      <c r="AW26" s="533">
        <v>2.7982806938389306E-2</v>
      </c>
      <c r="AX26" s="534">
        <v>-7.43</v>
      </c>
      <c r="AY26" s="530">
        <v>-15.86</v>
      </c>
      <c r="AZ26" s="530">
        <v>-8.43</v>
      </c>
      <c r="BA26" s="530">
        <v>-26.006053000000001</v>
      </c>
      <c r="BB26" s="533">
        <v>-3.2763203123697481E-2</v>
      </c>
      <c r="BC26" s="545"/>
      <c r="BD26" s="545"/>
      <c r="BE26" s="545"/>
      <c r="BF26" s="545"/>
      <c r="BG26" s="545"/>
      <c r="BH26" s="567"/>
      <c r="BI26" s="574" t="s">
        <v>723</v>
      </c>
      <c r="BJ26" s="1">
        <v>8.9098933599999999</v>
      </c>
      <c r="BK26" s="1">
        <v>123.93749763</v>
      </c>
      <c r="BL26" s="1">
        <v>1301.41724621</v>
      </c>
      <c r="BM26" s="1">
        <v>581.15200000000004</v>
      </c>
      <c r="BN26" s="1">
        <v>193.12529481000001</v>
      </c>
      <c r="BO26" s="1">
        <v>192.55546766000001</v>
      </c>
      <c r="BP26" s="1">
        <v>-4.5715930000000002E-2</v>
      </c>
      <c r="BQ26" s="1">
        <v>257.30127479999999</v>
      </c>
      <c r="BR26" s="1">
        <v>257.41895626000002</v>
      </c>
      <c r="BS26" s="1">
        <v>0.34063672</v>
      </c>
      <c r="BT26" s="1">
        <v>0.29592884000000003</v>
      </c>
      <c r="BU26" s="128">
        <v>4.2900400000000002E-3</v>
      </c>
      <c r="BV26" s="512"/>
    </row>
    <row r="27" spans="1:74" s="519" customFormat="1">
      <c r="A27" s="543">
        <v>62005018</v>
      </c>
      <c r="B27" s="543" t="s">
        <v>839</v>
      </c>
      <c r="C27" s="543" t="s">
        <v>771</v>
      </c>
      <c r="D27" s="513" t="s">
        <v>761</v>
      </c>
      <c r="E27" s="524" t="s">
        <v>762</v>
      </c>
      <c r="F27" s="524" t="s">
        <v>708</v>
      </c>
      <c r="G27" s="531">
        <v>21.746403999999998</v>
      </c>
      <c r="H27" s="531">
        <v>44.001969000000003</v>
      </c>
      <c r="I27" s="531">
        <v>29.165486999999999</v>
      </c>
      <c r="J27" s="531">
        <v>34.011958</v>
      </c>
      <c r="K27" s="578">
        <v>4250</v>
      </c>
      <c r="L27" s="578">
        <v>38.71</v>
      </c>
      <c r="M27" s="578">
        <v>3.0499999999999999E-2</v>
      </c>
      <c r="N27" s="578">
        <v>1.4999999999999999E-2</v>
      </c>
      <c r="O27" s="529">
        <v>1.7759390900000001</v>
      </c>
      <c r="P27" s="544"/>
      <c r="Q27" s="544"/>
      <c r="R27" s="530">
        <v>65043</v>
      </c>
      <c r="S27" s="530">
        <v>66992</v>
      </c>
      <c r="T27" s="530">
        <v>453</v>
      </c>
      <c r="U27" s="530">
        <v>255.07631570855281</v>
      </c>
      <c r="V27" s="534">
        <v>65039</v>
      </c>
      <c r="W27" s="530">
        <v>66988</v>
      </c>
      <c r="X27" s="530">
        <v>453</v>
      </c>
      <c r="Y27" s="533">
        <v>255.07631570855281</v>
      </c>
      <c r="Z27" s="534">
        <v>145</v>
      </c>
      <c r="AA27" s="530">
        <v>195</v>
      </c>
      <c r="AB27" s="530">
        <v>36</v>
      </c>
      <c r="AC27" s="533">
        <v>20.270965486772408</v>
      </c>
      <c r="AD27" s="534">
        <v>62549</v>
      </c>
      <c r="AE27" s="530">
        <v>64385</v>
      </c>
      <c r="AF27" s="530">
        <v>391</v>
      </c>
      <c r="AG27" s="533">
        <v>220.16520848133365</v>
      </c>
      <c r="AH27" s="534">
        <v>2271.4</v>
      </c>
      <c r="AI27" s="530">
        <v>2332.7855290000002</v>
      </c>
      <c r="AJ27" s="530">
        <v>24.885529000000133</v>
      </c>
      <c r="AK27" s="533">
        <v>14.012602763307683</v>
      </c>
      <c r="AL27" s="534">
        <v>1858.4089260000001</v>
      </c>
      <c r="AM27" s="530">
        <v>1909.2285529999999</v>
      </c>
      <c r="AN27" s="530">
        <v>20.668387999999823</v>
      </c>
      <c r="AO27" s="533">
        <v>11.638004994867151</v>
      </c>
      <c r="AP27" s="534">
        <v>5.4</v>
      </c>
      <c r="AQ27" s="530">
        <v>5.5</v>
      </c>
      <c r="AR27" s="530">
        <v>0</v>
      </c>
      <c r="AS27" s="533">
        <v>0</v>
      </c>
      <c r="AT27" s="534">
        <v>11.5</v>
      </c>
      <c r="AU27" s="530">
        <v>11.7</v>
      </c>
      <c r="AV27" s="530">
        <v>0</v>
      </c>
      <c r="AW27" s="533">
        <v>0</v>
      </c>
      <c r="AX27" s="534">
        <v>-16.34</v>
      </c>
      <c r="AY27" s="530">
        <v>-16.68</v>
      </c>
      <c r="AZ27" s="530">
        <v>-0.12999999999999901</v>
      </c>
      <c r="BA27" s="530">
        <v>-1.97458</v>
      </c>
      <c r="BB27" s="533">
        <v>-7.3200708702233136E-2</v>
      </c>
      <c r="BC27" s="545"/>
      <c r="BD27" s="545"/>
      <c r="BE27" s="545"/>
      <c r="BF27" s="545"/>
      <c r="BG27" s="545"/>
      <c r="BH27" s="567"/>
      <c r="BI27" s="574" t="s">
        <v>723</v>
      </c>
      <c r="BJ27" s="1">
        <v>5451.5393356900004</v>
      </c>
      <c r="BK27" s="1">
        <v>-4.2624649200000002</v>
      </c>
      <c r="BL27" s="1">
        <v>2354.8705188700001</v>
      </c>
      <c r="BM27" s="1">
        <v>2459.7150082500002</v>
      </c>
      <c r="BN27" s="1">
        <v>3.02312322</v>
      </c>
      <c r="BO27" s="1">
        <v>3.0990129799999999</v>
      </c>
      <c r="BP27" s="1">
        <v>0.21089746000000001</v>
      </c>
      <c r="BQ27" s="1">
        <v>1.7759369</v>
      </c>
      <c r="BR27" s="1">
        <v>1.77219938</v>
      </c>
      <c r="BS27" s="1">
        <v>-2.7265012899999999</v>
      </c>
      <c r="BT27" s="1">
        <v>-2.4488362800000001</v>
      </c>
      <c r="BU27" s="128">
        <v>0.84361602999999996</v>
      </c>
      <c r="BV27" s="512"/>
    </row>
    <row r="28" spans="1:74" s="519" customFormat="1">
      <c r="A28" s="543">
        <v>62005018</v>
      </c>
      <c r="B28" s="543" t="s">
        <v>840</v>
      </c>
      <c r="C28" s="543" t="s">
        <v>696</v>
      </c>
      <c r="D28" s="513" t="s">
        <v>761</v>
      </c>
      <c r="E28" s="524" t="s">
        <v>762</v>
      </c>
      <c r="F28" s="524" t="s">
        <v>708</v>
      </c>
      <c r="G28" s="531">
        <v>25.540348999999999</v>
      </c>
      <c r="H28" s="531">
        <v>36.371763000000001</v>
      </c>
      <c r="I28" s="531">
        <v>29.175671000000001</v>
      </c>
      <c r="J28" s="531">
        <v>32.787962999999998</v>
      </c>
      <c r="K28" s="578">
        <v>4250</v>
      </c>
      <c r="L28" s="578">
        <v>38.71</v>
      </c>
      <c r="M28" s="578">
        <v>3.0499999999999999E-2</v>
      </c>
      <c r="N28" s="578">
        <v>1.4999999999999999E-2</v>
      </c>
      <c r="O28" s="529">
        <v>6.2513118600000004</v>
      </c>
      <c r="P28" s="544">
        <v>18.399999999999999</v>
      </c>
      <c r="Q28" s="544">
        <v>16.2</v>
      </c>
      <c r="R28" s="530">
        <v>65345</v>
      </c>
      <c r="S28" s="530">
        <v>66841</v>
      </c>
      <c r="T28" s="530">
        <v>1496</v>
      </c>
      <c r="U28" s="530">
        <v>239.3097694537351</v>
      </c>
      <c r="V28" s="534">
        <v>65341</v>
      </c>
      <c r="W28" s="530">
        <v>66837</v>
      </c>
      <c r="X28" s="530">
        <v>1496</v>
      </c>
      <c r="Y28" s="533">
        <v>239.3097694537351</v>
      </c>
      <c r="Z28" s="534">
        <v>158</v>
      </c>
      <c r="AA28" s="530">
        <v>172</v>
      </c>
      <c r="AB28" s="530">
        <v>14</v>
      </c>
      <c r="AC28" s="533">
        <v>2.2395299280429755</v>
      </c>
      <c r="AD28" s="534">
        <v>62824</v>
      </c>
      <c r="AE28" s="530">
        <v>64269</v>
      </c>
      <c r="AF28" s="530">
        <v>1445</v>
      </c>
      <c r="AG28" s="533">
        <v>231.15148185872138</v>
      </c>
      <c r="AH28" s="534">
        <v>2284.8000000000002</v>
      </c>
      <c r="AI28" s="530">
        <v>2321.3000000000002</v>
      </c>
      <c r="AJ28" s="530">
        <v>36.5</v>
      </c>
      <c r="AK28" s="533">
        <v>5.8387744552549004</v>
      </c>
      <c r="AL28" s="534">
        <v>1869.4987610000001</v>
      </c>
      <c r="AM28" s="530">
        <v>1899.65</v>
      </c>
      <c r="AN28" s="530">
        <v>30.151239000000032</v>
      </c>
      <c r="AO28" s="533">
        <v>4.8231858648626167</v>
      </c>
      <c r="AP28" s="534">
        <v>5.4</v>
      </c>
      <c r="AQ28" s="530">
        <v>5.5</v>
      </c>
      <c r="AR28" s="530">
        <v>9.9999999999999645E-2</v>
      </c>
      <c r="AS28" s="533">
        <v>1.5996642343164055E-2</v>
      </c>
      <c r="AT28" s="534">
        <v>11.5</v>
      </c>
      <c r="AU28" s="530">
        <v>11.7</v>
      </c>
      <c r="AV28" s="530">
        <v>0.19999999999999929</v>
      </c>
      <c r="AW28" s="533">
        <v>3.1993284686328109E-2</v>
      </c>
      <c r="AX28" s="534">
        <v>-16.41</v>
      </c>
      <c r="AY28" s="530">
        <v>-16.62</v>
      </c>
      <c r="AZ28" s="530">
        <v>-0.21000000000000085</v>
      </c>
      <c r="BA28" s="530">
        <v>-1.9551449999999999</v>
      </c>
      <c r="BB28" s="533">
        <v>-3.3592948920644766E-2</v>
      </c>
      <c r="BC28" s="545"/>
      <c r="BD28" s="545"/>
      <c r="BE28" s="545"/>
      <c r="BF28" s="545"/>
      <c r="BG28" s="545"/>
      <c r="BH28" s="567"/>
      <c r="BI28" s="574" t="s">
        <v>723</v>
      </c>
      <c r="BJ28" s="1">
        <v>11296.255486509999</v>
      </c>
      <c r="BK28" s="1">
        <v>-5.4972999099999997</v>
      </c>
      <c r="BL28" s="1">
        <v>1076.70275636</v>
      </c>
      <c r="BM28" s="1">
        <v>1139.3354426200001</v>
      </c>
      <c r="BN28" s="1">
        <v>5.8248879899999997</v>
      </c>
      <c r="BO28" s="1">
        <v>5.89529528</v>
      </c>
      <c r="BP28" s="1">
        <v>0.24939075999999999</v>
      </c>
      <c r="BQ28" s="1">
        <v>6.2513038400000003</v>
      </c>
      <c r="BR28" s="1">
        <v>6.2357524499999997</v>
      </c>
      <c r="BS28" s="1">
        <v>-1.46113732</v>
      </c>
      <c r="BT28" s="1">
        <v>-1.1942962500000001</v>
      </c>
      <c r="BU28" s="128">
        <v>0.41982085000000002</v>
      </c>
      <c r="BV28" s="512"/>
    </row>
    <row r="29" spans="1:74" s="519" customFormat="1">
      <c r="A29" s="543">
        <v>62005018</v>
      </c>
      <c r="B29" s="543" t="s">
        <v>834</v>
      </c>
      <c r="C29" s="543" t="s">
        <v>698</v>
      </c>
      <c r="D29" s="513" t="s">
        <v>761</v>
      </c>
      <c r="E29" s="524" t="s">
        <v>762</v>
      </c>
      <c r="F29" s="524" t="s">
        <v>708</v>
      </c>
      <c r="G29" s="468">
        <v>23.643376499999999</v>
      </c>
      <c r="H29" s="468">
        <v>40.186866000000002</v>
      </c>
      <c r="I29" s="468">
        <v>29.170579</v>
      </c>
      <c r="J29" s="468">
        <v>33.399960499999999</v>
      </c>
      <c r="K29" s="579"/>
      <c r="L29" s="578"/>
      <c r="M29" s="580"/>
      <c r="N29" s="581"/>
      <c r="O29" s="453">
        <v>8.0272509500000009</v>
      </c>
      <c r="P29" s="493">
        <v>0</v>
      </c>
      <c r="Q29" s="493">
        <v>16.2</v>
      </c>
      <c r="R29" s="456">
        <v>65043</v>
      </c>
      <c r="S29" s="456">
        <v>66841</v>
      </c>
      <c r="T29" s="456">
        <v>1949</v>
      </c>
      <c r="U29" s="456">
        <v>242.79794068229546</v>
      </c>
      <c r="V29" s="456">
        <v>65039</v>
      </c>
      <c r="W29" s="456">
        <v>66837</v>
      </c>
      <c r="X29" s="456">
        <v>1949</v>
      </c>
      <c r="Y29" s="454">
        <v>242.79794068229546</v>
      </c>
      <c r="Z29" s="456">
        <v>145</v>
      </c>
      <c r="AA29" s="456">
        <v>172</v>
      </c>
      <c r="AB29" s="456">
        <v>50</v>
      </c>
      <c r="AC29" s="454">
        <v>6.2287824700434955</v>
      </c>
      <c r="AD29" s="456">
        <v>62549</v>
      </c>
      <c r="AE29" s="456">
        <v>64269</v>
      </c>
      <c r="AF29" s="456">
        <v>1836</v>
      </c>
      <c r="AG29" s="454">
        <v>228.72089229999716</v>
      </c>
      <c r="AH29" s="456">
        <v>2271.4</v>
      </c>
      <c r="AI29" s="456">
        <v>2321.3000000000002</v>
      </c>
      <c r="AJ29" s="456">
        <v>61.385529000000133</v>
      </c>
      <c r="AK29" s="454">
        <v>7.6471421389909491</v>
      </c>
      <c r="AL29" s="456">
        <v>1858.4089260000001</v>
      </c>
      <c r="AM29" s="456">
        <v>1899.65</v>
      </c>
      <c r="AN29" s="456">
        <v>50.819626999999855</v>
      </c>
      <c r="AO29" s="454">
        <v>6.3308880358349642</v>
      </c>
      <c r="AP29" s="456">
        <v>5.4</v>
      </c>
      <c r="AQ29" s="456">
        <v>5.5</v>
      </c>
      <c r="AR29" s="456">
        <v>9.9999999999999645E-2</v>
      </c>
      <c r="AS29" s="454">
        <v>1.2457564940086947E-2</v>
      </c>
      <c r="AT29" s="456">
        <v>11.5</v>
      </c>
      <c r="AU29" s="456">
        <v>11.7</v>
      </c>
      <c r="AV29" s="456">
        <v>0.19999999999999929</v>
      </c>
      <c r="AW29" s="454">
        <v>2.4915129880173893E-2</v>
      </c>
      <c r="AX29" s="456">
        <v>-16.34</v>
      </c>
      <c r="AY29" s="456">
        <v>-16.62</v>
      </c>
      <c r="AZ29" s="456">
        <v>-0.33999999999999986</v>
      </c>
      <c r="BA29" s="530">
        <v>-1.9648625</v>
      </c>
      <c r="BB29" s="454">
        <v>-4.2355720796295751E-2</v>
      </c>
      <c r="BC29" s="496"/>
      <c r="BD29" s="496"/>
      <c r="BE29" s="496"/>
      <c r="BF29" s="496"/>
      <c r="BG29" s="496"/>
      <c r="BH29" s="568"/>
      <c r="BI29" s="574" t="s">
        <v>723</v>
      </c>
      <c r="BJ29" s="1"/>
      <c r="BK29" s="1"/>
      <c r="BL29" s="1"/>
      <c r="BM29" s="1"/>
      <c r="BN29" s="1"/>
      <c r="BO29" s="1"/>
      <c r="BP29" s="1"/>
      <c r="BQ29" s="1"/>
      <c r="BR29" s="1"/>
      <c r="BS29" s="1"/>
      <c r="BT29" s="1"/>
      <c r="BU29" s="128"/>
      <c r="BV29" s="512"/>
    </row>
    <row r="30" spans="1:74" s="519" customFormat="1">
      <c r="A30" s="543">
        <v>62005018</v>
      </c>
      <c r="B30" s="543" t="s">
        <v>841</v>
      </c>
      <c r="C30" s="543" t="s">
        <v>697</v>
      </c>
      <c r="D30" s="513" t="s">
        <v>761</v>
      </c>
      <c r="E30" s="524" t="s">
        <v>762</v>
      </c>
      <c r="F30" s="524" t="s">
        <v>708</v>
      </c>
      <c r="G30" s="531">
        <v>20.787917</v>
      </c>
      <c r="H30" s="531">
        <v>47.199452999999998</v>
      </c>
      <c r="I30" s="531">
        <v>29.176124000000002</v>
      </c>
      <c r="J30" s="531">
        <v>31.704716000000001</v>
      </c>
      <c r="K30" s="578">
        <v>4250</v>
      </c>
      <c r="L30" s="578">
        <v>38.71</v>
      </c>
      <c r="M30" s="578">
        <v>3.0499999999999999E-2</v>
      </c>
      <c r="N30" s="578">
        <v>1.4999999999999999E-2</v>
      </c>
      <c r="O30" s="529">
        <v>3.5968798199999998</v>
      </c>
      <c r="P30" s="544">
        <v>15.9</v>
      </c>
      <c r="Q30" s="544">
        <v>15</v>
      </c>
      <c r="R30" s="530">
        <v>67034</v>
      </c>
      <c r="S30" s="530">
        <v>67682</v>
      </c>
      <c r="T30" s="530">
        <v>648</v>
      </c>
      <c r="U30" s="530">
        <v>180.15614433289574</v>
      </c>
      <c r="V30" s="534">
        <v>67029</v>
      </c>
      <c r="W30" s="530">
        <v>67676</v>
      </c>
      <c r="X30" s="530">
        <v>647</v>
      </c>
      <c r="Y30" s="533">
        <v>179.87812559164126</v>
      </c>
      <c r="Z30" s="534">
        <v>195</v>
      </c>
      <c r="AA30" s="530">
        <v>201</v>
      </c>
      <c r="AB30" s="530">
        <v>6</v>
      </c>
      <c r="AC30" s="533">
        <v>1.6681124475268123</v>
      </c>
      <c r="AD30" s="534">
        <v>64386</v>
      </c>
      <c r="AE30" s="530">
        <v>64975</v>
      </c>
      <c r="AF30" s="530">
        <v>589</v>
      </c>
      <c r="AG30" s="533">
        <v>163.75303859888209</v>
      </c>
      <c r="AH30" s="534">
        <v>2373.6</v>
      </c>
      <c r="AI30" s="530">
        <v>2424.5</v>
      </c>
      <c r="AJ30" s="530">
        <v>50.900000000000091</v>
      </c>
      <c r="AK30" s="533">
        <v>14.151153929852484</v>
      </c>
      <c r="AL30" s="534">
        <v>1940.618281</v>
      </c>
      <c r="AM30" s="530">
        <v>1982.658169</v>
      </c>
      <c r="AN30" s="530">
        <v>42.039888000000019</v>
      </c>
      <c r="AO30" s="533">
        <v>11.687876744238849</v>
      </c>
      <c r="AP30" s="534">
        <v>5.6</v>
      </c>
      <c r="AQ30" s="530">
        <v>5.7</v>
      </c>
      <c r="AR30" s="530">
        <v>0.10000000000000053</v>
      </c>
      <c r="AS30" s="533">
        <v>2.7801874125447022E-2</v>
      </c>
      <c r="AT30" s="534">
        <v>12</v>
      </c>
      <c r="AU30" s="530">
        <v>12.2</v>
      </c>
      <c r="AV30" s="530">
        <v>0.19999999999999929</v>
      </c>
      <c r="AW30" s="533">
        <v>5.560374825089355E-2</v>
      </c>
      <c r="AX30" s="534">
        <v>-17.010000000000002</v>
      </c>
      <c r="AY30" s="530">
        <v>-17.29</v>
      </c>
      <c r="AZ30" s="530">
        <v>-0.27999999999999758</v>
      </c>
      <c r="BA30" s="530">
        <v>-2.0161359999999999</v>
      </c>
      <c r="BB30" s="533">
        <v>-7.7845247551250565E-2</v>
      </c>
      <c r="BC30" s="545"/>
      <c r="BD30" s="545"/>
      <c r="BE30" s="545"/>
      <c r="BF30" s="545"/>
      <c r="BG30" s="545"/>
      <c r="BH30" s="567"/>
      <c r="BI30" s="574" t="s">
        <v>723</v>
      </c>
      <c r="BJ30" s="1">
        <v>2368.9175235900002</v>
      </c>
      <c r="BK30" s="1">
        <v>-1.21134184</v>
      </c>
      <c r="BL30" s="1">
        <v>2024.0009098200001</v>
      </c>
      <c r="BM30" s="1">
        <v>2048.8191130300002</v>
      </c>
      <c r="BN30" s="1">
        <v>3.02315684</v>
      </c>
      <c r="BO30" s="1">
        <v>3.03200593</v>
      </c>
      <c r="BP30" s="1">
        <v>0.16263602999999999</v>
      </c>
      <c r="BQ30" s="1">
        <v>3.5968208700000002</v>
      </c>
      <c r="BR30" s="1">
        <v>3.5909806400000002</v>
      </c>
      <c r="BS30" s="1">
        <v>-0.45582241000000001</v>
      </c>
      <c r="BT30" s="1">
        <v>-0.29185603999999998</v>
      </c>
      <c r="BU30" s="128">
        <v>0.63449948</v>
      </c>
      <c r="BV30" s="512"/>
    </row>
    <row r="31" spans="1:74" s="519" customFormat="1">
      <c r="A31" s="543">
        <v>62005018</v>
      </c>
      <c r="B31" s="543" t="s">
        <v>234</v>
      </c>
      <c r="C31" s="543" t="s">
        <v>699</v>
      </c>
      <c r="D31" s="513" t="s">
        <v>761</v>
      </c>
      <c r="E31" s="524" t="s">
        <v>762</v>
      </c>
      <c r="F31" s="524" t="s">
        <v>708</v>
      </c>
      <c r="G31" s="531">
        <v>20.788806999999998</v>
      </c>
      <c r="H31" s="531">
        <v>47.432864000000002</v>
      </c>
      <c r="I31" s="531">
        <v>29.178602000000001</v>
      </c>
      <c r="J31" s="531">
        <v>30.978672</v>
      </c>
      <c r="K31" s="578">
        <v>4250</v>
      </c>
      <c r="L31" s="578">
        <v>38.71</v>
      </c>
      <c r="M31" s="578">
        <v>3.0499999999999999E-2</v>
      </c>
      <c r="N31" s="578">
        <v>1.4999999999999999E-2</v>
      </c>
      <c r="O31" s="529">
        <v>3.8647289499999999</v>
      </c>
      <c r="P31" s="544">
        <v>15</v>
      </c>
      <c r="Q31" s="544">
        <v>14.1</v>
      </c>
      <c r="R31" s="530">
        <v>67682</v>
      </c>
      <c r="S31" s="530">
        <v>68307</v>
      </c>
      <c r="T31" s="530">
        <v>625</v>
      </c>
      <c r="U31" s="530">
        <v>161.71897384938211</v>
      </c>
      <c r="V31" s="534">
        <v>67676</v>
      </c>
      <c r="W31" s="530">
        <v>68302</v>
      </c>
      <c r="X31" s="530">
        <v>626</v>
      </c>
      <c r="Y31" s="533">
        <v>161.97772420754112</v>
      </c>
      <c r="Z31" s="534">
        <v>201</v>
      </c>
      <c r="AA31" s="530">
        <v>217</v>
      </c>
      <c r="AB31" s="530">
        <v>16</v>
      </c>
      <c r="AC31" s="533">
        <v>4.140005730544182</v>
      </c>
      <c r="AD31" s="534">
        <v>64975</v>
      </c>
      <c r="AE31" s="530">
        <v>65500</v>
      </c>
      <c r="AF31" s="530">
        <v>525</v>
      </c>
      <c r="AG31" s="533">
        <v>135.84393803348098</v>
      </c>
      <c r="AH31" s="534">
        <v>2424.5</v>
      </c>
      <c r="AI31" s="530">
        <v>2508.6</v>
      </c>
      <c r="AJ31" s="530">
        <v>84.099999999999909</v>
      </c>
      <c r="AK31" s="533">
        <v>21.760905121172833</v>
      </c>
      <c r="AL31" s="534">
        <v>1982.6781329999999</v>
      </c>
      <c r="AM31" s="530">
        <v>2052.037742</v>
      </c>
      <c r="AN31" s="530">
        <v>69.359609000000091</v>
      </c>
      <c r="AO31" s="533">
        <v>17.946823670519013</v>
      </c>
      <c r="AP31" s="534">
        <v>5.7</v>
      </c>
      <c r="AQ31" s="530">
        <v>5.8</v>
      </c>
      <c r="AR31" s="530">
        <v>9.9999999999999645E-2</v>
      </c>
      <c r="AS31" s="533">
        <v>2.5875035815901046E-2</v>
      </c>
      <c r="AT31" s="534">
        <v>12.2</v>
      </c>
      <c r="AU31" s="530">
        <v>12.5</v>
      </c>
      <c r="AV31" s="530">
        <v>0.30000000000000071</v>
      </c>
      <c r="AW31" s="533">
        <v>7.7625107447703595E-2</v>
      </c>
      <c r="AX31" s="534">
        <v>-17.29</v>
      </c>
      <c r="AY31" s="530">
        <v>-17.78</v>
      </c>
      <c r="AZ31" s="530">
        <v>-0.49000000000000199</v>
      </c>
      <c r="BA31" s="530">
        <v>-2.0093329999999998</v>
      </c>
      <c r="BB31" s="533">
        <v>-0.12678767549791609</v>
      </c>
      <c r="BC31" s="545"/>
      <c r="BD31" s="545"/>
      <c r="BE31" s="545"/>
      <c r="BF31" s="545"/>
      <c r="BG31" s="545"/>
      <c r="BH31" s="567"/>
      <c r="BI31" s="574" t="s">
        <v>723</v>
      </c>
      <c r="BJ31" s="1">
        <v>1476.4696037399999</v>
      </c>
      <c r="BK31" s="1">
        <v>-1.4184444599999999</v>
      </c>
      <c r="BL31" s="1">
        <v>3367.7537650700001</v>
      </c>
      <c r="BM31" s="1">
        <v>3416.21081826</v>
      </c>
      <c r="BN31" s="1">
        <v>2.97960979</v>
      </c>
      <c r="BO31" s="1">
        <v>2.9953240299999999</v>
      </c>
      <c r="BP31" s="1">
        <v>0.1240362</v>
      </c>
      <c r="BQ31" s="1">
        <v>3.86461728</v>
      </c>
      <c r="BR31" s="1">
        <v>3.8598296900000002</v>
      </c>
      <c r="BS31" s="1">
        <v>-0.65208290999999996</v>
      </c>
      <c r="BT31" s="1">
        <v>-0.52462571999999996</v>
      </c>
      <c r="BU31" s="128">
        <v>0.72008406000000003</v>
      </c>
      <c r="BV31" s="512"/>
    </row>
    <row r="32" spans="1:74" s="519" customFormat="1">
      <c r="A32" s="543">
        <v>62005018</v>
      </c>
      <c r="B32" s="543" t="s">
        <v>842</v>
      </c>
      <c r="C32" s="543" t="s">
        <v>704</v>
      </c>
      <c r="D32" s="513" t="s">
        <v>761</v>
      </c>
      <c r="E32" s="524" t="s">
        <v>762</v>
      </c>
      <c r="F32" s="524" t="s">
        <v>708</v>
      </c>
      <c r="G32" s="468">
        <v>20.788361999999999</v>
      </c>
      <c r="H32" s="468">
        <v>47.3161585</v>
      </c>
      <c r="I32" s="468">
        <v>29.177363</v>
      </c>
      <c r="J32" s="468">
        <v>31.341694</v>
      </c>
      <c r="K32" s="579"/>
      <c r="L32" s="578"/>
      <c r="M32" s="580"/>
      <c r="N32" s="581"/>
      <c r="O32" s="453">
        <v>7.4616087699999998</v>
      </c>
      <c r="P32" s="493">
        <v>15.9</v>
      </c>
      <c r="Q32" s="493">
        <v>14.1</v>
      </c>
      <c r="R32" s="456">
        <v>67034</v>
      </c>
      <c r="S32" s="456">
        <v>68307</v>
      </c>
      <c r="T32" s="456">
        <v>1273</v>
      </c>
      <c r="U32" s="456">
        <v>170.60663983324872</v>
      </c>
      <c r="V32" s="456">
        <v>67029</v>
      </c>
      <c r="W32" s="456">
        <v>68302</v>
      </c>
      <c r="X32" s="456">
        <v>1273</v>
      </c>
      <c r="Y32" s="454">
        <v>170.60663983324872</v>
      </c>
      <c r="Z32" s="456">
        <v>195</v>
      </c>
      <c r="AA32" s="456">
        <v>217</v>
      </c>
      <c r="AB32" s="456">
        <v>22</v>
      </c>
      <c r="AC32" s="454">
        <v>2.9484258258691844</v>
      </c>
      <c r="AD32" s="456">
        <v>64386</v>
      </c>
      <c r="AE32" s="456">
        <v>65500</v>
      </c>
      <c r="AF32" s="456">
        <v>1114</v>
      </c>
      <c r="AG32" s="454">
        <v>149.29756227355782</v>
      </c>
      <c r="AH32" s="456">
        <v>2373.6</v>
      </c>
      <c r="AI32" s="456">
        <v>2508.6</v>
      </c>
      <c r="AJ32" s="456">
        <v>135</v>
      </c>
      <c r="AK32" s="454">
        <v>18.092613022379087</v>
      </c>
      <c r="AL32" s="456">
        <v>1940.618281</v>
      </c>
      <c r="AM32" s="456">
        <v>2052.037742</v>
      </c>
      <c r="AN32" s="456">
        <v>111.39949700000011</v>
      </c>
      <c r="AO32" s="454">
        <v>14.929688815619867</v>
      </c>
      <c r="AP32" s="456">
        <v>5.6</v>
      </c>
      <c r="AQ32" s="456">
        <v>5.8</v>
      </c>
      <c r="AR32" s="456">
        <v>0.20000000000000018</v>
      </c>
      <c r="AS32" s="454">
        <v>2.6803871144265339E-2</v>
      </c>
      <c r="AT32" s="456">
        <v>12</v>
      </c>
      <c r="AU32" s="456">
        <v>12.5</v>
      </c>
      <c r="AV32" s="456">
        <v>0.5</v>
      </c>
      <c r="AW32" s="454">
        <v>6.700967786066328E-2</v>
      </c>
      <c r="AX32" s="456">
        <v>-17.010000000000002</v>
      </c>
      <c r="AY32" s="456">
        <v>-17.78</v>
      </c>
      <c r="AZ32" s="456">
        <v>-0.76999999999999957</v>
      </c>
      <c r="BA32" s="530">
        <v>-2.0127344999999996</v>
      </c>
      <c r="BB32" s="454">
        <v>-0.10319490390542141</v>
      </c>
      <c r="BC32" s="496"/>
      <c r="BD32" s="496"/>
      <c r="BE32" s="496"/>
      <c r="BF32" s="496"/>
      <c r="BG32" s="496"/>
      <c r="BH32" s="568"/>
      <c r="BI32" s="574" t="s">
        <v>723</v>
      </c>
      <c r="BJ32" s="1"/>
      <c r="BK32" s="1"/>
      <c r="BL32" s="1"/>
      <c r="BM32" s="1"/>
      <c r="BN32" s="1"/>
      <c r="BO32" s="1"/>
      <c r="BP32" s="1"/>
      <c r="BQ32" s="1"/>
      <c r="BR32" s="1"/>
      <c r="BS32" s="1"/>
      <c r="BT32" s="1"/>
      <c r="BU32" s="128"/>
      <c r="BV32" s="512"/>
    </row>
    <row r="33" spans="1:74" s="519" customFormat="1">
      <c r="A33" s="543">
        <v>62005018</v>
      </c>
      <c r="B33" s="543" t="s">
        <v>56</v>
      </c>
      <c r="C33" s="543" t="s">
        <v>700</v>
      </c>
      <c r="D33" s="513" t="s">
        <v>761</v>
      </c>
      <c r="E33" s="524" t="s">
        <v>762</v>
      </c>
      <c r="F33" s="524" t="s">
        <v>708</v>
      </c>
      <c r="G33" s="531">
        <v>25.581983000000001</v>
      </c>
      <c r="H33" s="531">
        <v>37.181249999999999</v>
      </c>
      <c r="I33" s="531">
        <v>29.195854000000001</v>
      </c>
      <c r="J33" s="531">
        <v>32.164800999999997</v>
      </c>
      <c r="K33" s="578">
        <v>4250</v>
      </c>
      <c r="L33" s="578">
        <v>38.71</v>
      </c>
      <c r="M33" s="578">
        <v>3.0499999999999999E-2</v>
      </c>
      <c r="N33" s="578">
        <v>1.4999999999999999E-2</v>
      </c>
      <c r="O33" s="529">
        <v>10.28383032</v>
      </c>
      <c r="P33" s="544">
        <v>14.1</v>
      </c>
      <c r="Q33" s="544">
        <v>11.3</v>
      </c>
      <c r="R33" s="530">
        <v>68309</v>
      </c>
      <c r="S33" s="530">
        <v>70174</v>
      </c>
      <c r="T33" s="530">
        <v>1865</v>
      </c>
      <c r="U33" s="530">
        <v>181.35266160245243</v>
      </c>
      <c r="V33" s="534">
        <v>68304</v>
      </c>
      <c r="W33" s="530">
        <v>70169</v>
      </c>
      <c r="X33" s="530">
        <v>1865</v>
      </c>
      <c r="Y33" s="533">
        <v>181.35266160245243</v>
      </c>
      <c r="Z33" s="534">
        <v>217</v>
      </c>
      <c r="AA33" s="530">
        <v>219</v>
      </c>
      <c r="AB33" s="530">
        <v>2</v>
      </c>
      <c r="AC33" s="533">
        <v>0.19448006606161117</v>
      </c>
      <c r="AD33" s="534">
        <v>65500</v>
      </c>
      <c r="AE33" s="530">
        <v>67288</v>
      </c>
      <c r="AF33" s="530">
        <v>1788</v>
      </c>
      <c r="AG33" s="533">
        <v>173.86517905908039</v>
      </c>
      <c r="AH33" s="534">
        <v>2510.1</v>
      </c>
      <c r="AI33" s="530">
        <v>2583.3742189999998</v>
      </c>
      <c r="AJ33" s="530">
        <v>73.274218999999903</v>
      </c>
      <c r="AK33" s="533">
        <v>7.1251874758664728</v>
      </c>
      <c r="AL33" s="534">
        <v>2053.337677</v>
      </c>
      <c r="AM33" s="530">
        <v>2113.75</v>
      </c>
      <c r="AN33" s="530">
        <v>60.412323000000015</v>
      </c>
      <c r="AO33" s="533">
        <v>5.874496283987698</v>
      </c>
      <c r="AP33" s="534">
        <v>5.8</v>
      </c>
      <c r="AQ33" s="530">
        <v>5.9</v>
      </c>
      <c r="AR33" s="530">
        <v>0.10000000000000053</v>
      </c>
      <c r="AS33" s="533">
        <v>9.7240033030806111E-3</v>
      </c>
      <c r="AT33" s="534">
        <v>12.5</v>
      </c>
      <c r="AU33" s="530">
        <v>12.8</v>
      </c>
      <c r="AV33" s="530">
        <v>0.30000000000000071</v>
      </c>
      <c r="AW33" s="533">
        <v>2.9172009909241747E-2</v>
      </c>
      <c r="AX33" s="534">
        <v>-17.79</v>
      </c>
      <c r="AY33" s="530">
        <v>-18.21</v>
      </c>
      <c r="AZ33" s="530">
        <v>-0.42000000000000171</v>
      </c>
      <c r="BA33" s="530">
        <v>-1.980189</v>
      </c>
      <c r="BB33" s="533">
        <v>-4.0840813872938517E-2</v>
      </c>
      <c r="BC33" s="545"/>
      <c r="BD33" s="545"/>
      <c r="BE33" s="545"/>
      <c r="BF33" s="545"/>
      <c r="BG33" s="545"/>
      <c r="BH33" s="567"/>
      <c r="BI33" s="574" t="s">
        <v>723</v>
      </c>
      <c r="BJ33" s="1">
        <v>1875.6821073599999</v>
      </c>
      <c r="BK33" s="1">
        <v>1.0214951299999999</v>
      </c>
      <c r="BL33" s="1">
        <v>1320.1279903899999</v>
      </c>
      <c r="BM33" s="1">
        <v>1306.77930339</v>
      </c>
      <c r="BN33" s="1">
        <v>6.8209455300000004</v>
      </c>
      <c r="BO33" s="1">
        <v>6.7904460599999998</v>
      </c>
      <c r="BP33" s="1">
        <v>0.26476577000000001</v>
      </c>
      <c r="BQ33" s="1">
        <v>10.28383659</v>
      </c>
      <c r="BR33" s="1">
        <v>10.25668041</v>
      </c>
      <c r="BS33" s="1">
        <v>0.18356233</v>
      </c>
      <c r="BT33" s="1">
        <v>0.44915258000000002</v>
      </c>
      <c r="BU33" s="128">
        <v>0.33398661000000002</v>
      </c>
      <c r="BV33" s="512"/>
    </row>
    <row r="34" spans="1:74" s="519" customFormat="1">
      <c r="A34" s="543">
        <v>62005018</v>
      </c>
      <c r="B34" s="543" t="s">
        <v>843</v>
      </c>
      <c r="C34" s="543" t="s">
        <v>702</v>
      </c>
      <c r="D34" s="513" t="s">
        <v>761</v>
      </c>
      <c r="E34" s="524" t="s">
        <v>762</v>
      </c>
      <c r="F34" s="524" t="s">
        <v>708</v>
      </c>
      <c r="G34" s="531">
        <v>20.978929999999998</v>
      </c>
      <c r="H34" s="531">
        <v>49.249549999999999</v>
      </c>
      <c r="I34" s="531">
        <v>29.193788999999999</v>
      </c>
      <c r="J34" s="531">
        <v>31.862355000000001</v>
      </c>
      <c r="K34" s="578">
        <v>4250</v>
      </c>
      <c r="L34" s="578">
        <v>38.71</v>
      </c>
      <c r="M34" s="578">
        <v>3.0499999999999999E-2</v>
      </c>
      <c r="N34" s="578">
        <v>1.4999999999999999E-2</v>
      </c>
      <c r="O34" s="529">
        <v>3.59684173</v>
      </c>
      <c r="P34" s="544">
        <v>11.3</v>
      </c>
      <c r="Q34" s="544">
        <v>10.3</v>
      </c>
      <c r="R34" s="530">
        <v>70214</v>
      </c>
      <c r="S34" s="530">
        <v>70855</v>
      </c>
      <c r="T34" s="530">
        <v>641</v>
      </c>
      <c r="U34" s="530">
        <v>178.21190036070894</v>
      </c>
      <c r="V34" s="534">
        <v>70209</v>
      </c>
      <c r="W34" s="530">
        <v>70849</v>
      </c>
      <c r="X34" s="530">
        <v>640</v>
      </c>
      <c r="Y34" s="533">
        <v>177.93387867527883</v>
      </c>
      <c r="Z34" s="534">
        <v>219</v>
      </c>
      <c r="AA34" s="530">
        <v>225</v>
      </c>
      <c r="AB34" s="530">
        <v>6</v>
      </c>
      <c r="AC34" s="533">
        <v>1.6681301125807391</v>
      </c>
      <c r="AD34" s="534">
        <v>67290</v>
      </c>
      <c r="AE34" s="530">
        <v>67875</v>
      </c>
      <c r="AF34" s="530">
        <v>585</v>
      </c>
      <c r="AG34" s="533">
        <v>162.64268597662206</v>
      </c>
      <c r="AH34" s="534">
        <v>2621.9</v>
      </c>
      <c r="AI34" s="530">
        <v>2670.2</v>
      </c>
      <c r="AJ34" s="530">
        <v>48.299999999999727</v>
      </c>
      <c r="AK34" s="533">
        <v>13.428447406274874</v>
      </c>
      <c r="AL34" s="534">
        <v>2143.1471379999998</v>
      </c>
      <c r="AM34" s="530">
        <v>2183.0069140000001</v>
      </c>
      <c r="AN34" s="530">
        <v>39.859776000000238</v>
      </c>
      <c r="AO34" s="533">
        <v>11.081882104387239</v>
      </c>
      <c r="AP34" s="534">
        <v>6</v>
      </c>
      <c r="AQ34" s="530">
        <v>6</v>
      </c>
      <c r="AR34" s="530">
        <v>0</v>
      </c>
      <c r="AS34" s="533">
        <v>0</v>
      </c>
      <c r="AT34" s="534">
        <v>13.1</v>
      </c>
      <c r="AU34" s="530">
        <v>13.3</v>
      </c>
      <c r="AV34" s="530">
        <v>0.20000000000000107</v>
      </c>
      <c r="AW34" s="533">
        <v>5.5604337086024927E-2</v>
      </c>
      <c r="AX34" s="534">
        <v>-18.55</v>
      </c>
      <c r="AY34" s="530">
        <v>-18.84</v>
      </c>
      <c r="AZ34" s="530">
        <v>-0.28999999999999915</v>
      </c>
      <c r="BA34" s="530">
        <v>-2.0196700000000001</v>
      </c>
      <c r="BB34" s="533">
        <v>-8.0626288774735488E-2</v>
      </c>
      <c r="BC34" s="545"/>
      <c r="BD34" s="545"/>
      <c r="BE34" s="545"/>
      <c r="BF34" s="545"/>
      <c r="BG34" s="545"/>
      <c r="BH34" s="567"/>
      <c r="BI34" s="574" t="s">
        <v>723</v>
      </c>
      <c r="BJ34" s="1">
        <v>2368.5142655599998</v>
      </c>
      <c r="BK34" s="1">
        <v>-1.0514036200000001</v>
      </c>
      <c r="BL34" s="1">
        <v>2027.2710301100001</v>
      </c>
      <c r="BM34" s="1">
        <v>2048.8123169300002</v>
      </c>
      <c r="BN34" s="1">
        <v>3.02707696</v>
      </c>
      <c r="BO34" s="1">
        <v>3.0319679499999999</v>
      </c>
      <c r="BP34" s="1">
        <v>0.16142474000000001</v>
      </c>
      <c r="BQ34" s="1">
        <v>3.5967771800000001</v>
      </c>
      <c r="BR34" s="1">
        <v>3.59098045</v>
      </c>
      <c r="BS34" s="1">
        <v>-0.32326023999999998</v>
      </c>
      <c r="BT34" s="1">
        <v>-0.16131403999999999</v>
      </c>
      <c r="BU34" s="128">
        <v>0.63450097999999999</v>
      </c>
      <c r="BV34" s="512"/>
    </row>
    <row r="35" spans="1:74" s="519" customFormat="1">
      <c r="A35" s="543">
        <v>62005018</v>
      </c>
      <c r="B35" s="543" t="s">
        <v>844</v>
      </c>
      <c r="C35" s="543" t="s">
        <v>705</v>
      </c>
      <c r="D35" s="513" t="s">
        <v>761</v>
      </c>
      <c r="E35" s="524" t="s">
        <v>762</v>
      </c>
      <c r="F35" s="524" t="s">
        <v>708</v>
      </c>
      <c r="G35" s="531">
        <v>18.864477999999998</v>
      </c>
      <c r="H35" s="531">
        <v>56.24438</v>
      </c>
      <c r="I35" s="531">
        <v>29.192789999999999</v>
      </c>
      <c r="J35" s="531">
        <v>30.713449000000001</v>
      </c>
      <c r="K35" s="578">
        <v>4250</v>
      </c>
      <c r="L35" s="578">
        <v>38.71</v>
      </c>
      <c r="M35" s="578">
        <v>3.0499999999999999E-2</v>
      </c>
      <c r="N35" s="578">
        <v>1.4999999999999999E-2</v>
      </c>
      <c r="O35" s="529">
        <v>3.86323712</v>
      </c>
      <c r="P35" s="544">
        <v>10.3</v>
      </c>
      <c r="Q35" s="544">
        <v>9.3000000000000007</v>
      </c>
      <c r="R35" s="530">
        <v>70855</v>
      </c>
      <c r="S35" s="530">
        <v>71474</v>
      </c>
      <c r="T35" s="530">
        <v>619</v>
      </c>
      <c r="U35" s="530">
        <v>160.22832168272396</v>
      </c>
      <c r="V35" s="534">
        <v>70849</v>
      </c>
      <c r="W35" s="530">
        <v>71469</v>
      </c>
      <c r="X35" s="530">
        <v>620</v>
      </c>
      <c r="Y35" s="533">
        <v>160.48717196007891</v>
      </c>
      <c r="Z35" s="534">
        <v>225</v>
      </c>
      <c r="AA35" s="530">
        <v>241</v>
      </c>
      <c r="AB35" s="530">
        <v>16</v>
      </c>
      <c r="AC35" s="533">
        <v>4.1416044376794554</v>
      </c>
      <c r="AD35" s="534">
        <v>67875</v>
      </c>
      <c r="AE35" s="530">
        <v>68394</v>
      </c>
      <c r="AF35" s="530">
        <v>519</v>
      </c>
      <c r="AG35" s="533">
        <v>134.34329394722735</v>
      </c>
      <c r="AH35" s="534">
        <v>2670.2</v>
      </c>
      <c r="AI35" s="530">
        <v>2754</v>
      </c>
      <c r="AJ35" s="530">
        <v>83.800000000000182</v>
      </c>
      <c r="AK35" s="533">
        <v>21.691653242346195</v>
      </c>
      <c r="AL35" s="534">
        <v>2183.0269090000002</v>
      </c>
      <c r="AM35" s="530">
        <v>2252.29</v>
      </c>
      <c r="AN35" s="530">
        <v>69.263090999999804</v>
      </c>
      <c r="AO35" s="533">
        <v>17.928770315812198</v>
      </c>
      <c r="AP35" s="534">
        <v>6</v>
      </c>
      <c r="AQ35" s="530">
        <v>6.1</v>
      </c>
      <c r="AR35" s="530">
        <v>9.9999999999999645E-2</v>
      </c>
      <c r="AS35" s="533">
        <v>2.5885027735496505E-2</v>
      </c>
      <c r="AT35" s="534">
        <v>13.3</v>
      </c>
      <c r="AU35" s="530">
        <v>13.6</v>
      </c>
      <c r="AV35" s="530">
        <v>0.29999999999999893</v>
      </c>
      <c r="AW35" s="533">
        <v>7.765508320648952E-2</v>
      </c>
      <c r="AX35" s="534">
        <v>-18.84</v>
      </c>
      <c r="AY35" s="530">
        <v>-19.329999999999998</v>
      </c>
      <c r="AZ35" s="530">
        <v>-0.48999999999999844</v>
      </c>
      <c r="BA35" s="530">
        <v>-2.0073219999999998</v>
      </c>
      <c r="BB35" s="533">
        <v>-0.12683663590393293</v>
      </c>
      <c r="BC35" s="545"/>
      <c r="BD35" s="545"/>
      <c r="BE35" s="545"/>
      <c r="BF35" s="545"/>
      <c r="BG35" s="545"/>
      <c r="BH35" s="567"/>
      <c r="BI35" s="574" t="s">
        <v>723</v>
      </c>
      <c r="BJ35" s="1">
        <v>1476.0113835</v>
      </c>
      <c r="BK35" s="1">
        <v>-1.2279642200000001</v>
      </c>
      <c r="BL35" s="1">
        <v>3374.2650773800001</v>
      </c>
      <c r="BM35" s="1">
        <v>3416.2149750799999</v>
      </c>
      <c r="BN35" s="1">
        <v>2.97965693</v>
      </c>
      <c r="BO35" s="1">
        <v>2.99531254</v>
      </c>
      <c r="BP35" s="1">
        <v>8.3697560000000004E-2</v>
      </c>
      <c r="BQ35" s="1">
        <v>3.8630609800000002</v>
      </c>
      <c r="BR35" s="1">
        <v>3.8598303999999999</v>
      </c>
      <c r="BS35" s="1">
        <v>-0.60955408</v>
      </c>
      <c r="BT35" s="1">
        <v>-0.52267056000000001</v>
      </c>
      <c r="BU35" s="128">
        <v>0.72009285999999995</v>
      </c>
      <c r="BV35" s="512"/>
    </row>
    <row r="36" spans="1:74" s="519" customFormat="1">
      <c r="A36" s="543">
        <v>62005018</v>
      </c>
      <c r="B36" s="543" t="s">
        <v>845</v>
      </c>
      <c r="C36" s="543" t="s">
        <v>703</v>
      </c>
      <c r="D36" s="513" t="s">
        <v>761</v>
      </c>
      <c r="E36" s="524" t="s">
        <v>762</v>
      </c>
      <c r="F36" s="524" t="s">
        <v>708</v>
      </c>
      <c r="G36" s="468">
        <v>19.921703999999998</v>
      </c>
      <c r="H36" s="468">
        <v>52.746965000000003</v>
      </c>
      <c r="I36" s="468">
        <v>29.193289499999999</v>
      </c>
      <c r="J36" s="468">
        <v>31.287902000000003</v>
      </c>
      <c r="K36" s="579"/>
      <c r="L36" s="578"/>
      <c r="M36" s="580"/>
      <c r="N36" s="581"/>
      <c r="O36" s="453">
        <v>7.4600788500000004</v>
      </c>
      <c r="P36" s="493">
        <v>11.3</v>
      </c>
      <c r="Q36" s="493">
        <v>9.3000000000000007</v>
      </c>
      <c r="R36" s="456">
        <v>70214</v>
      </c>
      <c r="S36" s="456">
        <v>71474</v>
      </c>
      <c r="T36" s="456">
        <v>1260</v>
      </c>
      <c r="U36" s="456">
        <v>168.89901907672194</v>
      </c>
      <c r="V36" s="456">
        <v>70209</v>
      </c>
      <c r="W36" s="456">
        <v>71469</v>
      </c>
      <c r="X36" s="456">
        <v>1260</v>
      </c>
      <c r="Y36" s="454">
        <v>168.89901907672194</v>
      </c>
      <c r="Z36" s="456">
        <v>219</v>
      </c>
      <c r="AA36" s="456">
        <v>241</v>
      </c>
      <c r="AB36" s="456">
        <v>22</v>
      </c>
      <c r="AC36" s="454">
        <v>2.9490304918157801</v>
      </c>
      <c r="AD36" s="456">
        <v>67290</v>
      </c>
      <c r="AE36" s="456">
        <v>68394</v>
      </c>
      <c r="AF36" s="456">
        <v>1104</v>
      </c>
      <c r="AG36" s="454">
        <v>147.98771195293733</v>
      </c>
      <c r="AH36" s="456">
        <v>2621.9</v>
      </c>
      <c r="AI36" s="456">
        <v>2754</v>
      </c>
      <c r="AJ36" s="456">
        <v>132.09999999999991</v>
      </c>
      <c r="AK36" s="454">
        <v>17.707587634948375</v>
      </c>
      <c r="AL36" s="456">
        <v>2143.1471379999998</v>
      </c>
      <c r="AM36" s="456">
        <v>2252.29</v>
      </c>
      <c r="AN36" s="456">
        <v>109.12286700000004</v>
      </c>
      <c r="AO36" s="454">
        <v>14.627575551698094</v>
      </c>
      <c r="AP36" s="456">
        <v>6</v>
      </c>
      <c r="AQ36" s="456">
        <v>6.1</v>
      </c>
      <c r="AR36" s="456">
        <v>9.9999999999999645E-2</v>
      </c>
      <c r="AS36" s="454">
        <v>1.3404684053708043E-2</v>
      </c>
      <c r="AT36" s="456">
        <v>13.1</v>
      </c>
      <c r="AU36" s="456">
        <v>13.6</v>
      </c>
      <c r="AV36" s="456">
        <v>0.5</v>
      </c>
      <c r="AW36" s="454">
        <v>6.7023420268540454E-2</v>
      </c>
      <c r="AX36" s="456">
        <v>-18.55</v>
      </c>
      <c r="AY36" s="456">
        <v>-19.329999999999998</v>
      </c>
      <c r="AZ36" s="456">
        <v>-0.77999999999999758</v>
      </c>
      <c r="BA36" s="530">
        <v>-2.013496</v>
      </c>
      <c r="BB36" s="454">
        <v>-0.10455653561892279</v>
      </c>
      <c r="BC36" s="496"/>
      <c r="BD36" s="496"/>
      <c r="BE36" s="496"/>
      <c r="BF36" s="496"/>
      <c r="BG36" s="496"/>
      <c r="BH36" s="568"/>
      <c r="BI36" s="574" t="s">
        <v>723</v>
      </c>
      <c r="BJ36" s="1"/>
      <c r="BK36" s="1"/>
      <c r="BL36" s="1"/>
      <c r="BM36" s="1"/>
      <c r="BN36" s="1"/>
      <c r="BO36" s="1"/>
      <c r="BP36" s="1"/>
      <c r="BQ36" s="1"/>
      <c r="BR36" s="1"/>
      <c r="BS36" s="1"/>
      <c r="BT36" s="1"/>
      <c r="BU36" s="128"/>
      <c r="BV36" s="512"/>
    </row>
    <row r="37" spans="1:74" s="519" customFormat="1">
      <c r="A37" s="543">
        <v>62005019</v>
      </c>
      <c r="B37" s="543" t="s">
        <v>838</v>
      </c>
      <c r="C37" s="543" t="s">
        <v>695</v>
      </c>
      <c r="D37" s="513" t="s">
        <v>764</v>
      </c>
      <c r="E37" s="524" t="s">
        <v>765</v>
      </c>
      <c r="F37" s="524" t="s">
        <v>708</v>
      </c>
      <c r="G37" s="531">
        <v>26.580352000000001</v>
      </c>
      <c r="H37" s="531">
        <v>35.759183</v>
      </c>
      <c r="I37" s="531">
        <v>29.209015000000001</v>
      </c>
      <c r="J37" s="531">
        <v>33.726239999999997</v>
      </c>
      <c r="K37" s="578">
        <v>4250</v>
      </c>
      <c r="L37" s="578">
        <v>38.71</v>
      </c>
      <c r="M37" s="578">
        <v>3.0499999999999999E-2</v>
      </c>
      <c r="N37" s="578">
        <v>1.4999999999999999E-2</v>
      </c>
      <c r="O37" s="529">
        <v>22.00681968</v>
      </c>
      <c r="P37" s="544">
        <v>9.3000000000000007</v>
      </c>
      <c r="Q37" s="544">
        <v>1.4</v>
      </c>
      <c r="R37" s="530">
        <v>71501</v>
      </c>
      <c r="S37" s="530">
        <v>76421</v>
      </c>
      <c r="T37" s="530">
        <v>4920</v>
      </c>
      <c r="U37" s="530">
        <v>223.56706109930738</v>
      </c>
      <c r="V37" s="534">
        <v>71495</v>
      </c>
      <c r="W37" s="530">
        <v>76416</v>
      </c>
      <c r="X37" s="530">
        <v>4921</v>
      </c>
      <c r="Y37" s="533">
        <v>223.61250155888041</v>
      </c>
      <c r="Z37" s="534">
        <v>241</v>
      </c>
      <c r="AA37" s="530">
        <v>242</v>
      </c>
      <c r="AB37" s="530">
        <v>1</v>
      </c>
      <c r="AC37" s="533">
        <v>4.5440459573029952E-2</v>
      </c>
      <c r="AD37" s="534">
        <v>68394</v>
      </c>
      <c r="AE37" s="530">
        <v>73190</v>
      </c>
      <c r="AF37" s="530">
        <v>4796</v>
      </c>
      <c r="AG37" s="533">
        <v>217.93244411225166</v>
      </c>
      <c r="AH37" s="534">
        <v>2779.7</v>
      </c>
      <c r="AI37" s="530">
        <v>2898.1</v>
      </c>
      <c r="AJ37" s="530">
        <v>118.40000000000009</v>
      </c>
      <c r="AK37" s="533">
        <v>5.380150413446751</v>
      </c>
      <c r="AL37" s="534">
        <v>2271.7167840000002</v>
      </c>
      <c r="AM37" s="530">
        <v>2369.56</v>
      </c>
      <c r="AN37" s="530">
        <v>97.843215999999757</v>
      </c>
      <c r="AO37" s="533">
        <v>4.446040701143227</v>
      </c>
      <c r="AP37" s="534">
        <v>6.2</v>
      </c>
      <c r="AQ37" s="530">
        <v>6.2</v>
      </c>
      <c r="AR37" s="530">
        <v>0</v>
      </c>
      <c r="AS37" s="533">
        <v>0</v>
      </c>
      <c r="AT37" s="534">
        <v>13.7</v>
      </c>
      <c r="AU37" s="530">
        <v>14.1</v>
      </c>
      <c r="AV37" s="530">
        <v>0.40000000000000036</v>
      </c>
      <c r="AW37" s="533">
        <v>1.8176183829212E-2</v>
      </c>
      <c r="AX37" s="534">
        <v>-19.559999999999999</v>
      </c>
      <c r="AY37" s="530">
        <v>-19.57</v>
      </c>
      <c r="AZ37" s="530">
        <v>-1.0000000000001563E-2</v>
      </c>
      <c r="BA37" s="530">
        <v>2.1502029999999999</v>
      </c>
      <c r="BB37" s="533">
        <v>-4.5440459573037057E-4</v>
      </c>
      <c r="BC37" s="545"/>
      <c r="BD37" s="545"/>
      <c r="BE37" s="545"/>
      <c r="BF37" s="545"/>
      <c r="BG37" s="545"/>
      <c r="BH37" s="567"/>
      <c r="BI37" s="574" t="s">
        <v>723</v>
      </c>
      <c r="BJ37" s="1">
        <v>97.496457640000003</v>
      </c>
      <c r="BK37" s="1">
        <v>6.5967857900000002</v>
      </c>
      <c r="BL37" s="1">
        <v>619.48935255000004</v>
      </c>
      <c r="BM37" s="1">
        <v>581.15200000000004</v>
      </c>
      <c r="BN37" s="1">
        <v>17.012434339999999</v>
      </c>
      <c r="BO37" s="1">
        <v>18.024327889999999</v>
      </c>
      <c r="BP37" s="1">
        <v>-5.0636677399999996</v>
      </c>
      <c r="BQ37" s="1">
        <v>22.006833239999999</v>
      </c>
      <c r="BR37" s="1">
        <v>23.180622960000001</v>
      </c>
      <c r="BS37" s="1">
        <v>-0.58311157999999996</v>
      </c>
      <c r="BT37" s="1">
        <v>-5.6140431800000004</v>
      </c>
      <c r="BU37" s="128">
        <v>4.5830900000000001E-2</v>
      </c>
      <c r="BV37" s="512"/>
    </row>
    <row r="38" spans="1:74" s="520" customFormat="1" ht="15.75">
      <c r="A38" s="535" t="s">
        <v>1239</v>
      </c>
      <c r="B38" s="537"/>
      <c r="C38" s="537"/>
      <c r="D38" s="537"/>
      <c r="E38" s="538"/>
      <c r="F38" s="538"/>
      <c r="G38" s="538"/>
      <c r="H38" s="538"/>
      <c r="I38" s="538"/>
      <c r="J38" s="538"/>
      <c r="K38" s="537"/>
      <c r="L38" s="537"/>
      <c r="M38" s="576"/>
      <c r="N38" s="577"/>
      <c r="O38" s="537"/>
      <c r="P38" s="537"/>
      <c r="Q38" s="537"/>
      <c r="R38" s="537"/>
      <c r="S38" s="537"/>
      <c r="T38" s="537"/>
      <c r="U38" s="537"/>
      <c r="V38" s="537"/>
      <c r="W38" s="537"/>
      <c r="X38" s="537"/>
      <c r="Y38" s="537"/>
      <c r="Z38" s="537"/>
      <c r="AA38" s="537"/>
      <c r="AB38" s="537"/>
      <c r="AC38" s="537"/>
      <c r="AD38" s="537"/>
      <c r="AE38" s="537"/>
      <c r="AF38" s="537"/>
      <c r="AG38" s="537"/>
      <c r="AH38" s="537"/>
      <c r="AI38" s="537"/>
      <c r="AJ38" s="537"/>
      <c r="AK38" s="537"/>
      <c r="AL38" s="537"/>
      <c r="AM38" s="537"/>
      <c r="AN38" s="537"/>
      <c r="AO38" s="537"/>
      <c r="AP38" s="537"/>
      <c r="AQ38" s="537"/>
      <c r="AR38" s="537"/>
      <c r="AS38" s="537"/>
      <c r="AT38" s="537"/>
      <c r="AU38" s="537"/>
      <c r="AV38" s="537"/>
      <c r="AW38" s="537"/>
      <c r="AX38" s="537"/>
      <c r="AY38" s="537"/>
      <c r="AZ38" s="537"/>
      <c r="BA38" s="537"/>
      <c r="BB38" s="537"/>
      <c r="BC38" s="537"/>
      <c r="BD38" s="537"/>
      <c r="BE38" s="537"/>
      <c r="BF38" s="537"/>
      <c r="BG38" s="537"/>
      <c r="BH38" s="537"/>
      <c r="BI38" s="569"/>
      <c r="BJ38" s="537"/>
      <c r="BK38" s="537"/>
      <c r="BL38" s="537"/>
      <c r="BM38" s="537"/>
      <c r="BN38" s="537"/>
      <c r="BO38" s="537"/>
      <c r="BP38" s="537"/>
      <c r="BQ38" s="537"/>
      <c r="BR38" s="537"/>
      <c r="BS38" s="537"/>
      <c r="BT38" s="537"/>
      <c r="BU38" s="542"/>
      <c r="BV38" s="541"/>
    </row>
    <row r="39" spans="1:74" s="519" customFormat="1" ht="22.5">
      <c r="A39" s="543">
        <v>62005021</v>
      </c>
      <c r="B39" s="543" t="s">
        <v>846</v>
      </c>
      <c r="C39" s="543" t="s">
        <v>695</v>
      </c>
      <c r="D39" s="513" t="s">
        <v>775</v>
      </c>
      <c r="E39" s="524" t="s">
        <v>776</v>
      </c>
      <c r="F39" s="524" t="s">
        <v>708</v>
      </c>
      <c r="G39" s="531">
        <v>23.444148999999999</v>
      </c>
      <c r="H39" s="531">
        <v>41.781686000000001</v>
      </c>
      <c r="I39" s="531">
        <v>29.240282000000001</v>
      </c>
      <c r="J39" s="531">
        <v>27.969863</v>
      </c>
      <c r="K39" s="578">
        <v>4250</v>
      </c>
      <c r="L39" s="578">
        <v>38.71</v>
      </c>
      <c r="M39" s="578">
        <v>3.0499999999999999E-2</v>
      </c>
      <c r="N39" s="578">
        <v>1.4999999999999999E-2</v>
      </c>
      <c r="O39" s="529">
        <v>17.847092239999998</v>
      </c>
      <c r="P39" s="544">
        <v>99.4</v>
      </c>
      <c r="Q39" s="544">
        <v>100</v>
      </c>
      <c r="R39" s="530">
        <v>81</v>
      </c>
      <c r="S39" s="530">
        <v>-654</v>
      </c>
      <c r="T39" s="530">
        <v>-735</v>
      </c>
      <c r="U39" s="530">
        <v>-41.183179316610065</v>
      </c>
      <c r="V39" s="534">
        <v>80</v>
      </c>
      <c r="W39" s="530">
        <v>-659</v>
      </c>
      <c r="X39" s="530">
        <v>-739</v>
      </c>
      <c r="Y39" s="533">
        <v>-41.407305462550802</v>
      </c>
      <c r="Z39" s="534">
        <v>0</v>
      </c>
      <c r="AA39" s="530">
        <v>-41</v>
      </c>
      <c r="AB39" s="530">
        <v>-41</v>
      </c>
      <c r="AC39" s="533">
        <v>-2.2972929958925343</v>
      </c>
      <c r="AD39" s="534">
        <v>2</v>
      </c>
      <c r="AE39" s="530">
        <v>-961</v>
      </c>
      <c r="AF39" s="530">
        <v>-963</v>
      </c>
      <c r="AG39" s="533">
        <v>-53.958369635231968</v>
      </c>
      <c r="AH39" s="534">
        <v>77.2</v>
      </c>
      <c r="AI39" s="530">
        <v>344.5</v>
      </c>
      <c r="AJ39" s="530">
        <v>267.3</v>
      </c>
      <c r="AK39" s="533">
        <v>14.977229702489621</v>
      </c>
      <c r="AL39" s="534">
        <v>56.729576000000002</v>
      </c>
      <c r="AM39" s="530">
        <v>279.58</v>
      </c>
      <c r="AN39" s="530">
        <v>222.85042399999998</v>
      </c>
      <c r="AO39" s="533">
        <v>12.486651663094671</v>
      </c>
      <c r="AP39" s="534">
        <v>0.2</v>
      </c>
      <c r="AQ39" s="530">
        <v>0.6</v>
      </c>
      <c r="AR39" s="530">
        <v>0.39999999999999997</v>
      </c>
      <c r="AS39" s="533">
        <v>2.2412614594073507E-2</v>
      </c>
      <c r="AT39" s="534">
        <v>0.7</v>
      </c>
      <c r="AU39" s="530">
        <v>2.1</v>
      </c>
      <c r="AV39" s="530">
        <v>1.4000000000000001</v>
      </c>
      <c r="AW39" s="533">
        <v>7.8444151079257285E-2</v>
      </c>
      <c r="AX39" s="534">
        <v>-5.65</v>
      </c>
      <c r="AY39" s="530">
        <v>-11.13</v>
      </c>
      <c r="AZ39" s="530">
        <v>-5.48</v>
      </c>
      <c r="BA39" s="530">
        <v>-10.119084000000001</v>
      </c>
      <c r="BB39" s="533">
        <v>-0.30705281993880706</v>
      </c>
      <c r="BC39" s="545"/>
      <c r="BD39" s="545"/>
      <c r="BE39" s="545"/>
      <c r="BF39" s="545"/>
      <c r="BG39" s="545"/>
      <c r="BH39" s="567"/>
      <c r="BI39" s="574" t="s">
        <v>723</v>
      </c>
      <c r="BJ39" s="1"/>
      <c r="BK39" s="1"/>
      <c r="BL39" s="1"/>
      <c r="BM39" s="1"/>
      <c r="BN39" s="1"/>
      <c r="BO39" s="1"/>
      <c r="BP39" s="1"/>
      <c r="BQ39" s="1"/>
      <c r="BR39" s="1"/>
      <c r="BS39" s="1"/>
      <c r="BT39" s="1"/>
      <c r="BU39" s="128"/>
      <c r="BV39" s="512"/>
    </row>
    <row r="40" spans="1:74" s="519" customFormat="1" ht="33.75">
      <c r="A40" s="546">
        <v>62005022</v>
      </c>
      <c r="B40" s="543" t="s">
        <v>847</v>
      </c>
      <c r="C40" s="546" t="s">
        <v>695</v>
      </c>
      <c r="D40" s="513" t="s">
        <v>778</v>
      </c>
      <c r="E40" s="524" t="s">
        <v>779</v>
      </c>
      <c r="F40" s="524" t="s">
        <v>1294</v>
      </c>
      <c r="G40" s="531">
        <v>25.954089</v>
      </c>
      <c r="H40" s="531">
        <v>36.333967999999999</v>
      </c>
      <c r="I40" s="531">
        <v>29.247914999999999</v>
      </c>
      <c r="J40" s="531">
        <v>30.228698999999999</v>
      </c>
      <c r="K40" s="578">
        <v>4250</v>
      </c>
      <c r="L40" s="578">
        <v>38.71</v>
      </c>
      <c r="M40" s="578">
        <v>3.0499999999999999E-2</v>
      </c>
      <c r="N40" s="578">
        <v>1.4999999999999999E-2</v>
      </c>
      <c r="O40" s="529">
        <v>9.5986445299999996</v>
      </c>
      <c r="P40" s="544">
        <v>99.9</v>
      </c>
      <c r="Q40" s="544">
        <v>97.8</v>
      </c>
      <c r="R40" s="530">
        <v>-603</v>
      </c>
      <c r="S40" s="530">
        <v>1311</v>
      </c>
      <c r="T40" s="530">
        <v>1914</v>
      </c>
      <c r="U40" s="530">
        <v>199.40315468688371</v>
      </c>
      <c r="V40" s="534">
        <v>-609</v>
      </c>
      <c r="W40" s="530">
        <v>1307</v>
      </c>
      <c r="X40" s="530">
        <v>1916</v>
      </c>
      <c r="Y40" s="533">
        <v>199.61151743995254</v>
      </c>
      <c r="Z40" s="534">
        <v>-41</v>
      </c>
      <c r="AA40" s="530">
        <v>-33</v>
      </c>
      <c r="AB40" s="530">
        <v>8</v>
      </c>
      <c r="AC40" s="533">
        <v>0.83345101227537599</v>
      </c>
      <c r="AD40" s="534">
        <v>-959</v>
      </c>
      <c r="AE40" s="530">
        <v>869</v>
      </c>
      <c r="AF40" s="530">
        <v>1828</v>
      </c>
      <c r="AG40" s="533">
        <v>190.44355630492342</v>
      </c>
      <c r="AH40" s="534">
        <v>393.2</v>
      </c>
      <c r="AI40" s="530">
        <v>469.4</v>
      </c>
      <c r="AJ40" s="530">
        <v>76.199999999999989</v>
      </c>
      <c r="AK40" s="533">
        <v>7.9386208919229553</v>
      </c>
      <c r="AL40" s="534">
        <v>314.917464</v>
      </c>
      <c r="AM40" s="530">
        <v>376.72706699999998</v>
      </c>
      <c r="AN40" s="530">
        <v>61.809602999999981</v>
      </c>
      <c r="AO40" s="533">
        <v>6.4394095235861375</v>
      </c>
      <c r="AP40" s="534">
        <v>0.7</v>
      </c>
      <c r="AQ40" s="530">
        <v>0.7</v>
      </c>
      <c r="AR40" s="530">
        <v>0</v>
      </c>
      <c r="AS40" s="533">
        <v>0</v>
      </c>
      <c r="AT40" s="534">
        <v>2.5</v>
      </c>
      <c r="AU40" s="530">
        <v>3</v>
      </c>
      <c r="AV40" s="530">
        <v>0.5</v>
      </c>
      <c r="AW40" s="533">
        <v>5.2090688267210999E-2</v>
      </c>
      <c r="AX40" s="534">
        <v>-12.4</v>
      </c>
      <c r="AY40" s="530">
        <v>-13.72</v>
      </c>
      <c r="AZ40" s="530">
        <v>-1.3200000000000003</v>
      </c>
      <c r="BA40" s="530">
        <v>-7.2461330000000004</v>
      </c>
      <c r="BB40" s="533">
        <v>-0.13751941702543707</v>
      </c>
      <c r="BC40" s="545"/>
      <c r="BD40" s="545"/>
      <c r="BE40" s="545"/>
      <c r="BF40" s="545"/>
      <c r="BG40" s="545"/>
      <c r="BH40" s="567"/>
      <c r="BI40" s="574" t="s">
        <v>723</v>
      </c>
      <c r="BJ40" s="1">
        <v>157.49774891000001</v>
      </c>
      <c r="BK40" s="1">
        <v>8.8028604999999995</v>
      </c>
      <c r="BL40" s="1">
        <v>535.03153830999997</v>
      </c>
      <c r="BM40" s="1">
        <v>491.74400000000003</v>
      </c>
      <c r="BN40" s="1">
        <v>6.3553100699999998</v>
      </c>
      <c r="BO40" s="1">
        <v>6.3098098399999998</v>
      </c>
      <c r="BP40" s="1">
        <v>0.36383186000000001</v>
      </c>
      <c r="BQ40" s="1">
        <v>9.5986916799999999</v>
      </c>
      <c r="BR40" s="1">
        <v>9.5638951799999994</v>
      </c>
      <c r="BS40" s="1">
        <v>0.35471332999999999</v>
      </c>
      <c r="BT40" s="1">
        <v>0.72110304999999997</v>
      </c>
      <c r="BU40" s="128">
        <v>9.3734590000000007E-2</v>
      </c>
      <c r="BV40" s="512"/>
    </row>
    <row r="41" spans="1:74" s="519" customFormat="1" ht="22.5">
      <c r="A41" s="546">
        <v>62005023</v>
      </c>
      <c r="B41" s="543" t="s">
        <v>848</v>
      </c>
      <c r="C41" s="546" t="s">
        <v>695</v>
      </c>
      <c r="D41" s="513" t="s">
        <v>782</v>
      </c>
      <c r="E41" s="524" t="s">
        <v>783</v>
      </c>
      <c r="F41" s="524" t="s">
        <v>708</v>
      </c>
      <c r="G41" s="531">
        <v>25.433150999999999</v>
      </c>
      <c r="H41" s="531">
        <v>38.145283999999997</v>
      </c>
      <c r="I41" s="531">
        <v>29.244966000000002</v>
      </c>
      <c r="J41" s="531">
        <v>28.140905</v>
      </c>
      <c r="K41" s="578">
        <v>4250</v>
      </c>
      <c r="L41" s="578">
        <v>38.71</v>
      </c>
      <c r="M41" s="578">
        <v>3.0499999999999999E-2</v>
      </c>
      <c r="N41" s="578">
        <v>1.4999999999999999E-2</v>
      </c>
      <c r="O41" s="529">
        <v>5.0215593800000002</v>
      </c>
      <c r="P41" s="544">
        <v>79</v>
      </c>
      <c r="Q41" s="544">
        <v>77.8</v>
      </c>
      <c r="R41" s="530">
        <v>17671</v>
      </c>
      <c r="S41" s="530">
        <v>18696</v>
      </c>
      <c r="T41" s="530">
        <v>1025</v>
      </c>
      <c r="U41" s="530">
        <v>204.11986047250525</v>
      </c>
      <c r="V41" s="534">
        <v>17674</v>
      </c>
      <c r="W41" s="530">
        <v>18699</v>
      </c>
      <c r="X41" s="530">
        <v>1025</v>
      </c>
      <c r="Y41" s="533">
        <v>204.11986047250525</v>
      </c>
      <c r="Z41" s="534">
        <v>-8</v>
      </c>
      <c r="AA41" s="530">
        <v>-6</v>
      </c>
      <c r="AB41" s="530">
        <v>2</v>
      </c>
      <c r="AC41" s="533">
        <v>0.39828265458049805</v>
      </c>
      <c r="AD41" s="534">
        <v>16813</v>
      </c>
      <c r="AE41" s="530">
        <v>17791</v>
      </c>
      <c r="AF41" s="530">
        <v>978</v>
      </c>
      <c r="AG41" s="533">
        <v>194.76021808986354</v>
      </c>
      <c r="AH41" s="534">
        <v>843.94055700000001</v>
      </c>
      <c r="AI41" s="530">
        <v>887.3</v>
      </c>
      <c r="AJ41" s="530">
        <v>43.359442999999942</v>
      </c>
      <c r="AK41" s="533">
        <v>8.6346570295858847</v>
      </c>
      <c r="AL41" s="534">
        <v>678.99216699999999</v>
      </c>
      <c r="AM41" s="530">
        <v>714.52276700000004</v>
      </c>
      <c r="AN41" s="530">
        <v>35.530600000000049</v>
      </c>
      <c r="AO41" s="533">
        <v>7.0756108434189313</v>
      </c>
      <c r="AP41" s="534">
        <v>0.8</v>
      </c>
      <c r="AQ41" s="530">
        <v>0.7</v>
      </c>
      <c r="AR41" s="530">
        <v>-0.10000000000000009</v>
      </c>
      <c r="AS41" s="533">
        <v>-1.9914132729024921E-2</v>
      </c>
      <c r="AT41" s="534">
        <v>5.0999999999999996</v>
      </c>
      <c r="AU41" s="530">
        <v>5.3</v>
      </c>
      <c r="AV41" s="530">
        <v>0.20000000000000018</v>
      </c>
      <c r="AW41" s="533">
        <v>3.9828265458049843E-2</v>
      </c>
      <c r="AX41" s="534">
        <v>-18.13</v>
      </c>
      <c r="AY41" s="530">
        <v>-19.260000000000002</v>
      </c>
      <c r="AZ41" s="530">
        <v>-1.1300000000000026</v>
      </c>
      <c r="BA41" s="530">
        <v>-11.345499</v>
      </c>
      <c r="BB41" s="533">
        <v>-0.22502969983798191</v>
      </c>
      <c r="BC41" s="545"/>
      <c r="BD41" s="545"/>
      <c r="BE41" s="545"/>
      <c r="BF41" s="545"/>
      <c r="BG41" s="545"/>
      <c r="BH41" s="567"/>
      <c r="BI41" s="574" t="s">
        <v>723</v>
      </c>
      <c r="BJ41" s="1">
        <v>366.39049557999999</v>
      </c>
      <c r="BK41" s="1">
        <v>4.3408764499999997</v>
      </c>
      <c r="BL41" s="1">
        <v>513.08999946999995</v>
      </c>
      <c r="BM41" s="1">
        <v>491.74400000000003</v>
      </c>
      <c r="BN41" s="1">
        <v>3.4953988499999999</v>
      </c>
      <c r="BO41" s="1">
        <v>3.4718269400000001</v>
      </c>
      <c r="BP41" s="1">
        <v>0.36154090999999999</v>
      </c>
      <c r="BQ41" s="1">
        <v>5.0215637800000001</v>
      </c>
      <c r="BR41" s="1">
        <v>5.0034741699999996</v>
      </c>
      <c r="BS41" s="1">
        <v>0.31526663999999999</v>
      </c>
      <c r="BT41" s="1">
        <v>0.67894805000000003</v>
      </c>
      <c r="BU41" s="128">
        <v>0.17035626000000001</v>
      </c>
      <c r="BV41" s="512"/>
    </row>
    <row r="42" spans="1:74" s="519" customFormat="1">
      <c r="A42" s="546">
        <v>62005024</v>
      </c>
      <c r="B42" s="543" t="s">
        <v>849</v>
      </c>
      <c r="C42" s="546" t="s">
        <v>695</v>
      </c>
      <c r="D42" s="513" t="s">
        <v>784</v>
      </c>
      <c r="E42" s="524" t="s">
        <v>785</v>
      </c>
      <c r="F42" s="524" t="s">
        <v>708</v>
      </c>
      <c r="G42" s="531">
        <v>21.943166999999999</v>
      </c>
      <c r="H42" s="531">
        <v>45.711728999999998</v>
      </c>
      <c r="I42" s="531">
        <v>29.232669999999999</v>
      </c>
      <c r="J42" s="531">
        <v>32.175196</v>
      </c>
      <c r="K42" s="578">
        <v>4250</v>
      </c>
      <c r="L42" s="578">
        <v>38.71</v>
      </c>
      <c r="M42" s="578">
        <v>3.0499999999999999E-2</v>
      </c>
      <c r="N42" s="578">
        <v>1.4999999999999999E-2</v>
      </c>
      <c r="O42" s="529">
        <v>7.7510637600000001</v>
      </c>
      <c r="P42" s="544">
        <v>70.8</v>
      </c>
      <c r="Q42" s="544">
        <v>68.7</v>
      </c>
      <c r="R42" s="530">
        <v>24228</v>
      </c>
      <c r="S42" s="530">
        <v>25928</v>
      </c>
      <c r="T42" s="530">
        <v>1700</v>
      </c>
      <c r="U42" s="530">
        <v>219.32473433814198</v>
      </c>
      <c r="V42" s="534">
        <v>24236</v>
      </c>
      <c r="W42" s="530">
        <v>25936</v>
      </c>
      <c r="X42" s="530">
        <v>1700</v>
      </c>
      <c r="Y42" s="533">
        <v>219.32473433814198</v>
      </c>
      <c r="Z42" s="534">
        <v>1103</v>
      </c>
      <c r="AA42" s="530">
        <v>1173</v>
      </c>
      <c r="AB42" s="530">
        <v>70</v>
      </c>
      <c r="AC42" s="533">
        <v>9.0310184727470233</v>
      </c>
      <c r="AD42" s="534">
        <v>21202</v>
      </c>
      <c r="AE42" s="530">
        <v>22747</v>
      </c>
      <c r="AF42" s="530">
        <v>1545</v>
      </c>
      <c r="AG42" s="533">
        <v>199.32747914848787</v>
      </c>
      <c r="AH42" s="534">
        <v>998.4</v>
      </c>
      <c r="AI42" s="530">
        <v>1085.5999999999999</v>
      </c>
      <c r="AJ42" s="530">
        <v>87.199999999999932</v>
      </c>
      <c r="AK42" s="533">
        <v>11.250068726050568</v>
      </c>
      <c r="AL42" s="534">
        <v>803.98231599999997</v>
      </c>
      <c r="AM42" s="530">
        <v>874.73177999999996</v>
      </c>
      <c r="AN42" s="530">
        <v>70.749463999999989</v>
      </c>
      <c r="AO42" s="533">
        <v>9.127710233156435</v>
      </c>
      <c r="AP42" s="534">
        <v>0.7</v>
      </c>
      <c r="AQ42" s="530">
        <v>0.7</v>
      </c>
      <c r="AR42" s="530">
        <v>0</v>
      </c>
      <c r="AS42" s="533">
        <v>0</v>
      </c>
      <c r="AT42" s="534">
        <v>5.7</v>
      </c>
      <c r="AU42" s="530">
        <v>6.1</v>
      </c>
      <c r="AV42" s="530">
        <v>0.39999999999999947</v>
      </c>
      <c r="AW42" s="533">
        <v>5.1605819844268638E-2</v>
      </c>
      <c r="AX42" s="534">
        <v>-20.62</v>
      </c>
      <c r="AY42" s="530">
        <v>-21.41</v>
      </c>
      <c r="AZ42" s="530">
        <v>-0.78999999999999915</v>
      </c>
      <c r="BA42" s="530">
        <v>-3.4025780000000001</v>
      </c>
      <c r="BB42" s="533">
        <v>-0.10192149419243059</v>
      </c>
      <c r="BC42" s="545"/>
      <c r="BD42" s="545"/>
      <c r="BE42" s="545"/>
      <c r="BF42" s="545"/>
      <c r="BG42" s="545"/>
      <c r="BH42" s="567"/>
      <c r="BI42" s="574" t="s">
        <v>723</v>
      </c>
      <c r="BJ42" s="1">
        <v>1658.9137670499999</v>
      </c>
      <c r="BK42" s="1">
        <v>-2.1826188900000001</v>
      </c>
      <c r="BL42" s="1">
        <v>5105.8120970099999</v>
      </c>
      <c r="BM42" s="1">
        <v>5219.7391089800003</v>
      </c>
      <c r="BN42" s="1">
        <v>8.8396238100000009</v>
      </c>
      <c r="BO42" s="1">
        <v>9.03211765</v>
      </c>
      <c r="BP42" s="1">
        <v>0.24125822</v>
      </c>
      <c r="BQ42" s="1">
        <v>7.7509927200000002</v>
      </c>
      <c r="BR42" s="1">
        <v>7.7323378199999997</v>
      </c>
      <c r="BS42" s="1">
        <v>-2.4241367600000001</v>
      </c>
      <c r="BT42" s="1">
        <v>-2.1312149800000002</v>
      </c>
      <c r="BU42" s="128">
        <v>0.73999477999999996</v>
      </c>
      <c r="BV42" s="512"/>
    </row>
    <row r="43" spans="1:74" s="519" customFormat="1">
      <c r="A43" s="546">
        <v>62005025</v>
      </c>
      <c r="B43" s="543" t="s">
        <v>826</v>
      </c>
      <c r="C43" s="546" t="s">
        <v>695</v>
      </c>
      <c r="D43" s="513" t="s">
        <v>789</v>
      </c>
      <c r="E43" s="524" t="s">
        <v>790</v>
      </c>
      <c r="F43" s="524" t="s">
        <v>708</v>
      </c>
      <c r="G43" s="531">
        <v>20.007359999999998</v>
      </c>
      <c r="H43" s="531">
        <v>54.846052999999998</v>
      </c>
      <c r="I43" s="531">
        <v>29.235671</v>
      </c>
      <c r="J43" s="531">
        <v>30.879362</v>
      </c>
      <c r="K43" s="578">
        <v>4250</v>
      </c>
      <c r="L43" s="578">
        <v>38.71</v>
      </c>
      <c r="M43" s="578">
        <v>3.0499999999999999E-2</v>
      </c>
      <c r="N43" s="578">
        <v>1.4999999999999999E-2</v>
      </c>
      <c r="O43" s="529">
        <v>5.2986867499999999</v>
      </c>
      <c r="P43" s="544">
        <v>68.7</v>
      </c>
      <c r="Q43" s="544">
        <v>64.7</v>
      </c>
      <c r="R43" s="530">
        <v>25953</v>
      </c>
      <c r="S43" s="530">
        <v>28562</v>
      </c>
      <c r="T43" s="530">
        <v>2609</v>
      </c>
      <c r="U43" s="530">
        <v>492.38615587154686</v>
      </c>
      <c r="V43" s="534">
        <v>25962</v>
      </c>
      <c r="W43" s="530">
        <v>28577</v>
      </c>
      <c r="X43" s="530">
        <v>2615</v>
      </c>
      <c r="Y43" s="533">
        <v>493.51851192184557</v>
      </c>
      <c r="Z43" s="534">
        <v>1173</v>
      </c>
      <c r="AA43" s="530">
        <v>3890</v>
      </c>
      <c r="AB43" s="530">
        <v>2717</v>
      </c>
      <c r="AC43" s="533">
        <v>512.76856477692331</v>
      </c>
      <c r="AD43" s="534">
        <v>22748</v>
      </c>
      <c r="AE43" s="530">
        <v>20971</v>
      </c>
      <c r="AF43" s="530">
        <v>-1777</v>
      </c>
      <c r="AG43" s="533">
        <v>-335.36611689679523</v>
      </c>
      <c r="AH43" s="534">
        <v>1109.5999999999999</v>
      </c>
      <c r="AI43" s="530">
        <v>1232.5999999999999</v>
      </c>
      <c r="AJ43" s="530">
        <v>123</v>
      </c>
      <c r="AK43" s="533">
        <v>23.213299031123135</v>
      </c>
      <c r="AL43" s="534">
        <v>892.61167699999999</v>
      </c>
      <c r="AM43" s="530">
        <v>995.69</v>
      </c>
      <c r="AN43" s="530">
        <v>103.07832300000007</v>
      </c>
      <c r="AO43" s="533">
        <v>19.453560450615441</v>
      </c>
      <c r="AP43" s="534">
        <v>0.7</v>
      </c>
      <c r="AQ43" s="530">
        <v>0.7</v>
      </c>
      <c r="AR43" s="530">
        <v>0</v>
      </c>
      <c r="AS43" s="533">
        <v>0</v>
      </c>
      <c r="AT43" s="534">
        <v>6.2</v>
      </c>
      <c r="AU43" s="530">
        <v>6.6</v>
      </c>
      <c r="AV43" s="530">
        <v>0.39999999999999947</v>
      </c>
      <c r="AW43" s="533">
        <v>7.5490403353245875E-2</v>
      </c>
      <c r="AX43" s="534">
        <v>-21.71</v>
      </c>
      <c r="AY43" s="530">
        <v>-22.54</v>
      </c>
      <c r="AZ43" s="530">
        <v>-0.82999999999999829</v>
      </c>
      <c r="BA43" s="530">
        <v>-3.0698500000000002</v>
      </c>
      <c r="BB43" s="533">
        <v>-0.15664258695798508</v>
      </c>
      <c r="BC43" s="545"/>
      <c r="BD43" s="545"/>
      <c r="BE43" s="545"/>
      <c r="BF43" s="545"/>
      <c r="BG43" s="545"/>
      <c r="BH43" s="567"/>
      <c r="BI43" s="574" t="s">
        <v>723</v>
      </c>
      <c r="BJ43" s="1"/>
      <c r="BK43" s="1"/>
      <c r="BL43" s="1"/>
      <c r="BM43" s="1"/>
      <c r="BN43" s="1"/>
      <c r="BO43" s="1"/>
      <c r="BP43" s="1"/>
      <c r="BQ43" s="1"/>
      <c r="BR43" s="1"/>
      <c r="BS43" s="1"/>
      <c r="BT43" s="1"/>
      <c r="BU43" s="128"/>
      <c r="BV43" s="512"/>
    </row>
    <row r="44" spans="1:74" s="519" customFormat="1" ht="22.5">
      <c r="A44" s="546">
        <v>62005026</v>
      </c>
      <c r="B44" s="543" t="s">
        <v>850</v>
      </c>
      <c r="C44" s="546" t="s">
        <v>695</v>
      </c>
      <c r="D44" s="513" t="s">
        <v>791</v>
      </c>
      <c r="E44" s="524" t="s">
        <v>792</v>
      </c>
      <c r="F44" s="524" t="s">
        <v>793</v>
      </c>
      <c r="G44" s="531">
        <v>-123.43070299999999</v>
      </c>
      <c r="H44" s="531">
        <v>-166.368314</v>
      </c>
      <c r="I44" s="531">
        <v>-136.891817</v>
      </c>
      <c r="J44" s="531">
        <v>-162.24340100000001</v>
      </c>
      <c r="K44" s="578">
        <v>4250</v>
      </c>
      <c r="L44" s="578">
        <v>38.71</v>
      </c>
      <c r="M44" s="578">
        <v>3.0499999999999999E-2</v>
      </c>
      <c r="N44" s="578">
        <v>1.4999999999999999E-2</v>
      </c>
      <c r="O44" s="529">
        <v>96.601136580000002</v>
      </c>
      <c r="P44" s="544">
        <v>64.599999999999994</v>
      </c>
      <c r="Q44" s="544">
        <v>2</v>
      </c>
      <c r="R44" s="530">
        <v>28626</v>
      </c>
      <c r="S44" s="530">
        <v>74425</v>
      </c>
      <c r="T44" s="530">
        <v>45799</v>
      </c>
      <c r="U44" s="530">
        <v>474.10415261596501</v>
      </c>
      <c r="V44" s="534">
        <v>28641</v>
      </c>
      <c r="W44" s="530">
        <v>74447</v>
      </c>
      <c r="X44" s="530">
        <v>45806</v>
      </c>
      <c r="Y44" s="533">
        <v>474.17661553149395</v>
      </c>
      <c r="Z44" s="534">
        <v>3891</v>
      </c>
      <c r="AA44" s="530">
        <v>3900</v>
      </c>
      <c r="AB44" s="530">
        <v>9</v>
      </c>
      <c r="AC44" s="533">
        <v>9.3166605680117143E-2</v>
      </c>
      <c r="AD44" s="534">
        <v>20973</v>
      </c>
      <c r="AE44" s="530">
        <v>66110</v>
      </c>
      <c r="AF44" s="530">
        <v>45137</v>
      </c>
      <c r="AG44" s="533">
        <v>467.25123117593859</v>
      </c>
      <c r="AH44" s="534">
        <v>1294.8</v>
      </c>
      <c r="AI44" s="530">
        <v>1926.1</v>
      </c>
      <c r="AJ44" s="530">
        <v>631.29999999999995</v>
      </c>
      <c r="AK44" s="533">
        <v>6.5351197962064385</v>
      </c>
      <c r="AL44" s="534">
        <v>1045.02088</v>
      </c>
      <c r="AM44" s="530">
        <v>1577.84</v>
      </c>
      <c r="AN44" s="530">
        <v>532.81911999999988</v>
      </c>
      <c r="AO44" s="533">
        <v>5.5156609835407782</v>
      </c>
      <c r="AP44" s="534">
        <v>0.6</v>
      </c>
      <c r="AQ44" s="530">
        <v>-0.5</v>
      </c>
      <c r="AR44" s="530">
        <v>-1.1000000000000001</v>
      </c>
      <c r="AS44" s="533">
        <v>-1.138702958312543E-2</v>
      </c>
      <c r="AT44" s="534">
        <v>6.9</v>
      </c>
      <c r="AU44" s="530">
        <v>8.6999999999999993</v>
      </c>
      <c r="AV44" s="530">
        <v>1.7999999999999989</v>
      </c>
      <c r="AW44" s="533">
        <v>1.8633321136023416E-2</v>
      </c>
      <c r="AX44" s="534">
        <v>-23.1</v>
      </c>
      <c r="AY44" s="530">
        <v>-26.07</v>
      </c>
      <c r="AZ44" s="530">
        <v>-2.9699999999999989</v>
      </c>
      <c r="BA44" s="530">
        <v>4.1660820000000003</v>
      </c>
      <c r="BB44" s="533">
        <v>-3.0744979874438645E-2</v>
      </c>
      <c r="BC44" s="545"/>
      <c r="BD44" s="545"/>
      <c r="BE44" s="545"/>
      <c r="BF44" s="545"/>
      <c r="BG44" s="545"/>
      <c r="BH44" s="567"/>
      <c r="BI44" s="574" t="s">
        <v>723</v>
      </c>
      <c r="BJ44" s="1">
        <v>23.555344219999999</v>
      </c>
      <c r="BK44" s="1">
        <v>49.134953439999997</v>
      </c>
      <c r="BL44" s="1">
        <v>866.70076458999995</v>
      </c>
      <c r="BM44" s="1">
        <v>581.15200000000004</v>
      </c>
      <c r="BN44" s="1">
        <v>72.687418210000004</v>
      </c>
      <c r="BO44" s="1">
        <v>73.127316859999993</v>
      </c>
      <c r="BP44" s="1">
        <v>-0.54882671000000005</v>
      </c>
      <c r="BQ44" s="1">
        <v>96.601273590000005</v>
      </c>
      <c r="BR44" s="1">
        <v>97.134372970000001</v>
      </c>
      <c r="BS44" s="1">
        <v>-5.304412E-2</v>
      </c>
      <c r="BT44" s="1">
        <v>-0.60155174</v>
      </c>
      <c r="BU44" s="128">
        <v>1.129634E-2</v>
      </c>
      <c r="BV44" s="512"/>
    </row>
    <row r="45" spans="1:74" s="519" customFormat="1">
      <c r="A45" s="546">
        <v>62005027</v>
      </c>
      <c r="B45" s="543" t="s">
        <v>915</v>
      </c>
      <c r="C45" s="546" t="s">
        <v>695</v>
      </c>
      <c r="D45" s="513" t="s">
        <v>795</v>
      </c>
      <c r="E45" s="524" t="s">
        <v>796</v>
      </c>
      <c r="F45" s="524" t="s">
        <v>708</v>
      </c>
      <c r="G45" s="531">
        <v>-220.45034899999999</v>
      </c>
      <c r="H45" s="531">
        <v>-464.19694099999998</v>
      </c>
      <c r="I45" s="531">
        <v>-296.01188999999999</v>
      </c>
      <c r="J45" s="531">
        <v>-216.419206</v>
      </c>
      <c r="K45" s="578">
        <v>4250</v>
      </c>
      <c r="L45" s="578">
        <v>38.71</v>
      </c>
      <c r="M45" s="578">
        <v>3.0499999999999999E-2</v>
      </c>
      <c r="N45" s="578">
        <v>1.4999999999999999E-2</v>
      </c>
      <c r="O45" s="529">
        <v>0.11110056</v>
      </c>
      <c r="P45" s="544">
        <v>2</v>
      </c>
      <c r="Q45" s="544">
        <v>91.3</v>
      </c>
      <c r="R45" s="530">
        <v>-4398</v>
      </c>
      <c r="S45" s="530">
        <v>-72187</v>
      </c>
      <c r="T45" s="530">
        <v>-67789</v>
      </c>
      <c r="U45" s="530">
        <v>-610158.94069300825</v>
      </c>
      <c r="V45" s="534">
        <v>-4419</v>
      </c>
      <c r="W45" s="530">
        <v>-72961</v>
      </c>
      <c r="X45" s="530">
        <v>-68542</v>
      </c>
      <c r="Y45" s="533">
        <v>-616936.58429804491</v>
      </c>
      <c r="Z45" s="534">
        <v>12</v>
      </c>
      <c r="AA45" s="530">
        <v>292</v>
      </c>
      <c r="AB45" s="530">
        <v>280</v>
      </c>
      <c r="AC45" s="533">
        <v>2520.2393219260102</v>
      </c>
      <c r="AD45" s="534">
        <v>35</v>
      </c>
      <c r="AE45" s="530">
        <v>752</v>
      </c>
      <c r="AF45" s="530">
        <v>717</v>
      </c>
      <c r="AG45" s="533">
        <v>6453.6128350748186</v>
      </c>
      <c r="AH45" s="534">
        <v>-6.1</v>
      </c>
      <c r="AI45" s="530">
        <v>-72282.7</v>
      </c>
      <c r="AJ45" s="530">
        <v>-72276.599999999991</v>
      </c>
      <c r="AK45" s="533">
        <v>-650551.17633970513</v>
      </c>
      <c r="AL45" s="534">
        <v>0.59164600000000001</v>
      </c>
      <c r="AM45" s="530">
        <v>4730.03</v>
      </c>
      <c r="AN45" s="530">
        <v>4729.4383539999999</v>
      </c>
      <c r="AO45" s="533">
        <v>42568.987537056521</v>
      </c>
      <c r="AP45" s="534">
        <v>0</v>
      </c>
      <c r="AQ45" s="530">
        <v>-11.3</v>
      </c>
      <c r="AR45" s="530">
        <v>-11.3</v>
      </c>
      <c r="AS45" s="533">
        <v>-101.70965834915684</v>
      </c>
      <c r="AT45" s="534">
        <v>0</v>
      </c>
      <c r="AU45" s="530">
        <v>92</v>
      </c>
      <c r="AV45" s="530">
        <v>92</v>
      </c>
      <c r="AW45" s="533">
        <v>828.0786343471176</v>
      </c>
      <c r="AX45" s="534">
        <v>-43.23</v>
      </c>
      <c r="AY45" s="530">
        <v>-169.54</v>
      </c>
      <c r="AZ45" s="530">
        <v>-126.31</v>
      </c>
      <c r="BA45" s="530">
        <v>20.735361999999999</v>
      </c>
      <c r="BB45" s="533">
        <v>-1136.8979598302656</v>
      </c>
      <c r="BC45" s="545">
        <v>4325.7</v>
      </c>
      <c r="BD45" s="545">
        <v>88067.6</v>
      </c>
      <c r="BE45" s="545">
        <v>83741.900000000009</v>
      </c>
      <c r="BF45" s="545">
        <v>-4253</v>
      </c>
      <c r="BG45" s="545">
        <v>-86516.2</v>
      </c>
      <c r="BH45" s="567">
        <v>-82263.199999999997</v>
      </c>
      <c r="BI45" s="574" t="s">
        <v>719</v>
      </c>
      <c r="BJ45" s="1"/>
      <c r="BK45" s="1"/>
      <c r="BL45" s="1"/>
      <c r="BM45" s="1"/>
      <c r="BN45" s="1"/>
      <c r="BO45" s="1"/>
      <c r="BP45" s="1"/>
      <c r="BQ45" s="1"/>
      <c r="BR45" s="1"/>
      <c r="BS45" s="1"/>
      <c r="BT45" s="1"/>
      <c r="BU45" s="128"/>
      <c r="BV45" s="512"/>
    </row>
    <row r="46" spans="1:74" s="520" customFormat="1" ht="15.75">
      <c r="A46" s="535" t="s">
        <v>1241</v>
      </c>
      <c r="B46" s="537"/>
      <c r="C46" s="537"/>
      <c r="D46" s="537"/>
      <c r="E46" s="538"/>
      <c r="F46" s="538"/>
      <c r="G46" s="538"/>
      <c r="H46" s="538"/>
      <c r="I46" s="538"/>
      <c r="J46" s="538"/>
      <c r="K46" s="537"/>
      <c r="L46" s="537"/>
      <c r="M46" s="576"/>
      <c r="N46" s="577"/>
      <c r="O46" s="537"/>
      <c r="P46" s="537"/>
      <c r="Q46" s="537"/>
      <c r="R46" s="537"/>
      <c r="S46" s="537"/>
      <c r="T46" s="537"/>
      <c r="U46" s="537"/>
      <c r="V46" s="537"/>
      <c r="W46" s="537"/>
      <c r="X46" s="537"/>
      <c r="Y46" s="537"/>
      <c r="Z46" s="537"/>
      <c r="AA46" s="537"/>
      <c r="AB46" s="537"/>
      <c r="AC46" s="537"/>
      <c r="AD46" s="537"/>
      <c r="AE46" s="537"/>
      <c r="AF46" s="537"/>
      <c r="AG46" s="537"/>
      <c r="AH46" s="537"/>
      <c r="AI46" s="537"/>
      <c r="AJ46" s="537"/>
      <c r="AK46" s="537"/>
      <c r="AL46" s="537"/>
      <c r="AM46" s="537"/>
      <c r="AN46" s="537"/>
      <c r="AO46" s="537"/>
      <c r="AP46" s="537"/>
      <c r="AQ46" s="537"/>
      <c r="AR46" s="537"/>
      <c r="AS46" s="537"/>
      <c r="AT46" s="537"/>
      <c r="AU46" s="537"/>
      <c r="AV46" s="537"/>
      <c r="AW46" s="537"/>
      <c r="AX46" s="537"/>
      <c r="AY46" s="537"/>
      <c r="AZ46" s="537"/>
      <c r="BA46" s="537"/>
      <c r="BB46" s="537"/>
      <c r="BC46" s="537"/>
      <c r="BD46" s="537"/>
      <c r="BE46" s="537"/>
      <c r="BF46" s="537"/>
      <c r="BG46" s="537"/>
      <c r="BH46" s="537"/>
      <c r="BI46" s="569"/>
      <c r="BJ46" s="537"/>
      <c r="BK46" s="537"/>
      <c r="BL46" s="537"/>
      <c r="BM46" s="537"/>
      <c r="BN46" s="537"/>
      <c r="BO46" s="537"/>
      <c r="BP46" s="537"/>
      <c r="BQ46" s="537"/>
      <c r="BR46" s="537"/>
      <c r="BS46" s="537"/>
      <c r="BT46" s="537"/>
      <c r="BU46" s="542"/>
      <c r="BV46" s="541"/>
    </row>
    <row r="47" spans="1:74" s="519" customFormat="1" ht="22.5">
      <c r="A47" s="546">
        <v>62006001</v>
      </c>
      <c r="B47" s="543" t="s">
        <v>832</v>
      </c>
      <c r="C47" s="543" t="s">
        <v>695</v>
      </c>
      <c r="D47" s="513" t="s">
        <v>797</v>
      </c>
      <c r="E47" s="524" t="s">
        <v>798</v>
      </c>
      <c r="F47" s="524" t="s">
        <v>708</v>
      </c>
      <c r="G47" s="531">
        <v>24.227556</v>
      </c>
      <c r="H47" s="531">
        <v>39.990265000000001</v>
      </c>
      <c r="I47" s="531">
        <v>29.527072</v>
      </c>
      <c r="J47" s="531">
        <v>25.695194999999998</v>
      </c>
      <c r="K47" s="578">
        <v>4250</v>
      </c>
      <c r="L47" s="578">
        <v>38.71</v>
      </c>
      <c r="M47" s="578">
        <v>3.0499999999999999E-2</v>
      </c>
      <c r="N47" s="578">
        <v>1.4999999999999999E-2</v>
      </c>
      <c r="O47" s="529">
        <v>3.5979848099999998</v>
      </c>
      <c r="P47" s="544">
        <v>91.2</v>
      </c>
      <c r="Q47" s="544">
        <v>90.4</v>
      </c>
      <c r="R47" s="530">
        <v>16</v>
      </c>
      <c r="S47" s="530">
        <v>719</v>
      </c>
      <c r="T47" s="530">
        <v>703</v>
      </c>
      <c r="U47" s="530">
        <v>195.38715062001611</v>
      </c>
      <c r="V47" s="534">
        <v>16</v>
      </c>
      <c r="W47" s="530">
        <v>718</v>
      </c>
      <c r="X47" s="530">
        <v>702</v>
      </c>
      <c r="Y47" s="533">
        <v>195.1092172620929</v>
      </c>
      <c r="Z47" s="534">
        <v>0</v>
      </c>
      <c r="AA47" s="530">
        <v>7</v>
      </c>
      <c r="AB47" s="530">
        <v>7</v>
      </c>
      <c r="AC47" s="533">
        <v>1.9455335054624647</v>
      </c>
      <c r="AD47" s="534">
        <v>0</v>
      </c>
      <c r="AE47" s="530">
        <v>638</v>
      </c>
      <c r="AF47" s="530">
        <v>638</v>
      </c>
      <c r="AG47" s="533">
        <v>177.3214823550075</v>
      </c>
      <c r="AH47" s="534">
        <v>15.9</v>
      </c>
      <c r="AI47" s="530">
        <v>72.599999999999994</v>
      </c>
      <c r="AJ47" s="530">
        <v>56.699999999999996</v>
      </c>
      <c r="AK47" s="533">
        <v>15.758821394245963</v>
      </c>
      <c r="AL47" s="534">
        <v>13.032168</v>
      </c>
      <c r="AM47" s="530">
        <v>58.951802999999998</v>
      </c>
      <c r="AN47" s="530">
        <v>45.919635</v>
      </c>
      <c r="AO47" s="533">
        <v>12.762598350158127</v>
      </c>
      <c r="AP47" s="534">
        <v>0</v>
      </c>
      <c r="AQ47" s="530">
        <v>0.2</v>
      </c>
      <c r="AR47" s="530">
        <v>0.2</v>
      </c>
      <c r="AS47" s="533">
        <v>5.5586671584641853E-2</v>
      </c>
      <c r="AT47" s="534">
        <v>0.1</v>
      </c>
      <c r="AU47" s="530">
        <v>0.4</v>
      </c>
      <c r="AV47" s="530">
        <v>0.30000000000000004</v>
      </c>
      <c r="AW47" s="533">
        <v>8.3380007376962786E-2</v>
      </c>
      <c r="AX47" s="534">
        <v>-1.03</v>
      </c>
      <c r="AY47" s="530">
        <v>-2.09</v>
      </c>
      <c r="AZ47" s="530">
        <v>-1.0599999999999998</v>
      </c>
      <c r="BA47" s="530">
        <v>-7.4836770000000001</v>
      </c>
      <c r="BB47" s="533">
        <v>-0.29460935939860178</v>
      </c>
      <c r="BC47" s="545"/>
      <c r="BD47" s="545"/>
      <c r="BE47" s="545"/>
      <c r="BF47" s="545"/>
      <c r="BG47" s="545"/>
      <c r="BH47" s="567"/>
      <c r="BI47" s="574" t="s">
        <v>723</v>
      </c>
      <c r="BJ47" s="1">
        <v>2372.4150533400002</v>
      </c>
      <c r="BK47" s="1">
        <v>-1.38253219</v>
      </c>
      <c r="BL47" s="1">
        <v>2020.5326384299999</v>
      </c>
      <c r="BM47" s="1">
        <v>2048.8587703600001</v>
      </c>
      <c r="BN47" s="1">
        <v>3.01503517</v>
      </c>
      <c r="BO47" s="1">
        <v>3.0320365900000001</v>
      </c>
      <c r="BP47" s="1">
        <v>0.19212475000000001</v>
      </c>
      <c r="BQ47" s="1">
        <v>3.59787948</v>
      </c>
      <c r="BR47" s="1">
        <v>3.5909803199999999</v>
      </c>
      <c r="BS47" s="1">
        <v>-0.75709607000000001</v>
      </c>
      <c r="BT47" s="1">
        <v>-0.56072608000000002</v>
      </c>
      <c r="BU47" s="128">
        <v>0.63450872999999997</v>
      </c>
      <c r="BV47" s="512"/>
    </row>
    <row r="48" spans="1:74" s="519" customFormat="1" ht="22.5">
      <c r="A48" s="546">
        <v>62006001</v>
      </c>
      <c r="B48" s="543" t="s">
        <v>831</v>
      </c>
      <c r="C48" s="543" t="s">
        <v>696</v>
      </c>
      <c r="D48" s="513" t="s">
        <v>797</v>
      </c>
      <c r="E48" s="524" t="s">
        <v>798</v>
      </c>
      <c r="F48" s="524" t="s">
        <v>708</v>
      </c>
      <c r="G48" s="531">
        <v>20.739069000000001</v>
      </c>
      <c r="H48" s="531">
        <v>49.616712999999997</v>
      </c>
      <c r="I48" s="531">
        <v>29.516055999999999</v>
      </c>
      <c r="J48" s="531">
        <v>27.744291</v>
      </c>
      <c r="K48" s="578">
        <v>4250</v>
      </c>
      <c r="L48" s="578">
        <v>38.71</v>
      </c>
      <c r="M48" s="578">
        <v>3.0499999999999999E-2</v>
      </c>
      <c r="N48" s="578">
        <v>1.4999999999999999E-2</v>
      </c>
      <c r="O48" s="529">
        <v>3.8651089500000002</v>
      </c>
      <c r="P48" s="544">
        <v>90.4</v>
      </c>
      <c r="Q48" s="544">
        <v>89.6</v>
      </c>
      <c r="R48" s="530">
        <v>719</v>
      </c>
      <c r="S48" s="530">
        <v>1377</v>
      </c>
      <c r="T48" s="530">
        <v>658</v>
      </c>
      <c r="U48" s="530">
        <v>170.24099669945915</v>
      </c>
      <c r="V48" s="534">
        <v>718</v>
      </c>
      <c r="W48" s="530">
        <v>1376</v>
      </c>
      <c r="X48" s="530">
        <v>658</v>
      </c>
      <c r="Y48" s="533">
        <v>170.24099669945915</v>
      </c>
      <c r="Z48" s="534">
        <v>7</v>
      </c>
      <c r="AA48" s="530">
        <v>25</v>
      </c>
      <c r="AB48" s="530">
        <v>18</v>
      </c>
      <c r="AC48" s="533">
        <v>4.657048541930493</v>
      </c>
      <c r="AD48" s="534">
        <v>638</v>
      </c>
      <c r="AE48" s="530">
        <v>1185</v>
      </c>
      <c r="AF48" s="530">
        <v>547</v>
      </c>
      <c r="AG48" s="533">
        <v>141.52253069088775</v>
      </c>
      <c r="AH48" s="534">
        <v>72.599999999999994</v>
      </c>
      <c r="AI48" s="530">
        <v>164.4</v>
      </c>
      <c r="AJ48" s="530">
        <v>91.800000000000011</v>
      </c>
      <c r="AK48" s="533">
        <v>23.750947563845518</v>
      </c>
      <c r="AL48" s="534">
        <v>58.971801999999997</v>
      </c>
      <c r="AM48" s="530">
        <v>133.56124500000001</v>
      </c>
      <c r="AN48" s="530">
        <v>74.589443000000017</v>
      </c>
      <c r="AO48" s="533">
        <v>19.298147598142094</v>
      </c>
      <c r="AP48" s="534">
        <v>0.2</v>
      </c>
      <c r="AQ48" s="530">
        <v>0.5</v>
      </c>
      <c r="AR48" s="530">
        <v>0.3</v>
      </c>
      <c r="AS48" s="533">
        <v>7.7617475698841545E-2</v>
      </c>
      <c r="AT48" s="534">
        <v>0.4</v>
      </c>
      <c r="AU48" s="530">
        <v>1</v>
      </c>
      <c r="AV48" s="530">
        <v>0.6</v>
      </c>
      <c r="AW48" s="533">
        <v>0.15523495139768309</v>
      </c>
      <c r="AX48" s="534">
        <v>-2.09</v>
      </c>
      <c r="AY48" s="530">
        <v>-2.63</v>
      </c>
      <c r="AZ48" s="530">
        <v>-0.54</v>
      </c>
      <c r="BA48" s="530">
        <v>-2.2808600000000001</v>
      </c>
      <c r="BB48" s="533">
        <v>-0.13971145625791481</v>
      </c>
      <c r="BC48" s="545"/>
      <c r="BD48" s="545"/>
      <c r="BE48" s="545"/>
      <c r="BF48" s="545"/>
      <c r="BG48" s="545"/>
      <c r="BH48" s="567"/>
      <c r="BI48" s="574" t="s">
        <v>723</v>
      </c>
      <c r="BJ48" s="1">
        <v>1476.240153</v>
      </c>
      <c r="BK48" s="1">
        <v>-1.5119721699999999</v>
      </c>
      <c r="BL48" s="1">
        <v>3364.6205778399999</v>
      </c>
      <c r="BM48" s="1">
        <v>3416.2736851499999</v>
      </c>
      <c r="BN48" s="1">
        <v>2.9777031300000001</v>
      </c>
      <c r="BO48" s="1">
        <v>2.99541382</v>
      </c>
      <c r="BP48" s="1">
        <v>0.13232461000000001</v>
      </c>
      <c r="BQ48" s="1">
        <v>3.8649383300000002</v>
      </c>
      <c r="BR48" s="1">
        <v>3.8598308299999999</v>
      </c>
      <c r="BS48" s="1">
        <v>-0.72788865000000003</v>
      </c>
      <c r="BT48" s="1">
        <v>-0.59126031999999995</v>
      </c>
      <c r="BU48" s="128">
        <v>0.72008327999999999</v>
      </c>
      <c r="BV48" s="512"/>
    </row>
    <row r="49" spans="1:74" s="519" customFormat="1" ht="22.5">
      <c r="A49" s="546">
        <v>62006001</v>
      </c>
      <c r="B49" s="543" t="s">
        <v>830</v>
      </c>
      <c r="C49" s="543" t="s">
        <v>698</v>
      </c>
      <c r="D49" s="513" t="s">
        <v>797</v>
      </c>
      <c r="E49" s="524" t="s">
        <v>798</v>
      </c>
      <c r="F49" s="524" t="s">
        <v>708</v>
      </c>
      <c r="G49" s="468">
        <v>22.4833125</v>
      </c>
      <c r="H49" s="468">
        <v>44.803488999999999</v>
      </c>
      <c r="I49" s="468">
        <v>29.521563999999998</v>
      </c>
      <c r="J49" s="468">
        <v>26.719743000000001</v>
      </c>
      <c r="K49" s="579"/>
      <c r="L49" s="578"/>
      <c r="M49" s="580"/>
      <c r="N49" s="581"/>
      <c r="O49" s="453">
        <v>7.4630937599999996</v>
      </c>
      <c r="P49" s="493">
        <v>91.2</v>
      </c>
      <c r="Q49" s="493">
        <v>89.6</v>
      </c>
      <c r="R49" s="456">
        <v>16</v>
      </c>
      <c r="S49" s="456">
        <v>1377</v>
      </c>
      <c r="T49" s="456">
        <v>1361</v>
      </c>
      <c r="U49" s="456">
        <v>182.3640495171804</v>
      </c>
      <c r="V49" s="456">
        <v>16</v>
      </c>
      <c r="W49" s="456">
        <v>1376</v>
      </c>
      <c r="X49" s="456">
        <v>1360</v>
      </c>
      <c r="Y49" s="454">
        <v>182.23005682833605</v>
      </c>
      <c r="Z49" s="456">
        <v>0</v>
      </c>
      <c r="AA49" s="456">
        <v>25</v>
      </c>
      <c r="AB49" s="456">
        <v>25</v>
      </c>
      <c r="AC49" s="454">
        <v>3.3498172211091184</v>
      </c>
      <c r="AD49" s="456">
        <v>0</v>
      </c>
      <c r="AE49" s="456">
        <v>1185</v>
      </c>
      <c r="AF49" s="456">
        <v>1185</v>
      </c>
      <c r="AG49" s="454">
        <v>158.78133628057222</v>
      </c>
      <c r="AH49" s="456">
        <v>15.9</v>
      </c>
      <c r="AI49" s="456">
        <v>164.4</v>
      </c>
      <c r="AJ49" s="456">
        <v>148.5</v>
      </c>
      <c r="AK49" s="454">
        <v>19.897914293388162</v>
      </c>
      <c r="AL49" s="456">
        <v>13.032168</v>
      </c>
      <c r="AM49" s="456">
        <v>133.56124500000001</v>
      </c>
      <c r="AN49" s="456">
        <v>120.50907800000002</v>
      </c>
      <c r="AO49" s="454">
        <v>16.147335391375282</v>
      </c>
      <c r="AP49" s="456">
        <v>0</v>
      </c>
      <c r="AQ49" s="456">
        <v>0.5</v>
      </c>
      <c r="AR49" s="456">
        <v>0.5</v>
      </c>
      <c r="AS49" s="454">
        <v>6.6996344422182372E-2</v>
      </c>
      <c r="AT49" s="456">
        <v>0.1</v>
      </c>
      <c r="AU49" s="456">
        <v>1</v>
      </c>
      <c r="AV49" s="456">
        <v>0.9</v>
      </c>
      <c r="AW49" s="454">
        <v>0.12059341995992827</v>
      </c>
      <c r="AX49" s="456">
        <v>-1.03</v>
      </c>
      <c r="AY49" s="456">
        <v>-2.63</v>
      </c>
      <c r="AZ49" s="456">
        <v>-1.5999999999999999</v>
      </c>
      <c r="BA49" s="530">
        <v>-4.8822685000000003</v>
      </c>
      <c r="BB49" s="454">
        <v>-0.21438830215098356</v>
      </c>
      <c r="BC49" s="496"/>
      <c r="BD49" s="496"/>
      <c r="BE49" s="496"/>
      <c r="BF49" s="496"/>
      <c r="BG49" s="496"/>
      <c r="BH49" s="568"/>
      <c r="BI49" s="574" t="s">
        <v>723</v>
      </c>
      <c r="BJ49" s="1"/>
      <c r="BK49" s="1"/>
      <c r="BL49" s="1"/>
      <c r="BM49" s="1"/>
      <c r="BN49" s="1"/>
      <c r="BO49" s="1"/>
      <c r="BP49" s="1"/>
      <c r="BQ49" s="1"/>
      <c r="BR49" s="1"/>
      <c r="BS49" s="1"/>
      <c r="BT49" s="1"/>
      <c r="BU49" s="128"/>
      <c r="BV49" s="512"/>
    </row>
    <row r="50" spans="1:74" s="519" customFormat="1" ht="22.5">
      <c r="A50" s="546">
        <v>62006001</v>
      </c>
      <c r="B50" s="543" t="s">
        <v>829</v>
      </c>
      <c r="C50" s="543" t="s">
        <v>697</v>
      </c>
      <c r="D50" s="513" t="s">
        <v>797</v>
      </c>
      <c r="E50" s="524" t="s">
        <v>798</v>
      </c>
      <c r="F50" s="524" t="s">
        <v>708</v>
      </c>
      <c r="G50" s="531">
        <v>24.588822</v>
      </c>
      <c r="H50" s="531">
        <v>39.842843999999999</v>
      </c>
      <c r="I50" s="531">
        <v>29.514858</v>
      </c>
      <c r="J50" s="531">
        <v>29.632942</v>
      </c>
      <c r="K50" s="578">
        <v>4250</v>
      </c>
      <c r="L50" s="578">
        <v>38.71</v>
      </c>
      <c r="M50" s="578">
        <v>3.0499999999999999E-2</v>
      </c>
      <c r="N50" s="578">
        <v>1.4999999999999999E-2</v>
      </c>
      <c r="O50" s="529">
        <v>10.28512394</v>
      </c>
      <c r="P50" s="544">
        <v>89.6</v>
      </c>
      <c r="Q50" s="544">
        <v>87.4</v>
      </c>
      <c r="R50" s="530">
        <v>1379</v>
      </c>
      <c r="S50" s="530">
        <v>3293</v>
      </c>
      <c r="T50" s="530">
        <v>1914</v>
      </c>
      <c r="U50" s="530">
        <v>186.09401414758256</v>
      </c>
      <c r="V50" s="534">
        <v>1377</v>
      </c>
      <c r="W50" s="530">
        <v>3291</v>
      </c>
      <c r="X50" s="530">
        <v>1914</v>
      </c>
      <c r="Y50" s="533">
        <v>186.09401414758256</v>
      </c>
      <c r="Z50" s="534">
        <v>25</v>
      </c>
      <c r="AA50" s="530">
        <v>26</v>
      </c>
      <c r="AB50" s="530">
        <v>1</v>
      </c>
      <c r="AC50" s="533">
        <v>9.7227802584943859E-2</v>
      </c>
      <c r="AD50" s="534">
        <v>1185</v>
      </c>
      <c r="AE50" s="530">
        <v>3015</v>
      </c>
      <c r="AF50" s="530">
        <v>1830</v>
      </c>
      <c r="AG50" s="533">
        <v>177.92687873044727</v>
      </c>
      <c r="AH50" s="534">
        <v>166.2</v>
      </c>
      <c r="AI50" s="530">
        <v>247.1</v>
      </c>
      <c r="AJ50" s="530">
        <v>80.900000000000006</v>
      </c>
      <c r="AK50" s="533">
        <v>7.8657292291219587</v>
      </c>
      <c r="AL50" s="534">
        <v>135.01</v>
      </c>
      <c r="AM50" s="530">
        <v>200.91084599999999</v>
      </c>
      <c r="AN50" s="530">
        <v>65.900846000000001</v>
      </c>
      <c r="AO50" s="533">
        <v>6.4073944450687872</v>
      </c>
      <c r="AP50" s="534">
        <v>0.5</v>
      </c>
      <c r="AQ50" s="530">
        <v>0.8</v>
      </c>
      <c r="AR50" s="530">
        <v>0.30000000000000004</v>
      </c>
      <c r="AS50" s="533">
        <v>2.9168340775483161E-2</v>
      </c>
      <c r="AT50" s="534">
        <v>1</v>
      </c>
      <c r="AU50" s="530">
        <v>1.5</v>
      </c>
      <c r="AV50" s="530">
        <v>0.5</v>
      </c>
      <c r="AW50" s="533">
        <v>4.861390129247193E-2</v>
      </c>
      <c r="AX50" s="534">
        <v>-2.64</v>
      </c>
      <c r="AY50" s="530">
        <v>-2.9900899999999999</v>
      </c>
      <c r="AZ50" s="530">
        <v>-0.35008999999999979</v>
      </c>
      <c r="BA50" s="530">
        <v>-1.67489</v>
      </c>
      <c r="BB50" s="533">
        <v>-3.4038481406962973E-2</v>
      </c>
      <c r="BC50" s="545"/>
      <c r="BD50" s="545"/>
      <c r="BE50" s="545"/>
      <c r="BF50" s="545"/>
      <c r="BG50" s="545"/>
      <c r="BH50" s="567"/>
      <c r="BI50" s="574" t="s">
        <v>723</v>
      </c>
      <c r="BJ50" s="1">
        <v>1875.62922239</v>
      </c>
      <c r="BK50" s="1">
        <v>-0.82037110000000002</v>
      </c>
      <c r="BL50" s="1">
        <v>1296.0545450300001</v>
      </c>
      <c r="BM50" s="1">
        <v>1306.77494907</v>
      </c>
      <c r="BN50" s="1">
        <v>6.7991210400000002</v>
      </c>
      <c r="BO50" s="1">
        <v>6.79044823</v>
      </c>
      <c r="BP50" s="1">
        <v>0.27741124</v>
      </c>
      <c r="BQ50" s="1">
        <v>10.285133549999999</v>
      </c>
      <c r="BR50" s="1">
        <v>10.256680360000001</v>
      </c>
      <c r="BS50" s="1">
        <v>-0.14949952</v>
      </c>
      <c r="BT50" s="1">
        <v>0.12772078000000001</v>
      </c>
      <c r="BU50" s="128">
        <v>0.33398509999999998</v>
      </c>
      <c r="BV50" s="512"/>
    </row>
    <row r="51" spans="1:74" s="519" customFormat="1" ht="22.5">
      <c r="A51" s="546">
        <v>62006001</v>
      </c>
      <c r="B51" s="543" t="s">
        <v>828</v>
      </c>
      <c r="C51" s="543" t="s">
        <v>699</v>
      </c>
      <c r="D51" s="513" t="s">
        <v>797</v>
      </c>
      <c r="E51" s="524" t="s">
        <v>798</v>
      </c>
      <c r="F51" s="524" t="s">
        <v>708</v>
      </c>
      <c r="G51" s="531">
        <v>20.325669999999999</v>
      </c>
      <c r="H51" s="531">
        <v>52.809041000000001</v>
      </c>
      <c r="I51" s="531">
        <v>29.492049000000002</v>
      </c>
      <c r="J51" s="531">
        <v>29.741544999999999</v>
      </c>
      <c r="K51" s="578">
        <v>4250</v>
      </c>
      <c r="L51" s="578">
        <v>38.71</v>
      </c>
      <c r="M51" s="578">
        <v>3.0499999999999999E-2</v>
      </c>
      <c r="N51" s="578">
        <v>1.4999999999999999E-2</v>
      </c>
      <c r="O51" s="529">
        <v>3.59829584</v>
      </c>
      <c r="P51" s="544">
        <v>87.4</v>
      </c>
      <c r="Q51" s="544">
        <v>86.6</v>
      </c>
      <c r="R51" s="530">
        <v>3335</v>
      </c>
      <c r="S51" s="530">
        <v>3992</v>
      </c>
      <c r="T51" s="530">
        <v>657</v>
      </c>
      <c r="U51" s="530">
        <v>182.58643235960275</v>
      </c>
      <c r="V51" s="534">
        <v>3332</v>
      </c>
      <c r="W51" s="530">
        <v>3990</v>
      </c>
      <c r="X51" s="530">
        <v>658</v>
      </c>
      <c r="Y51" s="533">
        <v>182.86434169348342</v>
      </c>
      <c r="Z51" s="534">
        <v>26</v>
      </c>
      <c r="AA51" s="530">
        <v>33</v>
      </c>
      <c r="AB51" s="530">
        <v>7</v>
      </c>
      <c r="AC51" s="533">
        <v>1.9453653371647175</v>
      </c>
      <c r="AD51" s="534">
        <v>3016</v>
      </c>
      <c r="AE51" s="530">
        <v>3614</v>
      </c>
      <c r="AF51" s="530">
        <v>598</v>
      </c>
      <c r="AG51" s="533">
        <v>166.18978166064301</v>
      </c>
      <c r="AH51" s="534">
        <v>287.10610100000002</v>
      </c>
      <c r="AI51" s="530">
        <v>338.7</v>
      </c>
      <c r="AJ51" s="530">
        <v>51.593898999999965</v>
      </c>
      <c r="AK51" s="533">
        <v>14.338426103396758</v>
      </c>
      <c r="AL51" s="534">
        <v>230.32060999999999</v>
      </c>
      <c r="AM51" s="530">
        <v>271.99035300000003</v>
      </c>
      <c r="AN51" s="530">
        <v>41.66974300000004</v>
      </c>
      <c r="AO51" s="533">
        <v>11.580410520108886</v>
      </c>
      <c r="AP51" s="534">
        <v>1</v>
      </c>
      <c r="AQ51" s="530">
        <v>1.2</v>
      </c>
      <c r="AR51" s="530">
        <v>0.19999999999999996</v>
      </c>
      <c r="AS51" s="533">
        <v>5.5581866776134768E-2</v>
      </c>
      <c r="AT51" s="534">
        <v>1.9</v>
      </c>
      <c r="AU51" s="530">
        <v>2.2999999999999998</v>
      </c>
      <c r="AV51" s="530">
        <v>0.39999999999999991</v>
      </c>
      <c r="AW51" s="533">
        <v>0.11116373355226954</v>
      </c>
      <c r="AX51" s="534">
        <v>-3.25</v>
      </c>
      <c r="AY51" s="530">
        <v>-3.46</v>
      </c>
      <c r="AZ51" s="530">
        <v>-0.20999999999999996</v>
      </c>
      <c r="BA51" s="530">
        <v>-1.53098</v>
      </c>
      <c r="BB51" s="533">
        <v>-5.8360960114941511E-2</v>
      </c>
      <c r="BC51" s="545"/>
      <c r="BD51" s="545"/>
      <c r="BE51" s="545"/>
      <c r="BF51" s="545"/>
      <c r="BG51" s="545"/>
      <c r="BH51" s="567"/>
      <c r="BI51" s="574" t="s">
        <v>723</v>
      </c>
      <c r="BJ51" s="1">
        <v>2367.6364135099998</v>
      </c>
      <c r="BK51" s="1">
        <v>-1.2011729900000001</v>
      </c>
      <c r="BL51" s="1">
        <v>2024.2004322</v>
      </c>
      <c r="BM51" s="1">
        <v>2048.8101868099998</v>
      </c>
      <c r="BN51" s="1">
        <v>3.0196136999999998</v>
      </c>
      <c r="BO51" s="1">
        <v>3.0319737999999998</v>
      </c>
      <c r="BP51" s="1">
        <v>0.20142778</v>
      </c>
      <c r="BQ51" s="1">
        <v>3.5982134100000001</v>
      </c>
      <c r="BR51" s="1">
        <v>3.5909801799999999</v>
      </c>
      <c r="BS51" s="1">
        <v>-0.61157943000000003</v>
      </c>
      <c r="BT51" s="1">
        <v>-0.40765848999999998</v>
      </c>
      <c r="BU51" s="128">
        <v>0.63449862000000001</v>
      </c>
      <c r="BV51" s="512"/>
    </row>
    <row r="52" spans="1:74" s="519" customFormat="1" ht="22.5">
      <c r="A52" s="546">
        <v>62006001</v>
      </c>
      <c r="B52" s="543" t="s">
        <v>239</v>
      </c>
      <c r="C52" s="543" t="s">
        <v>700</v>
      </c>
      <c r="D52" s="513" t="s">
        <v>797</v>
      </c>
      <c r="E52" s="524" t="s">
        <v>798</v>
      </c>
      <c r="F52" s="524" t="s">
        <v>708</v>
      </c>
      <c r="G52" s="531">
        <v>20.081025</v>
      </c>
      <c r="H52" s="531">
        <v>54.671112999999998</v>
      </c>
      <c r="I52" s="531">
        <v>29.489021999999999</v>
      </c>
      <c r="J52" s="531">
        <v>29.067093</v>
      </c>
      <c r="K52" s="578">
        <v>4250</v>
      </c>
      <c r="L52" s="578">
        <v>38.71</v>
      </c>
      <c r="M52" s="578">
        <v>3.0499999999999999E-2</v>
      </c>
      <c r="N52" s="578">
        <v>1.4999999999999999E-2</v>
      </c>
      <c r="O52" s="529">
        <v>3.8650448100000001</v>
      </c>
      <c r="P52" s="544">
        <v>86.6</v>
      </c>
      <c r="Q52" s="544">
        <v>85.9</v>
      </c>
      <c r="R52" s="530">
        <v>3993</v>
      </c>
      <c r="S52" s="530">
        <v>4637</v>
      </c>
      <c r="T52" s="530">
        <v>644</v>
      </c>
      <c r="U52" s="530">
        <v>166.62161285524655</v>
      </c>
      <c r="V52" s="534">
        <v>3990</v>
      </c>
      <c r="W52" s="530">
        <v>4635</v>
      </c>
      <c r="X52" s="530">
        <v>645</v>
      </c>
      <c r="Y52" s="533">
        <v>166.8803420677547</v>
      </c>
      <c r="Z52" s="534">
        <v>33</v>
      </c>
      <c r="AA52" s="530">
        <v>51</v>
      </c>
      <c r="AB52" s="530">
        <v>18</v>
      </c>
      <c r="AC52" s="533">
        <v>4.6571258251466432</v>
      </c>
      <c r="AD52" s="534">
        <v>3614</v>
      </c>
      <c r="AE52" s="530">
        <v>4149</v>
      </c>
      <c r="AF52" s="530">
        <v>535</v>
      </c>
      <c r="AG52" s="533">
        <v>138.42012869185857</v>
      </c>
      <c r="AH52" s="534">
        <v>338.7</v>
      </c>
      <c r="AI52" s="530">
        <v>429.29881399999999</v>
      </c>
      <c r="AJ52" s="530">
        <v>90.598814000000004</v>
      </c>
      <c r="AK52" s="533">
        <v>23.440559800392069</v>
      </c>
      <c r="AL52" s="534">
        <v>272.01</v>
      </c>
      <c r="AM52" s="530">
        <v>345.47</v>
      </c>
      <c r="AN52" s="530">
        <v>73.460000000000036</v>
      </c>
      <c r="AO52" s="533">
        <v>19.006247950848476</v>
      </c>
      <c r="AP52" s="534">
        <v>1.2</v>
      </c>
      <c r="AQ52" s="530">
        <v>1.5</v>
      </c>
      <c r="AR52" s="530">
        <v>0.30000000000000004</v>
      </c>
      <c r="AS52" s="533">
        <v>7.7618763752444059E-2</v>
      </c>
      <c r="AT52" s="534">
        <v>2.2999999999999998</v>
      </c>
      <c r="AU52" s="530">
        <v>2.9</v>
      </c>
      <c r="AV52" s="530">
        <v>0.60000000000000009</v>
      </c>
      <c r="AW52" s="533">
        <v>0.15523752750488812</v>
      </c>
      <c r="AX52" s="534">
        <v>-3.46</v>
      </c>
      <c r="AY52" s="530">
        <v>-3.83</v>
      </c>
      <c r="AZ52" s="530">
        <v>-0.37000000000000011</v>
      </c>
      <c r="BA52" s="530">
        <v>-1.484977</v>
      </c>
      <c r="BB52" s="533">
        <v>-9.5729808628014348E-2</v>
      </c>
      <c r="BC52" s="545"/>
      <c r="BD52" s="545"/>
      <c r="BE52" s="545"/>
      <c r="BF52" s="545"/>
      <c r="BG52" s="545"/>
      <c r="BH52" s="567"/>
      <c r="BI52" s="574" t="s">
        <v>723</v>
      </c>
      <c r="BJ52" s="1">
        <v>1476.2593440000001</v>
      </c>
      <c r="BK52" s="1">
        <v>-1.39221705</v>
      </c>
      <c r="BL52" s="1">
        <v>3368.6610510700002</v>
      </c>
      <c r="BM52" s="1">
        <v>3416.2222799699998</v>
      </c>
      <c r="BN52" s="1">
        <v>2.9817099200000001</v>
      </c>
      <c r="BO52" s="1">
        <v>2.9953370000000001</v>
      </c>
      <c r="BP52" s="1">
        <v>0.13046316999999999</v>
      </c>
      <c r="BQ52" s="1">
        <v>3.86486638</v>
      </c>
      <c r="BR52" s="1">
        <v>3.8598307200000002</v>
      </c>
      <c r="BS52" s="1">
        <v>-0.58808181999999998</v>
      </c>
      <c r="BT52" s="1">
        <v>-0.45494320999999999</v>
      </c>
      <c r="BU52" s="128">
        <v>0.72008883000000001</v>
      </c>
      <c r="BV52" s="512"/>
    </row>
    <row r="53" spans="1:74" s="519" customFormat="1" ht="22.5">
      <c r="A53" s="546">
        <v>62006001</v>
      </c>
      <c r="B53" s="543" t="s">
        <v>833</v>
      </c>
      <c r="C53" s="543" t="s">
        <v>701</v>
      </c>
      <c r="D53" s="513" t="s">
        <v>797</v>
      </c>
      <c r="E53" s="524" t="s">
        <v>798</v>
      </c>
      <c r="F53" s="524" t="s">
        <v>708</v>
      </c>
      <c r="G53" s="468">
        <v>20.2033475</v>
      </c>
      <c r="H53" s="468">
        <v>53.740076999999999</v>
      </c>
      <c r="I53" s="468">
        <v>29.4905355</v>
      </c>
      <c r="J53" s="468">
        <v>29.404319000000001</v>
      </c>
      <c r="K53" s="579"/>
      <c r="L53" s="578"/>
      <c r="M53" s="580"/>
      <c r="N53" s="581"/>
      <c r="O53" s="453">
        <v>7.4633406500000001</v>
      </c>
      <c r="P53" s="493">
        <v>87.4</v>
      </c>
      <c r="Q53" s="493">
        <v>85.9</v>
      </c>
      <c r="R53" s="456">
        <v>3335</v>
      </c>
      <c r="S53" s="456">
        <v>4637</v>
      </c>
      <c r="T53" s="456">
        <v>1301</v>
      </c>
      <c r="U53" s="456">
        <v>174.31872146958747</v>
      </c>
      <c r="V53" s="456">
        <v>3332</v>
      </c>
      <c r="W53" s="456">
        <v>4635</v>
      </c>
      <c r="X53" s="456">
        <v>1303</v>
      </c>
      <c r="Y53" s="454">
        <v>174.58669798222328</v>
      </c>
      <c r="Z53" s="456">
        <v>26</v>
      </c>
      <c r="AA53" s="456">
        <v>51</v>
      </c>
      <c r="AB53" s="456">
        <v>25</v>
      </c>
      <c r="AC53" s="454">
        <v>3.3497064079474921</v>
      </c>
      <c r="AD53" s="456">
        <v>3016</v>
      </c>
      <c r="AE53" s="456">
        <v>4149</v>
      </c>
      <c r="AF53" s="456">
        <v>1133</v>
      </c>
      <c r="AG53" s="454">
        <v>151.80869440818034</v>
      </c>
      <c r="AH53" s="456">
        <v>287.10610100000002</v>
      </c>
      <c r="AI53" s="456">
        <v>429.29881399999999</v>
      </c>
      <c r="AJ53" s="456">
        <v>142.19271299999997</v>
      </c>
      <c r="AK53" s="454">
        <v>19.05215367598154</v>
      </c>
      <c r="AL53" s="456">
        <v>230.32060999999999</v>
      </c>
      <c r="AM53" s="456">
        <v>345.47</v>
      </c>
      <c r="AN53" s="456">
        <v>115.12974300000008</v>
      </c>
      <c r="AO53" s="454">
        <v>15.426033514897926</v>
      </c>
      <c r="AP53" s="456">
        <v>1</v>
      </c>
      <c r="AQ53" s="456">
        <v>1.5</v>
      </c>
      <c r="AR53" s="456">
        <v>0.5</v>
      </c>
      <c r="AS53" s="454">
        <v>6.6994128158949839E-2</v>
      </c>
      <c r="AT53" s="456">
        <v>1.9</v>
      </c>
      <c r="AU53" s="456">
        <v>2.9</v>
      </c>
      <c r="AV53" s="456">
        <v>1</v>
      </c>
      <c r="AW53" s="454">
        <v>0.13398825631789968</v>
      </c>
      <c r="AX53" s="456">
        <v>-3.25</v>
      </c>
      <c r="AY53" s="456">
        <v>-3.83</v>
      </c>
      <c r="AZ53" s="456">
        <v>-0.58000000000000007</v>
      </c>
      <c r="BA53" s="530">
        <v>-1.5079785000000001</v>
      </c>
      <c r="BB53" s="454">
        <v>-7.7713188664381816E-2</v>
      </c>
      <c r="BC53" s="496"/>
      <c r="BD53" s="496"/>
      <c r="BE53" s="496"/>
      <c r="BF53" s="496"/>
      <c r="BG53" s="496"/>
      <c r="BH53" s="568"/>
      <c r="BI53" s="574" t="s">
        <v>723</v>
      </c>
      <c r="BJ53" s="1"/>
      <c r="BK53" s="1"/>
      <c r="BL53" s="1"/>
      <c r="BM53" s="1"/>
      <c r="BN53" s="1"/>
      <c r="BO53" s="1"/>
      <c r="BP53" s="1"/>
      <c r="BQ53" s="1"/>
      <c r="BR53" s="1"/>
      <c r="BS53" s="1"/>
      <c r="BT53" s="1"/>
      <c r="BU53" s="128"/>
      <c r="BV53" s="512"/>
    </row>
    <row r="54" spans="1:74" s="519" customFormat="1" ht="22.5">
      <c r="A54" s="546">
        <v>62006001</v>
      </c>
      <c r="B54" s="543" t="s">
        <v>836</v>
      </c>
      <c r="C54" s="543" t="s">
        <v>770</v>
      </c>
      <c r="D54" s="513" t="s">
        <v>797</v>
      </c>
      <c r="E54" s="524" t="s">
        <v>798</v>
      </c>
      <c r="F54" s="524" t="s">
        <v>708</v>
      </c>
      <c r="G54" s="531">
        <v>23.104863999999999</v>
      </c>
      <c r="H54" s="531">
        <v>42.637700000000002</v>
      </c>
      <c r="I54" s="531">
        <v>29.482188000000001</v>
      </c>
      <c r="J54" s="531">
        <v>30.938324000000001</v>
      </c>
      <c r="K54" s="578">
        <v>4250</v>
      </c>
      <c r="L54" s="578">
        <v>38.71</v>
      </c>
      <c r="M54" s="578">
        <v>3.0499999999999999E-2</v>
      </c>
      <c r="N54" s="578">
        <v>1.4999999999999999E-2</v>
      </c>
      <c r="O54" s="529">
        <v>1.77487931</v>
      </c>
      <c r="P54" s="544">
        <v>85.9</v>
      </c>
      <c r="Q54" s="544">
        <v>83.5</v>
      </c>
      <c r="R54" s="530">
        <v>4647</v>
      </c>
      <c r="S54" s="530">
        <v>6632</v>
      </c>
      <c r="T54" s="530">
        <v>463</v>
      </c>
      <c r="U54" s="530">
        <v>260.86280762380403</v>
      </c>
      <c r="V54" s="534">
        <v>4645</v>
      </c>
      <c r="W54" s="530">
        <v>6631</v>
      </c>
      <c r="X54" s="530">
        <v>464</v>
      </c>
      <c r="Y54" s="533">
        <v>261.42622621478415</v>
      </c>
      <c r="Z54" s="534">
        <v>51</v>
      </c>
      <c r="AA54" s="530">
        <v>106</v>
      </c>
      <c r="AB54" s="530">
        <v>39</v>
      </c>
      <c r="AC54" s="533">
        <v>21.973325048225391</v>
      </c>
      <c r="AD54" s="534">
        <v>4149</v>
      </c>
      <c r="AE54" s="530">
        <v>6011</v>
      </c>
      <c r="AF54" s="530">
        <v>398</v>
      </c>
      <c r="AG54" s="533">
        <v>224.24059921009501</v>
      </c>
      <c r="AH54" s="534">
        <v>438.7</v>
      </c>
      <c r="AI54" s="530">
        <v>504.7</v>
      </c>
      <c r="AJ54" s="530">
        <v>25.199999999999989</v>
      </c>
      <c r="AK54" s="533">
        <v>14.198148492699477</v>
      </c>
      <c r="AL54" s="534">
        <v>353.10974800000002</v>
      </c>
      <c r="AM54" s="530">
        <v>407.269431</v>
      </c>
      <c r="AN54" s="530">
        <v>20.599951999999973</v>
      </c>
      <c r="AO54" s="533">
        <v>11.606395930098467</v>
      </c>
      <c r="AP54" s="534">
        <v>1.5</v>
      </c>
      <c r="AQ54" s="530">
        <v>1.7</v>
      </c>
      <c r="AR54" s="530">
        <v>0.10000000000000009</v>
      </c>
      <c r="AS54" s="533">
        <v>5.6341859098013876E-2</v>
      </c>
      <c r="AT54" s="534">
        <v>3</v>
      </c>
      <c r="AU54" s="530">
        <v>3.4</v>
      </c>
      <c r="AV54" s="530">
        <v>0.20000000000000018</v>
      </c>
      <c r="AW54" s="533">
        <v>0.11268371819602775</v>
      </c>
      <c r="AX54" s="534">
        <v>-3.87</v>
      </c>
      <c r="AY54" s="530">
        <v>-4.12</v>
      </c>
      <c r="AZ54" s="530">
        <v>-9.9999999999999645E-2</v>
      </c>
      <c r="BA54" s="530">
        <v>-1.5134540000000001</v>
      </c>
      <c r="BB54" s="533">
        <v>-5.6341859098013626E-2</v>
      </c>
      <c r="BC54" s="545"/>
      <c r="BD54" s="545"/>
      <c r="BE54" s="545"/>
      <c r="BF54" s="545"/>
      <c r="BG54" s="545"/>
      <c r="BH54" s="567"/>
      <c r="BI54" s="574" t="s">
        <v>723</v>
      </c>
      <c r="BJ54" s="1">
        <v>5477.2511669799997</v>
      </c>
      <c r="BK54" s="1">
        <v>-4.5513525499999998</v>
      </c>
      <c r="BL54" s="1">
        <v>2347.5014961500001</v>
      </c>
      <c r="BM54" s="1">
        <v>2459.4392471599999</v>
      </c>
      <c r="BN54" s="1">
        <v>3.0082371600000002</v>
      </c>
      <c r="BO54" s="1">
        <v>3.0983550800000002</v>
      </c>
      <c r="BP54" s="1">
        <v>0.1544026</v>
      </c>
      <c r="BQ54" s="1">
        <v>1.77484194</v>
      </c>
      <c r="BR54" s="1">
        <v>1.7721057600000001</v>
      </c>
      <c r="BS54" s="1">
        <v>-3.1547333000000002</v>
      </c>
      <c r="BT54" s="1">
        <v>-2.9085729800000002</v>
      </c>
      <c r="BU54" s="128">
        <v>0.84360579999999996</v>
      </c>
      <c r="BV54" s="512"/>
    </row>
    <row r="55" spans="1:74" s="519" customFormat="1" ht="22.5">
      <c r="A55" s="546">
        <v>62006001</v>
      </c>
      <c r="B55" s="543" t="s">
        <v>837</v>
      </c>
      <c r="C55" s="543" t="s">
        <v>705</v>
      </c>
      <c r="D55" s="513" t="s">
        <v>797</v>
      </c>
      <c r="E55" s="524" t="s">
        <v>798</v>
      </c>
      <c r="F55" s="524" t="s">
        <v>708</v>
      </c>
      <c r="G55" s="531">
        <v>26.762892000000001</v>
      </c>
      <c r="H55" s="531">
        <v>34.470638999999998</v>
      </c>
      <c r="I55" s="531">
        <v>29.515187999999998</v>
      </c>
      <c r="J55" s="531">
        <v>31.161577000000001</v>
      </c>
      <c r="K55" s="578">
        <v>4250</v>
      </c>
      <c r="L55" s="578">
        <v>38.71</v>
      </c>
      <c r="M55" s="578">
        <v>3.0499999999999999E-2</v>
      </c>
      <c r="N55" s="578">
        <v>1.4999999999999999E-2</v>
      </c>
      <c r="O55" s="529">
        <v>6.2509066500000001</v>
      </c>
      <c r="P55" s="544">
        <v>85.5</v>
      </c>
      <c r="Q55" s="544">
        <v>83.7</v>
      </c>
      <c r="R55" s="530">
        <v>4958</v>
      </c>
      <c r="S55" s="530">
        <v>6480</v>
      </c>
      <c r="T55" s="530">
        <v>1522</v>
      </c>
      <c r="U55" s="530">
        <v>243.48467913850544</v>
      </c>
      <c r="V55" s="534">
        <v>4956</v>
      </c>
      <c r="W55" s="530">
        <v>6478</v>
      </c>
      <c r="X55" s="530">
        <v>1522</v>
      </c>
      <c r="Y55" s="533">
        <v>243.48467913850544</v>
      </c>
      <c r="Z55" s="534">
        <v>65</v>
      </c>
      <c r="AA55" s="530">
        <v>81</v>
      </c>
      <c r="AB55" s="530">
        <v>16</v>
      </c>
      <c r="AC55" s="533">
        <v>2.5596286900237102</v>
      </c>
      <c r="AD55" s="534">
        <v>4431</v>
      </c>
      <c r="AE55" s="530">
        <v>5895</v>
      </c>
      <c r="AF55" s="530">
        <v>1464</v>
      </c>
      <c r="AG55" s="533">
        <v>234.20602513716949</v>
      </c>
      <c r="AH55" s="534">
        <v>452.5</v>
      </c>
      <c r="AI55" s="530">
        <v>493.3</v>
      </c>
      <c r="AJ55" s="530">
        <v>40.800000000000011</v>
      </c>
      <c r="AK55" s="533">
        <v>6.5270531595604631</v>
      </c>
      <c r="AL55" s="534">
        <v>364.36975100000001</v>
      </c>
      <c r="AM55" s="530">
        <v>397.92948200000001</v>
      </c>
      <c r="AN55" s="530">
        <v>33.559730999999999</v>
      </c>
      <c r="AO55" s="533">
        <v>5.3687781435673809</v>
      </c>
      <c r="AP55" s="534">
        <v>1.6</v>
      </c>
      <c r="AQ55" s="530">
        <v>1.7</v>
      </c>
      <c r="AR55" s="530">
        <v>9.9999999999999867E-2</v>
      </c>
      <c r="AS55" s="533">
        <v>1.5997679312648169E-2</v>
      </c>
      <c r="AT55" s="534">
        <v>3.1</v>
      </c>
      <c r="AU55" s="530">
        <v>3.3</v>
      </c>
      <c r="AV55" s="530">
        <v>0.19999999999999973</v>
      </c>
      <c r="AW55" s="533">
        <v>3.1995358625296337E-2</v>
      </c>
      <c r="AX55" s="534">
        <v>-3.92</v>
      </c>
      <c r="AY55" s="530">
        <v>-4.07</v>
      </c>
      <c r="AZ55" s="530">
        <v>-0.15000000000000036</v>
      </c>
      <c r="BA55" s="530">
        <v>-1.483776</v>
      </c>
      <c r="BB55" s="533">
        <v>-2.3996518968972341E-2</v>
      </c>
      <c r="BC55" s="545"/>
      <c r="BD55" s="545"/>
      <c r="BE55" s="545"/>
      <c r="BF55" s="545"/>
      <c r="BG55" s="545"/>
      <c r="BH55" s="567"/>
      <c r="BI55" s="574" t="s">
        <v>723</v>
      </c>
      <c r="BJ55" s="1">
        <v>11292.75501006</v>
      </c>
      <c r="BK55" s="1">
        <v>-1.01967867</v>
      </c>
      <c r="BL55" s="1">
        <v>1127.25786137</v>
      </c>
      <c r="BM55" s="1">
        <v>1138.87068279</v>
      </c>
      <c r="BN55" s="1">
        <v>5.8861502200000002</v>
      </c>
      <c r="BO55" s="1">
        <v>5.8928713699999999</v>
      </c>
      <c r="BP55" s="1">
        <v>0.25685152</v>
      </c>
      <c r="BQ55" s="1">
        <v>6.2508725399999996</v>
      </c>
      <c r="BR55" s="1">
        <v>6.2348582099999996</v>
      </c>
      <c r="BS55" s="1">
        <v>-0.37133061000000001</v>
      </c>
      <c r="BT55" s="1">
        <v>-0.11405556</v>
      </c>
      <c r="BU55" s="128">
        <v>0.41973523000000001</v>
      </c>
      <c r="BV55" s="512"/>
    </row>
    <row r="56" spans="1:74" s="519" customFormat="1" ht="22.5">
      <c r="A56" s="546">
        <v>62006001</v>
      </c>
      <c r="B56" s="543" t="s">
        <v>835</v>
      </c>
      <c r="C56" s="543" t="s">
        <v>703</v>
      </c>
      <c r="D56" s="513" t="s">
        <v>797</v>
      </c>
      <c r="E56" s="524" t="s">
        <v>798</v>
      </c>
      <c r="F56" s="524" t="s">
        <v>708</v>
      </c>
      <c r="G56" s="468">
        <v>24.933878</v>
      </c>
      <c r="H56" s="468">
        <v>38.5541695</v>
      </c>
      <c r="I56" s="468">
        <v>29.498688000000001</v>
      </c>
      <c r="J56" s="468">
        <v>31.049950500000001</v>
      </c>
      <c r="K56" s="579"/>
      <c r="L56" s="578"/>
      <c r="M56" s="580"/>
      <c r="N56" s="581"/>
      <c r="O56" s="453">
        <v>8.0257859600000003</v>
      </c>
      <c r="P56" s="493">
        <v>85.9</v>
      </c>
      <c r="Q56" s="493">
        <v>83.7</v>
      </c>
      <c r="R56" s="456">
        <v>4647</v>
      </c>
      <c r="S56" s="456">
        <v>6480</v>
      </c>
      <c r="T56" s="456">
        <v>1985</v>
      </c>
      <c r="U56" s="456">
        <v>247.3278018991675</v>
      </c>
      <c r="V56" s="456">
        <v>4645</v>
      </c>
      <c r="W56" s="456">
        <v>6478</v>
      </c>
      <c r="X56" s="456">
        <v>1986</v>
      </c>
      <c r="Y56" s="454">
        <v>247.45240028803357</v>
      </c>
      <c r="Z56" s="456">
        <v>51</v>
      </c>
      <c r="AA56" s="456">
        <v>81</v>
      </c>
      <c r="AB56" s="456">
        <v>55</v>
      </c>
      <c r="AC56" s="454">
        <v>6.8529113876343644</v>
      </c>
      <c r="AD56" s="456">
        <v>4149</v>
      </c>
      <c r="AE56" s="456">
        <v>5895</v>
      </c>
      <c r="AF56" s="456">
        <v>1862</v>
      </c>
      <c r="AG56" s="454">
        <v>232.00220006863975</v>
      </c>
      <c r="AH56" s="456">
        <v>438.7</v>
      </c>
      <c r="AI56" s="456">
        <v>493.3</v>
      </c>
      <c r="AJ56" s="456">
        <v>66</v>
      </c>
      <c r="AK56" s="454">
        <v>8.2234936651612376</v>
      </c>
      <c r="AL56" s="456">
        <v>353.10974800000002</v>
      </c>
      <c r="AM56" s="456">
        <v>397.92948200000001</v>
      </c>
      <c r="AN56" s="456">
        <v>54.159682999999973</v>
      </c>
      <c r="AO56" s="454">
        <v>6.748209243297584</v>
      </c>
      <c r="AP56" s="456">
        <v>1.5</v>
      </c>
      <c r="AQ56" s="456">
        <v>1.7</v>
      </c>
      <c r="AR56" s="456">
        <v>0.19999999999999996</v>
      </c>
      <c r="AS56" s="454">
        <v>2.4919677773215864E-2</v>
      </c>
      <c r="AT56" s="456">
        <v>3</v>
      </c>
      <c r="AU56" s="456">
        <v>3.3</v>
      </c>
      <c r="AV56" s="456">
        <v>0.39999999999999991</v>
      </c>
      <c r="AW56" s="454">
        <v>4.9839355546431728E-2</v>
      </c>
      <c r="AX56" s="456">
        <v>-3.87</v>
      </c>
      <c r="AY56" s="456">
        <v>-4.07</v>
      </c>
      <c r="AZ56" s="456">
        <v>-0.25</v>
      </c>
      <c r="BA56" s="530">
        <v>-1.498615</v>
      </c>
      <c r="BB56" s="454">
        <v>-3.1149597216519838E-2</v>
      </c>
      <c r="BC56" s="496"/>
      <c r="BD56" s="496"/>
      <c r="BE56" s="496"/>
      <c r="BF56" s="496"/>
      <c r="BG56" s="496"/>
      <c r="BH56" s="568"/>
      <c r="BI56" s="574" t="s">
        <v>723</v>
      </c>
      <c r="BJ56" s="1"/>
      <c r="BK56" s="1"/>
      <c r="BL56" s="1"/>
      <c r="BM56" s="1"/>
      <c r="BN56" s="1"/>
      <c r="BO56" s="1"/>
      <c r="BP56" s="1"/>
      <c r="BQ56" s="1"/>
      <c r="BR56" s="1"/>
      <c r="BS56" s="1"/>
      <c r="BT56" s="1"/>
      <c r="BU56" s="128"/>
      <c r="BV56" s="512"/>
    </row>
    <row r="57" spans="1:74" s="519" customFormat="1">
      <c r="A57" s="546">
        <v>62006002</v>
      </c>
      <c r="B57" s="543" t="s">
        <v>851</v>
      </c>
      <c r="C57" s="472" t="s">
        <v>695</v>
      </c>
      <c r="D57" s="513" t="s">
        <v>801</v>
      </c>
      <c r="E57" s="524" t="s">
        <v>802</v>
      </c>
      <c r="F57" s="524" t="s">
        <v>708</v>
      </c>
      <c r="G57" s="531">
        <v>20.887722</v>
      </c>
      <c r="H57" s="531">
        <v>52.818351999999997</v>
      </c>
      <c r="I57" s="531">
        <v>29.45391</v>
      </c>
      <c r="J57" s="531">
        <v>28.240182000000001</v>
      </c>
      <c r="K57" s="578">
        <v>4250</v>
      </c>
      <c r="L57" s="578">
        <v>38.71</v>
      </c>
      <c r="M57" s="578">
        <v>3.0499999999999999E-2</v>
      </c>
      <c r="N57" s="578">
        <v>1.4999999999999999E-2</v>
      </c>
      <c r="O57" s="529">
        <v>1.9178923999999999</v>
      </c>
      <c r="P57" s="544">
        <v>83.5</v>
      </c>
      <c r="Q57" s="544">
        <v>83.1</v>
      </c>
      <c r="R57" s="530">
        <v>6678</v>
      </c>
      <c r="S57" s="530">
        <v>7030</v>
      </c>
      <c r="T57" s="530">
        <v>352</v>
      </c>
      <c r="U57" s="530">
        <v>183.53480101386293</v>
      </c>
      <c r="V57" s="534">
        <v>6677</v>
      </c>
      <c r="W57" s="530">
        <v>7029</v>
      </c>
      <c r="X57" s="530">
        <v>352</v>
      </c>
      <c r="Y57" s="533">
        <v>183.53480101386293</v>
      </c>
      <c r="Z57" s="534">
        <v>106</v>
      </c>
      <c r="AA57" s="530">
        <v>109</v>
      </c>
      <c r="AB57" s="530">
        <v>3</v>
      </c>
      <c r="AC57" s="533">
        <v>1.5642170540954228</v>
      </c>
      <c r="AD57" s="534">
        <v>6012</v>
      </c>
      <c r="AE57" s="530">
        <v>6296</v>
      </c>
      <c r="AF57" s="530">
        <v>284</v>
      </c>
      <c r="AG57" s="533">
        <v>148.07921445436668</v>
      </c>
      <c r="AH57" s="534">
        <v>548.4</v>
      </c>
      <c r="AI57" s="530">
        <v>612</v>
      </c>
      <c r="AJ57" s="530">
        <v>63.600000000000023</v>
      </c>
      <c r="AK57" s="533">
        <v>33.161401546822972</v>
      </c>
      <c r="AL57" s="534">
        <v>438.59927900000002</v>
      </c>
      <c r="AM57" s="530">
        <v>490.27</v>
      </c>
      <c r="AN57" s="530">
        <v>51.670720999999958</v>
      </c>
      <c r="AO57" s="533">
        <v>26.941407661868809</v>
      </c>
      <c r="AP57" s="534">
        <v>2</v>
      </c>
      <c r="AQ57" s="530">
        <v>2.1</v>
      </c>
      <c r="AR57" s="530">
        <v>0.10000000000000009</v>
      </c>
      <c r="AS57" s="533">
        <v>5.2140568469847472E-2</v>
      </c>
      <c r="AT57" s="534">
        <v>3.9</v>
      </c>
      <c r="AU57" s="530">
        <v>4.3</v>
      </c>
      <c r="AV57" s="530">
        <v>0.39999999999999991</v>
      </c>
      <c r="AW57" s="533">
        <v>0.20856227387938964</v>
      </c>
      <c r="AX57" s="534">
        <v>-4.54</v>
      </c>
      <c r="AY57" s="530">
        <v>-4.97</v>
      </c>
      <c r="AZ57" s="530">
        <v>-0.42999999999999972</v>
      </c>
      <c r="BA57" s="530">
        <v>-2.6190259999999999</v>
      </c>
      <c r="BB57" s="533">
        <v>-0.22420444442034376</v>
      </c>
      <c r="BC57" s="545"/>
      <c r="BD57" s="545"/>
      <c r="BE57" s="545"/>
      <c r="BF57" s="545"/>
      <c r="BG57" s="545"/>
      <c r="BH57" s="567"/>
      <c r="BI57" s="574" t="s">
        <v>723</v>
      </c>
      <c r="BJ57" s="1">
        <v>1103.12964332</v>
      </c>
      <c r="BK57" s="1">
        <v>-3.3738062900000001</v>
      </c>
      <c r="BL57" s="1">
        <v>1931.6723983899999</v>
      </c>
      <c r="BM57" s="1">
        <v>1999.1187940699999</v>
      </c>
      <c r="BN57" s="1">
        <v>1.5564206700000001</v>
      </c>
      <c r="BO57" s="1">
        <v>1.5973827899999999</v>
      </c>
      <c r="BP57" s="1">
        <v>0.18082165</v>
      </c>
      <c r="BQ57" s="1">
        <v>1.91777149</v>
      </c>
      <c r="BR57" s="1">
        <v>1.91431</v>
      </c>
      <c r="BS57" s="1">
        <v>-2.8173962399999999</v>
      </c>
      <c r="BT57" s="1">
        <v>-2.5643273299999998</v>
      </c>
      <c r="BU57" s="128">
        <v>0.79127994000000001</v>
      </c>
      <c r="BV57" s="512"/>
    </row>
    <row r="58" spans="1:74" s="519" customFormat="1">
      <c r="A58" s="546">
        <v>62006002</v>
      </c>
      <c r="B58" s="543" t="s">
        <v>852</v>
      </c>
      <c r="C58" s="472" t="s">
        <v>696</v>
      </c>
      <c r="D58" s="513" t="s">
        <v>801</v>
      </c>
      <c r="E58" s="524" t="s">
        <v>802</v>
      </c>
      <c r="F58" s="524" t="s">
        <v>708</v>
      </c>
      <c r="G58" s="531">
        <v>23.065266999999999</v>
      </c>
      <c r="H58" s="531">
        <v>44.896503000000003</v>
      </c>
      <c r="I58" s="531">
        <v>29.450500999999999</v>
      </c>
      <c r="J58" s="531">
        <v>28.514092999999999</v>
      </c>
      <c r="K58" s="578">
        <v>4250</v>
      </c>
      <c r="L58" s="578">
        <v>38.71</v>
      </c>
      <c r="M58" s="578">
        <v>3.0499999999999999E-2</v>
      </c>
      <c r="N58" s="578">
        <v>1.4999999999999999E-2</v>
      </c>
      <c r="O58" s="529">
        <v>2.9568351399999999</v>
      </c>
      <c r="P58" s="544">
        <v>83.1</v>
      </c>
      <c r="Q58" s="544">
        <v>82.5</v>
      </c>
      <c r="R58" s="530">
        <v>7030</v>
      </c>
      <c r="S58" s="530">
        <v>7530</v>
      </c>
      <c r="T58" s="530">
        <v>500</v>
      </c>
      <c r="U58" s="530">
        <v>169.09972194121042</v>
      </c>
      <c r="V58" s="534">
        <v>7029</v>
      </c>
      <c r="W58" s="530">
        <v>7530</v>
      </c>
      <c r="X58" s="530">
        <v>501</v>
      </c>
      <c r="Y58" s="533">
        <v>169.43792138509286</v>
      </c>
      <c r="Z58" s="534">
        <v>109</v>
      </c>
      <c r="AA58" s="530">
        <v>112</v>
      </c>
      <c r="AB58" s="530">
        <v>3</v>
      </c>
      <c r="AC58" s="533">
        <v>1.0145983316472627</v>
      </c>
      <c r="AD58" s="534">
        <v>6296</v>
      </c>
      <c r="AE58" s="530">
        <v>6746</v>
      </c>
      <c r="AF58" s="530">
        <v>450</v>
      </c>
      <c r="AG58" s="533">
        <v>152.18974974708939</v>
      </c>
      <c r="AH58" s="534">
        <v>612.03000799999995</v>
      </c>
      <c r="AI58" s="530">
        <v>658.1</v>
      </c>
      <c r="AJ58" s="530">
        <v>46.06999200000007</v>
      </c>
      <c r="AK58" s="533">
        <v>15.580845674067602</v>
      </c>
      <c r="AL58" s="534">
        <v>490.28900199999998</v>
      </c>
      <c r="AM58" s="530">
        <v>527.75881000000004</v>
      </c>
      <c r="AN58" s="530">
        <v>37.469808000000057</v>
      </c>
      <c r="AO58" s="533">
        <v>12.672268227981103</v>
      </c>
      <c r="AP58" s="534">
        <v>2.1</v>
      </c>
      <c r="AQ58" s="530">
        <v>2.2999999999999998</v>
      </c>
      <c r="AR58" s="530">
        <v>0.19999999999999973</v>
      </c>
      <c r="AS58" s="533">
        <v>6.7639888776484081E-2</v>
      </c>
      <c r="AT58" s="534">
        <v>4.3</v>
      </c>
      <c r="AU58" s="530">
        <v>4.5999999999999996</v>
      </c>
      <c r="AV58" s="530">
        <v>0.29999999999999982</v>
      </c>
      <c r="AW58" s="533">
        <v>0.1014598331647262</v>
      </c>
      <c r="AX58" s="534">
        <v>-4.97</v>
      </c>
      <c r="AY58" s="530">
        <v>-5.14</v>
      </c>
      <c r="AZ58" s="530">
        <v>-0.16999999999999993</v>
      </c>
      <c r="BA58" s="530">
        <v>-1.449848</v>
      </c>
      <c r="BB58" s="533">
        <v>-5.749390546001152E-2</v>
      </c>
      <c r="BC58" s="545"/>
      <c r="BD58" s="545"/>
      <c r="BE58" s="545"/>
      <c r="BF58" s="545"/>
      <c r="BG58" s="545"/>
      <c r="BH58" s="567"/>
      <c r="BI58" s="574" t="s">
        <v>723</v>
      </c>
      <c r="BJ58" s="1">
        <v>2129.31351774</v>
      </c>
      <c r="BK58" s="1">
        <v>-4.1841674299999996</v>
      </c>
      <c r="BL58" s="1">
        <v>1780.20422065</v>
      </c>
      <c r="BM58" s="1">
        <v>1857.9436955799999</v>
      </c>
      <c r="BN58" s="1">
        <v>2.55605729</v>
      </c>
      <c r="BO58" s="1">
        <v>2.6040111800000001</v>
      </c>
      <c r="BP58" s="1">
        <v>0.28816417</v>
      </c>
      <c r="BQ58" s="1">
        <v>2.9568141899999998</v>
      </c>
      <c r="BR58" s="1">
        <v>2.9483181900000002</v>
      </c>
      <c r="BS58" s="1">
        <v>-2.1696586299999998</v>
      </c>
      <c r="BT58" s="1">
        <v>-1.84153934</v>
      </c>
      <c r="BU58" s="128">
        <v>0.70901431999999998</v>
      </c>
      <c r="BV58" s="512"/>
    </row>
    <row r="59" spans="1:74" s="519" customFormat="1">
      <c r="A59" s="546">
        <v>62006002</v>
      </c>
      <c r="B59" s="543" t="s">
        <v>853</v>
      </c>
      <c r="C59" s="472" t="s">
        <v>697</v>
      </c>
      <c r="D59" s="513" t="s">
        <v>801</v>
      </c>
      <c r="E59" s="524" t="s">
        <v>802</v>
      </c>
      <c r="F59" s="524" t="s">
        <v>708</v>
      </c>
      <c r="G59" s="531">
        <v>24.646694</v>
      </c>
      <c r="H59" s="531">
        <v>38.738407000000002</v>
      </c>
      <c r="I59" s="531">
        <v>29.457138</v>
      </c>
      <c r="J59" s="531">
        <v>30.497633</v>
      </c>
      <c r="K59" s="578">
        <v>4250</v>
      </c>
      <c r="L59" s="578">
        <v>38.71</v>
      </c>
      <c r="M59" s="578">
        <v>3.0499999999999999E-2</v>
      </c>
      <c r="N59" s="578">
        <v>1.4999999999999999E-2</v>
      </c>
      <c r="O59" s="529">
        <v>4.3996214699999996</v>
      </c>
      <c r="P59" s="544">
        <v>82.5</v>
      </c>
      <c r="Q59" s="544">
        <v>81.5</v>
      </c>
      <c r="R59" s="530">
        <v>7530</v>
      </c>
      <c r="S59" s="530">
        <v>8343</v>
      </c>
      <c r="T59" s="530">
        <v>813</v>
      </c>
      <c r="U59" s="530">
        <v>184.78862455410285</v>
      </c>
      <c r="V59" s="534">
        <v>7530</v>
      </c>
      <c r="W59" s="530">
        <v>8343</v>
      </c>
      <c r="X59" s="530">
        <v>813</v>
      </c>
      <c r="Y59" s="533">
        <v>184.78862455410285</v>
      </c>
      <c r="Z59" s="534">
        <v>112</v>
      </c>
      <c r="AA59" s="530">
        <v>108</v>
      </c>
      <c r="AB59" s="530">
        <v>-4</v>
      </c>
      <c r="AC59" s="533">
        <v>-0.90916912449743104</v>
      </c>
      <c r="AD59" s="534">
        <v>6746</v>
      </c>
      <c r="AE59" s="530">
        <v>7512</v>
      </c>
      <c r="AF59" s="530">
        <v>766</v>
      </c>
      <c r="AG59" s="533">
        <v>174.10588734125804</v>
      </c>
      <c r="AH59" s="534">
        <v>658.1</v>
      </c>
      <c r="AI59" s="530">
        <v>707.3</v>
      </c>
      <c r="AJ59" s="530">
        <v>49.199999999999932</v>
      </c>
      <c r="AK59" s="533">
        <v>11.182780231318386</v>
      </c>
      <c r="AL59" s="534">
        <v>527.77</v>
      </c>
      <c r="AM59" s="530">
        <v>568.00856699999997</v>
      </c>
      <c r="AN59" s="530">
        <v>40.238566999999989</v>
      </c>
      <c r="AO59" s="533">
        <v>9.1459156826053025</v>
      </c>
      <c r="AP59" s="534">
        <v>2.2999999999999998</v>
      </c>
      <c r="AQ59" s="530">
        <v>2.4</v>
      </c>
      <c r="AR59" s="530">
        <v>0.10000000000000009</v>
      </c>
      <c r="AS59" s="533">
        <v>2.2729228112435794E-2</v>
      </c>
      <c r="AT59" s="534">
        <v>4.5999999999999996</v>
      </c>
      <c r="AU59" s="530">
        <v>4.9000000000000004</v>
      </c>
      <c r="AV59" s="530">
        <v>0.30000000000000071</v>
      </c>
      <c r="AW59" s="533">
        <v>6.8187684337307486E-2</v>
      </c>
      <c r="AX59" s="534">
        <v>-5.14</v>
      </c>
      <c r="AY59" s="530">
        <v>-5.32</v>
      </c>
      <c r="AZ59" s="530">
        <v>-0.1800000000000006</v>
      </c>
      <c r="BA59" s="530">
        <v>-1.427586</v>
      </c>
      <c r="BB59" s="533">
        <v>-4.0912610602384533E-2</v>
      </c>
      <c r="BC59" s="545"/>
      <c r="BD59" s="545"/>
      <c r="BE59" s="545"/>
      <c r="BF59" s="545"/>
      <c r="BG59" s="545"/>
      <c r="BH59" s="567"/>
      <c r="BI59" s="574" t="s">
        <v>723</v>
      </c>
      <c r="BJ59" s="1">
        <v>1871.3883889700001</v>
      </c>
      <c r="BK59" s="1">
        <v>-3.7242545100000002</v>
      </c>
      <c r="BL59" s="1">
        <v>1566.7464957300001</v>
      </c>
      <c r="BM59" s="1">
        <v>1627.3532734400001</v>
      </c>
      <c r="BN59" s="1">
        <v>3.40475124</v>
      </c>
      <c r="BO59" s="1">
        <v>3.4472593200000001</v>
      </c>
      <c r="BP59" s="1">
        <v>0.27342786000000002</v>
      </c>
      <c r="BQ59" s="1">
        <v>4.3996084</v>
      </c>
      <c r="BR59" s="1">
        <v>4.3876114499999996</v>
      </c>
      <c r="BS59" s="1">
        <v>-1.52533466</v>
      </c>
      <c r="BT59" s="1">
        <v>-1.23309793</v>
      </c>
      <c r="BU59" s="128">
        <v>0.55476347000000004</v>
      </c>
      <c r="BV59" s="512"/>
    </row>
    <row r="60" spans="1:74" s="519" customFormat="1">
      <c r="A60" s="546">
        <v>62006002</v>
      </c>
      <c r="B60" s="543" t="s">
        <v>854</v>
      </c>
      <c r="C60" s="472" t="s">
        <v>699</v>
      </c>
      <c r="D60" s="513" t="s">
        <v>801</v>
      </c>
      <c r="E60" s="524" t="s">
        <v>802</v>
      </c>
      <c r="F60" s="524" t="s">
        <v>708</v>
      </c>
      <c r="G60" s="531">
        <v>25.435386000000001</v>
      </c>
      <c r="H60" s="531">
        <v>36.687691000000001</v>
      </c>
      <c r="I60" s="531">
        <v>29.459251999999999</v>
      </c>
      <c r="J60" s="531">
        <v>31.967233</v>
      </c>
      <c r="K60" s="578">
        <v>4250</v>
      </c>
      <c r="L60" s="578">
        <v>38.71</v>
      </c>
      <c r="M60" s="578">
        <v>3.0499999999999999E-2</v>
      </c>
      <c r="N60" s="578">
        <v>1.4999999999999999E-2</v>
      </c>
      <c r="O60" s="529">
        <v>5.1426668900000001</v>
      </c>
      <c r="P60" s="544">
        <v>81.5</v>
      </c>
      <c r="Q60" s="544">
        <v>80</v>
      </c>
      <c r="R60" s="530">
        <v>8343</v>
      </c>
      <c r="S60" s="530">
        <v>9620</v>
      </c>
      <c r="T60" s="530">
        <v>1277</v>
      </c>
      <c r="U60" s="530">
        <v>248.31474161454</v>
      </c>
      <c r="V60" s="534">
        <v>8343.8671809999996</v>
      </c>
      <c r="W60" s="530">
        <v>9621</v>
      </c>
      <c r="X60" s="530">
        <v>1277.1328190000004</v>
      </c>
      <c r="Y60" s="533">
        <v>248.34056848663599</v>
      </c>
      <c r="Z60" s="534">
        <v>108</v>
      </c>
      <c r="AA60" s="530">
        <v>110</v>
      </c>
      <c r="AB60" s="530">
        <v>2</v>
      </c>
      <c r="AC60" s="533">
        <v>0.3889032758254346</v>
      </c>
      <c r="AD60" s="534">
        <v>7512</v>
      </c>
      <c r="AE60" s="530">
        <v>8751</v>
      </c>
      <c r="AF60" s="530">
        <v>1239</v>
      </c>
      <c r="AG60" s="533">
        <v>240.92557937385675</v>
      </c>
      <c r="AH60" s="534">
        <v>707.4</v>
      </c>
      <c r="AI60" s="530">
        <v>741.4</v>
      </c>
      <c r="AJ60" s="530">
        <v>34</v>
      </c>
      <c r="AK60" s="533">
        <v>6.6113556890323881</v>
      </c>
      <c r="AL60" s="534">
        <v>568.02866700000004</v>
      </c>
      <c r="AM60" s="530">
        <v>595.80823599999997</v>
      </c>
      <c r="AN60" s="530">
        <v>27.779568999999924</v>
      </c>
      <c r="AO60" s="533">
        <v>5.4017826925593315</v>
      </c>
      <c r="AP60" s="534">
        <v>2.4</v>
      </c>
      <c r="AQ60" s="530">
        <v>2.5</v>
      </c>
      <c r="AR60" s="530">
        <v>0.10000000000000009</v>
      </c>
      <c r="AS60" s="533">
        <v>1.9445163791271747E-2</v>
      </c>
      <c r="AT60" s="534">
        <v>4.9000000000000004</v>
      </c>
      <c r="AU60" s="530">
        <v>5.0999999999999996</v>
      </c>
      <c r="AV60" s="530">
        <v>0.19999999999999929</v>
      </c>
      <c r="AW60" s="533">
        <v>3.8890327582543321E-2</v>
      </c>
      <c r="AX60" s="534">
        <v>-5.32</v>
      </c>
      <c r="AY60" s="530">
        <v>-5.45</v>
      </c>
      <c r="AZ60" s="530">
        <v>-0.12999999999999989</v>
      </c>
      <c r="BA60" s="530">
        <v>-1.5005329999999999</v>
      </c>
      <c r="BB60" s="533">
        <v>-2.5278712928653229E-2</v>
      </c>
      <c r="BC60" s="545"/>
      <c r="BD60" s="545"/>
      <c r="BE60" s="545"/>
      <c r="BF60" s="545"/>
      <c r="BG60" s="545"/>
      <c r="BH60" s="567"/>
      <c r="BI60" s="574" t="s">
        <v>723</v>
      </c>
      <c r="BJ60" s="1">
        <v>1574.4312422200001</v>
      </c>
      <c r="BK60" s="1">
        <v>-0.27295809999999998</v>
      </c>
      <c r="BL60" s="1">
        <v>990.68176731999995</v>
      </c>
      <c r="BM60" s="1">
        <v>993.39331483000001</v>
      </c>
      <c r="BN60" s="1">
        <v>4.9204038900000002</v>
      </c>
      <c r="BO60" s="1">
        <v>4.9043650699999999</v>
      </c>
      <c r="BP60" s="1">
        <v>0.26927252000000002</v>
      </c>
      <c r="BQ60" s="1">
        <v>5.1426433300000003</v>
      </c>
      <c r="BR60" s="1">
        <v>5.1288327899999997</v>
      </c>
      <c r="BS60" s="1">
        <v>5.7570870000000003E-2</v>
      </c>
      <c r="BT60" s="1">
        <v>0.32703166</v>
      </c>
      <c r="BU60" s="128">
        <v>0.41214187000000002</v>
      </c>
      <c r="BV60" s="512"/>
    </row>
    <row r="61" spans="1:74" s="519" customFormat="1" ht="22.5">
      <c r="A61" s="546">
        <v>62006003</v>
      </c>
      <c r="B61" s="543" t="s">
        <v>855</v>
      </c>
      <c r="C61" s="472" t="s">
        <v>695</v>
      </c>
      <c r="D61" s="513" t="s">
        <v>804</v>
      </c>
      <c r="E61" s="524" t="s">
        <v>805</v>
      </c>
      <c r="F61" s="524" t="s">
        <v>708</v>
      </c>
      <c r="G61" s="531">
        <v>23.925221000000001</v>
      </c>
      <c r="H61" s="531">
        <v>41.512768999999999</v>
      </c>
      <c r="I61" s="531">
        <v>29.412915000000002</v>
      </c>
      <c r="J61" s="531">
        <v>32.384618000000003</v>
      </c>
      <c r="K61" s="578">
        <v>4250</v>
      </c>
      <c r="L61" s="578">
        <v>38.71</v>
      </c>
      <c r="M61" s="578">
        <v>3.0499999999999999E-2</v>
      </c>
      <c r="N61" s="578">
        <v>1.4999999999999999E-2</v>
      </c>
      <c r="O61" s="529">
        <v>8.0263312399999993</v>
      </c>
      <c r="P61" s="544">
        <v>76.5</v>
      </c>
      <c r="Q61" s="544">
        <v>74.2</v>
      </c>
      <c r="R61" s="530">
        <v>12556</v>
      </c>
      <c r="S61" s="530">
        <v>14512</v>
      </c>
      <c r="T61" s="530">
        <v>1956</v>
      </c>
      <c r="U61" s="530">
        <v>243.69789154129157</v>
      </c>
      <c r="V61" s="534">
        <v>12560</v>
      </c>
      <c r="W61" s="530">
        <v>14516</v>
      </c>
      <c r="X61" s="530">
        <v>1956</v>
      </c>
      <c r="Y61" s="533">
        <v>243.69789154129157</v>
      </c>
      <c r="Z61" s="534">
        <v>117</v>
      </c>
      <c r="AA61" s="530">
        <v>171</v>
      </c>
      <c r="AB61" s="530">
        <v>54</v>
      </c>
      <c r="AC61" s="533">
        <v>6.7278559014466994</v>
      </c>
      <c r="AD61" s="534">
        <v>11461</v>
      </c>
      <c r="AE61" s="530">
        <v>13299</v>
      </c>
      <c r="AF61" s="530">
        <v>1838</v>
      </c>
      <c r="AG61" s="533">
        <v>228.99628049738951</v>
      </c>
      <c r="AH61" s="534">
        <v>957</v>
      </c>
      <c r="AI61" s="530">
        <v>1018</v>
      </c>
      <c r="AJ61" s="530">
        <v>61</v>
      </c>
      <c r="AK61" s="533">
        <v>7.5999853701527531</v>
      </c>
      <c r="AL61" s="534">
        <v>767.58</v>
      </c>
      <c r="AM61" s="530">
        <v>816.96733600000005</v>
      </c>
      <c r="AN61" s="530">
        <v>49.387336000000005</v>
      </c>
      <c r="AO61" s="533">
        <v>6.1531644437839086</v>
      </c>
      <c r="AP61" s="534">
        <v>3.1</v>
      </c>
      <c r="AQ61" s="530">
        <v>3.3</v>
      </c>
      <c r="AR61" s="530">
        <v>0.19999999999999973</v>
      </c>
      <c r="AS61" s="533">
        <v>2.4917984820172927E-2</v>
      </c>
      <c r="AT61" s="534">
        <v>6.5</v>
      </c>
      <c r="AU61" s="530">
        <v>6.9</v>
      </c>
      <c r="AV61" s="530">
        <v>0.40000000000000036</v>
      </c>
      <c r="AW61" s="533">
        <v>4.9835969640345965E-2</v>
      </c>
      <c r="AX61" s="534">
        <v>-6.39</v>
      </c>
      <c r="AY61" s="530">
        <v>-6.63</v>
      </c>
      <c r="AZ61" s="530">
        <v>-0.24000000000000021</v>
      </c>
      <c r="BA61" s="530">
        <v>-1.471473</v>
      </c>
      <c r="BB61" s="533">
        <v>-2.9901581784207581E-2</v>
      </c>
      <c r="BC61" s="545"/>
      <c r="BD61" s="545"/>
      <c r="BE61" s="545"/>
      <c r="BF61" s="545"/>
      <c r="BG61" s="545"/>
      <c r="BH61" s="567"/>
      <c r="BI61" s="574" t="s">
        <v>723</v>
      </c>
      <c r="BJ61" s="1">
        <v>9033.9790521499999</v>
      </c>
      <c r="BK61" s="1">
        <v>-3.383934</v>
      </c>
      <c r="BL61" s="1">
        <v>3477.2943062999998</v>
      </c>
      <c r="BM61" s="1">
        <v>3599.08496625</v>
      </c>
      <c r="BN61" s="1">
        <v>8.9021245400000009</v>
      </c>
      <c r="BO61" s="1">
        <v>8.9942813099999999</v>
      </c>
      <c r="BP61" s="1">
        <v>0.22910902999999999</v>
      </c>
      <c r="BQ61" s="1">
        <v>8.0262991600000007</v>
      </c>
      <c r="BR61" s="1">
        <v>8.00795222</v>
      </c>
      <c r="BS61" s="1">
        <v>-1.26670295</v>
      </c>
      <c r="BT61" s="1">
        <v>-1.02461509</v>
      </c>
      <c r="BU61" s="128">
        <v>0.56585012999999995</v>
      </c>
      <c r="BV61" s="512"/>
    </row>
    <row r="62" spans="1:74" s="519" customFormat="1" ht="22.5">
      <c r="A62" s="546">
        <v>62006003</v>
      </c>
      <c r="B62" s="543" t="s">
        <v>856</v>
      </c>
      <c r="C62" s="472" t="s">
        <v>696</v>
      </c>
      <c r="D62" s="513" t="s">
        <v>804</v>
      </c>
      <c r="E62" s="524" t="s">
        <v>805</v>
      </c>
      <c r="F62" s="524" t="s">
        <v>708</v>
      </c>
      <c r="G62" s="531">
        <v>23.969705000000001</v>
      </c>
      <c r="H62" s="531">
        <v>41.127121000000002</v>
      </c>
      <c r="I62" s="531">
        <v>29.401091999999998</v>
      </c>
      <c r="J62" s="531">
        <v>33.018903999999999</v>
      </c>
      <c r="K62" s="578">
        <v>4250</v>
      </c>
      <c r="L62" s="578">
        <v>38.71</v>
      </c>
      <c r="M62" s="578">
        <v>3.0499999999999999E-2</v>
      </c>
      <c r="N62" s="578">
        <v>1.4999999999999999E-2</v>
      </c>
      <c r="O62" s="529">
        <v>8.0270170099999998</v>
      </c>
      <c r="P62" s="544">
        <v>74.2</v>
      </c>
      <c r="Q62" s="544">
        <v>71.8</v>
      </c>
      <c r="R62" s="530">
        <v>14512</v>
      </c>
      <c r="S62" s="530">
        <v>16455</v>
      </c>
      <c r="T62" s="530">
        <v>1943</v>
      </c>
      <c r="U62" s="530">
        <v>242.05754112386018</v>
      </c>
      <c r="V62" s="534">
        <v>14516</v>
      </c>
      <c r="W62" s="530">
        <v>16461</v>
      </c>
      <c r="X62" s="530">
        <v>1945</v>
      </c>
      <c r="Y62" s="533">
        <v>242.30669968394648</v>
      </c>
      <c r="Z62" s="534">
        <v>171</v>
      </c>
      <c r="AA62" s="530">
        <v>227</v>
      </c>
      <c r="AB62" s="530">
        <v>56</v>
      </c>
      <c r="AC62" s="533">
        <v>6.9764396824169683</v>
      </c>
      <c r="AD62" s="534">
        <v>13299</v>
      </c>
      <c r="AE62" s="530">
        <v>15124</v>
      </c>
      <c r="AF62" s="530">
        <v>1825</v>
      </c>
      <c r="AG62" s="533">
        <v>227.35718607876726</v>
      </c>
      <c r="AH62" s="534">
        <v>1018</v>
      </c>
      <c r="AI62" s="530">
        <v>1079.5</v>
      </c>
      <c r="AJ62" s="530">
        <v>61.5</v>
      </c>
      <c r="AK62" s="533">
        <v>7.6616257226543487</v>
      </c>
      <c r="AL62" s="534">
        <v>816.98725400000001</v>
      </c>
      <c r="AM62" s="530">
        <v>866.866983</v>
      </c>
      <c r="AN62" s="530">
        <v>49.879728999999998</v>
      </c>
      <c r="AO62" s="533">
        <v>6.213980727567936</v>
      </c>
      <c r="AP62" s="534">
        <v>3.3</v>
      </c>
      <c r="AQ62" s="530">
        <v>3.4</v>
      </c>
      <c r="AR62" s="530">
        <v>0.10000000000000009</v>
      </c>
      <c r="AS62" s="533">
        <v>1.2457928004316025E-2</v>
      </c>
      <c r="AT62" s="534">
        <v>6.9</v>
      </c>
      <c r="AU62" s="530">
        <v>7.2</v>
      </c>
      <c r="AV62" s="530">
        <v>0.29999999999999982</v>
      </c>
      <c r="AW62" s="533">
        <v>3.7373784012948025E-2</v>
      </c>
      <c r="AX62" s="534">
        <v>-6.63</v>
      </c>
      <c r="AY62" s="530">
        <v>-6.87</v>
      </c>
      <c r="AZ62" s="530">
        <v>-0.24000000000000021</v>
      </c>
      <c r="BA62" s="530">
        <v>-1.464378</v>
      </c>
      <c r="BB62" s="533">
        <v>-2.9899027210358461E-2</v>
      </c>
      <c r="BC62" s="545"/>
      <c r="BD62" s="545"/>
      <c r="BE62" s="545"/>
      <c r="BF62" s="545"/>
      <c r="BG62" s="545"/>
      <c r="BH62" s="567"/>
      <c r="BI62" s="574" t="s">
        <v>723</v>
      </c>
      <c r="BJ62" s="1">
        <v>9045.3353809500004</v>
      </c>
      <c r="BK62" s="1">
        <v>-3.3208159099999999</v>
      </c>
      <c r="BL62" s="1">
        <v>3479.4374653300001</v>
      </c>
      <c r="BM62" s="1">
        <v>3598.9520369900001</v>
      </c>
      <c r="BN62" s="1">
        <v>8.9003013099999997</v>
      </c>
      <c r="BO62" s="1">
        <v>8.9941840400000004</v>
      </c>
      <c r="BP62" s="1">
        <v>0.23758853999999999</v>
      </c>
      <c r="BQ62" s="1">
        <v>8.0269794799999996</v>
      </c>
      <c r="BR62" s="1">
        <v>8.0079534999999993</v>
      </c>
      <c r="BS62" s="1">
        <v>-1.2949210900000001</v>
      </c>
      <c r="BT62" s="1">
        <v>-1.0438159499999999</v>
      </c>
      <c r="BU62" s="128">
        <v>0.56581985000000001</v>
      </c>
      <c r="BV62" s="512"/>
    </row>
    <row r="63" spans="1:74" s="519" customFormat="1" ht="22.5">
      <c r="A63" s="546">
        <v>62006003</v>
      </c>
      <c r="B63" s="543" t="s">
        <v>857</v>
      </c>
      <c r="C63" s="472" t="s">
        <v>697</v>
      </c>
      <c r="D63" s="513" t="s">
        <v>804</v>
      </c>
      <c r="E63" s="524" t="s">
        <v>805</v>
      </c>
      <c r="F63" s="524" t="s">
        <v>708</v>
      </c>
      <c r="G63" s="531">
        <v>23.944330000000001</v>
      </c>
      <c r="H63" s="531">
        <v>41.283338999999998</v>
      </c>
      <c r="I63" s="531">
        <v>29.3978</v>
      </c>
      <c r="J63" s="531">
        <v>33.374768000000003</v>
      </c>
      <c r="K63" s="578">
        <v>4250</v>
      </c>
      <c r="L63" s="578">
        <v>38.71</v>
      </c>
      <c r="M63" s="578">
        <v>3.0499999999999999E-2</v>
      </c>
      <c r="N63" s="578">
        <v>1.4999999999999999E-2</v>
      </c>
      <c r="O63" s="529">
        <v>8.0260105999999993</v>
      </c>
      <c r="P63" s="544">
        <v>71.8</v>
      </c>
      <c r="Q63" s="544">
        <v>69.400000000000006</v>
      </c>
      <c r="R63" s="530">
        <v>16455</v>
      </c>
      <c r="S63" s="530">
        <v>18393</v>
      </c>
      <c r="T63" s="530">
        <v>1938</v>
      </c>
      <c r="U63" s="530">
        <v>241.46491907199825</v>
      </c>
      <c r="V63" s="534">
        <v>16461</v>
      </c>
      <c r="W63" s="530">
        <v>18399</v>
      </c>
      <c r="X63" s="530">
        <v>1938</v>
      </c>
      <c r="Y63" s="533">
        <v>241.46491907199825</v>
      </c>
      <c r="Z63" s="534">
        <v>227</v>
      </c>
      <c r="AA63" s="530">
        <v>282</v>
      </c>
      <c r="AB63" s="530">
        <v>55</v>
      </c>
      <c r="AC63" s="533">
        <v>6.8527195815066584</v>
      </c>
      <c r="AD63" s="534">
        <v>15124</v>
      </c>
      <c r="AE63" s="530">
        <v>16943</v>
      </c>
      <c r="AF63" s="530">
        <v>1819</v>
      </c>
      <c r="AG63" s="533">
        <v>226.63812579564748</v>
      </c>
      <c r="AH63" s="534">
        <v>1079.5</v>
      </c>
      <c r="AI63" s="530">
        <v>1141.2</v>
      </c>
      <c r="AJ63" s="530">
        <v>61.700000000000045</v>
      </c>
      <c r="AK63" s="533">
        <v>7.6875054214356568</v>
      </c>
      <c r="AL63" s="534">
        <v>866.87710400000003</v>
      </c>
      <c r="AM63" s="530">
        <v>916.96754899999996</v>
      </c>
      <c r="AN63" s="530">
        <v>50.090444999999931</v>
      </c>
      <c r="AO63" s="533">
        <v>6.2410140599614881</v>
      </c>
      <c r="AP63" s="534">
        <v>3.4</v>
      </c>
      <c r="AQ63" s="530">
        <v>3.5</v>
      </c>
      <c r="AR63" s="530">
        <v>0.10000000000000009</v>
      </c>
      <c r="AS63" s="533">
        <v>1.2459490148193935E-2</v>
      </c>
      <c r="AT63" s="534">
        <v>7.2</v>
      </c>
      <c r="AU63" s="530">
        <v>7.6</v>
      </c>
      <c r="AV63" s="530">
        <v>0.39999999999999947</v>
      </c>
      <c r="AW63" s="533">
        <v>4.9837960592775635E-2</v>
      </c>
      <c r="AX63" s="534">
        <v>-6.87</v>
      </c>
      <c r="AY63" s="530">
        <v>-7.12</v>
      </c>
      <c r="AZ63" s="530">
        <v>-0.25</v>
      </c>
      <c r="BA63" s="530">
        <v>-1.462774</v>
      </c>
      <c r="BB63" s="533">
        <v>-3.1148725370484812E-2</v>
      </c>
      <c r="BC63" s="545"/>
      <c r="BD63" s="545"/>
      <c r="BE63" s="545"/>
      <c r="BF63" s="545"/>
      <c r="BG63" s="545"/>
      <c r="BH63" s="567"/>
      <c r="BI63" s="574" t="s">
        <v>723</v>
      </c>
      <c r="BJ63" s="1">
        <v>9045.4537954900006</v>
      </c>
      <c r="BK63" s="1">
        <v>-3.3638780100000001</v>
      </c>
      <c r="BL63" s="1">
        <v>3477.9322294200001</v>
      </c>
      <c r="BM63" s="1">
        <v>3598.9981363299999</v>
      </c>
      <c r="BN63" s="1">
        <v>8.9008994799999996</v>
      </c>
      <c r="BO63" s="1">
        <v>8.9941913899999992</v>
      </c>
      <c r="BP63" s="1">
        <v>0.22516774000000001</v>
      </c>
      <c r="BQ63" s="1">
        <v>8.0259817299999998</v>
      </c>
      <c r="BR63" s="1">
        <v>8.0079504099999994</v>
      </c>
      <c r="BS63" s="1">
        <v>-1.2756455600000001</v>
      </c>
      <c r="BT63" s="1">
        <v>-1.03724623</v>
      </c>
      <c r="BU63" s="128">
        <v>0.56583357000000001</v>
      </c>
      <c r="BV63" s="512"/>
    </row>
    <row r="64" spans="1:74" s="519" customFormat="1" ht="22.5">
      <c r="A64" s="546">
        <v>62006003</v>
      </c>
      <c r="B64" s="543" t="s">
        <v>858</v>
      </c>
      <c r="C64" s="472" t="s">
        <v>699</v>
      </c>
      <c r="D64" s="513" t="s">
        <v>804</v>
      </c>
      <c r="E64" s="524" t="s">
        <v>805</v>
      </c>
      <c r="F64" s="524" t="s">
        <v>708</v>
      </c>
      <c r="G64" s="531">
        <v>23.954315999999999</v>
      </c>
      <c r="H64" s="531">
        <v>41.571196</v>
      </c>
      <c r="I64" s="531">
        <v>29.394881000000002</v>
      </c>
      <c r="J64" s="531">
        <v>33.570684999999997</v>
      </c>
      <c r="K64" s="578">
        <v>4250</v>
      </c>
      <c r="L64" s="578">
        <v>38.71</v>
      </c>
      <c r="M64" s="578">
        <v>3.0499999999999999E-2</v>
      </c>
      <c r="N64" s="578">
        <v>1.4999999999999999E-2</v>
      </c>
      <c r="O64" s="529">
        <v>8.0267481000000007</v>
      </c>
      <c r="P64" s="544">
        <v>69.400000000000006</v>
      </c>
      <c r="Q64" s="544">
        <v>67</v>
      </c>
      <c r="R64" s="530">
        <v>18393</v>
      </c>
      <c r="S64" s="530">
        <v>20328</v>
      </c>
      <c r="T64" s="530">
        <v>1935</v>
      </c>
      <c r="U64" s="530">
        <v>241.06898284250377</v>
      </c>
      <c r="V64" s="534">
        <v>18399</v>
      </c>
      <c r="W64" s="530">
        <v>20334</v>
      </c>
      <c r="X64" s="530">
        <v>1935</v>
      </c>
      <c r="Y64" s="533">
        <v>241.06898284250377</v>
      </c>
      <c r="Z64" s="534">
        <v>282</v>
      </c>
      <c r="AA64" s="530">
        <v>335</v>
      </c>
      <c r="AB64" s="530">
        <v>53</v>
      </c>
      <c r="AC64" s="533">
        <v>6.6029230442649611</v>
      </c>
      <c r="AD64" s="534">
        <v>16943</v>
      </c>
      <c r="AE64" s="530">
        <v>18760</v>
      </c>
      <c r="AF64" s="530">
        <v>1817</v>
      </c>
      <c r="AG64" s="533">
        <v>226.36813530998933</v>
      </c>
      <c r="AH64" s="534">
        <v>1141.2</v>
      </c>
      <c r="AI64" s="530">
        <v>1203.186539</v>
      </c>
      <c r="AJ64" s="530">
        <v>61.986538999999993</v>
      </c>
      <c r="AK64" s="533">
        <v>7.7224971093835606</v>
      </c>
      <c r="AL64" s="534">
        <v>916.98663099999999</v>
      </c>
      <c r="AM64" s="530">
        <v>967.33730800000001</v>
      </c>
      <c r="AN64" s="530">
        <v>50.350677000000019</v>
      </c>
      <c r="AO64" s="533">
        <v>6.2728612350498469</v>
      </c>
      <c r="AP64" s="534">
        <v>3.5</v>
      </c>
      <c r="AQ64" s="530">
        <v>3.6</v>
      </c>
      <c r="AR64" s="530">
        <v>0.10000000000000009</v>
      </c>
      <c r="AS64" s="533">
        <v>1.2458345366537674E-2</v>
      </c>
      <c r="AT64" s="534">
        <v>7.6</v>
      </c>
      <c r="AU64" s="530">
        <v>8</v>
      </c>
      <c r="AV64" s="530">
        <v>0.40000000000000036</v>
      </c>
      <c r="AW64" s="533">
        <v>4.9833381466150697E-2</v>
      </c>
      <c r="AX64" s="534">
        <v>-7.12</v>
      </c>
      <c r="AY64" s="530">
        <v>-7.36</v>
      </c>
      <c r="AZ64" s="530">
        <v>-0.24000000000000021</v>
      </c>
      <c r="BA64" s="530">
        <v>-1.4553510000000001</v>
      </c>
      <c r="BB64" s="533">
        <v>-2.9900028879690416E-2</v>
      </c>
      <c r="BC64" s="545"/>
      <c r="BD64" s="545"/>
      <c r="BE64" s="545"/>
      <c r="BF64" s="545"/>
      <c r="BG64" s="545"/>
      <c r="BH64" s="567"/>
      <c r="BI64" s="574" t="s">
        <v>723</v>
      </c>
      <c r="BJ64" s="1">
        <v>9041.9589358600006</v>
      </c>
      <c r="BK64" s="1">
        <v>-3.3634276500000002</v>
      </c>
      <c r="BL64" s="1">
        <v>3477.7428411300002</v>
      </c>
      <c r="BM64" s="1">
        <v>3598.78538381</v>
      </c>
      <c r="BN64" s="1">
        <v>8.9012662799999998</v>
      </c>
      <c r="BO64" s="1">
        <v>8.9938842300000008</v>
      </c>
      <c r="BP64" s="1">
        <v>0.23460671</v>
      </c>
      <c r="BQ64" s="1">
        <v>8.0267404100000004</v>
      </c>
      <c r="BR64" s="1">
        <v>8.0079532100000002</v>
      </c>
      <c r="BS64" s="1">
        <v>-1.2775509199999999</v>
      </c>
      <c r="BT64" s="1">
        <v>-1.02978814</v>
      </c>
      <c r="BU64" s="128">
        <v>0.56579307999999995</v>
      </c>
      <c r="BV64" s="512"/>
    </row>
    <row r="65" spans="1:74" s="519" customFormat="1" ht="22.5">
      <c r="A65" s="546">
        <v>62006003</v>
      </c>
      <c r="B65" s="543" t="s">
        <v>859</v>
      </c>
      <c r="C65" s="472" t="s">
        <v>700</v>
      </c>
      <c r="D65" s="513" t="s">
        <v>804</v>
      </c>
      <c r="E65" s="524" t="s">
        <v>805</v>
      </c>
      <c r="F65" s="524" t="s">
        <v>708</v>
      </c>
      <c r="G65" s="531">
        <v>23.992543999999999</v>
      </c>
      <c r="H65" s="531">
        <v>41.656098999999998</v>
      </c>
      <c r="I65" s="531">
        <v>29.393567000000001</v>
      </c>
      <c r="J65" s="531">
        <v>33.629916000000001</v>
      </c>
      <c r="K65" s="578">
        <v>4250</v>
      </c>
      <c r="L65" s="578">
        <v>38.71</v>
      </c>
      <c r="M65" s="578">
        <v>3.0499999999999999E-2</v>
      </c>
      <c r="N65" s="578">
        <v>1.4999999999999999E-2</v>
      </c>
      <c r="O65" s="529">
        <v>8.0259673500000002</v>
      </c>
      <c r="P65" s="544">
        <v>67</v>
      </c>
      <c r="Q65" s="544">
        <v>64.599999999999994</v>
      </c>
      <c r="R65" s="530">
        <v>20328</v>
      </c>
      <c r="S65" s="530">
        <v>22262</v>
      </c>
      <c r="T65" s="530">
        <v>1934</v>
      </c>
      <c r="U65" s="530">
        <v>240.96783797656491</v>
      </c>
      <c r="V65" s="534">
        <v>20334</v>
      </c>
      <c r="W65" s="530">
        <v>22267</v>
      </c>
      <c r="X65" s="530">
        <v>1933</v>
      </c>
      <c r="Y65" s="533">
        <v>240.84324240367113</v>
      </c>
      <c r="Z65" s="534">
        <v>335</v>
      </c>
      <c r="AA65" s="530">
        <v>390</v>
      </c>
      <c r="AB65" s="530">
        <v>55</v>
      </c>
      <c r="AC65" s="533">
        <v>6.8527565091577403</v>
      </c>
      <c r="AD65" s="534">
        <v>18760</v>
      </c>
      <c r="AE65" s="530">
        <v>20575</v>
      </c>
      <c r="AF65" s="530">
        <v>1815</v>
      </c>
      <c r="AG65" s="533">
        <v>226.14096480220542</v>
      </c>
      <c r="AH65" s="534">
        <v>1203.2</v>
      </c>
      <c r="AI65" s="530">
        <v>1265</v>
      </c>
      <c r="AJ65" s="530">
        <v>61.799999999999955</v>
      </c>
      <c r="AK65" s="533">
        <v>7.7000064048354186</v>
      </c>
      <c r="AL65" s="534">
        <v>967.36</v>
      </c>
      <c r="AM65" s="530">
        <v>1017.64</v>
      </c>
      <c r="AN65" s="530">
        <v>50.279999999999973</v>
      </c>
      <c r="AO65" s="533">
        <v>6.2646654050991089</v>
      </c>
      <c r="AP65" s="534">
        <v>3.6</v>
      </c>
      <c r="AQ65" s="530">
        <v>3.7</v>
      </c>
      <c r="AR65" s="530">
        <v>0.10000000000000009</v>
      </c>
      <c r="AS65" s="533">
        <v>1.2459557289377721E-2</v>
      </c>
      <c r="AT65" s="534">
        <v>8</v>
      </c>
      <c r="AU65" s="530">
        <v>8.3000000000000007</v>
      </c>
      <c r="AV65" s="530">
        <v>0.30000000000000071</v>
      </c>
      <c r="AW65" s="533">
        <v>3.737867186813322E-2</v>
      </c>
      <c r="AX65" s="534">
        <v>-7.36</v>
      </c>
      <c r="AY65" s="530">
        <v>-7.61</v>
      </c>
      <c r="AZ65" s="530">
        <v>-0.25</v>
      </c>
      <c r="BA65" s="530">
        <v>-1.485751</v>
      </c>
      <c r="BB65" s="533">
        <v>-3.1148893223444274E-2</v>
      </c>
      <c r="BC65" s="545"/>
      <c r="BD65" s="545"/>
      <c r="BE65" s="545"/>
      <c r="BF65" s="545"/>
      <c r="BG65" s="545"/>
      <c r="BH65" s="567"/>
      <c r="BI65" s="574" t="s">
        <v>723</v>
      </c>
      <c r="BJ65" s="1">
        <v>9042.9108463499997</v>
      </c>
      <c r="BK65" s="1">
        <v>-3.3552146500000002</v>
      </c>
      <c r="BL65" s="1">
        <v>3478.12721779</v>
      </c>
      <c r="BM65" s="1">
        <v>3598.8772753100002</v>
      </c>
      <c r="BN65" s="1">
        <v>8.9031063100000001</v>
      </c>
      <c r="BO65" s="1">
        <v>8.9940087799999997</v>
      </c>
      <c r="BP65" s="1">
        <v>0.22453258000000001</v>
      </c>
      <c r="BQ65" s="1">
        <v>8.0259319500000004</v>
      </c>
      <c r="BR65" s="1">
        <v>8.0079514899999999</v>
      </c>
      <c r="BS65" s="1">
        <v>-1.2478448200000001</v>
      </c>
      <c r="BT65" s="1">
        <v>-1.0107002700000001</v>
      </c>
      <c r="BU65" s="128">
        <v>0.56581506999999998</v>
      </c>
      <c r="BV65" s="512"/>
    </row>
    <row r="66" spans="1:74" s="519" customFormat="1" ht="22.5">
      <c r="A66" s="546">
        <v>62006003</v>
      </c>
      <c r="B66" s="543" t="s">
        <v>860</v>
      </c>
      <c r="C66" s="472" t="s">
        <v>702</v>
      </c>
      <c r="D66" s="513" t="s">
        <v>804</v>
      </c>
      <c r="E66" s="524" t="s">
        <v>805</v>
      </c>
      <c r="F66" s="524" t="s">
        <v>708</v>
      </c>
      <c r="G66" s="531">
        <v>24.00309</v>
      </c>
      <c r="H66" s="531">
        <v>41.633380000000002</v>
      </c>
      <c r="I66" s="531">
        <v>29.389367</v>
      </c>
      <c r="J66" s="531">
        <v>33.664057999999997</v>
      </c>
      <c r="K66" s="578">
        <v>4250</v>
      </c>
      <c r="L66" s="578">
        <v>38.71</v>
      </c>
      <c r="M66" s="578">
        <v>3.0499999999999999E-2</v>
      </c>
      <c r="N66" s="578">
        <v>1.4999999999999999E-2</v>
      </c>
      <c r="O66" s="529">
        <v>8.0268903799999993</v>
      </c>
      <c r="P66" s="544">
        <v>64.599999999999994</v>
      </c>
      <c r="Q66" s="544">
        <v>62.2</v>
      </c>
      <c r="R66" s="530">
        <v>22262</v>
      </c>
      <c r="S66" s="530">
        <v>24193</v>
      </c>
      <c r="T66" s="530">
        <v>1931</v>
      </c>
      <c r="U66" s="530">
        <v>240.56638481214691</v>
      </c>
      <c r="V66" s="534">
        <v>22267</v>
      </c>
      <c r="W66" s="530">
        <v>24199</v>
      </c>
      <c r="X66" s="530">
        <v>1932</v>
      </c>
      <c r="Y66" s="533">
        <v>240.6909660575183</v>
      </c>
      <c r="Z66" s="534">
        <v>390</v>
      </c>
      <c r="AA66" s="530">
        <v>444</v>
      </c>
      <c r="AB66" s="530">
        <v>54</v>
      </c>
      <c r="AC66" s="533">
        <v>6.7273872500548597</v>
      </c>
      <c r="AD66" s="534">
        <v>20575</v>
      </c>
      <c r="AE66" s="530">
        <v>22388</v>
      </c>
      <c r="AF66" s="530">
        <v>1813</v>
      </c>
      <c r="AG66" s="533">
        <v>225.86579785832333</v>
      </c>
      <c r="AH66" s="534">
        <v>1265.0999999999999</v>
      </c>
      <c r="AI66" s="530">
        <v>1326.7</v>
      </c>
      <c r="AJ66" s="530">
        <v>61.600000000000136</v>
      </c>
      <c r="AK66" s="533">
        <v>7.674204714877412</v>
      </c>
      <c r="AL66" s="534">
        <v>1017.655996</v>
      </c>
      <c r="AM66" s="530">
        <v>1067.795672</v>
      </c>
      <c r="AN66" s="530">
        <v>50.139676000000009</v>
      </c>
      <c r="AO66" s="533">
        <v>6.2464632785978091</v>
      </c>
      <c r="AP66" s="534">
        <v>3.7</v>
      </c>
      <c r="AQ66" s="530">
        <v>3.9</v>
      </c>
      <c r="AR66" s="530">
        <v>0.19999999999999973</v>
      </c>
      <c r="AS66" s="533">
        <v>2.4916249074277225E-2</v>
      </c>
      <c r="AT66" s="534">
        <v>8.3000000000000007</v>
      </c>
      <c r="AU66" s="530">
        <v>8.6</v>
      </c>
      <c r="AV66" s="530">
        <v>0.29999999999999893</v>
      </c>
      <c r="AW66" s="533">
        <v>3.7374373611415754E-2</v>
      </c>
      <c r="AX66" s="534">
        <v>-7.61</v>
      </c>
      <c r="AY66" s="530">
        <v>-7.85</v>
      </c>
      <c r="AZ66" s="530">
        <v>-0.23999999999999932</v>
      </c>
      <c r="BA66" s="530">
        <v>-1.4479709999999999</v>
      </c>
      <c r="BB66" s="533">
        <v>-2.9899498889132625E-2</v>
      </c>
      <c r="BC66" s="545"/>
      <c r="BD66" s="545"/>
      <c r="BE66" s="545"/>
      <c r="BF66" s="545"/>
      <c r="BG66" s="545"/>
      <c r="BH66" s="567"/>
      <c r="BI66" s="574" t="s">
        <v>723</v>
      </c>
      <c r="BJ66" s="1">
        <v>9040.0734434799997</v>
      </c>
      <c r="BK66" s="1">
        <v>-3.3061765699999999</v>
      </c>
      <c r="BL66" s="1">
        <v>3479.76987203</v>
      </c>
      <c r="BM66" s="1">
        <v>3598.7509321900002</v>
      </c>
      <c r="BN66" s="1">
        <v>8.9054960100000002</v>
      </c>
      <c r="BO66" s="1">
        <v>8.9938272399999999</v>
      </c>
      <c r="BP66" s="1">
        <v>0.23603739000000001</v>
      </c>
      <c r="BQ66" s="1">
        <v>8.02685447</v>
      </c>
      <c r="BR66" s="1">
        <v>8.0079527099999996</v>
      </c>
      <c r="BS66" s="1">
        <v>-1.23025176</v>
      </c>
      <c r="BT66" s="1">
        <v>-0.98213167999999995</v>
      </c>
      <c r="BU66" s="128">
        <v>0.56578963000000004</v>
      </c>
      <c r="BV66" s="512"/>
    </row>
    <row r="67" spans="1:74" s="519" customFormat="1" ht="22.5">
      <c r="A67" s="546">
        <v>62006003</v>
      </c>
      <c r="B67" s="543" t="s">
        <v>861</v>
      </c>
      <c r="C67" s="472" t="s">
        <v>705</v>
      </c>
      <c r="D67" s="513" t="s">
        <v>804</v>
      </c>
      <c r="E67" s="524" t="s">
        <v>805</v>
      </c>
      <c r="F67" s="524" t="s">
        <v>708</v>
      </c>
      <c r="G67" s="531">
        <v>24.002912999999999</v>
      </c>
      <c r="H67" s="531">
        <v>41.694273000000003</v>
      </c>
      <c r="I67" s="531">
        <v>29.385003999999999</v>
      </c>
      <c r="J67" s="531">
        <v>33.721806999999998</v>
      </c>
      <c r="K67" s="578">
        <v>4250</v>
      </c>
      <c r="L67" s="578">
        <v>38.71</v>
      </c>
      <c r="M67" s="578">
        <v>3.0499999999999999E-2</v>
      </c>
      <c r="N67" s="578">
        <v>1.4999999999999999E-2</v>
      </c>
      <c r="O67" s="529">
        <v>8.0259998499999998</v>
      </c>
      <c r="P67" s="544">
        <v>62.2</v>
      </c>
      <c r="Q67" s="544">
        <v>59.8</v>
      </c>
      <c r="R67" s="530">
        <v>24193</v>
      </c>
      <c r="S67" s="530">
        <v>26124</v>
      </c>
      <c r="T67" s="530">
        <v>1931</v>
      </c>
      <c r="U67" s="530">
        <v>240.59307701083497</v>
      </c>
      <c r="V67" s="534">
        <v>24199</v>
      </c>
      <c r="W67" s="530">
        <v>26131</v>
      </c>
      <c r="X67" s="530">
        <v>1932</v>
      </c>
      <c r="Y67" s="533">
        <v>240.71767207919896</v>
      </c>
      <c r="Z67" s="534">
        <v>444</v>
      </c>
      <c r="AA67" s="530">
        <v>499</v>
      </c>
      <c r="AB67" s="530">
        <v>55</v>
      </c>
      <c r="AC67" s="533">
        <v>6.8527287600186035</v>
      </c>
      <c r="AD67" s="534">
        <v>22388</v>
      </c>
      <c r="AE67" s="530">
        <v>24201</v>
      </c>
      <c r="AF67" s="530">
        <v>1813</v>
      </c>
      <c r="AG67" s="533">
        <v>225.89085894388597</v>
      </c>
      <c r="AH67" s="534">
        <v>1326.7</v>
      </c>
      <c r="AI67" s="530">
        <v>1388.2536709999999</v>
      </c>
      <c r="AJ67" s="530">
        <v>61.553670999999895</v>
      </c>
      <c r="AK67" s="533">
        <v>7.6692838462985886</v>
      </c>
      <c r="AL67" s="534">
        <v>1067.815666</v>
      </c>
      <c r="AM67" s="530">
        <v>1117.82</v>
      </c>
      <c r="AN67" s="530">
        <v>50.004333999999972</v>
      </c>
      <c r="AO67" s="533">
        <v>6.2302934132250165</v>
      </c>
      <c r="AP67" s="534">
        <v>3.9</v>
      </c>
      <c r="AQ67" s="530">
        <v>4</v>
      </c>
      <c r="AR67" s="530">
        <v>0.10000000000000009</v>
      </c>
      <c r="AS67" s="533">
        <v>1.2459506836397473E-2</v>
      </c>
      <c r="AT67" s="534">
        <v>8.6</v>
      </c>
      <c r="AU67" s="530">
        <v>9</v>
      </c>
      <c r="AV67" s="530">
        <v>0.40000000000000036</v>
      </c>
      <c r="AW67" s="533">
        <v>4.983802734558989E-2</v>
      </c>
      <c r="AX67" s="534">
        <v>-7.85</v>
      </c>
      <c r="AY67" s="530">
        <v>-8.1</v>
      </c>
      <c r="AZ67" s="530">
        <v>-0.25</v>
      </c>
      <c r="BA67" s="530">
        <v>-1.4774130000000001</v>
      </c>
      <c r="BB67" s="533">
        <v>-3.1148767090993654E-2</v>
      </c>
      <c r="BC67" s="545"/>
      <c r="BD67" s="545"/>
      <c r="BE67" s="545"/>
      <c r="BF67" s="545"/>
      <c r="BG67" s="545"/>
      <c r="BH67" s="567"/>
      <c r="BI67" s="574" t="s">
        <v>723</v>
      </c>
      <c r="BJ67" s="1">
        <v>9040.4707123600001</v>
      </c>
      <c r="BK67" s="1">
        <v>-3.3696382300000001</v>
      </c>
      <c r="BL67" s="1">
        <v>3477.46606858</v>
      </c>
      <c r="BM67" s="1">
        <v>3598.7302592599999</v>
      </c>
      <c r="BN67" s="1">
        <v>8.9058009800000004</v>
      </c>
      <c r="BO67" s="1">
        <v>8.9937715699999998</v>
      </c>
      <c r="BP67" s="1">
        <v>0.22521337999999999</v>
      </c>
      <c r="BQ67" s="1">
        <v>8.0259865500000007</v>
      </c>
      <c r="BR67" s="1">
        <v>8.0079515699999995</v>
      </c>
      <c r="BS67" s="1">
        <v>-1.21522777</v>
      </c>
      <c r="BT67" s="1">
        <v>-0.97812790999999999</v>
      </c>
      <c r="BU67" s="128">
        <v>0.56578432999999995</v>
      </c>
      <c r="BV67" s="512"/>
    </row>
    <row r="68" spans="1:74" s="519" customFormat="1" ht="22.5">
      <c r="A68" s="546">
        <v>62006003</v>
      </c>
      <c r="B68" s="543" t="s">
        <v>862</v>
      </c>
      <c r="C68" s="472" t="s">
        <v>788</v>
      </c>
      <c r="D68" s="513" t="s">
        <v>804</v>
      </c>
      <c r="E68" s="524" t="s">
        <v>805</v>
      </c>
      <c r="F68" s="524" t="s">
        <v>708</v>
      </c>
      <c r="G68" s="531">
        <v>20.874037999999999</v>
      </c>
      <c r="H68" s="531">
        <v>49.715049999999998</v>
      </c>
      <c r="I68" s="531">
        <v>29.380064999999998</v>
      </c>
      <c r="J68" s="531">
        <v>35.41592</v>
      </c>
      <c r="K68" s="578">
        <v>4250</v>
      </c>
      <c r="L68" s="578">
        <v>38.71</v>
      </c>
      <c r="M68" s="578">
        <v>3.0499999999999999E-2</v>
      </c>
      <c r="N68" s="578">
        <v>1.4999999999999999E-2</v>
      </c>
      <c r="O68" s="529">
        <v>0</v>
      </c>
      <c r="P68" s="544">
        <v>59.8</v>
      </c>
      <c r="Q68" s="544">
        <v>59.8</v>
      </c>
      <c r="R68" s="530">
        <v>26124</v>
      </c>
      <c r="S68" s="530">
        <v>26125</v>
      </c>
      <c r="T68" s="530">
        <v>1</v>
      </c>
      <c r="U68" s="530" t="e">
        <v>#DIV/0!</v>
      </c>
      <c r="V68" s="534">
        <v>26131</v>
      </c>
      <c r="W68" s="530">
        <v>26131</v>
      </c>
      <c r="X68" s="530">
        <v>0</v>
      </c>
      <c r="Y68" s="533" t="e">
        <v>#DIV/0!</v>
      </c>
      <c r="Z68" s="534">
        <v>499</v>
      </c>
      <c r="AA68" s="530">
        <v>499</v>
      </c>
      <c r="AB68" s="530">
        <v>0</v>
      </c>
      <c r="AC68" s="533" t="e">
        <v>#DIV/0!</v>
      </c>
      <c r="AD68" s="534">
        <v>24201</v>
      </c>
      <c r="AE68" s="530">
        <v>24201</v>
      </c>
      <c r="AF68" s="530">
        <v>0</v>
      </c>
      <c r="AG68" s="533" t="e">
        <v>#DIV/0!</v>
      </c>
      <c r="AH68" s="534">
        <v>1388.3</v>
      </c>
      <c r="AI68" s="530">
        <v>1388.4</v>
      </c>
      <c r="AJ68" s="530">
        <v>0.10000000000013642</v>
      </c>
      <c r="AK68" s="533" t="e">
        <v>#DIV/0!</v>
      </c>
      <c r="AL68" s="534">
        <v>1117.8399999999999</v>
      </c>
      <c r="AM68" s="530">
        <v>1117.96</v>
      </c>
      <c r="AN68" s="530">
        <v>0.12000000000011823</v>
      </c>
      <c r="AO68" s="533" t="e">
        <v>#DIV/0!</v>
      </c>
      <c r="AP68" s="534">
        <v>4</v>
      </c>
      <c r="AQ68" s="530">
        <v>4</v>
      </c>
      <c r="AR68" s="530">
        <v>0</v>
      </c>
      <c r="AS68" s="533" t="e">
        <v>#DIV/0!</v>
      </c>
      <c r="AT68" s="534">
        <v>9</v>
      </c>
      <c r="AU68" s="530">
        <v>9</v>
      </c>
      <c r="AV68" s="530">
        <v>0</v>
      </c>
      <c r="AW68" s="533" t="e">
        <v>#DIV/0!</v>
      </c>
      <c r="AX68" s="534">
        <v>-8.1</v>
      </c>
      <c r="AY68" s="530">
        <v>-8.1</v>
      </c>
      <c r="AZ68" s="530">
        <v>0</v>
      </c>
      <c r="BA68" s="530">
        <v>-1.234064</v>
      </c>
      <c r="BB68" s="533" t="e">
        <v>#DIV/0!</v>
      </c>
      <c r="BC68" s="545"/>
      <c r="BD68" s="545"/>
      <c r="BE68" s="545"/>
      <c r="BF68" s="545"/>
      <c r="BG68" s="545"/>
      <c r="BH68" s="567"/>
      <c r="BI68" s="574" t="s">
        <v>723</v>
      </c>
      <c r="BJ68" s="1"/>
      <c r="BK68" s="1"/>
      <c r="BL68" s="1"/>
      <c r="BM68" s="1"/>
      <c r="BN68" s="1"/>
      <c r="BO68" s="1"/>
      <c r="BP68" s="1"/>
      <c r="BQ68" s="1"/>
      <c r="BR68" s="1"/>
      <c r="BS68" s="1"/>
      <c r="BT68" s="1"/>
      <c r="BU68" s="128"/>
      <c r="BV68" s="512"/>
    </row>
    <row r="69" spans="1:74" s="519" customFormat="1">
      <c r="A69" s="546">
        <v>62006004</v>
      </c>
      <c r="B69" s="543" t="s">
        <v>907</v>
      </c>
      <c r="C69" s="543" t="s">
        <v>695</v>
      </c>
      <c r="D69" s="513" t="s">
        <v>918</v>
      </c>
      <c r="E69" s="524" t="s">
        <v>919</v>
      </c>
      <c r="F69" s="524" t="s">
        <v>708</v>
      </c>
      <c r="G69" s="531">
        <v>350.23542600000002</v>
      </c>
      <c r="H69" s="531">
        <v>549.03088300000002</v>
      </c>
      <c r="I69" s="531">
        <v>326.833822</v>
      </c>
      <c r="J69" s="531">
        <v>339.862798</v>
      </c>
      <c r="K69" s="578">
        <v>4250</v>
      </c>
      <c r="L69" s="578">
        <v>38.71</v>
      </c>
      <c r="M69" s="578">
        <v>3.0499999999999999E-2</v>
      </c>
      <c r="N69" s="578">
        <v>1.4999999999999999E-2</v>
      </c>
      <c r="O69" s="529">
        <v>3.51572E-3</v>
      </c>
      <c r="P69" s="544">
        <v>61.199992000000002</v>
      </c>
      <c r="Q69" s="544">
        <v>99.8</v>
      </c>
      <c r="R69" s="530">
        <v>5</v>
      </c>
      <c r="S69" s="530">
        <v>-34683</v>
      </c>
      <c r="T69" s="530">
        <v>-34688</v>
      </c>
      <c r="U69" s="530">
        <v>-9866542.272991024</v>
      </c>
      <c r="V69" s="534">
        <v>5</v>
      </c>
      <c r="W69" s="530">
        <v>-34841</v>
      </c>
      <c r="X69" s="530">
        <v>-34846</v>
      </c>
      <c r="Y69" s="533">
        <v>-9911483.2808073461</v>
      </c>
      <c r="Z69" s="534">
        <v>0</v>
      </c>
      <c r="AA69" s="530">
        <v>18</v>
      </c>
      <c r="AB69" s="530">
        <v>18</v>
      </c>
      <c r="AC69" s="533">
        <v>5119.8616499607479</v>
      </c>
      <c r="AD69" s="534">
        <v>0</v>
      </c>
      <c r="AE69" s="530">
        <v>16</v>
      </c>
      <c r="AF69" s="530">
        <v>16</v>
      </c>
      <c r="AG69" s="533">
        <v>4550.9881332984423</v>
      </c>
      <c r="AH69" s="534">
        <v>4.8</v>
      </c>
      <c r="AI69" s="530">
        <v>-34753.599999999999</v>
      </c>
      <c r="AJ69" s="530">
        <v>-34758.400000000001</v>
      </c>
      <c r="AK69" s="533">
        <v>-9886566.6207775362</v>
      </c>
      <c r="AL69" s="534">
        <v>3.484807</v>
      </c>
      <c r="AM69" s="530">
        <v>305.33</v>
      </c>
      <c r="AN69" s="530">
        <v>301.84519299999999</v>
      </c>
      <c r="AO69" s="533">
        <v>85855.868214761125</v>
      </c>
      <c r="AP69" s="534">
        <v>0</v>
      </c>
      <c r="AQ69" s="530">
        <v>2.9</v>
      </c>
      <c r="AR69" s="530">
        <v>2.9</v>
      </c>
      <c r="AS69" s="533">
        <v>824.86659916034273</v>
      </c>
      <c r="AT69" s="534">
        <v>0</v>
      </c>
      <c r="AU69" s="530">
        <v>-0.5</v>
      </c>
      <c r="AV69" s="530">
        <v>-0.5</v>
      </c>
      <c r="AW69" s="533">
        <v>-142.21837916557632</v>
      </c>
      <c r="AX69" s="534">
        <v>-0.03</v>
      </c>
      <c r="AY69" s="530">
        <v>-5.36</v>
      </c>
      <c r="AZ69" s="530">
        <v>-5.33</v>
      </c>
      <c r="BA69" s="530">
        <v>-14.812799999999999</v>
      </c>
      <c r="BB69" s="533">
        <v>-1516.0479219050437</v>
      </c>
      <c r="BC69" s="545">
        <v>0.1</v>
      </c>
      <c r="BD69" s="545">
        <v>37812.9</v>
      </c>
      <c r="BE69" s="545">
        <v>37812.800000000003</v>
      </c>
      <c r="BF69" s="545">
        <v>0</v>
      </c>
      <c r="BG69" s="545">
        <v>-37533.199999999997</v>
      </c>
      <c r="BH69" s="567">
        <v>-37533.199999999997</v>
      </c>
      <c r="BI69" s="574" t="s">
        <v>719</v>
      </c>
      <c r="BJ69" s="1"/>
      <c r="BK69" s="1"/>
      <c r="BL69" s="1"/>
      <c r="BM69" s="1"/>
      <c r="BN69" s="1"/>
      <c r="BO69" s="1"/>
      <c r="BP69" s="1"/>
      <c r="BQ69" s="1"/>
      <c r="BR69" s="1"/>
      <c r="BS69" s="1"/>
      <c r="BT69" s="1"/>
      <c r="BU69" s="128"/>
      <c r="BV69" s="512"/>
    </row>
    <row r="70" spans="1:74" s="520" customFormat="1" ht="15.75">
      <c r="A70" s="535" t="s">
        <v>1240</v>
      </c>
      <c r="B70" s="537"/>
      <c r="C70" s="537"/>
      <c r="D70" s="537"/>
      <c r="E70" s="538"/>
      <c r="F70" s="538"/>
      <c r="G70" s="538"/>
      <c r="H70" s="538"/>
      <c r="I70" s="538"/>
      <c r="J70" s="538"/>
      <c r="K70" s="537"/>
      <c r="L70" s="537"/>
      <c r="M70" s="576"/>
      <c r="N70" s="577"/>
      <c r="O70" s="537"/>
      <c r="P70" s="537"/>
      <c r="Q70" s="537"/>
      <c r="R70" s="537"/>
      <c r="S70" s="537"/>
      <c r="T70" s="537"/>
      <c r="U70" s="537"/>
      <c r="V70" s="537"/>
      <c r="W70" s="537"/>
      <c r="X70" s="537"/>
      <c r="Y70" s="537"/>
      <c r="Z70" s="537"/>
      <c r="AA70" s="537"/>
      <c r="AB70" s="537"/>
      <c r="AC70" s="537"/>
      <c r="AD70" s="537"/>
      <c r="AE70" s="537"/>
      <c r="AF70" s="537"/>
      <c r="AG70" s="537"/>
      <c r="AH70" s="537"/>
      <c r="AI70" s="537"/>
      <c r="AJ70" s="537"/>
      <c r="AK70" s="537"/>
      <c r="AL70" s="537"/>
      <c r="AM70" s="537"/>
      <c r="AN70" s="537"/>
      <c r="AO70" s="537"/>
      <c r="AP70" s="537"/>
      <c r="AQ70" s="537"/>
      <c r="AR70" s="537"/>
      <c r="AS70" s="537"/>
      <c r="AT70" s="537"/>
      <c r="AU70" s="537"/>
      <c r="AV70" s="537"/>
      <c r="AW70" s="537"/>
      <c r="AX70" s="537"/>
      <c r="AY70" s="537"/>
      <c r="AZ70" s="537"/>
      <c r="BA70" s="537"/>
      <c r="BB70" s="537"/>
      <c r="BC70" s="537"/>
      <c r="BD70" s="537"/>
      <c r="BE70" s="537"/>
      <c r="BF70" s="537"/>
      <c r="BG70" s="537"/>
      <c r="BH70" s="537"/>
      <c r="BI70" s="569"/>
      <c r="BJ70" s="537"/>
      <c r="BK70" s="537"/>
      <c r="BL70" s="537"/>
      <c r="BM70" s="537"/>
      <c r="BN70" s="537"/>
      <c r="BO70" s="537"/>
      <c r="BP70" s="537"/>
      <c r="BQ70" s="537"/>
      <c r="BR70" s="537"/>
      <c r="BS70" s="537"/>
      <c r="BT70" s="537"/>
      <c r="BU70" s="542"/>
      <c r="BV70" s="541"/>
    </row>
    <row r="71" spans="1:74" s="519" customFormat="1" ht="22.5">
      <c r="A71" s="546">
        <v>62006005</v>
      </c>
      <c r="B71" s="543" t="s">
        <v>832</v>
      </c>
      <c r="C71" s="543" t="s">
        <v>695</v>
      </c>
      <c r="D71" s="513" t="s">
        <v>806</v>
      </c>
      <c r="E71" s="524" t="s">
        <v>807</v>
      </c>
      <c r="F71" s="524" t="s">
        <v>708</v>
      </c>
      <c r="G71" s="531">
        <v>36.052109000000002</v>
      </c>
      <c r="H71" s="531">
        <v>37.859200000000001</v>
      </c>
      <c r="I71" s="531">
        <v>29.147534</v>
      </c>
      <c r="J71" s="531">
        <v>37.543486999999999</v>
      </c>
      <c r="K71" s="578">
        <v>4250</v>
      </c>
      <c r="L71" s="578">
        <v>38.71</v>
      </c>
      <c r="M71" s="578">
        <v>3.0499999999999999E-2</v>
      </c>
      <c r="N71" s="578">
        <v>1.4999999999999999E-2</v>
      </c>
      <c r="O71" s="529">
        <v>3.5975402700000001</v>
      </c>
      <c r="P71" s="544">
        <v>99.5</v>
      </c>
      <c r="Q71" s="544">
        <v>98.6</v>
      </c>
      <c r="R71" s="530">
        <v>26</v>
      </c>
      <c r="S71" s="530">
        <v>863.06321200000002</v>
      </c>
      <c r="T71" s="530">
        <v>837.06321200000002</v>
      </c>
      <c r="U71" s="530">
        <v>232.67653707181435</v>
      </c>
      <c r="V71" s="534">
        <v>26</v>
      </c>
      <c r="W71" s="530">
        <v>866</v>
      </c>
      <c r="X71" s="530">
        <v>840</v>
      </c>
      <c r="Y71" s="533">
        <v>233.49286928204418</v>
      </c>
      <c r="Z71" s="534">
        <v>0</v>
      </c>
      <c r="AA71" s="530">
        <v>19</v>
      </c>
      <c r="AB71" s="530">
        <v>19</v>
      </c>
      <c r="AC71" s="533">
        <v>5.2813863289986189</v>
      </c>
      <c r="AD71" s="534">
        <v>0</v>
      </c>
      <c r="AE71" s="530">
        <v>596</v>
      </c>
      <c r="AF71" s="530">
        <v>596</v>
      </c>
      <c r="AG71" s="533">
        <v>165.66875010964088</v>
      </c>
      <c r="AH71" s="534">
        <v>19.100000000000001</v>
      </c>
      <c r="AI71" s="530">
        <v>87.3</v>
      </c>
      <c r="AJ71" s="530">
        <v>68.199999999999989</v>
      </c>
      <c r="AK71" s="533">
        <v>18.957397244089776</v>
      </c>
      <c r="AL71" s="534">
        <v>15.540893000000001</v>
      </c>
      <c r="AM71" s="530">
        <v>74.681269</v>
      </c>
      <c r="AN71" s="530">
        <v>59.140376000000003</v>
      </c>
      <c r="AO71" s="533">
        <v>16.43911438411779</v>
      </c>
      <c r="AP71" s="534">
        <v>0.1</v>
      </c>
      <c r="AQ71" s="530">
        <v>12.9</v>
      </c>
      <c r="AR71" s="530">
        <v>12.8</v>
      </c>
      <c r="AS71" s="533">
        <v>3.5579865795359118</v>
      </c>
      <c r="AT71" s="534">
        <v>13.508929</v>
      </c>
      <c r="AU71" s="530">
        <v>169.7</v>
      </c>
      <c r="AV71" s="530">
        <v>156.19107099999999</v>
      </c>
      <c r="AW71" s="533">
        <v>43.416073004792239</v>
      </c>
      <c r="AX71" s="534">
        <v>-2.0208889999999999</v>
      </c>
      <c r="AY71" s="530">
        <v>-3.82</v>
      </c>
      <c r="AZ71" s="530">
        <v>-1.7991109999999999</v>
      </c>
      <c r="BA71" s="530">
        <v>-12.782093</v>
      </c>
      <c r="BB71" s="533">
        <v>-0.50009474946058075</v>
      </c>
      <c r="BC71" s="545"/>
      <c r="BD71" s="545"/>
      <c r="BE71" s="545"/>
      <c r="BF71" s="545"/>
      <c r="BG71" s="545"/>
      <c r="BH71" s="567"/>
      <c r="BI71" s="574" t="s">
        <v>723</v>
      </c>
      <c r="BJ71" s="1">
        <v>2372.09081651</v>
      </c>
      <c r="BK71" s="1">
        <v>-0.86830921000000005</v>
      </c>
      <c r="BL71" s="1">
        <v>2031.05296557</v>
      </c>
      <c r="BM71" s="1">
        <v>2048.8432603299998</v>
      </c>
      <c r="BN71" s="1">
        <v>3.0251157700000002</v>
      </c>
      <c r="BO71" s="1">
        <v>3.0320174299999998</v>
      </c>
      <c r="BP71" s="1">
        <v>0.18024625999999999</v>
      </c>
      <c r="BQ71" s="1">
        <v>3.5974534</v>
      </c>
      <c r="BR71" s="1">
        <v>3.5909807900000001</v>
      </c>
      <c r="BS71" s="1">
        <v>-0.40880297999999998</v>
      </c>
      <c r="BT71" s="1">
        <v>-0.22762618000000001</v>
      </c>
      <c r="BU71" s="128">
        <v>0.63450563999999998</v>
      </c>
      <c r="BV71" s="512"/>
    </row>
    <row r="72" spans="1:74" s="519" customFormat="1" ht="22.5">
      <c r="A72" s="546">
        <v>62006005</v>
      </c>
      <c r="B72" s="543" t="s">
        <v>831</v>
      </c>
      <c r="C72" s="543" t="s">
        <v>696</v>
      </c>
      <c r="D72" s="513" t="s">
        <v>806</v>
      </c>
      <c r="E72" s="524" t="s">
        <v>807</v>
      </c>
      <c r="F72" s="524" t="s">
        <v>708</v>
      </c>
      <c r="G72" s="531">
        <v>34.038026000000002</v>
      </c>
      <c r="H72" s="531">
        <v>47.279877999999997</v>
      </c>
      <c r="I72" s="531">
        <v>29.140882000000001</v>
      </c>
      <c r="J72" s="531">
        <v>39.702038999999999</v>
      </c>
      <c r="K72" s="578">
        <v>4250</v>
      </c>
      <c r="L72" s="578">
        <v>38.71</v>
      </c>
      <c r="M72" s="578">
        <v>3.0499999999999999E-2</v>
      </c>
      <c r="N72" s="578">
        <v>1.4999999999999999E-2</v>
      </c>
      <c r="O72" s="529">
        <v>3.8634428199999999</v>
      </c>
      <c r="P72" s="544">
        <v>98.6</v>
      </c>
      <c r="Q72" s="544">
        <v>97.6</v>
      </c>
      <c r="R72" s="530">
        <v>864</v>
      </c>
      <c r="S72" s="530">
        <v>1669</v>
      </c>
      <c r="T72" s="530">
        <v>805</v>
      </c>
      <c r="U72" s="530">
        <v>208.3633788580311</v>
      </c>
      <c r="V72" s="534">
        <v>866</v>
      </c>
      <c r="W72" s="530">
        <v>1674</v>
      </c>
      <c r="X72" s="530">
        <v>808</v>
      </c>
      <c r="Y72" s="533">
        <v>209.13988834445854</v>
      </c>
      <c r="Z72" s="534">
        <v>19</v>
      </c>
      <c r="AA72" s="530">
        <v>39</v>
      </c>
      <c r="AB72" s="530">
        <v>20</v>
      </c>
      <c r="AC72" s="533">
        <v>5.1767299095163004</v>
      </c>
      <c r="AD72" s="534">
        <v>596</v>
      </c>
      <c r="AE72" s="530">
        <v>1088</v>
      </c>
      <c r="AF72" s="530">
        <v>492</v>
      </c>
      <c r="AG72" s="533">
        <v>127.34755577410098</v>
      </c>
      <c r="AH72" s="534">
        <v>87.3</v>
      </c>
      <c r="AI72" s="530">
        <v>201.500899</v>
      </c>
      <c r="AJ72" s="530">
        <v>114.20089900000001</v>
      </c>
      <c r="AK72" s="533">
        <v>29.559360477347511</v>
      </c>
      <c r="AL72" s="534">
        <v>74.710544999999996</v>
      </c>
      <c r="AM72" s="530">
        <v>173.51008999999999</v>
      </c>
      <c r="AN72" s="530">
        <v>98.799544999999995</v>
      </c>
      <c r="AO72" s="533">
        <v>25.57292798240508</v>
      </c>
      <c r="AP72" s="534">
        <v>12.9</v>
      </c>
      <c r="AQ72" s="530">
        <v>76.099999999999994</v>
      </c>
      <c r="AR72" s="530">
        <v>63.199999999999996</v>
      </c>
      <c r="AS72" s="533">
        <v>16.358466514071509</v>
      </c>
      <c r="AT72" s="534">
        <v>169.8</v>
      </c>
      <c r="AU72" s="530">
        <v>313.500899</v>
      </c>
      <c r="AV72" s="530">
        <v>143.70089899999999</v>
      </c>
      <c r="AW72" s="533">
        <v>37.195037093884046</v>
      </c>
      <c r="AX72" s="534">
        <v>-3.82</v>
      </c>
      <c r="AY72" s="530">
        <v>-5.47</v>
      </c>
      <c r="AZ72" s="530">
        <v>-1.65</v>
      </c>
      <c r="BA72" s="530">
        <v>-6.8777629999999998</v>
      </c>
      <c r="BB72" s="533">
        <v>-0.42708021753509473</v>
      </c>
      <c r="BC72" s="545"/>
      <c r="BD72" s="545"/>
      <c r="BE72" s="545"/>
      <c r="BF72" s="545"/>
      <c r="BG72" s="545"/>
      <c r="BH72" s="567"/>
      <c r="BI72" s="574" t="s">
        <v>723</v>
      </c>
      <c r="BJ72" s="1">
        <v>1476.01762014</v>
      </c>
      <c r="BK72" s="1">
        <v>-0.96963387000000001</v>
      </c>
      <c r="BL72" s="1">
        <v>3383.13222752</v>
      </c>
      <c r="BM72" s="1">
        <v>3416.2574166499999</v>
      </c>
      <c r="BN72" s="1">
        <v>2.98234165</v>
      </c>
      <c r="BO72" s="1">
        <v>2.9954020699999999</v>
      </c>
      <c r="BP72" s="1">
        <v>8.8826160000000001E-2</v>
      </c>
      <c r="BQ72" s="1">
        <v>3.8632598499999999</v>
      </c>
      <c r="BR72" s="1">
        <v>3.8598313100000001</v>
      </c>
      <c r="BS72" s="1">
        <v>-0.52714030999999995</v>
      </c>
      <c r="BT72" s="1">
        <v>-0.43601572999999999</v>
      </c>
      <c r="BU72" s="128">
        <v>0.72008229999999995</v>
      </c>
      <c r="BV72" s="512"/>
    </row>
    <row r="73" spans="1:74" s="519" customFormat="1" ht="22.5">
      <c r="A73" s="546">
        <v>62006005</v>
      </c>
      <c r="B73" s="543" t="s">
        <v>830</v>
      </c>
      <c r="C73" s="543" t="s">
        <v>698</v>
      </c>
      <c r="D73" s="513" t="s">
        <v>806</v>
      </c>
      <c r="E73" s="524" t="s">
        <v>807</v>
      </c>
      <c r="F73" s="524" t="s">
        <v>708</v>
      </c>
      <c r="G73" s="468">
        <v>35.045067500000002</v>
      </c>
      <c r="H73" s="468">
        <v>42.569538999999999</v>
      </c>
      <c r="I73" s="468">
        <v>29.144207999999999</v>
      </c>
      <c r="J73" s="468">
        <v>38.622762999999999</v>
      </c>
      <c r="K73" s="579"/>
      <c r="L73" s="578"/>
      <c r="M73" s="580"/>
      <c r="N73" s="581"/>
      <c r="O73" s="453">
        <v>7.46098309</v>
      </c>
      <c r="P73" s="493">
        <v>99.5</v>
      </c>
      <c r="Q73" s="493">
        <v>97.6</v>
      </c>
      <c r="R73" s="456">
        <v>26</v>
      </c>
      <c r="S73" s="456">
        <v>1669</v>
      </c>
      <c r="T73" s="456">
        <v>1642.063212</v>
      </c>
      <c r="U73" s="456">
        <v>220.08670870744461</v>
      </c>
      <c r="V73" s="456">
        <v>26</v>
      </c>
      <c r="W73" s="456">
        <v>1674</v>
      </c>
      <c r="X73" s="456">
        <v>1648</v>
      </c>
      <c r="Y73" s="454">
        <v>220.88241993321552</v>
      </c>
      <c r="Z73" s="456">
        <v>0</v>
      </c>
      <c r="AA73" s="456">
        <v>39</v>
      </c>
      <c r="AB73" s="456">
        <v>39</v>
      </c>
      <c r="AC73" s="454">
        <v>5.2271931901671147</v>
      </c>
      <c r="AD73" s="456">
        <v>0</v>
      </c>
      <c r="AE73" s="456">
        <v>1088</v>
      </c>
      <c r="AF73" s="456">
        <v>1088</v>
      </c>
      <c r="AG73" s="454">
        <v>145.82528694620055</v>
      </c>
      <c r="AH73" s="456">
        <v>19.100000000000001</v>
      </c>
      <c r="AI73" s="456">
        <v>201.500899</v>
      </c>
      <c r="AJ73" s="456">
        <v>182.40089899999998</v>
      </c>
      <c r="AK73" s="454">
        <v>24.447300952132299</v>
      </c>
      <c r="AL73" s="456">
        <v>15.540893000000001</v>
      </c>
      <c r="AM73" s="456">
        <v>173.51008999999999</v>
      </c>
      <c r="AN73" s="456">
        <v>157.939921</v>
      </c>
      <c r="AO73" s="454">
        <v>21.168781525813642</v>
      </c>
      <c r="AP73" s="456">
        <v>0.1</v>
      </c>
      <c r="AQ73" s="456">
        <v>76.099999999999994</v>
      </c>
      <c r="AR73" s="456">
        <v>76</v>
      </c>
      <c r="AS73" s="454">
        <v>10.186325191094891</v>
      </c>
      <c r="AT73" s="456">
        <v>13.508929</v>
      </c>
      <c r="AU73" s="456">
        <v>313.500899</v>
      </c>
      <c r="AV73" s="456">
        <v>299.89197000000001</v>
      </c>
      <c r="AW73" s="454">
        <v>40.194699060764123</v>
      </c>
      <c r="AX73" s="456">
        <v>-2.0208889999999999</v>
      </c>
      <c r="AY73" s="456">
        <v>-5.47</v>
      </c>
      <c r="AZ73" s="456">
        <v>-3.4491109999999998</v>
      </c>
      <c r="BA73" s="530">
        <v>-9.8299279999999989</v>
      </c>
      <c r="BB73" s="454">
        <v>-0.46228639823924328</v>
      </c>
      <c r="BC73" s="496"/>
      <c r="BD73" s="496"/>
      <c r="BE73" s="496"/>
      <c r="BF73" s="496"/>
      <c r="BG73" s="496"/>
      <c r="BH73" s="568"/>
      <c r="BI73" s="574" t="s">
        <v>723</v>
      </c>
      <c r="BJ73" s="1"/>
      <c r="BK73" s="1"/>
      <c r="BL73" s="1"/>
      <c r="BM73" s="1"/>
      <c r="BN73" s="1"/>
      <c r="BO73" s="1"/>
      <c r="BP73" s="1"/>
      <c r="BQ73" s="1"/>
      <c r="BR73" s="1"/>
      <c r="BS73" s="1"/>
      <c r="BT73" s="1"/>
      <c r="BU73" s="128"/>
      <c r="BV73" s="512"/>
    </row>
    <row r="74" spans="1:74" s="519" customFormat="1" ht="22.5">
      <c r="A74" s="546">
        <v>62006005</v>
      </c>
      <c r="B74" s="543" t="s">
        <v>829</v>
      </c>
      <c r="C74" s="543" t="s">
        <v>697</v>
      </c>
      <c r="D74" s="513" t="s">
        <v>806</v>
      </c>
      <c r="E74" s="524" t="s">
        <v>807</v>
      </c>
      <c r="F74" s="524" t="s">
        <v>708</v>
      </c>
      <c r="G74" s="531">
        <v>37.486905</v>
      </c>
      <c r="H74" s="531">
        <v>35.22954</v>
      </c>
      <c r="I74" s="531">
        <v>29.142893000000001</v>
      </c>
      <c r="J74" s="531">
        <v>41.680728999999999</v>
      </c>
      <c r="K74" s="578">
        <v>4250</v>
      </c>
      <c r="L74" s="578">
        <v>38.71</v>
      </c>
      <c r="M74" s="578">
        <v>3.0499999999999999E-2</v>
      </c>
      <c r="N74" s="578">
        <v>1.4999999999999999E-2</v>
      </c>
      <c r="O74" s="529">
        <v>10.28413085</v>
      </c>
      <c r="P74" s="544">
        <v>97.6</v>
      </c>
      <c r="Q74" s="544">
        <v>95.4</v>
      </c>
      <c r="R74" s="530">
        <v>1674</v>
      </c>
      <c r="S74" s="530">
        <v>3600</v>
      </c>
      <c r="T74" s="530">
        <v>1926</v>
      </c>
      <c r="U74" s="530">
        <v>187.27883066559775</v>
      </c>
      <c r="V74" s="534">
        <v>1679</v>
      </c>
      <c r="W74" s="530">
        <v>3606</v>
      </c>
      <c r="X74" s="530">
        <v>1927</v>
      </c>
      <c r="Y74" s="533">
        <v>187.37606785701291</v>
      </c>
      <c r="Z74" s="534">
        <v>39</v>
      </c>
      <c r="AA74" s="530">
        <v>41</v>
      </c>
      <c r="AB74" s="530">
        <v>2</v>
      </c>
      <c r="AC74" s="533">
        <v>0.19447438283031959</v>
      </c>
      <c r="AD74" s="534">
        <v>1088</v>
      </c>
      <c r="AE74" s="530">
        <v>2752</v>
      </c>
      <c r="AF74" s="530">
        <v>1664</v>
      </c>
      <c r="AG74" s="533">
        <v>161.80268651482589</v>
      </c>
      <c r="AH74" s="534">
        <v>203.6</v>
      </c>
      <c r="AI74" s="530">
        <v>297.3</v>
      </c>
      <c r="AJ74" s="530">
        <v>93.700000000000017</v>
      </c>
      <c r="AK74" s="533">
        <v>9.1111248356004744</v>
      </c>
      <c r="AL74" s="534">
        <v>175.320066</v>
      </c>
      <c r="AM74" s="530">
        <v>256.59952299999998</v>
      </c>
      <c r="AN74" s="530">
        <v>81.279456999999979</v>
      </c>
      <c r="AO74" s="533">
        <v>7.9033861184292471</v>
      </c>
      <c r="AP74" s="534">
        <v>77.2</v>
      </c>
      <c r="AQ74" s="530">
        <v>140.80000000000001</v>
      </c>
      <c r="AR74" s="530">
        <v>63.600000000000009</v>
      </c>
      <c r="AS74" s="533">
        <v>6.1842853740041637</v>
      </c>
      <c r="AT74" s="534">
        <v>315.89999999999998</v>
      </c>
      <c r="AU74" s="530">
        <v>439.8</v>
      </c>
      <c r="AV74" s="530">
        <v>123.90000000000003</v>
      </c>
      <c r="AW74" s="533">
        <v>12.047688016338302</v>
      </c>
      <c r="AX74" s="534">
        <v>-5.49</v>
      </c>
      <c r="AY74" s="530">
        <v>-6.28</v>
      </c>
      <c r="AZ74" s="530">
        <v>-0.79</v>
      </c>
      <c r="BA74" s="530">
        <v>-3.741803</v>
      </c>
      <c r="BB74" s="533">
        <v>-7.6817381217976238E-2</v>
      </c>
      <c r="BC74" s="545"/>
      <c r="BD74" s="545"/>
      <c r="BE74" s="545"/>
      <c r="BF74" s="545"/>
      <c r="BG74" s="545"/>
      <c r="BH74" s="567"/>
      <c r="BI74" s="574" t="s">
        <v>723</v>
      </c>
      <c r="BJ74" s="1">
        <v>1875.5206794999999</v>
      </c>
      <c r="BK74" s="1">
        <v>-0.27491199999999999</v>
      </c>
      <c r="BL74" s="1">
        <v>1303.1832270299999</v>
      </c>
      <c r="BM74" s="1">
        <v>1306.7757103199999</v>
      </c>
      <c r="BN74" s="1">
        <v>6.8014363900000001</v>
      </c>
      <c r="BO74" s="1">
        <v>6.7904350999999998</v>
      </c>
      <c r="BP74" s="1">
        <v>0.26775221999999999</v>
      </c>
      <c r="BQ74" s="1">
        <v>10.284142920000001</v>
      </c>
      <c r="BR74" s="1">
        <v>10.256680429999999</v>
      </c>
      <c r="BS74" s="1">
        <v>-0.1055695</v>
      </c>
      <c r="BT74" s="1">
        <v>0.16201167999999999</v>
      </c>
      <c r="BU74" s="128">
        <v>0.33398591999999999</v>
      </c>
      <c r="BV74" s="512"/>
    </row>
    <row r="75" spans="1:74" s="519" customFormat="1" ht="22.5">
      <c r="A75" s="546">
        <v>62006005</v>
      </c>
      <c r="B75" s="543" t="s">
        <v>828</v>
      </c>
      <c r="C75" s="543" t="s">
        <v>699</v>
      </c>
      <c r="D75" s="513" t="s">
        <v>806</v>
      </c>
      <c r="E75" s="524" t="s">
        <v>807</v>
      </c>
      <c r="F75" s="524" t="s">
        <v>708</v>
      </c>
      <c r="G75" s="531">
        <v>33.466971999999998</v>
      </c>
      <c r="H75" s="531">
        <v>47.363886000000001</v>
      </c>
      <c r="I75" s="531">
        <v>29.132598999999999</v>
      </c>
      <c r="J75" s="531">
        <v>41.922862000000002</v>
      </c>
      <c r="K75" s="578">
        <v>4250</v>
      </c>
      <c r="L75" s="578">
        <v>38.71</v>
      </c>
      <c r="M75" s="578">
        <v>3.0499999999999999E-2</v>
      </c>
      <c r="N75" s="578">
        <v>1.4999999999999999E-2</v>
      </c>
      <c r="O75" s="529">
        <v>3.5979395200000002</v>
      </c>
      <c r="P75" s="544">
        <v>95.3</v>
      </c>
      <c r="Q75" s="544">
        <v>94.4</v>
      </c>
      <c r="R75" s="530">
        <v>3629</v>
      </c>
      <c r="S75" s="530">
        <v>4354</v>
      </c>
      <c r="T75" s="530">
        <v>725</v>
      </c>
      <c r="U75" s="530">
        <v>201.50422094921706</v>
      </c>
      <c r="V75" s="534">
        <v>3636</v>
      </c>
      <c r="W75" s="530">
        <v>4363</v>
      </c>
      <c r="X75" s="530">
        <v>727</v>
      </c>
      <c r="Y75" s="533">
        <v>202.0600946621804</v>
      </c>
      <c r="Z75" s="534">
        <v>40</v>
      </c>
      <c r="AA75" s="530">
        <v>52</v>
      </c>
      <c r="AB75" s="530">
        <v>12</v>
      </c>
      <c r="AC75" s="533">
        <v>3.3352422777801443</v>
      </c>
      <c r="AD75" s="534">
        <v>2751</v>
      </c>
      <c r="AE75" s="530">
        <v>3296</v>
      </c>
      <c r="AF75" s="530">
        <v>545</v>
      </c>
      <c r="AG75" s="533">
        <v>151.47558678251488</v>
      </c>
      <c r="AH75" s="534">
        <v>340.2</v>
      </c>
      <c r="AI75" s="530">
        <v>404</v>
      </c>
      <c r="AJ75" s="530">
        <v>63.800000000000011</v>
      </c>
      <c r="AK75" s="533">
        <v>17.732371443531104</v>
      </c>
      <c r="AL75" s="534">
        <v>291.05943500000001</v>
      </c>
      <c r="AM75" s="530">
        <v>346.71908300000001</v>
      </c>
      <c r="AN75" s="530">
        <v>55.659648000000004</v>
      </c>
      <c r="AO75" s="533">
        <v>15.469867597996757</v>
      </c>
      <c r="AP75" s="534">
        <v>142.69999999999999</v>
      </c>
      <c r="AQ75" s="530">
        <v>174.1</v>
      </c>
      <c r="AR75" s="530">
        <v>31.400000000000006</v>
      </c>
      <c r="AS75" s="533">
        <v>8.7272172935247134</v>
      </c>
      <c r="AT75" s="534">
        <v>443.7</v>
      </c>
      <c r="AU75" s="530">
        <v>532.4</v>
      </c>
      <c r="AV75" s="530">
        <v>88.699999999999989</v>
      </c>
      <c r="AW75" s="533">
        <v>24.652999169924897</v>
      </c>
      <c r="AX75" s="534">
        <v>-6.81</v>
      </c>
      <c r="AY75" s="530">
        <v>-7.22</v>
      </c>
      <c r="AZ75" s="530">
        <v>-0.41000000000000014</v>
      </c>
      <c r="BA75" s="530">
        <v>-2.8600300000000001</v>
      </c>
      <c r="BB75" s="533">
        <v>-0.11395411115748831</v>
      </c>
      <c r="BC75" s="545"/>
      <c r="BD75" s="545"/>
      <c r="BE75" s="545"/>
      <c r="BF75" s="545"/>
      <c r="BG75" s="545"/>
      <c r="BH75" s="567"/>
      <c r="BI75" s="574" t="s">
        <v>723</v>
      </c>
      <c r="BJ75" s="1">
        <v>2367.4661447799999</v>
      </c>
      <c r="BK75" s="1">
        <v>-0.90509795000000004</v>
      </c>
      <c r="BL75" s="1">
        <v>2030.25751489</v>
      </c>
      <c r="BM75" s="1">
        <v>2048.8011722000001</v>
      </c>
      <c r="BN75" s="1">
        <v>3.0256084400000001</v>
      </c>
      <c r="BO75" s="1">
        <v>3.0319634899999999</v>
      </c>
      <c r="BP75" s="1">
        <v>0.19188975</v>
      </c>
      <c r="BQ75" s="1">
        <v>3.5978712900000001</v>
      </c>
      <c r="BR75" s="1">
        <v>3.5909805700000001</v>
      </c>
      <c r="BS75" s="1">
        <v>-0.402335</v>
      </c>
      <c r="BT75" s="1">
        <v>-0.20960195000000001</v>
      </c>
      <c r="BU75" s="128">
        <v>0.63449864</v>
      </c>
      <c r="BV75" s="512"/>
    </row>
    <row r="76" spans="1:74" s="519" customFormat="1" ht="22.5">
      <c r="A76" s="546">
        <v>62006005</v>
      </c>
      <c r="B76" s="543" t="s">
        <v>239</v>
      </c>
      <c r="C76" s="543" t="s">
        <v>700</v>
      </c>
      <c r="D76" s="513" t="s">
        <v>806</v>
      </c>
      <c r="E76" s="524" t="s">
        <v>807</v>
      </c>
      <c r="F76" s="524" t="s">
        <v>708</v>
      </c>
      <c r="G76" s="531">
        <v>32.868769</v>
      </c>
      <c r="H76" s="531">
        <v>49.469881000000001</v>
      </c>
      <c r="I76" s="531">
        <v>29.133821000000001</v>
      </c>
      <c r="J76" s="531">
        <v>41.355922</v>
      </c>
      <c r="K76" s="578">
        <v>4250</v>
      </c>
      <c r="L76" s="578">
        <v>38.71</v>
      </c>
      <c r="M76" s="578">
        <v>3.0499999999999999E-2</v>
      </c>
      <c r="N76" s="578">
        <v>1.4999999999999999E-2</v>
      </c>
      <c r="O76" s="529">
        <v>3.86188259</v>
      </c>
      <c r="P76" s="544">
        <v>94.4</v>
      </c>
      <c r="Q76" s="544">
        <v>93.5</v>
      </c>
      <c r="R76" s="530">
        <v>4354.9088940000001</v>
      </c>
      <c r="S76" s="530">
        <v>5143</v>
      </c>
      <c r="T76" s="530">
        <v>788.09110599999985</v>
      </c>
      <c r="U76" s="530">
        <v>204.06915219035696</v>
      </c>
      <c r="V76" s="534">
        <v>4363</v>
      </c>
      <c r="W76" s="530">
        <v>5153</v>
      </c>
      <c r="X76" s="530">
        <v>790</v>
      </c>
      <c r="Y76" s="533">
        <v>204.56344324025656</v>
      </c>
      <c r="Z76" s="534">
        <v>52</v>
      </c>
      <c r="AA76" s="530">
        <v>77</v>
      </c>
      <c r="AB76" s="530">
        <v>25</v>
      </c>
      <c r="AC76" s="533">
        <v>6.4735266848182453</v>
      </c>
      <c r="AD76" s="534">
        <v>3296</v>
      </c>
      <c r="AE76" s="530">
        <v>3779</v>
      </c>
      <c r="AF76" s="530">
        <v>483</v>
      </c>
      <c r="AG76" s="533">
        <v>125.06853555068851</v>
      </c>
      <c r="AH76" s="534">
        <v>404</v>
      </c>
      <c r="AI76" s="530">
        <v>513.79999999999995</v>
      </c>
      <c r="AJ76" s="530">
        <v>109.79999999999995</v>
      </c>
      <c r="AK76" s="533">
        <v>28.431729199721723</v>
      </c>
      <c r="AL76" s="534">
        <v>346.74818599999998</v>
      </c>
      <c r="AM76" s="530">
        <v>442.68740400000002</v>
      </c>
      <c r="AN76" s="530">
        <v>95.939218000000039</v>
      </c>
      <c r="AO76" s="533">
        <v>24.842603513743807</v>
      </c>
      <c r="AP76" s="534">
        <v>174.1</v>
      </c>
      <c r="AQ76" s="530">
        <v>248.8</v>
      </c>
      <c r="AR76" s="530">
        <v>74.700000000000017</v>
      </c>
      <c r="AS76" s="533">
        <v>19.342897734236921</v>
      </c>
      <c r="AT76" s="534">
        <v>532.4</v>
      </c>
      <c r="AU76" s="530">
        <v>653.29999999999995</v>
      </c>
      <c r="AV76" s="530">
        <v>120.89999999999998</v>
      </c>
      <c r="AW76" s="533">
        <v>31.305975047781029</v>
      </c>
      <c r="AX76" s="534">
        <v>-7.22</v>
      </c>
      <c r="AY76" s="530">
        <v>-7.84</v>
      </c>
      <c r="AZ76" s="530">
        <v>-0.62000000000000011</v>
      </c>
      <c r="BA76" s="530">
        <v>-2.587345</v>
      </c>
      <c r="BB76" s="533">
        <v>-0.16054346178349252</v>
      </c>
      <c r="BC76" s="545"/>
      <c r="BD76" s="545"/>
      <c r="BE76" s="545"/>
      <c r="BF76" s="545"/>
      <c r="BG76" s="545"/>
      <c r="BH76" s="567"/>
      <c r="BI76" s="574" t="s">
        <v>723</v>
      </c>
      <c r="BJ76" s="1">
        <v>1475.9501259799999</v>
      </c>
      <c r="BK76" s="1">
        <v>-1.11834122</v>
      </c>
      <c r="BL76" s="1">
        <v>3378.0005345999998</v>
      </c>
      <c r="BM76" s="1">
        <v>3416.2053675299999</v>
      </c>
      <c r="BN76" s="1">
        <v>2.98338378</v>
      </c>
      <c r="BO76" s="1">
        <v>2.9953178199999999</v>
      </c>
      <c r="BP76" s="1">
        <v>4.8247640000000001E-2</v>
      </c>
      <c r="BQ76" s="1">
        <v>3.8616926999999999</v>
      </c>
      <c r="BR76" s="1">
        <v>3.8598304200000002</v>
      </c>
      <c r="BS76" s="1">
        <v>-0.44845731999999999</v>
      </c>
      <c r="BT76" s="1">
        <v>-0.39842293000000001</v>
      </c>
      <c r="BU76" s="128">
        <v>0.72008877000000004</v>
      </c>
      <c r="BV76" s="512"/>
    </row>
    <row r="77" spans="1:74" s="519" customFormat="1" ht="22.5">
      <c r="A77" s="546">
        <v>62006005</v>
      </c>
      <c r="B77" s="543" t="s">
        <v>833</v>
      </c>
      <c r="C77" s="543" t="s">
        <v>701</v>
      </c>
      <c r="D77" s="513" t="s">
        <v>806</v>
      </c>
      <c r="E77" s="524" t="s">
        <v>807</v>
      </c>
      <c r="F77" s="524" t="s">
        <v>708</v>
      </c>
      <c r="G77" s="468">
        <v>33.167870499999999</v>
      </c>
      <c r="H77" s="468">
        <v>48.416883499999997</v>
      </c>
      <c r="I77" s="468">
        <v>29.133209999999998</v>
      </c>
      <c r="J77" s="468">
        <v>41.639392000000001</v>
      </c>
      <c r="K77" s="579"/>
      <c r="L77" s="578"/>
      <c r="M77" s="580"/>
      <c r="N77" s="581"/>
      <c r="O77" s="453">
        <v>7.4598221100000002</v>
      </c>
      <c r="P77" s="493">
        <v>95.3</v>
      </c>
      <c r="Q77" s="493">
        <v>93.5</v>
      </c>
      <c r="R77" s="456">
        <v>3629</v>
      </c>
      <c r="S77" s="456">
        <v>5143</v>
      </c>
      <c r="T77" s="456">
        <v>1513.0911059999999</v>
      </c>
      <c r="U77" s="456">
        <v>202.83206270718966</v>
      </c>
      <c r="V77" s="456">
        <v>3636</v>
      </c>
      <c r="W77" s="456">
        <v>5153</v>
      </c>
      <c r="X77" s="456">
        <v>1517</v>
      </c>
      <c r="Y77" s="454">
        <v>203.35605563119788</v>
      </c>
      <c r="Z77" s="456">
        <v>40</v>
      </c>
      <c r="AA77" s="456">
        <v>77</v>
      </c>
      <c r="AB77" s="456">
        <v>37</v>
      </c>
      <c r="AC77" s="454">
        <v>4.9599037958828749</v>
      </c>
      <c r="AD77" s="456">
        <v>2751</v>
      </c>
      <c r="AE77" s="456">
        <v>3779</v>
      </c>
      <c r="AF77" s="456">
        <v>1028</v>
      </c>
      <c r="AG77" s="454">
        <v>137.80489465317825</v>
      </c>
      <c r="AH77" s="456">
        <v>340.2</v>
      </c>
      <c r="AI77" s="456">
        <v>513.79999999999995</v>
      </c>
      <c r="AJ77" s="456">
        <v>173.59999999999997</v>
      </c>
      <c r="AK77" s="454">
        <v>23.271332404466676</v>
      </c>
      <c r="AL77" s="456">
        <v>291.05943500000001</v>
      </c>
      <c r="AM77" s="456">
        <v>442.68740400000002</v>
      </c>
      <c r="AN77" s="456">
        <v>151.59886600000004</v>
      </c>
      <c r="AO77" s="454">
        <v>20.322048403376744</v>
      </c>
      <c r="AP77" s="456">
        <v>142.69999999999999</v>
      </c>
      <c r="AQ77" s="456">
        <v>248.8</v>
      </c>
      <c r="AR77" s="456">
        <v>106.10000000000002</v>
      </c>
      <c r="AS77" s="454">
        <v>14.222859263329005</v>
      </c>
      <c r="AT77" s="456">
        <v>443.7</v>
      </c>
      <c r="AU77" s="456">
        <v>653.29999999999995</v>
      </c>
      <c r="AV77" s="456">
        <v>209.59999999999997</v>
      </c>
      <c r="AW77" s="454">
        <v>28.097184746406768</v>
      </c>
      <c r="AX77" s="456">
        <v>-6.81</v>
      </c>
      <c r="AY77" s="456">
        <v>-7.84</v>
      </c>
      <c r="AZ77" s="456">
        <v>-1.0300000000000002</v>
      </c>
      <c r="BA77" s="530">
        <v>-2.7236875</v>
      </c>
      <c r="BB77" s="454">
        <v>-0.13807299756106386</v>
      </c>
      <c r="BC77" s="496"/>
      <c r="BD77" s="496"/>
      <c r="BE77" s="496"/>
      <c r="BF77" s="496"/>
      <c r="BG77" s="496"/>
      <c r="BH77" s="568"/>
      <c r="BI77" s="574" t="s">
        <v>723</v>
      </c>
      <c r="BJ77" s="1"/>
      <c r="BK77" s="1"/>
      <c r="BL77" s="1"/>
      <c r="BM77" s="1"/>
      <c r="BN77" s="1"/>
      <c r="BO77" s="1"/>
      <c r="BP77" s="1"/>
      <c r="BQ77" s="1"/>
      <c r="BR77" s="1"/>
      <c r="BS77" s="1"/>
      <c r="BT77" s="1"/>
      <c r="BU77" s="128"/>
      <c r="BV77" s="512"/>
    </row>
    <row r="78" spans="1:74" s="519" customFormat="1" ht="22.5">
      <c r="A78" s="546">
        <v>62006005</v>
      </c>
      <c r="B78" s="543" t="s">
        <v>836</v>
      </c>
      <c r="C78" s="543" t="s">
        <v>770</v>
      </c>
      <c r="D78" s="513" t="s">
        <v>806</v>
      </c>
      <c r="E78" s="524" t="s">
        <v>807</v>
      </c>
      <c r="F78" s="524" t="s">
        <v>708</v>
      </c>
      <c r="G78" s="531">
        <v>35.277704</v>
      </c>
      <c r="H78" s="531">
        <v>38.912255000000002</v>
      </c>
      <c r="I78" s="531">
        <v>29.132128000000002</v>
      </c>
      <c r="J78" s="531">
        <v>42.985683999999999</v>
      </c>
      <c r="K78" s="578">
        <v>4250</v>
      </c>
      <c r="L78" s="578">
        <v>38.71</v>
      </c>
      <c r="M78" s="578">
        <v>3.0499999999999999E-2</v>
      </c>
      <c r="N78" s="578">
        <v>1.4999999999999999E-2</v>
      </c>
      <c r="O78" s="529">
        <v>1.7772785200000001</v>
      </c>
      <c r="P78" s="544">
        <v>93.5</v>
      </c>
      <c r="Q78" s="544">
        <v>91</v>
      </c>
      <c r="R78" s="530">
        <v>5179</v>
      </c>
      <c r="S78" s="530">
        <v>7237</v>
      </c>
      <c r="T78" s="530">
        <v>554</v>
      </c>
      <c r="U78" s="530">
        <v>311.71253901161197</v>
      </c>
      <c r="V78" s="534">
        <v>5189</v>
      </c>
      <c r="W78" s="530">
        <v>7249</v>
      </c>
      <c r="X78" s="530">
        <v>555</v>
      </c>
      <c r="Y78" s="533">
        <v>312.27519702426832</v>
      </c>
      <c r="Z78" s="534">
        <v>82</v>
      </c>
      <c r="AA78" s="530">
        <v>123</v>
      </c>
      <c r="AB78" s="530">
        <v>24</v>
      </c>
      <c r="AC78" s="533">
        <v>13.503792303752142</v>
      </c>
      <c r="AD78" s="534">
        <v>3780</v>
      </c>
      <c r="AE78" s="530">
        <v>5602</v>
      </c>
      <c r="AF78" s="530">
        <v>452</v>
      </c>
      <c r="AG78" s="533">
        <v>254.32142172066537</v>
      </c>
      <c r="AH78" s="534">
        <v>525.68632500000001</v>
      </c>
      <c r="AI78" s="530">
        <v>601.20000000000005</v>
      </c>
      <c r="AJ78" s="530">
        <v>30.200714000000062</v>
      </c>
      <c r="AK78" s="533">
        <v>16.992673720042518</v>
      </c>
      <c r="AL78" s="534">
        <v>453.048633</v>
      </c>
      <c r="AM78" s="530">
        <v>518.94833600000004</v>
      </c>
      <c r="AN78" s="530">
        <v>26.450065000000052</v>
      </c>
      <c r="AO78" s="533">
        <v>14.882341007531027</v>
      </c>
      <c r="AP78" s="534">
        <v>256.89999999999998</v>
      </c>
      <c r="AQ78" s="530">
        <v>313.7</v>
      </c>
      <c r="AR78" s="530">
        <v>21.916578000000015</v>
      </c>
      <c r="AS78" s="533">
        <v>12.331538221707655</v>
      </c>
      <c r="AT78" s="534">
        <v>666.2</v>
      </c>
      <c r="AU78" s="530">
        <v>746.9</v>
      </c>
      <c r="AV78" s="530">
        <v>31.899999999999977</v>
      </c>
      <c r="AW78" s="533">
        <v>17.948790603737212</v>
      </c>
      <c r="AX78" s="534">
        <v>-7.9</v>
      </c>
      <c r="AY78" s="530">
        <v>-8.2899999999999991</v>
      </c>
      <c r="AZ78" s="530">
        <v>-0.15999999999999837</v>
      </c>
      <c r="BA78" s="530">
        <v>-2.3331590000000002</v>
      </c>
      <c r="BB78" s="533">
        <v>-9.0025282025013365E-2</v>
      </c>
      <c r="BC78" s="545"/>
      <c r="BD78" s="545"/>
      <c r="BE78" s="545"/>
      <c r="BF78" s="545"/>
      <c r="BG78" s="545"/>
      <c r="BH78" s="567"/>
      <c r="BI78" s="574" t="s">
        <v>723</v>
      </c>
      <c r="BJ78" s="1">
        <v>5476.3037555199999</v>
      </c>
      <c r="BK78" s="1">
        <v>-3.9825212099999998</v>
      </c>
      <c r="BL78" s="1">
        <v>2361.4851867799998</v>
      </c>
      <c r="BM78" s="1">
        <v>2459.43261209</v>
      </c>
      <c r="BN78" s="1">
        <v>3.0113436999999998</v>
      </c>
      <c r="BO78" s="1">
        <v>3.0983414200000001</v>
      </c>
      <c r="BP78" s="1">
        <v>0.28716675000000003</v>
      </c>
      <c r="BQ78" s="1">
        <v>1.7771937799999999</v>
      </c>
      <c r="BR78" s="1">
        <v>1.7721048800000001</v>
      </c>
      <c r="BS78" s="1">
        <v>-3.1844631300000001</v>
      </c>
      <c r="BT78" s="1">
        <v>-2.8078804700000002</v>
      </c>
      <c r="BU78" s="128">
        <v>0.84360208999999997</v>
      </c>
      <c r="BV78" s="512"/>
    </row>
    <row r="79" spans="1:74" s="519" customFormat="1" ht="22.5">
      <c r="A79" s="546">
        <v>62006005</v>
      </c>
      <c r="B79" s="543" t="s">
        <v>837</v>
      </c>
      <c r="C79" s="543" t="s">
        <v>705</v>
      </c>
      <c r="D79" s="513" t="s">
        <v>806</v>
      </c>
      <c r="E79" s="524" t="s">
        <v>807</v>
      </c>
      <c r="F79" s="524" t="s">
        <v>708</v>
      </c>
      <c r="G79" s="531">
        <v>38.831121000000003</v>
      </c>
      <c r="H79" s="531">
        <v>30.499955</v>
      </c>
      <c r="I79" s="531">
        <v>29.156302</v>
      </c>
      <c r="J79" s="531">
        <v>42.858701000000003</v>
      </c>
      <c r="K79" s="578">
        <v>4250</v>
      </c>
      <c r="L79" s="578">
        <v>38.71</v>
      </c>
      <c r="M79" s="578">
        <v>3.0499999999999999E-2</v>
      </c>
      <c r="N79" s="578">
        <v>1.4999999999999999E-2</v>
      </c>
      <c r="O79" s="529">
        <v>6.2521028300000001</v>
      </c>
      <c r="P79" s="544">
        <v>93.1</v>
      </c>
      <c r="Q79" s="544">
        <v>91.3</v>
      </c>
      <c r="R79" s="530">
        <v>5499</v>
      </c>
      <c r="S79" s="530">
        <v>7003</v>
      </c>
      <c r="T79" s="530">
        <v>1504</v>
      </c>
      <c r="U79" s="530">
        <v>240.55906322961101</v>
      </c>
      <c r="V79" s="534">
        <v>5509</v>
      </c>
      <c r="W79" s="530">
        <v>7014</v>
      </c>
      <c r="X79" s="530">
        <v>1505</v>
      </c>
      <c r="Y79" s="533">
        <v>240.719009415269</v>
      </c>
      <c r="Z79" s="534">
        <v>97</v>
      </c>
      <c r="AA79" s="530">
        <v>114</v>
      </c>
      <c r="AB79" s="530">
        <v>17</v>
      </c>
      <c r="AC79" s="533">
        <v>2.7190851561857627</v>
      </c>
      <c r="AD79" s="534">
        <v>4043</v>
      </c>
      <c r="AE79" s="530">
        <v>5413</v>
      </c>
      <c r="AF79" s="530">
        <v>1370</v>
      </c>
      <c r="AG79" s="533">
        <v>219.12627435144088</v>
      </c>
      <c r="AH79" s="534">
        <v>541.98703899999998</v>
      </c>
      <c r="AI79" s="530">
        <v>587.29999999999995</v>
      </c>
      <c r="AJ79" s="530">
        <v>45.312960999999973</v>
      </c>
      <c r="AK79" s="533">
        <v>7.2476352728190765</v>
      </c>
      <c r="AL79" s="534">
        <v>467.26870400000001</v>
      </c>
      <c r="AM79" s="530">
        <v>506.71834200000001</v>
      </c>
      <c r="AN79" s="530">
        <v>39.449637999999993</v>
      </c>
      <c r="AO79" s="533">
        <v>6.3098191236883405</v>
      </c>
      <c r="AP79" s="534">
        <v>268.8</v>
      </c>
      <c r="AQ79" s="530">
        <v>303.68342200000001</v>
      </c>
      <c r="AR79" s="530">
        <v>34.883421999999996</v>
      </c>
      <c r="AS79" s="533">
        <v>5.5794702915978744</v>
      </c>
      <c r="AT79" s="534">
        <v>683.1</v>
      </c>
      <c r="AU79" s="530">
        <v>731.9</v>
      </c>
      <c r="AV79" s="530">
        <v>48.799999999999955</v>
      </c>
      <c r="AW79" s="533">
        <v>7.8053738601097118</v>
      </c>
      <c r="AX79" s="534">
        <v>-7.99</v>
      </c>
      <c r="AY79" s="530">
        <v>-8.2200000000000006</v>
      </c>
      <c r="AZ79" s="530">
        <v>-0.23000000000000043</v>
      </c>
      <c r="BA79" s="530">
        <v>-2.3585389999999999</v>
      </c>
      <c r="BB79" s="533">
        <v>-3.6787622701336863E-2</v>
      </c>
      <c r="BC79" s="545"/>
      <c r="BD79" s="545"/>
      <c r="BE79" s="545"/>
      <c r="BF79" s="545"/>
      <c r="BG79" s="545"/>
      <c r="BH79" s="567"/>
      <c r="BI79" s="574" t="s">
        <v>723</v>
      </c>
      <c r="BJ79" s="1">
        <v>11287.75852558</v>
      </c>
      <c r="BK79" s="1">
        <v>6.5971800000000002E-3</v>
      </c>
      <c r="BL79" s="1">
        <v>1138.8372858800001</v>
      </c>
      <c r="BM79" s="1">
        <v>1138.7621597100001</v>
      </c>
      <c r="BN79" s="1">
        <v>5.9070153699999999</v>
      </c>
      <c r="BO79" s="1">
        <v>5.8926479799999996</v>
      </c>
      <c r="BP79" s="1">
        <v>0.27617529000000002</v>
      </c>
      <c r="BQ79" s="1">
        <v>6.2520777599999997</v>
      </c>
      <c r="BR79" s="1">
        <v>6.2348586199999998</v>
      </c>
      <c r="BS79" s="1">
        <v>-3.2277720000000003E-2</v>
      </c>
      <c r="BT79" s="1">
        <v>0.24381887999999999</v>
      </c>
      <c r="BU79" s="128">
        <v>0.41969912999999998</v>
      </c>
      <c r="BV79" s="512"/>
    </row>
    <row r="80" spans="1:74" s="519" customFormat="1" ht="22.5">
      <c r="A80" s="546">
        <v>62006005</v>
      </c>
      <c r="B80" s="543" t="s">
        <v>835</v>
      </c>
      <c r="C80" s="543" t="s">
        <v>703</v>
      </c>
      <c r="D80" s="513" t="s">
        <v>806</v>
      </c>
      <c r="E80" s="524" t="s">
        <v>807</v>
      </c>
      <c r="F80" s="524" t="s">
        <v>708</v>
      </c>
      <c r="G80" s="468">
        <v>37.054412499999998</v>
      </c>
      <c r="H80" s="468">
        <v>34.706105000000001</v>
      </c>
      <c r="I80" s="468">
        <v>29.144215000000003</v>
      </c>
      <c r="J80" s="468">
        <v>42.922192500000001</v>
      </c>
      <c r="K80" s="579"/>
      <c r="L80" s="578"/>
      <c r="M80" s="580"/>
      <c r="N80" s="581"/>
      <c r="O80" s="453">
        <v>8.0293813499999995</v>
      </c>
      <c r="P80" s="493">
        <v>93.5</v>
      </c>
      <c r="Q80" s="493">
        <v>91.3</v>
      </c>
      <c r="R80" s="456">
        <v>5179</v>
      </c>
      <c r="S80" s="456">
        <v>7003</v>
      </c>
      <c r="T80" s="456">
        <v>2058</v>
      </c>
      <c r="U80" s="456">
        <v>256.30866318237582</v>
      </c>
      <c r="V80" s="456">
        <v>5189</v>
      </c>
      <c r="W80" s="456">
        <v>7014</v>
      </c>
      <c r="X80" s="456">
        <v>2060</v>
      </c>
      <c r="Y80" s="454">
        <v>256.5577483749729</v>
      </c>
      <c r="Z80" s="456">
        <v>82</v>
      </c>
      <c r="AA80" s="456">
        <v>114</v>
      </c>
      <c r="AB80" s="456">
        <v>41</v>
      </c>
      <c r="AC80" s="454">
        <v>5.1062464482397516</v>
      </c>
      <c r="AD80" s="456">
        <v>3780</v>
      </c>
      <c r="AE80" s="456">
        <v>5413</v>
      </c>
      <c r="AF80" s="456">
        <v>1822</v>
      </c>
      <c r="AG80" s="454">
        <v>226.91661045592264</v>
      </c>
      <c r="AH80" s="456">
        <v>525.68632500000001</v>
      </c>
      <c r="AI80" s="456">
        <v>587.29999999999995</v>
      </c>
      <c r="AJ80" s="456">
        <v>75.513675000000035</v>
      </c>
      <c r="AK80" s="454">
        <v>9.4046691405434419</v>
      </c>
      <c r="AL80" s="456">
        <v>453.048633</v>
      </c>
      <c r="AM80" s="456">
        <v>506.71834200000001</v>
      </c>
      <c r="AN80" s="456">
        <v>65.899703000000045</v>
      </c>
      <c r="AO80" s="454">
        <v>8.2073201069220669</v>
      </c>
      <c r="AP80" s="456">
        <v>256.89999999999998</v>
      </c>
      <c r="AQ80" s="456">
        <v>303.68342200000001</v>
      </c>
      <c r="AR80" s="456">
        <v>56.800000000000011</v>
      </c>
      <c r="AS80" s="454">
        <v>7.0740194697565357</v>
      </c>
      <c r="AT80" s="456">
        <v>666.2</v>
      </c>
      <c r="AU80" s="456">
        <v>731.9</v>
      </c>
      <c r="AV80" s="456">
        <v>80.699999999999932</v>
      </c>
      <c r="AW80" s="454">
        <v>10.050587521291405</v>
      </c>
      <c r="AX80" s="456">
        <v>-7.9</v>
      </c>
      <c r="AY80" s="456">
        <v>-8.2200000000000006</v>
      </c>
      <c r="AZ80" s="456">
        <v>-0.38999999999999879</v>
      </c>
      <c r="BA80" s="530">
        <v>-2.3458490000000003</v>
      </c>
      <c r="BB80" s="454">
        <v>-4.8571612556426759E-2</v>
      </c>
      <c r="BC80" s="496"/>
      <c r="BD80" s="496"/>
      <c r="BE80" s="496"/>
      <c r="BF80" s="496"/>
      <c r="BG80" s="496"/>
      <c r="BH80" s="568"/>
      <c r="BI80" s="574" t="s">
        <v>723</v>
      </c>
      <c r="BJ80" s="1"/>
      <c r="BK80" s="1"/>
      <c r="BL80" s="1"/>
      <c r="BM80" s="1"/>
      <c r="BN80" s="1"/>
      <c r="BO80" s="1"/>
      <c r="BP80" s="1"/>
      <c r="BQ80" s="1"/>
      <c r="BR80" s="1"/>
      <c r="BS80" s="1"/>
      <c r="BT80" s="1"/>
      <c r="BU80" s="128"/>
      <c r="BV80" s="512"/>
    </row>
    <row r="81" spans="1:74" s="520" customFormat="1" ht="15.75">
      <c r="A81" s="535" t="s">
        <v>1242</v>
      </c>
      <c r="B81" s="537"/>
      <c r="C81" s="537"/>
      <c r="D81" s="537"/>
      <c r="E81" s="538"/>
      <c r="F81" s="538"/>
      <c r="G81" s="538"/>
      <c r="H81" s="538"/>
      <c r="I81" s="538"/>
      <c r="J81" s="538"/>
      <c r="K81" s="537"/>
      <c r="L81" s="537"/>
      <c r="M81" s="576"/>
      <c r="N81" s="577"/>
      <c r="O81" s="537"/>
      <c r="P81" s="537"/>
      <c r="Q81" s="537"/>
      <c r="R81" s="537"/>
      <c r="S81" s="537"/>
      <c r="T81" s="537"/>
      <c r="U81" s="537"/>
      <c r="V81" s="537"/>
      <c r="W81" s="537"/>
      <c r="X81" s="537"/>
      <c r="Y81" s="537"/>
      <c r="Z81" s="537"/>
      <c r="AA81" s="537"/>
      <c r="AB81" s="537"/>
      <c r="AC81" s="537"/>
      <c r="AD81" s="537"/>
      <c r="AE81" s="537"/>
      <c r="AF81" s="537"/>
      <c r="AG81" s="537"/>
      <c r="AH81" s="537"/>
      <c r="AI81" s="537"/>
      <c r="AJ81" s="537"/>
      <c r="AK81" s="537"/>
      <c r="AL81" s="537"/>
      <c r="AM81" s="537"/>
      <c r="AN81" s="537"/>
      <c r="AO81" s="537"/>
      <c r="AP81" s="537"/>
      <c r="AQ81" s="537"/>
      <c r="AR81" s="537"/>
      <c r="AS81" s="537"/>
      <c r="AT81" s="537"/>
      <c r="AU81" s="537"/>
      <c r="AV81" s="537"/>
      <c r="AW81" s="537"/>
      <c r="AX81" s="537"/>
      <c r="AY81" s="537"/>
      <c r="AZ81" s="537"/>
      <c r="BA81" s="537"/>
      <c r="BB81" s="537"/>
      <c r="BC81" s="537"/>
      <c r="BD81" s="537"/>
      <c r="BE81" s="537"/>
      <c r="BF81" s="537"/>
      <c r="BG81" s="537"/>
      <c r="BH81" s="537"/>
      <c r="BI81" s="569"/>
      <c r="BJ81" s="537"/>
      <c r="BK81" s="537"/>
      <c r="BL81" s="537"/>
      <c r="BM81" s="537"/>
      <c r="BN81" s="537"/>
      <c r="BO81" s="537"/>
      <c r="BP81" s="537"/>
      <c r="BQ81" s="537"/>
      <c r="BR81" s="537"/>
      <c r="BS81" s="537"/>
      <c r="BT81" s="537"/>
      <c r="BU81" s="542"/>
      <c r="BV81" s="541"/>
    </row>
    <row r="82" spans="1:74" s="519" customFormat="1" ht="22.5">
      <c r="A82" s="546">
        <v>62006006</v>
      </c>
      <c r="B82" s="543" t="s">
        <v>832</v>
      </c>
      <c r="C82" s="543" t="s">
        <v>695</v>
      </c>
      <c r="D82" s="513" t="s">
        <v>808</v>
      </c>
      <c r="E82" s="524" t="s">
        <v>809</v>
      </c>
      <c r="F82" s="524" t="s">
        <v>708</v>
      </c>
      <c r="G82" s="531">
        <v>-6.0696240000000001</v>
      </c>
      <c r="H82" s="531">
        <v>14.762821000000001</v>
      </c>
      <c r="I82" s="531">
        <v>29.149432000000001</v>
      </c>
      <c r="J82" s="531">
        <v>9.6836660000000006</v>
      </c>
      <c r="K82" s="578">
        <v>4250</v>
      </c>
      <c r="L82" s="578">
        <v>38.71</v>
      </c>
      <c r="M82" s="578">
        <v>3.0499999999999999E-2</v>
      </c>
      <c r="N82" s="578">
        <v>1.4999999999999999E-2</v>
      </c>
      <c r="O82" s="529">
        <v>3.5965361900000001</v>
      </c>
      <c r="P82" s="544">
        <v>99.8</v>
      </c>
      <c r="Q82" s="544">
        <v>98.3</v>
      </c>
      <c r="R82" s="530">
        <v>28</v>
      </c>
      <c r="S82" s="530">
        <v>1344</v>
      </c>
      <c r="T82" s="530">
        <v>1316</v>
      </c>
      <c r="U82" s="530">
        <v>365.9076206876706</v>
      </c>
      <c r="V82" s="534">
        <v>31</v>
      </c>
      <c r="W82" s="530">
        <v>1353</v>
      </c>
      <c r="X82" s="530">
        <v>1322</v>
      </c>
      <c r="Y82" s="533">
        <v>367.57589251451407</v>
      </c>
      <c r="Z82" s="534">
        <v>0</v>
      </c>
      <c r="AA82" s="530">
        <v>23</v>
      </c>
      <c r="AB82" s="530">
        <v>23</v>
      </c>
      <c r="AC82" s="533">
        <v>6.3950420029000181</v>
      </c>
      <c r="AD82" s="534">
        <v>1</v>
      </c>
      <c r="AE82" s="530">
        <v>840</v>
      </c>
      <c r="AF82" s="530">
        <v>839</v>
      </c>
      <c r="AG82" s="533">
        <v>233.2800104536137</v>
      </c>
      <c r="AH82" s="534">
        <v>27.5</v>
      </c>
      <c r="AI82" s="530">
        <v>90.6</v>
      </c>
      <c r="AJ82" s="530">
        <v>63.099999999999994</v>
      </c>
      <c r="AK82" s="533">
        <v>17.54465871230396</v>
      </c>
      <c r="AL82" s="534">
        <v>20.896808</v>
      </c>
      <c r="AM82" s="530">
        <v>72.516563000000005</v>
      </c>
      <c r="AN82" s="530">
        <v>51.619755000000005</v>
      </c>
      <c r="AO82" s="533">
        <v>14.352630495843837</v>
      </c>
      <c r="AP82" s="534">
        <v>0.1</v>
      </c>
      <c r="AQ82" s="530">
        <v>391.46563300000003</v>
      </c>
      <c r="AR82" s="530">
        <v>391.365633</v>
      </c>
      <c r="AS82" s="533">
        <v>108.81737658811102</v>
      </c>
      <c r="AT82" s="534">
        <v>0.4</v>
      </c>
      <c r="AU82" s="530">
        <v>1.1000000000000001</v>
      </c>
      <c r="AV82" s="530">
        <v>0.70000000000000007</v>
      </c>
      <c r="AW82" s="533">
        <v>0.19463171313173969</v>
      </c>
      <c r="AX82" s="534">
        <v>-2.16</v>
      </c>
      <c r="AY82" s="530">
        <v>-3.56</v>
      </c>
      <c r="AZ82" s="530">
        <v>-1.4</v>
      </c>
      <c r="BA82" s="530">
        <v>-9.9574470000000002</v>
      </c>
      <c r="BB82" s="533">
        <v>-0.38926342626347932</v>
      </c>
      <c r="BC82" s="545"/>
      <c r="BD82" s="545"/>
      <c r="BE82" s="545"/>
      <c r="BF82" s="545"/>
      <c r="BG82" s="545"/>
      <c r="BH82" s="567"/>
      <c r="BI82" s="574" t="s">
        <v>723</v>
      </c>
      <c r="BJ82" s="1">
        <v>2372.5291454100002</v>
      </c>
      <c r="BK82" s="1">
        <v>-1.433117</v>
      </c>
      <c r="BL82" s="1">
        <v>2019.4899458899999</v>
      </c>
      <c r="BM82" s="1">
        <v>2048.8523979299998</v>
      </c>
      <c r="BN82" s="1">
        <v>3.0147044900000002</v>
      </c>
      <c r="BO82" s="1">
        <v>3.0320350500000002</v>
      </c>
      <c r="BP82" s="1">
        <v>0.15446605999999999</v>
      </c>
      <c r="BQ82" s="1">
        <v>3.5965273400000002</v>
      </c>
      <c r="BR82" s="1">
        <v>3.5909804900000002</v>
      </c>
      <c r="BS82" s="1">
        <v>-0.73022191000000003</v>
      </c>
      <c r="BT82" s="1">
        <v>-0.57158202999999996</v>
      </c>
      <c r="BU82" s="128">
        <v>0.63450556999999996</v>
      </c>
      <c r="BV82" s="512"/>
    </row>
    <row r="83" spans="1:74" s="519" customFormat="1" ht="22.5">
      <c r="A83" s="546">
        <v>62006006</v>
      </c>
      <c r="B83" s="543" t="s">
        <v>831</v>
      </c>
      <c r="C83" s="543" t="s">
        <v>696</v>
      </c>
      <c r="D83" s="513" t="s">
        <v>808</v>
      </c>
      <c r="E83" s="524" t="s">
        <v>809</v>
      </c>
      <c r="F83" s="524" t="s">
        <v>708</v>
      </c>
      <c r="G83" s="531">
        <v>-7.2647690000000003</v>
      </c>
      <c r="H83" s="531">
        <v>14.996848</v>
      </c>
      <c r="I83" s="531">
        <v>29.148817999999999</v>
      </c>
      <c r="J83" s="531">
        <v>12.961677999999999</v>
      </c>
      <c r="K83" s="578">
        <v>4250</v>
      </c>
      <c r="L83" s="578">
        <v>38.71</v>
      </c>
      <c r="M83" s="578">
        <v>3.0499999999999999E-2</v>
      </c>
      <c r="N83" s="578">
        <v>1.4999999999999999E-2</v>
      </c>
      <c r="O83" s="529">
        <v>3.8625505599999999</v>
      </c>
      <c r="P83" s="544">
        <v>98.3</v>
      </c>
      <c r="Q83" s="544">
        <v>96.9</v>
      </c>
      <c r="R83" s="530">
        <v>1344</v>
      </c>
      <c r="S83" s="530">
        <v>2508</v>
      </c>
      <c r="T83" s="530">
        <v>1164</v>
      </c>
      <c r="U83" s="530">
        <v>301.35527857012698</v>
      </c>
      <c r="V83" s="534">
        <v>1353</v>
      </c>
      <c r="W83" s="530">
        <v>2528</v>
      </c>
      <c r="X83" s="530">
        <v>1175</v>
      </c>
      <c r="Y83" s="533">
        <v>304.20313773187218</v>
      </c>
      <c r="Z83" s="534">
        <v>23</v>
      </c>
      <c r="AA83" s="530">
        <v>42</v>
      </c>
      <c r="AB83" s="530">
        <v>19</v>
      </c>
      <c r="AC83" s="533">
        <v>4.9190294611962315</v>
      </c>
      <c r="AD83" s="534">
        <v>840</v>
      </c>
      <c r="AE83" s="530">
        <v>1509</v>
      </c>
      <c r="AF83" s="530">
        <v>669</v>
      </c>
      <c r="AG83" s="533">
        <v>173.20161629159361</v>
      </c>
      <c r="AH83" s="534">
        <v>90.6</v>
      </c>
      <c r="AI83" s="530">
        <v>191.9</v>
      </c>
      <c r="AJ83" s="530">
        <v>101.30000000000001</v>
      </c>
      <c r="AK83" s="533">
        <v>26.226193916798856</v>
      </c>
      <c r="AL83" s="534">
        <v>72.536500000000004</v>
      </c>
      <c r="AM83" s="530">
        <v>154.82611499999999</v>
      </c>
      <c r="AN83" s="530">
        <v>82.289614999999984</v>
      </c>
      <c r="AO83" s="533">
        <v>21.304475817657643</v>
      </c>
      <c r="AP83" s="534">
        <v>391.565</v>
      </c>
      <c r="AQ83" s="530">
        <v>764.5</v>
      </c>
      <c r="AR83" s="530">
        <v>372.935</v>
      </c>
      <c r="AS83" s="533">
        <v>96.551486953221925</v>
      </c>
      <c r="AT83" s="534">
        <v>1.1000000000000001</v>
      </c>
      <c r="AU83" s="530">
        <v>2.2999999999999998</v>
      </c>
      <c r="AV83" s="530">
        <v>1.1999999999999997</v>
      </c>
      <c r="AW83" s="533">
        <v>0.31067554491765664</v>
      </c>
      <c r="AX83" s="534">
        <v>-3.56</v>
      </c>
      <c r="AY83" s="530">
        <v>-4.91</v>
      </c>
      <c r="AZ83" s="530">
        <v>-1.35</v>
      </c>
      <c r="BA83" s="530">
        <v>-5.656371</v>
      </c>
      <c r="BB83" s="533">
        <v>-0.34950998803236383</v>
      </c>
      <c r="BC83" s="545"/>
      <c r="BD83" s="545"/>
      <c r="BE83" s="545"/>
      <c r="BF83" s="545"/>
      <c r="BG83" s="545"/>
      <c r="BH83" s="567"/>
      <c r="BI83" s="574" t="s">
        <v>723</v>
      </c>
      <c r="BJ83" s="1">
        <v>1476.3106469100001</v>
      </c>
      <c r="BK83" s="1">
        <v>-1.2935590400000001</v>
      </c>
      <c r="BL83" s="1">
        <v>3372.0821506399998</v>
      </c>
      <c r="BM83" s="1">
        <v>3416.2736676099998</v>
      </c>
      <c r="BN83" s="1">
        <v>2.9783992700000002</v>
      </c>
      <c r="BO83" s="1">
        <v>2.9954043399999999</v>
      </c>
      <c r="BP83" s="1">
        <v>6.8211540000000001E-2</v>
      </c>
      <c r="BQ83" s="1">
        <v>3.8624632000000001</v>
      </c>
      <c r="BR83" s="1">
        <v>3.8598303600000001</v>
      </c>
      <c r="BS83" s="1">
        <v>-0.63954772000000004</v>
      </c>
      <c r="BT83" s="1">
        <v>-0.56770544000000001</v>
      </c>
      <c r="BU83" s="128">
        <v>0.72008561000000004</v>
      </c>
      <c r="BV83" s="512"/>
    </row>
    <row r="84" spans="1:74" s="519" customFormat="1" ht="22.5">
      <c r="A84" s="546">
        <v>62006006</v>
      </c>
      <c r="B84" s="543" t="s">
        <v>830</v>
      </c>
      <c r="C84" s="543" t="s">
        <v>698</v>
      </c>
      <c r="D84" s="513" t="s">
        <v>808</v>
      </c>
      <c r="E84" s="524" t="s">
        <v>809</v>
      </c>
      <c r="F84" s="524" t="s">
        <v>708</v>
      </c>
      <c r="G84" s="468">
        <v>-6.6671965000000002</v>
      </c>
      <c r="H84" s="468">
        <v>14.879834500000001</v>
      </c>
      <c r="I84" s="468">
        <v>29.149124999999998</v>
      </c>
      <c r="J84" s="468">
        <v>11.322672000000001</v>
      </c>
      <c r="K84" s="579"/>
      <c r="L84" s="578"/>
      <c r="M84" s="580"/>
      <c r="N84" s="581"/>
      <c r="O84" s="453">
        <v>7.45908675</v>
      </c>
      <c r="P84" s="493">
        <v>99.8</v>
      </c>
      <c r="Q84" s="493">
        <v>96.9</v>
      </c>
      <c r="R84" s="456">
        <v>28</v>
      </c>
      <c r="S84" s="456">
        <v>2508</v>
      </c>
      <c r="T84" s="456">
        <v>2480</v>
      </c>
      <c r="U84" s="456">
        <v>332.48038038973067</v>
      </c>
      <c r="V84" s="456">
        <v>31</v>
      </c>
      <c r="W84" s="456">
        <v>2528</v>
      </c>
      <c r="X84" s="456">
        <v>2497</v>
      </c>
      <c r="Y84" s="454">
        <v>334.75947977143448</v>
      </c>
      <c r="Z84" s="456">
        <v>0</v>
      </c>
      <c r="AA84" s="456">
        <v>42</v>
      </c>
      <c r="AB84" s="456">
        <v>42</v>
      </c>
      <c r="AC84" s="454">
        <v>5.6307161195035036</v>
      </c>
      <c r="AD84" s="456">
        <v>1</v>
      </c>
      <c r="AE84" s="456">
        <v>1509</v>
      </c>
      <c r="AF84" s="456">
        <v>1508</v>
      </c>
      <c r="AG84" s="454">
        <v>202.16952162407819</v>
      </c>
      <c r="AH84" s="456">
        <v>27.5</v>
      </c>
      <c r="AI84" s="456">
        <v>191.9</v>
      </c>
      <c r="AJ84" s="456">
        <v>164.4</v>
      </c>
      <c r="AK84" s="454">
        <v>22.040231667770858</v>
      </c>
      <c r="AL84" s="456">
        <v>20.896808</v>
      </c>
      <c r="AM84" s="456">
        <v>154.82611499999999</v>
      </c>
      <c r="AN84" s="456">
        <v>133.90937</v>
      </c>
      <c r="AO84" s="454">
        <v>17.952515433608543</v>
      </c>
      <c r="AP84" s="456">
        <v>0.1</v>
      </c>
      <c r="AQ84" s="456">
        <v>764.5</v>
      </c>
      <c r="AR84" s="456">
        <v>764.30063300000006</v>
      </c>
      <c r="AS84" s="454">
        <v>102.46571177094837</v>
      </c>
      <c r="AT84" s="456">
        <v>0.4</v>
      </c>
      <c r="AU84" s="456">
        <v>2.2999999999999998</v>
      </c>
      <c r="AV84" s="456">
        <v>1.9</v>
      </c>
      <c r="AW84" s="454">
        <v>0.25472287207277755</v>
      </c>
      <c r="AX84" s="456">
        <v>-2.16</v>
      </c>
      <c r="AY84" s="456">
        <v>-4.91</v>
      </c>
      <c r="AZ84" s="456">
        <v>-2.75</v>
      </c>
      <c r="BA84" s="530">
        <v>-7.8069090000000001</v>
      </c>
      <c r="BB84" s="454">
        <v>-0.36867784115796748</v>
      </c>
      <c r="BC84" s="496"/>
      <c r="BD84" s="496"/>
      <c r="BE84" s="496"/>
      <c r="BF84" s="496"/>
      <c r="BG84" s="496"/>
      <c r="BH84" s="568"/>
      <c r="BI84" s="574" t="s">
        <v>723</v>
      </c>
      <c r="BJ84" s="1"/>
      <c r="BK84" s="1"/>
      <c r="BL84" s="1"/>
      <c r="BM84" s="1"/>
      <c r="BN84" s="1"/>
      <c r="BO84" s="1"/>
      <c r="BP84" s="1"/>
      <c r="BQ84" s="1"/>
      <c r="BR84" s="1"/>
      <c r="BS84" s="1"/>
      <c r="BT84" s="1"/>
      <c r="BU84" s="128"/>
      <c r="BV84" s="512"/>
    </row>
    <row r="85" spans="1:74" s="519" customFormat="1" ht="22.5">
      <c r="A85" s="546">
        <v>62006006</v>
      </c>
      <c r="B85" s="543" t="s">
        <v>829</v>
      </c>
      <c r="C85" s="543" t="s">
        <v>697</v>
      </c>
      <c r="D85" s="513" t="s">
        <v>808</v>
      </c>
      <c r="E85" s="524" t="s">
        <v>809</v>
      </c>
      <c r="F85" s="524" t="s">
        <v>708</v>
      </c>
      <c r="G85" s="531">
        <v>-4.3586600000000004</v>
      </c>
      <c r="H85" s="531">
        <v>11.999354</v>
      </c>
      <c r="I85" s="531">
        <v>29.147113999999998</v>
      </c>
      <c r="J85" s="531">
        <v>12.796614</v>
      </c>
      <c r="K85" s="578">
        <v>4250</v>
      </c>
      <c r="L85" s="578">
        <v>38.71</v>
      </c>
      <c r="M85" s="578">
        <v>3.0499999999999999E-2</v>
      </c>
      <c r="N85" s="578">
        <v>1.4999999999999999E-2</v>
      </c>
      <c r="O85" s="529">
        <v>10.284562859999999</v>
      </c>
      <c r="P85" s="544">
        <v>96.9</v>
      </c>
      <c r="Q85" s="544">
        <v>94</v>
      </c>
      <c r="R85" s="530">
        <v>2515.5667279999998</v>
      </c>
      <c r="S85" s="530">
        <v>5075</v>
      </c>
      <c r="T85" s="530">
        <v>2559.4332720000002</v>
      </c>
      <c r="U85" s="530">
        <v>248.8616489432396</v>
      </c>
      <c r="V85" s="534">
        <v>2536</v>
      </c>
      <c r="W85" s="530">
        <v>5107</v>
      </c>
      <c r="X85" s="530">
        <v>2571</v>
      </c>
      <c r="Y85" s="533">
        <v>249.9863178433624</v>
      </c>
      <c r="Z85" s="534">
        <v>42</v>
      </c>
      <c r="AA85" s="530">
        <v>44</v>
      </c>
      <c r="AB85" s="530">
        <v>2</v>
      </c>
      <c r="AC85" s="533">
        <v>0.19446621380269341</v>
      </c>
      <c r="AD85" s="534">
        <v>1509</v>
      </c>
      <c r="AE85" s="530">
        <v>3687</v>
      </c>
      <c r="AF85" s="530">
        <v>2178</v>
      </c>
      <c r="AG85" s="533">
        <v>211.77370683113313</v>
      </c>
      <c r="AH85" s="534">
        <v>193.8</v>
      </c>
      <c r="AI85" s="530">
        <v>284.10000000000002</v>
      </c>
      <c r="AJ85" s="530">
        <v>90.300000000000011</v>
      </c>
      <c r="AK85" s="533">
        <v>8.7801495531916096</v>
      </c>
      <c r="AL85" s="534">
        <v>156.346114</v>
      </c>
      <c r="AM85" s="530">
        <v>230.80129299999999</v>
      </c>
      <c r="AN85" s="530">
        <v>74.455178999999987</v>
      </c>
      <c r="AO85" s="533">
        <v>7.2395083790659029</v>
      </c>
      <c r="AP85" s="534">
        <v>770.4</v>
      </c>
      <c r="AQ85" s="530">
        <v>1058.3</v>
      </c>
      <c r="AR85" s="530">
        <v>287.89999999999998</v>
      </c>
      <c r="AS85" s="533">
        <v>27.993411476897716</v>
      </c>
      <c r="AT85" s="534">
        <v>2.2999999999999998</v>
      </c>
      <c r="AU85" s="530">
        <v>3.4</v>
      </c>
      <c r="AV85" s="530">
        <v>1.1000000000000001</v>
      </c>
      <c r="AW85" s="533">
        <v>0.10695641759148139</v>
      </c>
      <c r="AX85" s="534">
        <v>-4.93</v>
      </c>
      <c r="AY85" s="530">
        <v>-5.61</v>
      </c>
      <c r="AZ85" s="530">
        <v>-0.6800000000000006</v>
      </c>
      <c r="BA85" s="530">
        <v>-3.235563</v>
      </c>
      <c r="BB85" s="533">
        <v>-6.6118512692915826E-2</v>
      </c>
      <c r="BC85" s="545"/>
      <c r="BD85" s="545"/>
      <c r="BE85" s="545"/>
      <c r="BF85" s="545"/>
      <c r="BG85" s="545"/>
      <c r="BH85" s="567"/>
      <c r="BI85" s="574" t="s">
        <v>723</v>
      </c>
      <c r="BJ85" s="1">
        <v>1875.6765980499999</v>
      </c>
      <c r="BK85" s="1">
        <v>-0.40601368999999998</v>
      </c>
      <c r="BL85" s="1">
        <v>1301.4742136</v>
      </c>
      <c r="BM85" s="1">
        <v>1306.77991896</v>
      </c>
      <c r="BN85" s="1">
        <v>6.8098372100000004</v>
      </c>
      <c r="BO85" s="1">
        <v>6.7904527400000001</v>
      </c>
      <c r="BP85" s="1">
        <v>0.27202504</v>
      </c>
      <c r="BQ85" s="1">
        <v>10.28458101</v>
      </c>
      <c r="BR85" s="1">
        <v>10.25668027</v>
      </c>
      <c r="BS85" s="1">
        <v>1.340322E-2</v>
      </c>
      <c r="BT85" s="1">
        <v>0.28546653</v>
      </c>
      <c r="BU85" s="128">
        <v>0.33398605999999997</v>
      </c>
      <c r="BV85" s="512"/>
    </row>
    <row r="86" spans="1:74" s="519" customFormat="1" ht="22.5">
      <c r="A86" s="546">
        <v>62006006</v>
      </c>
      <c r="B86" s="543" t="s">
        <v>828</v>
      </c>
      <c r="C86" s="543" t="s">
        <v>699</v>
      </c>
      <c r="D86" s="513" t="s">
        <v>808</v>
      </c>
      <c r="E86" s="524" t="s">
        <v>809</v>
      </c>
      <c r="F86" s="524" t="s">
        <v>708</v>
      </c>
      <c r="G86" s="531">
        <v>-7.0795539999999999</v>
      </c>
      <c r="H86" s="531">
        <v>13.975158</v>
      </c>
      <c r="I86" s="531">
        <v>29.133617999999998</v>
      </c>
      <c r="J86" s="531">
        <v>11.885832000000001</v>
      </c>
      <c r="K86" s="578">
        <v>4250</v>
      </c>
      <c r="L86" s="578">
        <v>38.71</v>
      </c>
      <c r="M86" s="578">
        <v>3.0499999999999999E-2</v>
      </c>
      <c r="N86" s="578">
        <v>1.4999999999999999E-2</v>
      </c>
      <c r="O86" s="529">
        <v>3.5974940700000002</v>
      </c>
      <c r="P86" s="544">
        <v>93.9</v>
      </c>
      <c r="Q86" s="544">
        <v>92.7</v>
      </c>
      <c r="R86" s="530">
        <v>5119</v>
      </c>
      <c r="S86" s="530">
        <v>6199</v>
      </c>
      <c r="T86" s="530">
        <v>1080</v>
      </c>
      <c r="U86" s="530">
        <v>300.20897296433901</v>
      </c>
      <c r="V86" s="534">
        <v>5159</v>
      </c>
      <c r="W86" s="530">
        <v>6246</v>
      </c>
      <c r="X86" s="530">
        <v>1087</v>
      </c>
      <c r="Y86" s="533">
        <v>302.15477186318196</v>
      </c>
      <c r="Z86" s="534">
        <v>43</v>
      </c>
      <c r="AA86" s="530">
        <v>49</v>
      </c>
      <c r="AB86" s="530">
        <v>6</v>
      </c>
      <c r="AC86" s="533">
        <v>1.6678276275796613</v>
      </c>
      <c r="AD86" s="534">
        <v>3689</v>
      </c>
      <c r="AE86" s="530">
        <v>4426</v>
      </c>
      <c r="AF86" s="530">
        <v>737</v>
      </c>
      <c r="AG86" s="533">
        <v>204.86482692103505</v>
      </c>
      <c r="AH86" s="534">
        <v>325.39999999999998</v>
      </c>
      <c r="AI86" s="530">
        <v>383.4</v>
      </c>
      <c r="AJ86" s="530">
        <v>58</v>
      </c>
      <c r="AK86" s="533">
        <v>16.122333733270057</v>
      </c>
      <c r="AL86" s="534">
        <v>261.31532299999998</v>
      </c>
      <c r="AM86" s="530">
        <v>308.87507199999999</v>
      </c>
      <c r="AN86" s="530">
        <v>47.559749000000011</v>
      </c>
      <c r="AO86" s="533">
        <v>13.220243890492364</v>
      </c>
      <c r="AP86" s="534">
        <v>1060.7</v>
      </c>
      <c r="AQ86" s="530">
        <v>1339.4507249999999</v>
      </c>
      <c r="AR86" s="530">
        <v>278.75072499999987</v>
      </c>
      <c r="AS86" s="533">
        <v>77.484693393810062</v>
      </c>
      <c r="AT86" s="534">
        <v>4.3</v>
      </c>
      <c r="AU86" s="530">
        <v>5.0999999999999996</v>
      </c>
      <c r="AV86" s="530">
        <v>0.79999999999999982</v>
      </c>
      <c r="AW86" s="533">
        <v>0.22237701701062146</v>
      </c>
      <c r="AX86" s="534">
        <v>-6.04</v>
      </c>
      <c r="AY86" s="530">
        <v>-6.37</v>
      </c>
      <c r="AZ86" s="530">
        <v>-0.33000000000000007</v>
      </c>
      <c r="BA86" s="530">
        <v>-2.337545</v>
      </c>
      <c r="BB86" s="533">
        <v>-9.1730519516881381E-2</v>
      </c>
      <c r="BC86" s="545"/>
      <c r="BD86" s="545"/>
      <c r="BE86" s="545"/>
      <c r="BF86" s="545"/>
      <c r="BG86" s="545"/>
      <c r="BH86" s="567"/>
      <c r="BI86" s="574" t="s">
        <v>723</v>
      </c>
      <c r="BJ86" s="1">
        <v>2367.6276042200002</v>
      </c>
      <c r="BK86" s="1">
        <v>-1.09552016</v>
      </c>
      <c r="BL86" s="1">
        <v>2026.37147676</v>
      </c>
      <c r="BM86" s="1">
        <v>2048.8166764500002</v>
      </c>
      <c r="BN86" s="1">
        <v>3.02408638</v>
      </c>
      <c r="BO86" s="1">
        <v>3.0319767999999998</v>
      </c>
      <c r="BP86" s="1">
        <v>0.18069718000000001</v>
      </c>
      <c r="BQ86" s="1">
        <v>3.5974690699999998</v>
      </c>
      <c r="BR86" s="1">
        <v>3.5909802700000002</v>
      </c>
      <c r="BS86" s="1">
        <v>-0.44208761000000002</v>
      </c>
      <c r="BT86" s="1">
        <v>-0.26023994</v>
      </c>
      <c r="BU86" s="128">
        <v>0.63450112000000003</v>
      </c>
      <c r="BV86" s="512"/>
    </row>
    <row r="87" spans="1:74" s="519" customFormat="1" ht="22.5">
      <c r="A87" s="546">
        <v>62006006</v>
      </c>
      <c r="B87" s="543" t="s">
        <v>239</v>
      </c>
      <c r="C87" s="543" t="s">
        <v>700</v>
      </c>
      <c r="D87" s="513" t="s">
        <v>808</v>
      </c>
      <c r="E87" s="524" t="s">
        <v>809</v>
      </c>
      <c r="F87" s="524" t="s">
        <v>708</v>
      </c>
      <c r="G87" s="531">
        <v>-7.2287359999999996</v>
      </c>
      <c r="H87" s="531">
        <v>13.280696000000001</v>
      </c>
      <c r="I87" s="531">
        <v>29.127987999999998</v>
      </c>
      <c r="J87" s="531">
        <v>12.124025</v>
      </c>
      <c r="K87" s="578">
        <v>4250</v>
      </c>
      <c r="L87" s="578">
        <v>38.71</v>
      </c>
      <c r="M87" s="578">
        <v>3.0499999999999999E-2</v>
      </c>
      <c r="N87" s="578">
        <v>1.4999999999999999E-2</v>
      </c>
      <c r="O87" s="529">
        <v>3.8637061300000002</v>
      </c>
      <c r="P87" s="544">
        <v>92.7</v>
      </c>
      <c r="Q87" s="544">
        <v>91.4</v>
      </c>
      <c r="R87" s="530">
        <v>6199</v>
      </c>
      <c r="S87" s="530">
        <v>7297</v>
      </c>
      <c r="T87" s="530">
        <v>1098</v>
      </c>
      <c r="U87" s="530">
        <v>284.18310374966325</v>
      </c>
      <c r="V87" s="534">
        <v>6246</v>
      </c>
      <c r="W87" s="530">
        <v>7355</v>
      </c>
      <c r="X87" s="530">
        <v>1109</v>
      </c>
      <c r="Y87" s="533">
        <v>287.0301111642774</v>
      </c>
      <c r="Z87" s="534">
        <v>49</v>
      </c>
      <c r="AA87" s="530">
        <v>66</v>
      </c>
      <c r="AB87" s="530">
        <v>17</v>
      </c>
      <c r="AC87" s="533">
        <v>4.3999205498581748</v>
      </c>
      <c r="AD87" s="534">
        <v>4426</v>
      </c>
      <c r="AE87" s="530">
        <v>5087</v>
      </c>
      <c r="AF87" s="530">
        <v>661</v>
      </c>
      <c r="AG87" s="533">
        <v>171.07926373272079</v>
      </c>
      <c r="AH87" s="534">
        <v>383.4</v>
      </c>
      <c r="AI87" s="530">
        <v>480.9</v>
      </c>
      <c r="AJ87" s="530">
        <v>97.5</v>
      </c>
      <c r="AK87" s="533">
        <v>25.234838447716001</v>
      </c>
      <c r="AL87" s="534">
        <v>308.88512200000002</v>
      </c>
      <c r="AM87" s="530">
        <v>388.584677</v>
      </c>
      <c r="AN87" s="530">
        <v>79.699554999999975</v>
      </c>
      <c r="AO87" s="533">
        <v>20.627747638767747</v>
      </c>
      <c r="AP87" s="534">
        <v>1339.551217</v>
      </c>
      <c r="AQ87" s="530">
        <v>1662.4</v>
      </c>
      <c r="AR87" s="530">
        <v>322.84878300000014</v>
      </c>
      <c r="AS87" s="533">
        <v>83.559352636376644</v>
      </c>
      <c r="AT87" s="534">
        <v>5.0999999999999996</v>
      </c>
      <c r="AU87" s="530">
        <v>6.3</v>
      </c>
      <c r="AV87" s="530">
        <v>1.2000000000000002</v>
      </c>
      <c r="AW87" s="533">
        <v>0.31058262704881234</v>
      </c>
      <c r="AX87" s="534">
        <v>-6.37</v>
      </c>
      <c r="AY87" s="530">
        <v>-6.87</v>
      </c>
      <c r="AZ87" s="530">
        <v>-0.5</v>
      </c>
      <c r="BA87" s="530">
        <v>-2.0754649999999999</v>
      </c>
      <c r="BB87" s="533">
        <v>-0.12940942793700513</v>
      </c>
      <c r="BC87" s="545"/>
      <c r="BD87" s="545"/>
      <c r="BE87" s="545"/>
      <c r="BF87" s="545"/>
      <c r="BG87" s="545"/>
      <c r="BH87" s="567"/>
      <c r="BI87" s="574" t="s">
        <v>723</v>
      </c>
      <c r="BJ87" s="1">
        <v>1476.21895804</v>
      </c>
      <c r="BK87" s="1">
        <v>-1.21126216</v>
      </c>
      <c r="BL87" s="1">
        <v>3374.8522082300001</v>
      </c>
      <c r="BM87" s="1">
        <v>3416.2317303499999</v>
      </c>
      <c r="BN87" s="1">
        <v>2.9873064999999999</v>
      </c>
      <c r="BO87" s="1">
        <v>2.9953437900000002</v>
      </c>
      <c r="BP87" s="1">
        <v>9.7607780000000005E-2</v>
      </c>
      <c r="BQ87" s="1">
        <v>3.86359802</v>
      </c>
      <c r="BR87" s="1">
        <v>3.85983052</v>
      </c>
      <c r="BS87" s="1">
        <v>-0.36691859999999998</v>
      </c>
      <c r="BT87" s="1">
        <v>-0.26832627999999997</v>
      </c>
      <c r="BU87" s="128">
        <v>0.72009005000000004</v>
      </c>
      <c r="BV87" s="512"/>
    </row>
    <row r="88" spans="1:74" s="519" customFormat="1" ht="22.5">
      <c r="A88" s="546">
        <v>62006006</v>
      </c>
      <c r="B88" s="543" t="s">
        <v>833</v>
      </c>
      <c r="C88" s="543" t="s">
        <v>701</v>
      </c>
      <c r="D88" s="513" t="s">
        <v>808</v>
      </c>
      <c r="E88" s="524" t="s">
        <v>809</v>
      </c>
      <c r="F88" s="524" t="s">
        <v>708</v>
      </c>
      <c r="G88" s="468">
        <v>-7.1541449999999998</v>
      </c>
      <c r="H88" s="468">
        <v>13.627927</v>
      </c>
      <c r="I88" s="468">
        <v>29.130803</v>
      </c>
      <c r="J88" s="468">
        <v>12.0049285</v>
      </c>
      <c r="K88" s="579"/>
      <c r="L88" s="578"/>
      <c r="M88" s="580"/>
      <c r="N88" s="581"/>
      <c r="O88" s="453">
        <v>7.4612002000000004</v>
      </c>
      <c r="P88" s="493">
        <v>93.9</v>
      </c>
      <c r="Q88" s="493">
        <v>91.4</v>
      </c>
      <c r="R88" s="456">
        <v>5119</v>
      </c>
      <c r="S88" s="456">
        <v>7297</v>
      </c>
      <c r="T88" s="456">
        <v>2178</v>
      </c>
      <c r="U88" s="456">
        <v>291.91014067683102</v>
      </c>
      <c r="V88" s="456">
        <v>5159</v>
      </c>
      <c r="W88" s="456">
        <v>7355</v>
      </c>
      <c r="X88" s="456">
        <v>2196</v>
      </c>
      <c r="Y88" s="454">
        <v>294.32262117829248</v>
      </c>
      <c r="Z88" s="456">
        <v>43</v>
      </c>
      <c r="AA88" s="456">
        <v>66</v>
      </c>
      <c r="AB88" s="456">
        <v>23</v>
      </c>
      <c r="AC88" s="454">
        <v>3.0826139740895839</v>
      </c>
      <c r="AD88" s="456">
        <v>3689</v>
      </c>
      <c r="AE88" s="456">
        <v>5087</v>
      </c>
      <c r="AF88" s="456">
        <v>1398</v>
      </c>
      <c r="AG88" s="454">
        <v>187.36931894683644</v>
      </c>
      <c r="AH88" s="456">
        <v>325.39999999999998</v>
      </c>
      <c r="AI88" s="456">
        <v>480.9</v>
      </c>
      <c r="AJ88" s="456">
        <v>155.5</v>
      </c>
      <c r="AK88" s="454">
        <v>20.841150998736101</v>
      </c>
      <c r="AL88" s="456">
        <v>261.31532299999998</v>
      </c>
      <c r="AM88" s="456">
        <v>388.584677</v>
      </c>
      <c r="AN88" s="456">
        <v>127.25930399999999</v>
      </c>
      <c r="AO88" s="454">
        <v>17.056143862752801</v>
      </c>
      <c r="AP88" s="456">
        <v>1060.7</v>
      </c>
      <c r="AQ88" s="456">
        <v>1662.4</v>
      </c>
      <c r="AR88" s="456">
        <v>601.59950800000001</v>
      </c>
      <c r="AS88" s="454">
        <v>80.630393485487758</v>
      </c>
      <c r="AT88" s="456">
        <v>4.3</v>
      </c>
      <c r="AU88" s="456">
        <v>6.3</v>
      </c>
      <c r="AV88" s="456">
        <v>2</v>
      </c>
      <c r="AW88" s="454">
        <v>0.26805338905126819</v>
      </c>
      <c r="AX88" s="456">
        <v>-6.04</v>
      </c>
      <c r="AY88" s="456">
        <v>-6.87</v>
      </c>
      <c r="AZ88" s="456">
        <v>-0.83000000000000007</v>
      </c>
      <c r="BA88" s="530">
        <v>-2.2065049999999999</v>
      </c>
      <c r="BB88" s="454">
        <v>-0.1112421564562763</v>
      </c>
      <c r="BC88" s="496"/>
      <c r="BD88" s="496"/>
      <c r="BE88" s="496"/>
      <c r="BF88" s="496"/>
      <c r="BG88" s="496"/>
      <c r="BH88" s="568"/>
      <c r="BI88" s="574" t="s">
        <v>723</v>
      </c>
      <c r="BJ88" s="1"/>
      <c r="BK88" s="1"/>
      <c r="BL88" s="1"/>
      <c r="BM88" s="1"/>
      <c r="BN88" s="1"/>
      <c r="BO88" s="1"/>
      <c r="BP88" s="1"/>
      <c r="BQ88" s="1"/>
      <c r="BR88" s="1"/>
      <c r="BS88" s="1"/>
      <c r="BT88" s="1"/>
      <c r="BU88" s="128"/>
      <c r="BV88" s="512"/>
    </row>
    <row r="89" spans="1:74" s="519" customFormat="1" ht="22.5">
      <c r="A89" s="546">
        <v>62006006</v>
      </c>
      <c r="B89" s="543" t="s">
        <v>836</v>
      </c>
      <c r="C89" s="543" t="s">
        <v>770</v>
      </c>
      <c r="D89" s="513" t="s">
        <v>808</v>
      </c>
      <c r="E89" s="524" t="s">
        <v>809</v>
      </c>
      <c r="F89" s="524" t="s">
        <v>708</v>
      </c>
      <c r="G89" s="531">
        <v>-5.4039080000000004</v>
      </c>
      <c r="H89" s="531">
        <v>11.665568</v>
      </c>
      <c r="I89" s="531">
        <v>29.124369999999999</v>
      </c>
      <c r="J89" s="531">
        <v>13.136846999999999</v>
      </c>
      <c r="K89" s="578">
        <v>4250</v>
      </c>
      <c r="L89" s="578">
        <v>38.71</v>
      </c>
      <c r="M89" s="578">
        <v>3.0499999999999999E-2</v>
      </c>
      <c r="N89" s="578">
        <v>1.4999999999999999E-2</v>
      </c>
      <c r="O89" s="529">
        <v>1.7746566800000001</v>
      </c>
      <c r="P89" s="544">
        <v>91.3</v>
      </c>
      <c r="Q89" s="544">
        <v>88.4</v>
      </c>
      <c r="R89" s="530">
        <v>7338</v>
      </c>
      <c r="S89" s="530">
        <v>9822</v>
      </c>
      <c r="T89" s="530">
        <v>609</v>
      </c>
      <c r="U89" s="530">
        <v>343.16496642043461</v>
      </c>
      <c r="V89" s="534">
        <v>7397</v>
      </c>
      <c r="W89" s="530">
        <v>9892</v>
      </c>
      <c r="X89" s="530">
        <v>614</v>
      </c>
      <c r="Y89" s="533">
        <v>345.98241277856624</v>
      </c>
      <c r="Z89" s="534">
        <v>65</v>
      </c>
      <c r="AA89" s="530">
        <v>126</v>
      </c>
      <c r="AB89" s="530">
        <v>43</v>
      </c>
      <c r="AC89" s="533">
        <v>24.230038679932164</v>
      </c>
      <c r="AD89" s="534">
        <v>5088</v>
      </c>
      <c r="AE89" s="530">
        <v>7234</v>
      </c>
      <c r="AF89" s="530">
        <v>460</v>
      </c>
      <c r="AG89" s="533">
        <v>259.2050649481115</v>
      </c>
      <c r="AH89" s="534">
        <v>491.3</v>
      </c>
      <c r="AI89" s="530">
        <v>560.6</v>
      </c>
      <c r="AJ89" s="530">
        <v>27.457444000000066</v>
      </c>
      <c r="AK89" s="533">
        <v>15.471975120280765</v>
      </c>
      <c r="AL89" s="534">
        <v>397.12454500000001</v>
      </c>
      <c r="AM89" s="530">
        <v>454.07835</v>
      </c>
      <c r="AN89" s="530">
        <v>22.559714999999983</v>
      </c>
      <c r="AO89" s="533">
        <v>12.712157373447567</v>
      </c>
      <c r="AP89" s="534">
        <v>1692.1454510000001</v>
      </c>
      <c r="AQ89" s="530">
        <v>1899.3</v>
      </c>
      <c r="AR89" s="530">
        <v>80.126728999999841</v>
      </c>
      <c r="AS89" s="533">
        <v>45.150552162010193</v>
      </c>
      <c r="AT89" s="534">
        <v>6.5</v>
      </c>
      <c r="AU89" s="530">
        <v>7.4</v>
      </c>
      <c r="AV89" s="530">
        <v>0.40000000000000036</v>
      </c>
      <c r="AW89" s="533">
        <v>0.22539570865053196</v>
      </c>
      <c r="AX89" s="534">
        <v>-6.92</v>
      </c>
      <c r="AY89" s="530">
        <v>-7.23</v>
      </c>
      <c r="AZ89" s="530">
        <v>-0.12000000000000099</v>
      </c>
      <c r="BA89" s="530">
        <v>-1.8764209999999999</v>
      </c>
      <c r="BB89" s="533">
        <v>-6.7618712595160085E-2</v>
      </c>
      <c r="BC89" s="545"/>
      <c r="BD89" s="545"/>
      <c r="BE89" s="545"/>
      <c r="BF89" s="545"/>
      <c r="BG89" s="545"/>
      <c r="BH89" s="567"/>
      <c r="BI89" s="574" t="s">
        <v>723</v>
      </c>
      <c r="BJ89" s="1">
        <v>5477.0496132199996</v>
      </c>
      <c r="BK89" s="1">
        <v>-4.43860017</v>
      </c>
      <c r="BL89" s="1">
        <v>2350.26491485</v>
      </c>
      <c r="BM89" s="1">
        <v>2459.4291410000001</v>
      </c>
      <c r="BN89" s="1">
        <v>3.01004125</v>
      </c>
      <c r="BO89" s="1">
        <v>3.0983537600000002</v>
      </c>
      <c r="BP89" s="1">
        <v>0.14346724</v>
      </c>
      <c r="BQ89" s="1">
        <v>1.7746476499999999</v>
      </c>
      <c r="BR89" s="1">
        <v>1.77210526</v>
      </c>
      <c r="BS89" s="1">
        <v>-3.0816067500000002</v>
      </c>
      <c r="BT89" s="1">
        <v>-2.8503043400000001</v>
      </c>
      <c r="BU89" s="128">
        <v>0.84360230999999997</v>
      </c>
      <c r="BV89" s="512"/>
    </row>
    <row r="90" spans="1:74" s="519" customFormat="1" ht="22.5">
      <c r="A90" s="546">
        <v>62006006</v>
      </c>
      <c r="B90" s="543" t="s">
        <v>837</v>
      </c>
      <c r="C90" s="543" t="s">
        <v>705</v>
      </c>
      <c r="D90" s="513" t="s">
        <v>808</v>
      </c>
      <c r="E90" s="524" t="s">
        <v>809</v>
      </c>
      <c r="F90" s="524" t="s">
        <v>708</v>
      </c>
      <c r="G90" s="531">
        <v>-1.601431</v>
      </c>
      <c r="H90" s="531">
        <v>9.1319940000000006</v>
      </c>
      <c r="I90" s="531">
        <v>29.122405000000001</v>
      </c>
      <c r="J90" s="531">
        <v>12.404661000000001</v>
      </c>
      <c r="K90" s="578">
        <v>4250</v>
      </c>
      <c r="L90" s="578">
        <v>38.71</v>
      </c>
      <c r="M90" s="578">
        <v>3.0499999999999999E-2</v>
      </c>
      <c r="N90" s="578">
        <v>1.4999999999999999E-2</v>
      </c>
      <c r="O90" s="529">
        <v>6.2499930800000003</v>
      </c>
      <c r="P90" s="544">
        <v>90.8</v>
      </c>
      <c r="Q90" s="544">
        <v>88.6</v>
      </c>
      <c r="R90" s="530">
        <v>7748</v>
      </c>
      <c r="S90" s="530">
        <v>9623</v>
      </c>
      <c r="T90" s="530">
        <v>1875</v>
      </c>
      <c r="U90" s="530">
        <v>300.00033216036775</v>
      </c>
      <c r="V90" s="534">
        <v>7810</v>
      </c>
      <c r="W90" s="530">
        <v>9691</v>
      </c>
      <c r="X90" s="530">
        <v>1881</v>
      </c>
      <c r="Y90" s="533">
        <v>300.96033322328094</v>
      </c>
      <c r="Z90" s="534">
        <v>82</v>
      </c>
      <c r="AA90" s="530">
        <v>100</v>
      </c>
      <c r="AB90" s="530">
        <v>18</v>
      </c>
      <c r="AC90" s="533">
        <v>2.8800031887395305</v>
      </c>
      <c r="AD90" s="534">
        <v>5423</v>
      </c>
      <c r="AE90" s="530">
        <v>7109</v>
      </c>
      <c r="AF90" s="530">
        <v>1686</v>
      </c>
      <c r="AG90" s="533">
        <v>269.76029867860268</v>
      </c>
      <c r="AH90" s="534">
        <v>506</v>
      </c>
      <c r="AI90" s="530">
        <v>547.84255599999995</v>
      </c>
      <c r="AJ90" s="530">
        <v>41.842555999999945</v>
      </c>
      <c r="AK90" s="533">
        <v>6.6948163725006786</v>
      </c>
      <c r="AL90" s="534">
        <v>409.14442100000002</v>
      </c>
      <c r="AM90" s="530">
        <v>443.53851100000003</v>
      </c>
      <c r="AN90" s="530">
        <v>34.394090000000006</v>
      </c>
      <c r="AO90" s="533">
        <v>5.5030604929885785</v>
      </c>
      <c r="AP90" s="534">
        <v>1736.7147359999999</v>
      </c>
      <c r="AQ90" s="530">
        <v>1863.7425559999999</v>
      </c>
      <c r="AR90" s="530">
        <v>127.02782000000002</v>
      </c>
      <c r="AS90" s="533">
        <v>20.324473703257286</v>
      </c>
      <c r="AT90" s="534">
        <v>6.7</v>
      </c>
      <c r="AU90" s="530">
        <v>7.2</v>
      </c>
      <c r="AV90" s="530">
        <v>0.5</v>
      </c>
      <c r="AW90" s="533">
        <v>8.0000088576098069E-2</v>
      </c>
      <c r="AX90" s="534">
        <v>-6.99</v>
      </c>
      <c r="AY90" s="530">
        <v>-7.18</v>
      </c>
      <c r="AZ90" s="530">
        <v>-0.1899999999999995</v>
      </c>
      <c r="BA90" s="530">
        <v>-1.838681</v>
      </c>
      <c r="BB90" s="533">
        <v>-3.0400033658917185E-2</v>
      </c>
      <c r="BC90" s="545"/>
      <c r="BD90" s="545"/>
      <c r="BE90" s="545"/>
      <c r="BF90" s="545"/>
      <c r="BG90" s="545"/>
      <c r="BH90" s="567"/>
      <c r="BI90" s="574" t="s">
        <v>723</v>
      </c>
      <c r="BJ90" s="1">
        <v>11293.06792825</v>
      </c>
      <c r="BK90" s="1">
        <v>-4.9704650000000003E-2</v>
      </c>
      <c r="BL90" s="1">
        <v>1138.3132199300001</v>
      </c>
      <c r="BM90" s="1">
        <v>1138.8792959100001</v>
      </c>
      <c r="BN90" s="1">
        <v>5.8907827900000003</v>
      </c>
      <c r="BO90" s="1">
        <v>5.8928640799999998</v>
      </c>
      <c r="BP90" s="1">
        <v>0.24419109999999999</v>
      </c>
      <c r="BQ90" s="1">
        <v>6.2500827900000004</v>
      </c>
      <c r="BR90" s="1">
        <v>6.2348578200000002</v>
      </c>
      <c r="BS90" s="1">
        <v>-0.27960875000000002</v>
      </c>
      <c r="BT90" s="1">
        <v>-3.53189E-2</v>
      </c>
      <c r="BU90" s="128">
        <v>0.41973869000000003</v>
      </c>
      <c r="BV90" s="512"/>
    </row>
    <row r="91" spans="1:74" s="519" customFormat="1" ht="22.5">
      <c r="A91" s="546">
        <v>62006006</v>
      </c>
      <c r="B91" s="543" t="s">
        <v>835</v>
      </c>
      <c r="C91" s="543" t="s">
        <v>703</v>
      </c>
      <c r="D91" s="513" t="s">
        <v>808</v>
      </c>
      <c r="E91" s="524" t="s">
        <v>809</v>
      </c>
      <c r="F91" s="524" t="s">
        <v>708</v>
      </c>
      <c r="G91" s="468">
        <v>-3.5026695000000001</v>
      </c>
      <c r="H91" s="468">
        <v>10.398781</v>
      </c>
      <c r="I91" s="468">
        <v>29.1233875</v>
      </c>
      <c r="J91" s="468">
        <v>12.770754</v>
      </c>
      <c r="K91" s="579"/>
      <c r="L91" s="578"/>
      <c r="M91" s="580"/>
      <c r="N91" s="581"/>
      <c r="O91" s="453">
        <v>8.0246497600000009</v>
      </c>
      <c r="P91" s="493">
        <v>91.3</v>
      </c>
      <c r="Q91" s="493">
        <v>88.6</v>
      </c>
      <c r="R91" s="456">
        <v>7338</v>
      </c>
      <c r="S91" s="456">
        <v>9623</v>
      </c>
      <c r="T91" s="456">
        <v>2484</v>
      </c>
      <c r="U91" s="456">
        <v>309.54621999602381</v>
      </c>
      <c r="V91" s="456">
        <v>7397</v>
      </c>
      <c r="W91" s="456">
        <v>9691</v>
      </c>
      <c r="X91" s="456">
        <v>2495</v>
      </c>
      <c r="Y91" s="454">
        <v>310.91699633256013</v>
      </c>
      <c r="Z91" s="456">
        <v>65</v>
      </c>
      <c r="AA91" s="456">
        <v>100</v>
      </c>
      <c r="AB91" s="456">
        <v>61</v>
      </c>
      <c r="AC91" s="454">
        <v>7.601577866246962</v>
      </c>
      <c r="AD91" s="456">
        <v>5088</v>
      </c>
      <c r="AE91" s="456">
        <v>7109</v>
      </c>
      <c r="AF91" s="456">
        <v>2146</v>
      </c>
      <c r="AG91" s="454">
        <v>267.42600165518002</v>
      </c>
      <c r="AH91" s="456">
        <v>491.3</v>
      </c>
      <c r="AI91" s="456">
        <v>547.84255599999995</v>
      </c>
      <c r="AJ91" s="456">
        <v>69.300000000000011</v>
      </c>
      <c r="AK91" s="454">
        <v>8.6358909201789267</v>
      </c>
      <c r="AL91" s="456">
        <v>397.12454500000001</v>
      </c>
      <c r="AM91" s="456">
        <v>443.53851100000003</v>
      </c>
      <c r="AN91" s="456">
        <v>56.953804999999988</v>
      </c>
      <c r="AO91" s="454">
        <v>7.0973571063368111</v>
      </c>
      <c r="AP91" s="456">
        <v>1692.1454510000001</v>
      </c>
      <c r="AQ91" s="456">
        <v>1863.7425559999999</v>
      </c>
      <c r="AR91" s="456">
        <v>207.15454899999986</v>
      </c>
      <c r="AS91" s="454">
        <v>25.814777615914274</v>
      </c>
      <c r="AT91" s="456">
        <v>6.5</v>
      </c>
      <c r="AU91" s="456">
        <v>7.2</v>
      </c>
      <c r="AV91" s="456">
        <v>0.90000000000000036</v>
      </c>
      <c r="AW91" s="454">
        <v>0.11215442753479128</v>
      </c>
      <c r="AX91" s="456">
        <v>-6.92</v>
      </c>
      <c r="AY91" s="456">
        <v>-7.18</v>
      </c>
      <c r="AZ91" s="456">
        <v>-0.3100000000000005</v>
      </c>
      <c r="BA91" s="530">
        <v>-1.857551</v>
      </c>
      <c r="BB91" s="454">
        <v>-3.8630969484205933E-2</v>
      </c>
      <c r="BC91" s="496"/>
      <c r="BD91" s="496"/>
      <c r="BE91" s="496"/>
      <c r="BF91" s="496"/>
      <c r="BG91" s="496"/>
      <c r="BH91" s="568"/>
      <c r="BI91" s="574" t="s">
        <v>723</v>
      </c>
      <c r="BJ91" s="1"/>
      <c r="BK91" s="1"/>
      <c r="BL91" s="1"/>
      <c r="BM91" s="1"/>
      <c r="BN91" s="1"/>
      <c r="BO91" s="1"/>
      <c r="BP91" s="1"/>
      <c r="BQ91" s="1"/>
      <c r="BR91" s="1"/>
      <c r="BS91" s="1"/>
      <c r="BT91" s="1"/>
      <c r="BU91" s="128"/>
      <c r="BV91" s="512"/>
    </row>
    <row r="92" spans="1:74" s="519" customFormat="1" ht="22.5">
      <c r="A92" s="546">
        <v>62006007</v>
      </c>
      <c r="B92" s="543" t="s">
        <v>864</v>
      </c>
      <c r="C92" s="546" t="s">
        <v>695</v>
      </c>
      <c r="D92" s="513" t="s">
        <v>811</v>
      </c>
      <c r="E92" s="524" t="s">
        <v>812</v>
      </c>
      <c r="F92" s="524" t="s">
        <v>708</v>
      </c>
      <c r="G92" s="531">
        <v>0.32076300000000002</v>
      </c>
      <c r="H92" s="531">
        <v>8.2766640000000002</v>
      </c>
      <c r="I92" s="531">
        <v>29.119838999999999</v>
      </c>
      <c r="J92" s="531">
        <v>12.237956000000001</v>
      </c>
      <c r="K92" s="578">
        <v>4250</v>
      </c>
      <c r="L92" s="578">
        <v>38.71</v>
      </c>
      <c r="M92" s="578">
        <v>3.0499999999999999E-2</v>
      </c>
      <c r="N92" s="578">
        <v>1.4999999999999999E-2</v>
      </c>
      <c r="O92" s="529">
        <v>5.4506524699999996</v>
      </c>
      <c r="P92" s="544">
        <v>87.7</v>
      </c>
      <c r="Q92" s="544">
        <v>85.8</v>
      </c>
      <c r="R92" s="530">
        <v>10426.450795999999</v>
      </c>
      <c r="S92" s="530">
        <v>12010</v>
      </c>
      <c r="T92" s="530">
        <v>1583.5492040000008</v>
      </c>
      <c r="U92" s="530">
        <v>290.52470556795578</v>
      </c>
      <c r="V92" s="534">
        <v>10504</v>
      </c>
      <c r="W92" s="530">
        <v>12092</v>
      </c>
      <c r="X92" s="530">
        <v>1588</v>
      </c>
      <c r="Y92" s="533">
        <v>291.34126762625908</v>
      </c>
      <c r="Z92" s="534">
        <v>126</v>
      </c>
      <c r="AA92" s="530">
        <v>126</v>
      </c>
      <c r="AB92" s="530">
        <v>0</v>
      </c>
      <c r="AC92" s="533">
        <v>0</v>
      </c>
      <c r="AD92" s="534">
        <v>7590.4507960000001</v>
      </c>
      <c r="AE92" s="530">
        <v>9011.4350180000001</v>
      </c>
      <c r="AF92" s="530">
        <v>1420.984222</v>
      </c>
      <c r="AG92" s="533">
        <v>260.69983911485741</v>
      </c>
      <c r="AH92" s="534">
        <v>626.6</v>
      </c>
      <c r="AI92" s="530">
        <v>660.2</v>
      </c>
      <c r="AJ92" s="530">
        <v>33.600000000000023</v>
      </c>
      <c r="AK92" s="533">
        <v>6.1643996172810525</v>
      </c>
      <c r="AL92" s="534">
        <v>508.064504</v>
      </c>
      <c r="AM92" s="530">
        <v>535.544352</v>
      </c>
      <c r="AN92" s="530">
        <v>27.479848000000004</v>
      </c>
      <c r="AO92" s="533">
        <v>5.0415703718494465</v>
      </c>
      <c r="AP92" s="534">
        <v>2080.4</v>
      </c>
      <c r="AQ92" s="530">
        <v>2208.6435240000001</v>
      </c>
      <c r="AR92" s="530">
        <v>128.24352399999998</v>
      </c>
      <c r="AS92" s="533">
        <v>23.528105067392048</v>
      </c>
      <c r="AT92" s="534">
        <v>8.3000000000000007</v>
      </c>
      <c r="AU92" s="530">
        <v>8.6999999999999993</v>
      </c>
      <c r="AV92" s="530">
        <v>0.39999999999999858</v>
      </c>
      <c r="AW92" s="533">
        <v>7.3385709729536036E-2</v>
      </c>
      <c r="AX92" s="534">
        <v>-7.51</v>
      </c>
      <c r="AY92" s="530">
        <v>-7.6443490000000001</v>
      </c>
      <c r="AZ92" s="530">
        <v>-0.13434900000000027</v>
      </c>
      <c r="BA92" s="530">
        <v>-1.637672</v>
      </c>
      <c r="BB92" s="533">
        <v>-2.4648241791133729E-2</v>
      </c>
      <c r="BC92" s="545"/>
      <c r="BD92" s="545"/>
      <c r="BE92" s="545"/>
      <c r="BF92" s="545"/>
      <c r="BG92" s="545"/>
      <c r="BH92" s="567"/>
      <c r="BI92" s="574" t="s">
        <v>723</v>
      </c>
      <c r="BJ92" s="1">
        <v>21933.743792149999</v>
      </c>
      <c r="BK92" s="1">
        <v>2.6026186099999999</v>
      </c>
      <c r="BL92" s="1">
        <v>596.27717008000002</v>
      </c>
      <c r="BM92" s="1">
        <v>581.15200000000004</v>
      </c>
      <c r="BN92" s="1">
        <v>4.8974611899999996</v>
      </c>
      <c r="BO92" s="1">
        <v>4.8660465899999998</v>
      </c>
      <c r="BP92" s="1">
        <v>0.29353558000000002</v>
      </c>
      <c r="BQ92" s="1">
        <v>5.4477776999999996</v>
      </c>
      <c r="BR92" s="1">
        <v>5.4318333299999999</v>
      </c>
      <c r="BS92" s="1">
        <v>0.34979386000000001</v>
      </c>
      <c r="BT92" s="1">
        <v>0.64558766999999995</v>
      </c>
      <c r="BU92" s="128">
        <v>0.1697623</v>
      </c>
      <c r="BV92" s="512"/>
    </row>
    <row r="93" spans="1:74" s="519" customFormat="1" ht="22.5">
      <c r="A93" s="546">
        <v>62006007</v>
      </c>
      <c r="B93" s="543" t="s">
        <v>865</v>
      </c>
      <c r="C93" s="546" t="s">
        <v>696</v>
      </c>
      <c r="D93" s="513" t="s">
        <v>811</v>
      </c>
      <c r="E93" s="524" t="s">
        <v>812</v>
      </c>
      <c r="F93" s="524" t="s">
        <v>708</v>
      </c>
      <c r="G93" s="531">
        <v>0.37922899999999998</v>
      </c>
      <c r="H93" s="531">
        <v>8.0402719999999999</v>
      </c>
      <c r="I93" s="531">
        <v>29.117139999999999</v>
      </c>
      <c r="J93" s="531">
        <v>14.340873999999999</v>
      </c>
      <c r="K93" s="578">
        <v>4250</v>
      </c>
      <c r="L93" s="578">
        <v>38.71</v>
      </c>
      <c r="M93" s="578">
        <v>3.0499999999999999E-2</v>
      </c>
      <c r="N93" s="578">
        <v>1.4999999999999999E-2</v>
      </c>
      <c r="O93" s="529">
        <v>5.4506141100000001</v>
      </c>
      <c r="P93" s="544">
        <v>85.8</v>
      </c>
      <c r="Q93" s="544">
        <v>84</v>
      </c>
      <c r="R93" s="530">
        <v>12011</v>
      </c>
      <c r="S93" s="530">
        <v>13547</v>
      </c>
      <c r="T93" s="530">
        <v>1536</v>
      </c>
      <c r="U93" s="530">
        <v>281.80310860421559</v>
      </c>
      <c r="V93" s="534">
        <v>12093</v>
      </c>
      <c r="W93" s="530">
        <v>13633.416635</v>
      </c>
      <c r="X93" s="530">
        <v>1540.4166349999996</v>
      </c>
      <c r="Y93" s="533">
        <v>282.61340904208674</v>
      </c>
      <c r="Z93" s="534">
        <v>126</v>
      </c>
      <c r="AA93" s="530">
        <v>126</v>
      </c>
      <c r="AB93" s="530">
        <v>0</v>
      </c>
      <c r="AC93" s="533">
        <v>0</v>
      </c>
      <c r="AD93" s="534">
        <v>9012</v>
      </c>
      <c r="AE93" s="530">
        <v>10385</v>
      </c>
      <c r="AF93" s="530">
        <v>1373</v>
      </c>
      <c r="AG93" s="533">
        <v>251.89822142811721</v>
      </c>
      <c r="AH93" s="534">
        <v>660.2</v>
      </c>
      <c r="AI93" s="530">
        <v>694.9</v>
      </c>
      <c r="AJ93" s="530">
        <v>34.699999999999932</v>
      </c>
      <c r="AK93" s="533">
        <v>6.3662551227644935</v>
      </c>
      <c r="AL93" s="534">
        <v>535.56573800000001</v>
      </c>
      <c r="AM93" s="530">
        <v>564.12416900000005</v>
      </c>
      <c r="AN93" s="530">
        <v>28.558431000000041</v>
      </c>
      <c r="AO93" s="533">
        <v>5.2394886931373756</v>
      </c>
      <c r="AP93" s="534">
        <v>2208.728689</v>
      </c>
      <c r="AQ93" s="530">
        <v>2337.1999999999998</v>
      </c>
      <c r="AR93" s="530">
        <v>128.47131099999979</v>
      </c>
      <c r="AS93" s="533">
        <v>23.570061722824803</v>
      </c>
      <c r="AT93" s="534">
        <v>8.6999999999999993</v>
      </c>
      <c r="AU93" s="530">
        <v>9.1999999999999993</v>
      </c>
      <c r="AV93" s="530">
        <v>0.5</v>
      </c>
      <c r="AW93" s="533">
        <v>9.1732782748768102E-2</v>
      </c>
      <c r="AX93" s="534">
        <v>-7.65</v>
      </c>
      <c r="AY93" s="530">
        <v>-7.78</v>
      </c>
      <c r="AZ93" s="530">
        <v>-0.12999999999999989</v>
      </c>
      <c r="BA93" s="530">
        <v>-1.6237969999999999</v>
      </c>
      <c r="BB93" s="533">
        <v>-2.3850523514679686E-2</v>
      </c>
      <c r="BC93" s="545"/>
      <c r="BD93" s="545"/>
      <c r="BE93" s="545"/>
      <c r="BF93" s="545"/>
      <c r="BG93" s="545"/>
      <c r="BH93" s="567"/>
      <c r="BI93" s="574" t="s">
        <v>723</v>
      </c>
      <c r="BJ93" s="1">
        <v>21933.743792149999</v>
      </c>
      <c r="BK93" s="1">
        <v>2.6162123199999998</v>
      </c>
      <c r="BL93" s="1">
        <v>596.35617022999998</v>
      </c>
      <c r="BM93" s="1">
        <v>581.15200000000004</v>
      </c>
      <c r="BN93" s="1">
        <v>4.8974853999999999</v>
      </c>
      <c r="BO93" s="1">
        <v>4.8660465899999998</v>
      </c>
      <c r="BP93" s="1">
        <v>0.29254806999999999</v>
      </c>
      <c r="BQ93" s="1">
        <v>5.4477240599999996</v>
      </c>
      <c r="BR93" s="1">
        <v>5.4318333299999999</v>
      </c>
      <c r="BS93" s="1">
        <v>0.35126781000000001</v>
      </c>
      <c r="BT93" s="1">
        <v>0.64608536999999999</v>
      </c>
      <c r="BU93" s="128">
        <v>0.1697623</v>
      </c>
      <c r="BV93" s="512"/>
    </row>
    <row r="94" spans="1:74" s="519" customFormat="1" ht="22.5">
      <c r="A94" s="546">
        <v>62006007</v>
      </c>
      <c r="B94" s="543" t="s">
        <v>863</v>
      </c>
      <c r="C94" s="472" t="s">
        <v>697</v>
      </c>
      <c r="D94" s="513" t="s">
        <v>811</v>
      </c>
      <c r="E94" s="524" t="s">
        <v>812</v>
      </c>
      <c r="F94" s="524" t="s">
        <v>708</v>
      </c>
      <c r="G94" s="531">
        <v>-1.9368430000000001</v>
      </c>
      <c r="H94" s="531">
        <v>8.8325499999999995</v>
      </c>
      <c r="I94" s="531">
        <v>29.116250999999998</v>
      </c>
      <c r="J94" s="531">
        <v>15.766387999999999</v>
      </c>
      <c r="K94" s="578">
        <v>4250</v>
      </c>
      <c r="L94" s="578">
        <v>38.71</v>
      </c>
      <c r="M94" s="578">
        <v>3.0499999999999999E-2</v>
      </c>
      <c r="N94" s="578">
        <v>1.4999999999999999E-2</v>
      </c>
      <c r="O94" s="529">
        <v>0.24489452</v>
      </c>
      <c r="P94" s="544">
        <v>84</v>
      </c>
      <c r="Q94" s="544">
        <v>84.2</v>
      </c>
      <c r="R94" s="530">
        <v>13548</v>
      </c>
      <c r="S94" s="530">
        <v>13399</v>
      </c>
      <c r="T94" s="530">
        <v>-149</v>
      </c>
      <c r="U94" s="530">
        <v>-608.42521098471286</v>
      </c>
      <c r="V94" s="534">
        <v>13634.410750999999</v>
      </c>
      <c r="W94" s="530">
        <v>13486</v>
      </c>
      <c r="X94" s="530">
        <v>-148.41075099999944</v>
      </c>
      <c r="Y94" s="533">
        <v>-606.01907711123727</v>
      </c>
      <c r="Z94" s="534">
        <v>126</v>
      </c>
      <c r="AA94" s="530">
        <v>129</v>
      </c>
      <c r="AB94" s="530">
        <v>3</v>
      </c>
      <c r="AC94" s="533">
        <v>12.250172033249253</v>
      </c>
      <c r="AD94" s="534">
        <v>10386</v>
      </c>
      <c r="AE94" s="530">
        <v>10217</v>
      </c>
      <c r="AF94" s="530">
        <v>-169</v>
      </c>
      <c r="AG94" s="533">
        <v>-690.09302453970793</v>
      </c>
      <c r="AH94" s="534">
        <v>694.94111199999998</v>
      </c>
      <c r="AI94" s="530">
        <v>698.6</v>
      </c>
      <c r="AJ94" s="530">
        <v>3.6588880000000472</v>
      </c>
      <c r="AK94" s="533">
        <v>14.940669150130624</v>
      </c>
      <c r="AL94" s="534">
        <v>564.14411099999995</v>
      </c>
      <c r="AM94" s="530">
        <v>567.16</v>
      </c>
      <c r="AN94" s="530">
        <v>3.0158890000000156</v>
      </c>
      <c r="AO94" s="533">
        <v>12.315053027728084</v>
      </c>
      <c r="AP94" s="534">
        <v>2337.3000000000002</v>
      </c>
      <c r="AQ94" s="530">
        <v>2350.1</v>
      </c>
      <c r="AR94" s="530">
        <v>12.799999999999727</v>
      </c>
      <c r="AS94" s="533">
        <v>52.267400675195702</v>
      </c>
      <c r="AT94" s="534">
        <v>9.1999999999999993</v>
      </c>
      <c r="AU94" s="530">
        <v>9.1999999999999993</v>
      </c>
      <c r="AV94" s="530">
        <v>0</v>
      </c>
      <c r="AW94" s="533">
        <v>0</v>
      </c>
      <c r="AX94" s="534">
        <v>-7.78</v>
      </c>
      <c r="AY94" s="530">
        <v>-7.79</v>
      </c>
      <c r="AZ94" s="530">
        <v>-9.9999999999997868E-3</v>
      </c>
      <c r="BA94" s="530">
        <v>-1.4824900000000001</v>
      </c>
      <c r="BB94" s="533">
        <v>-4.083390677749664E-2</v>
      </c>
      <c r="BC94" s="545"/>
      <c r="BD94" s="545"/>
      <c r="BE94" s="545"/>
      <c r="BF94" s="545"/>
      <c r="BG94" s="545"/>
      <c r="BH94" s="567"/>
      <c r="BI94" s="574" t="s">
        <v>723</v>
      </c>
      <c r="BJ94" s="1">
        <v>132435.94501699999</v>
      </c>
      <c r="BK94" s="1">
        <v>0.30014067</v>
      </c>
      <c r="BL94" s="1">
        <v>582.89627353000003</v>
      </c>
      <c r="BM94" s="1">
        <v>581.15200000000004</v>
      </c>
      <c r="BN94" s="1">
        <v>0.85564823999999995</v>
      </c>
      <c r="BO94" s="1">
        <v>1.4771838500000001</v>
      </c>
      <c r="BP94" s="1">
        <v>-72.613919480000007</v>
      </c>
      <c r="BQ94" s="1">
        <v>0.24199406000000001</v>
      </c>
      <c r="BR94" s="1">
        <v>0.88363888999999995</v>
      </c>
      <c r="BS94" s="1">
        <v>52.720903370000002</v>
      </c>
      <c r="BT94" s="1">
        <v>-42.075711099999999</v>
      </c>
      <c r="BU94" s="128">
        <v>0.55922033000000004</v>
      </c>
      <c r="BV94" s="512"/>
    </row>
    <row r="95" spans="1:74" s="519" customFormat="1">
      <c r="A95" s="546">
        <v>62006008</v>
      </c>
      <c r="B95" s="543" t="s">
        <v>906</v>
      </c>
      <c r="C95" s="472" t="s">
        <v>695</v>
      </c>
      <c r="D95" s="513" t="s">
        <v>814</v>
      </c>
      <c r="E95" s="524" t="s">
        <v>815</v>
      </c>
      <c r="F95" s="524" t="s">
        <v>708</v>
      </c>
      <c r="G95" s="531">
        <v>-120.11135400000001</v>
      </c>
      <c r="H95" s="531">
        <v>208.59554900000001</v>
      </c>
      <c r="I95" s="531">
        <v>511.95672100000002</v>
      </c>
      <c r="J95" s="531">
        <v>-51.895884000000002</v>
      </c>
      <c r="K95" s="578">
        <v>4250</v>
      </c>
      <c r="L95" s="578">
        <v>38.71</v>
      </c>
      <c r="M95" s="578">
        <v>3.0499999999999999E-2</v>
      </c>
      <c r="N95" s="578">
        <v>1.4999999999999999E-2</v>
      </c>
      <c r="O95" s="529">
        <v>2.0510999999999999E-4</v>
      </c>
      <c r="P95" s="544">
        <v>84.2</v>
      </c>
      <c r="Q95" s="544">
        <v>99.9</v>
      </c>
      <c r="R95" s="530">
        <v>13432</v>
      </c>
      <c r="S95" s="530">
        <v>-512</v>
      </c>
      <c r="T95" s="530">
        <v>-13944</v>
      </c>
      <c r="U95" s="530">
        <v>-67983033.494222611</v>
      </c>
      <c r="V95" s="534">
        <v>13522</v>
      </c>
      <c r="W95" s="530">
        <v>-335</v>
      </c>
      <c r="X95" s="530">
        <v>-13857</v>
      </c>
      <c r="Y95" s="533">
        <v>-67558870.849787921</v>
      </c>
      <c r="Z95" s="534">
        <v>128</v>
      </c>
      <c r="AA95" s="530">
        <v>118</v>
      </c>
      <c r="AB95" s="530">
        <v>-10</v>
      </c>
      <c r="AC95" s="533">
        <v>-48754.326946516507</v>
      </c>
      <c r="AD95" s="534">
        <v>10218</v>
      </c>
      <c r="AE95" s="530">
        <v>10239</v>
      </c>
      <c r="AF95" s="530">
        <v>21</v>
      </c>
      <c r="AG95" s="533">
        <v>102384.08658768467</v>
      </c>
      <c r="AH95" s="534">
        <v>716.6</v>
      </c>
      <c r="AI95" s="530">
        <v>-13238.6</v>
      </c>
      <c r="AJ95" s="530">
        <v>-13955.2</v>
      </c>
      <c r="AK95" s="533">
        <v>-68037638.340402722</v>
      </c>
      <c r="AL95" s="534">
        <v>580.49</v>
      </c>
      <c r="AM95" s="530">
        <v>732.67</v>
      </c>
      <c r="AN95" s="530">
        <v>152.17999999999995</v>
      </c>
      <c r="AO95" s="533">
        <v>741943.34747208795</v>
      </c>
      <c r="AP95" s="534">
        <v>2364.6999999999998</v>
      </c>
      <c r="AQ95" s="530">
        <v>2368.1</v>
      </c>
      <c r="AR95" s="530">
        <v>3.4000000000000909</v>
      </c>
      <c r="AS95" s="533">
        <v>16576.471161816055</v>
      </c>
      <c r="AT95" s="534">
        <v>9.6</v>
      </c>
      <c r="AU95" s="530">
        <v>19.100000000000001</v>
      </c>
      <c r="AV95" s="530">
        <v>9.5000000000000018</v>
      </c>
      <c r="AW95" s="533">
        <v>46316.610599190688</v>
      </c>
      <c r="AX95" s="534">
        <v>-7.9</v>
      </c>
      <c r="AY95" s="530">
        <v>-10.43</v>
      </c>
      <c r="AZ95" s="530">
        <v>-2.5299999999999994</v>
      </c>
      <c r="BA95" s="530">
        <v>-23.360800999999999</v>
      </c>
      <c r="BB95" s="533">
        <v>-12334.844717468673</v>
      </c>
      <c r="BC95" s="545">
        <v>11.6</v>
      </c>
      <c r="BD95" s="545">
        <v>15104.3</v>
      </c>
      <c r="BE95" s="545">
        <v>15092.699999999999</v>
      </c>
      <c r="BF95" s="545">
        <v>0</v>
      </c>
      <c r="BG95" s="545">
        <v>-15054.8</v>
      </c>
      <c r="BH95" s="567">
        <v>-15054.8</v>
      </c>
      <c r="BI95" s="574"/>
      <c r="BJ95" s="1"/>
      <c r="BK95" s="1"/>
      <c r="BL95" s="1"/>
      <c r="BM95" s="1"/>
      <c r="BN95" s="1"/>
      <c r="BO95" s="1"/>
      <c r="BP95" s="1"/>
      <c r="BQ95" s="1"/>
      <c r="BR95" s="1"/>
      <c r="BS95" s="1"/>
      <c r="BT95" s="1"/>
      <c r="BU95" s="128"/>
      <c r="BV95" s="512"/>
    </row>
    <row r="96" spans="1:74" s="520" customFormat="1" ht="15.75">
      <c r="A96" s="535" t="s">
        <v>1243</v>
      </c>
      <c r="B96" s="537"/>
      <c r="C96" s="537"/>
      <c r="D96" s="537"/>
      <c r="E96" s="538"/>
      <c r="F96" s="538"/>
      <c r="G96" s="538"/>
      <c r="H96" s="538"/>
      <c r="I96" s="538"/>
      <c r="J96" s="538"/>
      <c r="K96" s="537"/>
      <c r="L96" s="537"/>
      <c r="M96" s="576"/>
      <c r="N96" s="577"/>
      <c r="O96" s="537"/>
      <c r="P96" s="537"/>
      <c r="Q96" s="537"/>
      <c r="R96" s="537"/>
      <c r="S96" s="537"/>
      <c r="T96" s="537"/>
      <c r="U96" s="537"/>
      <c r="V96" s="537"/>
      <c r="W96" s="537"/>
      <c r="X96" s="537"/>
      <c r="Y96" s="537"/>
      <c r="Z96" s="537"/>
      <c r="AA96" s="537"/>
      <c r="AB96" s="537"/>
      <c r="AC96" s="537"/>
      <c r="AD96" s="537"/>
      <c r="AE96" s="537"/>
      <c r="AF96" s="537"/>
      <c r="AG96" s="537"/>
      <c r="AH96" s="537"/>
      <c r="AI96" s="537"/>
      <c r="AJ96" s="537"/>
      <c r="AK96" s="537"/>
      <c r="AL96" s="537"/>
      <c r="AM96" s="537"/>
      <c r="AN96" s="537"/>
      <c r="AO96" s="537"/>
      <c r="AP96" s="537"/>
      <c r="AQ96" s="537"/>
      <c r="AR96" s="537"/>
      <c r="AS96" s="537"/>
      <c r="AT96" s="537"/>
      <c r="AU96" s="537"/>
      <c r="AV96" s="537"/>
      <c r="AW96" s="537"/>
      <c r="AX96" s="537"/>
      <c r="AY96" s="537"/>
      <c r="AZ96" s="537"/>
      <c r="BA96" s="537"/>
      <c r="BB96" s="537"/>
      <c r="BC96" s="537"/>
      <c r="BD96" s="537"/>
      <c r="BE96" s="537"/>
      <c r="BF96" s="537"/>
      <c r="BG96" s="537"/>
      <c r="BH96" s="537"/>
      <c r="BI96" s="569"/>
      <c r="BJ96" s="537"/>
      <c r="BK96" s="537"/>
      <c r="BL96" s="537"/>
      <c r="BM96" s="537"/>
      <c r="BN96" s="537"/>
      <c r="BO96" s="537"/>
      <c r="BP96" s="537"/>
      <c r="BQ96" s="537"/>
      <c r="BR96" s="537"/>
      <c r="BS96" s="537"/>
      <c r="BT96" s="537"/>
      <c r="BU96" s="542"/>
      <c r="BV96" s="541"/>
    </row>
    <row r="97" spans="1:74" s="519" customFormat="1" ht="22.5">
      <c r="A97" s="546">
        <v>62006009</v>
      </c>
      <c r="B97" s="543" t="s">
        <v>832</v>
      </c>
      <c r="C97" s="543" t="s">
        <v>695</v>
      </c>
      <c r="D97" s="513" t="s">
        <v>816</v>
      </c>
      <c r="E97" s="524" t="s">
        <v>817</v>
      </c>
      <c r="F97" s="524" t="s">
        <v>708</v>
      </c>
      <c r="G97" s="531">
        <v>-5.4976099999999999</v>
      </c>
      <c r="H97" s="531">
        <v>8.5519459999999992</v>
      </c>
      <c r="I97" s="531">
        <v>29.069949999999999</v>
      </c>
      <c r="J97" s="531">
        <v>3.0688610000000001</v>
      </c>
      <c r="K97" s="578">
        <v>4250</v>
      </c>
      <c r="L97" s="578">
        <v>38.71</v>
      </c>
      <c r="M97" s="578">
        <v>3.0499999999999999E-2</v>
      </c>
      <c r="N97" s="578">
        <v>1.4999999999999999E-2</v>
      </c>
      <c r="O97" s="529">
        <v>3.5971224199999998</v>
      </c>
      <c r="P97" s="544">
        <v>99.7</v>
      </c>
      <c r="Q97" s="544">
        <v>97.5</v>
      </c>
      <c r="R97" s="530">
        <v>23</v>
      </c>
      <c r="S97" s="530">
        <v>1848.781843</v>
      </c>
      <c r="T97" s="530">
        <v>1825.781843</v>
      </c>
      <c r="U97" s="530">
        <v>507.56733572609409</v>
      </c>
      <c r="V97" s="534">
        <v>24</v>
      </c>
      <c r="W97" s="530">
        <v>1853</v>
      </c>
      <c r="X97" s="530">
        <v>1829</v>
      </c>
      <c r="Y97" s="533">
        <v>508.46198334278546</v>
      </c>
      <c r="Z97" s="534">
        <v>0</v>
      </c>
      <c r="AA97" s="530">
        <v>50</v>
      </c>
      <c r="AB97" s="530">
        <v>50</v>
      </c>
      <c r="AC97" s="533">
        <v>13.899999544636016</v>
      </c>
      <c r="AD97" s="534">
        <v>0</v>
      </c>
      <c r="AE97" s="530">
        <v>1071</v>
      </c>
      <c r="AF97" s="530">
        <v>1071</v>
      </c>
      <c r="AG97" s="533">
        <v>297.73799024610344</v>
      </c>
      <c r="AH97" s="534">
        <v>22.4</v>
      </c>
      <c r="AI97" s="530">
        <v>105.5</v>
      </c>
      <c r="AJ97" s="530">
        <v>83.1</v>
      </c>
      <c r="AK97" s="533">
        <v>23.101799243185056</v>
      </c>
      <c r="AL97" s="534">
        <v>16.966132999999999</v>
      </c>
      <c r="AM97" s="530">
        <v>89.055632000000003</v>
      </c>
      <c r="AN97" s="530">
        <v>72.089499000000004</v>
      </c>
      <c r="AO97" s="533">
        <v>20.040880065460772</v>
      </c>
      <c r="AP97" s="534">
        <v>0</v>
      </c>
      <c r="AQ97" s="530">
        <v>619.47815800000001</v>
      </c>
      <c r="AR97" s="530">
        <v>619.47815800000001</v>
      </c>
      <c r="AS97" s="533">
        <v>172.21492228223914</v>
      </c>
      <c r="AT97" s="534">
        <v>0.2</v>
      </c>
      <c r="AU97" s="530">
        <v>0.5</v>
      </c>
      <c r="AV97" s="530">
        <v>0.3</v>
      </c>
      <c r="AW97" s="533">
        <v>8.3399997267816092E-2</v>
      </c>
      <c r="AX97" s="534">
        <v>-1.1000000000000001</v>
      </c>
      <c r="AY97" s="530">
        <v>-2.5299999999999998</v>
      </c>
      <c r="AZ97" s="530">
        <v>-1.4299999999999997</v>
      </c>
      <c r="BA97" s="530">
        <v>-10.169449999999999</v>
      </c>
      <c r="BB97" s="533">
        <v>-0.39753998697658999</v>
      </c>
      <c r="BC97" s="545"/>
      <c r="BD97" s="545"/>
      <c r="BE97" s="545"/>
      <c r="BF97" s="545"/>
      <c r="BG97" s="545"/>
      <c r="BH97" s="567"/>
      <c r="BI97" s="574" t="s">
        <v>723</v>
      </c>
      <c r="BJ97" s="1">
        <v>2373.5397017999999</v>
      </c>
      <c r="BK97" s="1">
        <v>-0.50378020999999995</v>
      </c>
      <c r="BL97" s="1">
        <v>2038.5718130499999</v>
      </c>
      <c r="BM97" s="1">
        <v>2048.8937341300002</v>
      </c>
      <c r="BN97" s="1">
        <v>3.0271073400000001</v>
      </c>
      <c r="BO97" s="1">
        <v>3.0320813499999999</v>
      </c>
      <c r="BP97" s="1">
        <v>0.16981816999999999</v>
      </c>
      <c r="BQ97" s="1">
        <v>3.5970783499999999</v>
      </c>
      <c r="BR97" s="1">
        <v>3.5909802200000001</v>
      </c>
      <c r="BS97" s="1">
        <v>-0.33441271</v>
      </c>
      <c r="BT97" s="1">
        <v>-0.16404595</v>
      </c>
      <c r="BU97" s="128">
        <v>0.63451546000000003</v>
      </c>
      <c r="BV97" s="512"/>
    </row>
    <row r="98" spans="1:74" s="519" customFormat="1" ht="22.5">
      <c r="A98" s="546">
        <v>62006009</v>
      </c>
      <c r="B98" s="543" t="s">
        <v>831</v>
      </c>
      <c r="C98" s="543" t="s">
        <v>696</v>
      </c>
      <c r="D98" s="513" t="s">
        <v>816</v>
      </c>
      <c r="E98" s="524" t="s">
        <v>817</v>
      </c>
      <c r="F98" s="524" t="s">
        <v>708</v>
      </c>
      <c r="G98" s="531">
        <v>-6.2485590000000002</v>
      </c>
      <c r="H98" s="531">
        <v>8.6675280000000008</v>
      </c>
      <c r="I98" s="531">
        <v>29.075455000000002</v>
      </c>
      <c r="J98" s="531">
        <v>7.6412040000000001</v>
      </c>
      <c r="K98" s="578">
        <v>4250</v>
      </c>
      <c r="L98" s="578">
        <v>38.71</v>
      </c>
      <c r="M98" s="578">
        <v>3.0499999999999999E-2</v>
      </c>
      <c r="N98" s="578">
        <v>1.4999999999999999E-2</v>
      </c>
      <c r="O98" s="529">
        <v>3.86356381</v>
      </c>
      <c r="P98" s="544">
        <v>97.5</v>
      </c>
      <c r="Q98" s="544">
        <v>95.6</v>
      </c>
      <c r="R98" s="530">
        <v>1849</v>
      </c>
      <c r="S98" s="530">
        <v>3523</v>
      </c>
      <c r="T98" s="530">
        <v>1674</v>
      </c>
      <c r="U98" s="530">
        <v>433.27872459805445</v>
      </c>
      <c r="V98" s="534">
        <v>1853</v>
      </c>
      <c r="W98" s="530">
        <v>3532</v>
      </c>
      <c r="X98" s="530">
        <v>1679</v>
      </c>
      <c r="Y98" s="533">
        <v>434.57286654727204</v>
      </c>
      <c r="Z98" s="534">
        <v>50</v>
      </c>
      <c r="AA98" s="530">
        <v>137</v>
      </c>
      <c r="AB98" s="530">
        <v>87</v>
      </c>
      <c r="AC98" s="533">
        <v>22.518069916386342</v>
      </c>
      <c r="AD98" s="534">
        <v>1071</v>
      </c>
      <c r="AE98" s="530">
        <v>1993</v>
      </c>
      <c r="AF98" s="530">
        <v>922</v>
      </c>
      <c r="AG98" s="533">
        <v>238.63977543572653</v>
      </c>
      <c r="AH98" s="534">
        <v>105.578148</v>
      </c>
      <c r="AI98" s="530">
        <v>235.2</v>
      </c>
      <c r="AJ98" s="530">
        <v>129.62185199999999</v>
      </c>
      <c r="AK98" s="533">
        <v>33.5498152416952</v>
      </c>
      <c r="AL98" s="534">
        <v>89.085629999999995</v>
      </c>
      <c r="AM98" s="530">
        <v>199.29728600000001</v>
      </c>
      <c r="AN98" s="530">
        <v>110.21165600000002</v>
      </c>
      <c r="AO98" s="533">
        <v>28.525905464468053</v>
      </c>
      <c r="AP98" s="534">
        <v>619.67814799999996</v>
      </c>
      <c r="AQ98" s="530">
        <v>1152</v>
      </c>
      <c r="AR98" s="530">
        <v>532.32185200000004</v>
      </c>
      <c r="AS98" s="533">
        <v>137.78000783168119</v>
      </c>
      <c r="AT98" s="534">
        <v>0.5</v>
      </c>
      <c r="AU98" s="530">
        <v>1.1000000000000001</v>
      </c>
      <c r="AV98" s="530">
        <v>0.60000000000000009</v>
      </c>
      <c r="AW98" s="533">
        <v>0.15529703390611274</v>
      </c>
      <c r="AX98" s="534">
        <v>-2.5299999999999998</v>
      </c>
      <c r="AY98" s="530">
        <v>-4.3600000000000003</v>
      </c>
      <c r="AZ98" s="530">
        <v>-1.8300000000000005</v>
      </c>
      <c r="BA98" s="530">
        <v>-7.5706550000000004</v>
      </c>
      <c r="BB98" s="533">
        <v>-0.47365595341364392</v>
      </c>
      <c r="BC98" s="545"/>
      <c r="BD98" s="545"/>
      <c r="BE98" s="545"/>
      <c r="BF98" s="545"/>
      <c r="BG98" s="545"/>
      <c r="BH98" s="567"/>
      <c r="BI98" s="574" t="s">
        <v>723</v>
      </c>
      <c r="BJ98" s="1">
        <v>1477.4567612799999</v>
      </c>
      <c r="BK98" s="1">
        <v>-0.40370020000000001</v>
      </c>
      <c r="BL98" s="1">
        <v>3402.5596179099998</v>
      </c>
      <c r="BM98" s="1">
        <v>3416.35143552</v>
      </c>
      <c r="BN98" s="1">
        <v>2.9939713100000001</v>
      </c>
      <c r="BO98" s="1">
        <v>2.99551211</v>
      </c>
      <c r="BP98" s="1">
        <v>9.1482220000000003E-2</v>
      </c>
      <c r="BQ98" s="1">
        <v>3.8633617400000002</v>
      </c>
      <c r="BR98" s="1">
        <v>3.85983068</v>
      </c>
      <c r="BS98" s="1">
        <v>-0.14299271</v>
      </c>
      <c r="BT98" s="1">
        <v>-5.143694E-2</v>
      </c>
      <c r="BU98" s="128">
        <v>0.72008360999999999</v>
      </c>
      <c r="BV98" s="512"/>
    </row>
    <row r="99" spans="1:74" s="519" customFormat="1" ht="22.5">
      <c r="A99" s="546">
        <v>62006009</v>
      </c>
      <c r="B99" s="543" t="s">
        <v>830</v>
      </c>
      <c r="C99" s="543" t="s">
        <v>698</v>
      </c>
      <c r="D99" s="513" t="s">
        <v>816</v>
      </c>
      <c r="E99" s="524" t="s">
        <v>817</v>
      </c>
      <c r="F99" s="524" t="s">
        <v>708</v>
      </c>
      <c r="G99" s="468">
        <v>-5.8730845</v>
      </c>
      <c r="H99" s="468">
        <v>8.6097369999999991</v>
      </c>
      <c r="I99" s="468">
        <v>29.072702499999998</v>
      </c>
      <c r="J99" s="468">
        <v>5.3550325000000001</v>
      </c>
      <c r="K99" s="579"/>
      <c r="L99" s="578"/>
      <c r="M99" s="580"/>
      <c r="N99" s="581"/>
      <c r="O99" s="453">
        <v>7.4606862300000003</v>
      </c>
      <c r="P99" s="493">
        <v>99.7</v>
      </c>
      <c r="Q99" s="493">
        <v>95.6</v>
      </c>
      <c r="R99" s="456">
        <v>23</v>
      </c>
      <c r="S99" s="456">
        <v>3523</v>
      </c>
      <c r="T99" s="456">
        <v>3499.7818429999998</v>
      </c>
      <c r="U99" s="456">
        <v>469.0965060193933</v>
      </c>
      <c r="V99" s="456">
        <v>24</v>
      </c>
      <c r="W99" s="456">
        <v>3532</v>
      </c>
      <c r="X99" s="456">
        <v>3508</v>
      </c>
      <c r="Y99" s="454">
        <v>470.19803431674404</v>
      </c>
      <c r="Z99" s="456">
        <v>0</v>
      </c>
      <c r="AA99" s="456">
        <v>137</v>
      </c>
      <c r="AB99" s="456">
        <v>137</v>
      </c>
      <c r="AC99" s="454">
        <v>18.362922092757678</v>
      </c>
      <c r="AD99" s="456">
        <v>0</v>
      </c>
      <c r="AE99" s="456">
        <v>1993</v>
      </c>
      <c r="AF99" s="456">
        <v>1993</v>
      </c>
      <c r="AG99" s="454">
        <v>267.13360387493469</v>
      </c>
      <c r="AH99" s="456">
        <v>22.4</v>
      </c>
      <c r="AI99" s="456">
        <v>235.2</v>
      </c>
      <c r="AJ99" s="456">
        <v>212.72185199999998</v>
      </c>
      <c r="AK99" s="454">
        <v>28.512370771555684</v>
      </c>
      <c r="AL99" s="456">
        <v>16.966132999999999</v>
      </c>
      <c r="AM99" s="456">
        <v>199.29728600000001</v>
      </c>
      <c r="AN99" s="456">
        <v>182.30115500000002</v>
      </c>
      <c r="AO99" s="454">
        <v>24.434904428355782</v>
      </c>
      <c r="AP99" s="456">
        <v>0</v>
      </c>
      <c r="AQ99" s="456">
        <v>1152</v>
      </c>
      <c r="AR99" s="456">
        <v>1151.8000099999999</v>
      </c>
      <c r="AS99" s="454">
        <v>154.38258284720814</v>
      </c>
      <c r="AT99" s="456">
        <v>0.2</v>
      </c>
      <c r="AU99" s="456">
        <v>1.1000000000000001</v>
      </c>
      <c r="AV99" s="456">
        <v>0.90000000000000013</v>
      </c>
      <c r="AW99" s="454">
        <v>0.12063233491592637</v>
      </c>
      <c r="AX99" s="456">
        <v>-1.1000000000000001</v>
      </c>
      <c r="AY99" s="456">
        <v>-4.3600000000000003</v>
      </c>
      <c r="AZ99" s="456">
        <v>-3.2600000000000002</v>
      </c>
      <c r="BA99" s="530">
        <v>-8.8700524999999999</v>
      </c>
      <c r="BB99" s="454">
        <v>-0.43695712425102218</v>
      </c>
      <c r="BC99" s="496"/>
      <c r="BD99" s="496"/>
      <c r="BE99" s="496"/>
      <c r="BF99" s="496"/>
      <c r="BG99" s="496"/>
      <c r="BH99" s="568"/>
      <c r="BI99" s="574" t="s">
        <v>723</v>
      </c>
      <c r="BJ99" s="1"/>
      <c r="BK99" s="1"/>
      <c r="BL99" s="1"/>
      <c r="BM99" s="1"/>
      <c r="BN99" s="1"/>
      <c r="BO99" s="1"/>
      <c r="BP99" s="1"/>
      <c r="BQ99" s="1"/>
      <c r="BR99" s="1"/>
      <c r="BS99" s="1"/>
      <c r="BT99" s="1"/>
      <c r="BU99" s="128"/>
      <c r="BV99" s="512"/>
    </row>
    <row r="100" spans="1:74" s="519" customFormat="1" ht="22.5">
      <c r="A100" s="546">
        <v>62006009</v>
      </c>
      <c r="B100" s="543" t="s">
        <v>829</v>
      </c>
      <c r="C100" s="543" t="s">
        <v>697</v>
      </c>
      <c r="D100" s="513" t="s">
        <v>816</v>
      </c>
      <c r="E100" s="524" t="s">
        <v>817</v>
      </c>
      <c r="F100" s="524" t="s">
        <v>708</v>
      </c>
      <c r="G100" s="531">
        <v>-4.2884739999999999</v>
      </c>
      <c r="H100" s="531">
        <v>7.8702899999999998</v>
      </c>
      <c r="I100" s="531">
        <v>29.077041999999999</v>
      </c>
      <c r="J100" s="531">
        <v>9.3356119999999994</v>
      </c>
      <c r="K100" s="578">
        <v>4250</v>
      </c>
      <c r="L100" s="578">
        <v>38.71</v>
      </c>
      <c r="M100" s="578">
        <v>3.0499999999999999E-2</v>
      </c>
      <c r="N100" s="578">
        <v>1.4999999999999999E-2</v>
      </c>
      <c r="O100" s="529">
        <v>10.280404389999999</v>
      </c>
      <c r="P100" s="544">
        <v>95.6</v>
      </c>
      <c r="Q100" s="544">
        <v>92.2</v>
      </c>
      <c r="R100" s="530">
        <v>3534</v>
      </c>
      <c r="S100" s="530">
        <v>6393</v>
      </c>
      <c r="T100" s="530">
        <v>2859</v>
      </c>
      <c r="U100" s="530">
        <v>278.10190061988408</v>
      </c>
      <c r="V100" s="534">
        <v>3543</v>
      </c>
      <c r="W100" s="530">
        <v>6407</v>
      </c>
      <c r="X100" s="530">
        <v>2864</v>
      </c>
      <c r="Y100" s="533">
        <v>278.58826281054496</v>
      </c>
      <c r="Z100" s="534">
        <v>137</v>
      </c>
      <c r="AA100" s="530">
        <v>151</v>
      </c>
      <c r="AB100" s="530">
        <v>14</v>
      </c>
      <c r="AC100" s="533">
        <v>1.3618141338504293</v>
      </c>
      <c r="AD100" s="534">
        <v>1993</v>
      </c>
      <c r="AE100" s="530">
        <v>4338</v>
      </c>
      <c r="AF100" s="530">
        <v>2345</v>
      </c>
      <c r="AG100" s="533">
        <v>228.10386741994691</v>
      </c>
      <c r="AH100" s="534">
        <v>237.7</v>
      </c>
      <c r="AI100" s="530">
        <v>355.1</v>
      </c>
      <c r="AJ100" s="530">
        <v>117.40000000000003</v>
      </c>
      <c r="AK100" s="533">
        <v>11.419784236717176</v>
      </c>
      <c r="AL100" s="534">
        <v>201.41542200000001</v>
      </c>
      <c r="AM100" s="530">
        <v>301.84682400000003</v>
      </c>
      <c r="AN100" s="530">
        <v>100.43140200000002</v>
      </c>
      <c r="AO100" s="533">
        <v>9.7692073375724497</v>
      </c>
      <c r="AP100" s="534">
        <v>1160.0771119999999</v>
      </c>
      <c r="AQ100" s="530">
        <v>1539</v>
      </c>
      <c r="AR100" s="530">
        <v>378.92288800000006</v>
      </c>
      <c r="AS100" s="533">
        <v>36.85875317984452</v>
      </c>
      <c r="AT100" s="534">
        <v>1.1000000000000001</v>
      </c>
      <c r="AU100" s="530">
        <v>1.7</v>
      </c>
      <c r="AV100" s="530">
        <v>0.59999999999999987</v>
      </c>
      <c r="AW100" s="533">
        <v>5.83634628793041E-2</v>
      </c>
      <c r="AX100" s="534">
        <v>-4.4000000000000004</v>
      </c>
      <c r="AY100" s="530">
        <v>-5.8</v>
      </c>
      <c r="AZ100" s="530">
        <v>-1.3999999999999995</v>
      </c>
      <c r="BA100" s="530">
        <v>-6.6159689999999998</v>
      </c>
      <c r="BB100" s="533">
        <v>-0.13618141338504289</v>
      </c>
      <c r="BC100" s="545"/>
      <c r="BD100" s="545"/>
      <c r="BE100" s="545"/>
      <c r="BF100" s="545"/>
      <c r="BG100" s="545"/>
      <c r="BH100" s="567"/>
      <c r="BI100" s="574" t="s">
        <v>723</v>
      </c>
      <c r="BJ100" s="1">
        <v>1875.9379923399999</v>
      </c>
      <c r="BK100" s="1">
        <v>3.50405107</v>
      </c>
      <c r="BL100" s="1">
        <v>1352.5957232200001</v>
      </c>
      <c r="BM100" s="1">
        <v>1306.80462184</v>
      </c>
      <c r="BN100" s="1">
        <v>6.8772348000000001</v>
      </c>
      <c r="BO100" s="1">
        <v>6.7905112900000004</v>
      </c>
      <c r="BP100" s="1">
        <v>0.23121886999999999</v>
      </c>
      <c r="BQ100" s="1">
        <v>10.28039596</v>
      </c>
      <c r="BR100" s="1">
        <v>10.256680579999999</v>
      </c>
      <c r="BS100" s="1">
        <v>1.0327197299999999</v>
      </c>
      <c r="BT100" s="1">
        <v>1.2771277599999999</v>
      </c>
      <c r="BU100" s="128">
        <v>0.33399078999999998</v>
      </c>
      <c r="BV100" s="512"/>
    </row>
    <row r="101" spans="1:74" s="519" customFormat="1" ht="22.5">
      <c r="A101" s="546">
        <v>62006009</v>
      </c>
      <c r="B101" s="543" t="s">
        <v>828</v>
      </c>
      <c r="C101" s="543" t="s">
        <v>699</v>
      </c>
      <c r="D101" s="513" t="s">
        <v>816</v>
      </c>
      <c r="E101" s="524" t="s">
        <v>817</v>
      </c>
      <c r="F101" s="524" t="s">
        <v>708</v>
      </c>
      <c r="G101" s="531">
        <v>-6.3195509999999997</v>
      </c>
      <c r="H101" s="531">
        <v>9.2598409999999998</v>
      </c>
      <c r="I101" s="531">
        <v>29.076284999999999</v>
      </c>
      <c r="J101" s="531">
        <v>9.0930339999999994</v>
      </c>
      <c r="K101" s="578">
        <v>4250</v>
      </c>
      <c r="L101" s="578">
        <v>38.71</v>
      </c>
      <c r="M101" s="578">
        <v>3.0499999999999999E-2</v>
      </c>
      <c r="N101" s="578">
        <v>1.4999999999999999E-2</v>
      </c>
      <c r="O101" s="529">
        <v>3.5967451800000001</v>
      </c>
      <c r="P101" s="544">
        <v>92.1</v>
      </c>
      <c r="Q101" s="544">
        <v>90.7</v>
      </c>
      <c r="R101" s="530">
        <v>6444</v>
      </c>
      <c r="S101" s="530">
        <v>7670</v>
      </c>
      <c r="T101" s="530">
        <v>1226</v>
      </c>
      <c r="U101" s="530">
        <v>340.86373614046244</v>
      </c>
      <c r="V101" s="534">
        <v>6461</v>
      </c>
      <c r="W101" s="530">
        <v>7691</v>
      </c>
      <c r="X101" s="530">
        <v>1230</v>
      </c>
      <c r="Y101" s="533">
        <v>341.97585273472168</v>
      </c>
      <c r="Z101" s="534">
        <v>151</v>
      </c>
      <c r="AA101" s="530">
        <v>172</v>
      </c>
      <c r="AB101" s="530">
        <v>21</v>
      </c>
      <c r="AC101" s="533">
        <v>5.8386121198611018</v>
      </c>
      <c r="AD101" s="534">
        <v>4338</v>
      </c>
      <c r="AE101" s="530">
        <v>5132</v>
      </c>
      <c r="AF101" s="530">
        <v>794</v>
      </c>
      <c r="AG101" s="533">
        <v>220.75514396046259</v>
      </c>
      <c r="AH101" s="534">
        <v>400.5</v>
      </c>
      <c r="AI101" s="530">
        <v>464.5</v>
      </c>
      <c r="AJ101" s="530">
        <v>64</v>
      </c>
      <c r="AK101" s="533">
        <v>17.793865508148119</v>
      </c>
      <c r="AL101" s="534">
        <v>335.67665099999999</v>
      </c>
      <c r="AM101" s="530">
        <v>388.44638400000002</v>
      </c>
      <c r="AN101" s="530">
        <v>52.769733000000031</v>
      </c>
      <c r="AO101" s="533">
        <v>14.671523935982595</v>
      </c>
      <c r="AP101" s="534">
        <v>1543.4</v>
      </c>
      <c r="AQ101" s="530">
        <v>1888.3638350000001</v>
      </c>
      <c r="AR101" s="530">
        <v>344.96383500000002</v>
      </c>
      <c r="AS101" s="533">
        <v>95.910001330703111</v>
      </c>
      <c r="AT101" s="534">
        <v>2.1</v>
      </c>
      <c r="AU101" s="530">
        <v>2.4</v>
      </c>
      <c r="AV101" s="530">
        <v>0.29999999999999982</v>
      </c>
      <c r="AW101" s="533">
        <v>8.3408744569444263E-2</v>
      </c>
      <c r="AX101" s="534">
        <v>-6.84</v>
      </c>
      <c r="AY101" s="530">
        <v>-7.68</v>
      </c>
      <c r="AZ101" s="530">
        <v>-0.83999999999999986</v>
      </c>
      <c r="BA101" s="530">
        <v>-5.9996239999999998</v>
      </c>
      <c r="BB101" s="533">
        <v>-0.23354448479444403</v>
      </c>
      <c r="BC101" s="545"/>
      <c r="BD101" s="545"/>
      <c r="BE101" s="545"/>
      <c r="BF101" s="545"/>
      <c r="BG101" s="545"/>
      <c r="BH101" s="567"/>
      <c r="BI101" s="574" t="s">
        <v>723</v>
      </c>
      <c r="BJ101" s="1">
        <v>2369.0387258199999</v>
      </c>
      <c r="BK101" s="1">
        <v>-1.0641646499999999</v>
      </c>
      <c r="BL101" s="1">
        <v>2027.06114245</v>
      </c>
      <c r="BM101" s="1">
        <v>2048.8644335600002</v>
      </c>
      <c r="BN101" s="1">
        <v>3.0215548000000001</v>
      </c>
      <c r="BO101" s="1">
        <v>3.0320460499999999</v>
      </c>
      <c r="BP101" s="1">
        <v>0.1581834</v>
      </c>
      <c r="BQ101" s="1">
        <v>3.5966608299999998</v>
      </c>
      <c r="BR101" s="1">
        <v>3.5909805000000001</v>
      </c>
      <c r="BS101" s="1">
        <v>-0.50594651999999996</v>
      </c>
      <c r="BT101" s="1">
        <v>-0.34601249000000001</v>
      </c>
      <c r="BU101" s="128">
        <v>0.63450872999999997</v>
      </c>
      <c r="BV101" s="512"/>
    </row>
    <row r="102" spans="1:74" s="519" customFormat="1" ht="22.5">
      <c r="A102" s="546">
        <v>62006009</v>
      </c>
      <c r="B102" s="543" t="s">
        <v>239</v>
      </c>
      <c r="C102" s="543" t="s">
        <v>700</v>
      </c>
      <c r="D102" s="513" t="s">
        <v>816</v>
      </c>
      <c r="E102" s="524" t="s">
        <v>817</v>
      </c>
      <c r="F102" s="524" t="s">
        <v>708</v>
      </c>
      <c r="G102" s="531">
        <v>-7.1682980000000001</v>
      </c>
      <c r="H102" s="531">
        <v>9.4090539999999994</v>
      </c>
      <c r="I102" s="531">
        <v>29.079315999999999</v>
      </c>
      <c r="J102" s="531">
        <v>9.186083</v>
      </c>
      <c r="K102" s="578">
        <v>4250</v>
      </c>
      <c r="L102" s="578">
        <v>38.71</v>
      </c>
      <c r="M102" s="578">
        <v>3.0499999999999999E-2</v>
      </c>
      <c r="N102" s="578">
        <v>1.4999999999999999E-2</v>
      </c>
      <c r="O102" s="529">
        <v>3.8620226500000001</v>
      </c>
      <c r="P102" s="544">
        <v>90.7</v>
      </c>
      <c r="Q102" s="544">
        <v>89.2</v>
      </c>
      <c r="R102" s="530">
        <v>7670</v>
      </c>
      <c r="S102" s="530">
        <v>8896</v>
      </c>
      <c r="T102" s="530">
        <v>1226</v>
      </c>
      <c r="U102" s="530">
        <v>317.4502355650348</v>
      </c>
      <c r="V102" s="534">
        <v>7691</v>
      </c>
      <c r="W102" s="530">
        <v>8922</v>
      </c>
      <c r="X102" s="530">
        <v>1231</v>
      </c>
      <c r="Y102" s="533">
        <v>318.74489394825275</v>
      </c>
      <c r="Z102" s="534">
        <v>172</v>
      </c>
      <c r="AA102" s="530">
        <v>196</v>
      </c>
      <c r="AB102" s="530">
        <v>24</v>
      </c>
      <c r="AC102" s="533">
        <v>6.214360239446032</v>
      </c>
      <c r="AD102" s="534">
        <v>5132</v>
      </c>
      <c r="AE102" s="530">
        <v>5832</v>
      </c>
      <c r="AF102" s="530">
        <v>700</v>
      </c>
      <c r="AG102" s="533">
        <v>181.25217365050926</v>
      </c>
      <c r="AH102" s="534">
        <v>464.5</v>
      </c>
      <c r="AI102" s="530">
        <v>571</v>
      </c>
      <c r="AJ102" s="530">
        <v>106.5</v>
      </c>
      <c r="AK102" s="533">
        <v>27.576223562541767</v>
      </c>
      <c r="AL102" s="534">
        <v>388.476382</v>
      </c>
      <c r="AM102" s="530">
        <v>475.815878</v>
      </c>
      <c r="AN102" s="530">
        <v>87.339495999999997</v>
      </c>
      <c r="AO102" s="533">
        <v>22.614962136485655</v>
      </c>
      <c r="AP102" s="534">
        <v>1888.4638179999999</v>
      </c>
      <c r="AQ102" s="530">
        <v>2281.6999999999998</v>
      </c>
      <c r="AR102" s="530">
        <v>393.23618199999987</v>
      </c>
      <c r="AS102" s="533">
        <v>101.82130392218178</v>
      </c>
      <c r="AT102" s="534">
        <v>2.4</v>
      </c>
      <c r="AU102" s="530">
        <v>2.9</v>
      </c>
      <c r="AV102" s="530">
        <v>0.5</v>
      </c>
      <c r="AW102" s="533">
        <v>0.12946583832179234</v>
      </c>
      <c r="AX102" s="534">
        <v>-7.68</v>
      </c>
      <c r="AY102" s="530">
        <v>-9.0558739999999993</v>
      </c>
      <c r="AZ102" s="530">
        <v>-1.3758739999999996</v>
      </c>
      <c r="BA102" s="530">
        <v>-5.7249359999999996</v>
      </c>
      <c r="BB102" s="533">
        <v>-0.3562573616703153</v>
      </c>
      <c r="BC102" s="545"/>
      <c r="BD102" s="545"/>
      <c r="BE102" s="545"/>
      <c r="BF102" s="545"/>
      <c r="BG102" s="545"/>
      <c r="BH102" s="567"/>
      <c r="BI102" s="574" t="s">
        <v>723</v>
      </c>
      <c r="BJ102" s="1">
        <v>1476.9818436200001</v>
      </c>
      <c r="BK102" s="1">
        <v>-0.96259236000000004</v>
      </c>
      <c r="BL102" s="1">
        <v>3383.4007186499998</v>
      </c>
      <c r="BM102" s="1">
        <v>3416.2856229200002</v>
      </c>
      <c r="BN102" s="1">
        <v>2.9862123</v>
      </c>
      <c r="BO102" s="1">
        <v>2.9954192399999999</v>
      </c>
      <c r="BP102" s="1">
        <v>5.2849189999999997E-2</v>
      </c>
      <c r="BQ102" s="1">
        <v>3.86187127</v>
      </c>
      <c r="BR102" s="1">
        <v>3.8598313800000001</v>
      </c>
      <c r="BS102" s="1">
        <v>-0.36132687000000002</v>
      </c>
      <c r="BT102" s="1">
        <v>-0.30736708000000001</v>
      </c>
      <c r="BU102" s="128">
        <v>0.72008713999999996</v>
      </c>
      <c r="BV102" s="512"/>
    </row>
    <row r="103" spans="1:74" s="519" customFormat="1" ht="22.5">
      <c r="A103" s="546">
        <v>62006009</v>
      </c>
      <c r="B103" s="543" t="s">
        <v>833</v>
      </c>
      <c r="C103" s="543" t="s">
        <v>701</v>
      </c>
      <c r="D103" s="513" t="s">
        <v>816</v>
      </c>
      <c r="E103" s="524" t="s">
        <v>817</v>
      </c>
      <c r="F103" s="524" t="s">
        <v>708</v>
      </c>
      <c r="G103" s="468">
        <v>-6.7439245000000003</v>
      </c>
      <c r="H103" s="468">
        <v>9.3344474999999996</v>
      </c>
      <c r="I103" s="468">
        <v>29.077800499999999</v>
      </c>
      <c r="J103" s="468">
        <v>9.1395584999999997</v>
      </c>
      <c r="K103" s="579"/>
      <c r="L103" s="578"/>
      <c r="M103" s="580"/>
      <c r="N103" s="581"/>
      <c r="O103" s="453">
        <v>7.4587678300000002</v>
      </c>
      <c r="P103" s="493">
        <v>92.1</v>
      </c>
      <c r="Q103" s="493">
        <v>89.2</v>
      </c>
      <c r="R103" s="456">
        <v>6444</v>
      </c>
      <c r="S103" s="456">
        <v>8896</v>
      </c>
      <c r="T103" s="456">
        <v>2452</v>
      </c>
      <c r="U103" s="456">
        <v>328.74062524614067</v>
      </c>
      <c r="V103" s="456">
        <v>6461</v>
      </c>
      <c r="W103" s="456">
        <v>8922</v>
      </c>
      <c r="X103" s="456">
        <v>2461</v>
      </c>
      <c r="Y103" s="454">
        <v>329.9472588624601</v>
      </c>
      <c r="Z103" s="456">
        <v>151</v>
      </c>
      <c r="AA103" s="456">
        <v>196</v>
      </c>
      <c r="AB103" s="456">
        <v>45</v>
      </c>
      <c r="AC103" s="454">
        <v>6.0331680815971982</v>
      </c>
      <c r="AD103" s="456">
        <v>4338</v>
      </c>
      <c r="AE103" s="456">
        <v>5832</v>
      </c>
      <c r="AF103" s="456">
        <v>1494</v>
      </c>
      <c r="AG103" s="454">
        <v>200.30118030902699</v>
      </c>
      <c r="AH103" s="456">
        <v>400.5</v>
      </c>
      <c r="AI103" s="456">
        <v>571</v>
      </c>
      <c r="AJ103" s="456">
        <v>170.5</v>
      </c>
      <c r="AK103" s="454">
        <v>22.859003509162719</v>
      </c>
      <c r="AL103" s="456">
        <v>335.67665099999999</v>
      </c>
      <c r="AM103" s="456">
        <v>475.815878</v>
      </c>
      <c r="AN103" s="456">
        <v>140.10922900000003</v>
      </c>
      <c r="AO103" s="454">
        <v>18.784500629777614</v>
      </c>
      <c r="AP103" s="456">
        <v>1543.4</v>
      </c>
      <c r="AQ103" s="456">
        <v>2281.6999999999998</v>
      </c>
      <c r="AR103" s="456">
        <v>738.20001699999989</v>
      </c>
      <c r="AS103" s="454">
        <v>98.97077289775352</v>
      </c>
      <c r="AT103" s="456">
        <v>2.1</v>
      </c>
      <c r="AU103" s="456">
        <v>2.9</v>
      </c>
      <c r="AV103" s="456">
        <v>0.79999999999999982</v>
      </c>
      <c r="AW103" s="454">
        <v>0.10725632145061684</v>
      </c>
      <c r="AX103" s="456">
        <v>-6.84</v>
      </c>
      <c r="AY103" s="456">
        <v>-9.0558739999999993</v>
      </c>
      <c r="AZ103" s="456">
        <v>-2.2158739999999995</v>
      </c>
      <c r="BA103" s="530">
        <v>-5.8622800000000002</v>
      </c>
      <c r="BB103" s="454">
        <v>-0.29708311754758016</v>
      </c>
      <c r="BC103" s="496"/>
      <c r="BD103" s="496"/>
      <c r="BE103" s="496"/>
      <c r="BF103" s="496"/>
      <c r="BG103" s="496"/>
      <c r="BH103" s="568"/>
      <c r="BI103" s="574" t="s">
        <v>723</v>
      </c>
      <c r="BJ103" s="1"/>
      <c r="BK103" s="1"/>
      <c r="BL103" s="1"/>
      <c r="BM103" s="1"/>
      <c r="BN103" s="1"/>
      <c r="BO103" s="1"/>
      <c r="BP103" s="1"/>
      <c r="BQ103" s="1"/>
      <c r="BR103" s="1"/>
      <c r="BS103" s="1"/>
      <c r="BT103" s="1"/>
      <c r="BU103" s="128"/>
      <c r="BV103" s="512"/>
    </row>
    <row r="104" spans="1:74" s="519" customFormat="1" ht="22.5">
      <c r="A104" s="546">
        <v>62006009</v>
      </c>
      <c r="B104" s="543" t="s">
        <v>836</v>
      </c>
      <c r="C104" s="543" t="s">
        <v>770</v>
      </c>
      <c r="D104" s="513" t="s">
        <v>816</v>
      </c>
      <c r="E104" s="524" t="s">
        <v>817</v>
      </c>
      <c r="F104" s="524" t="s">
        <v>708</v>
      </c>
      <c r="G104" s="531">
        <v>-5.473554</v>
      </c>
      <c r="H104" s="531">
        <v>8.7245200000000001</v>
      </c>
      <c r="I104" s="531">
        <v>29.082011000000001</v>
      </c>
      <c r="J104" s="531">
        <v>10.695565</v>
      </c>
      <c r="K104" s="578">
        <v>4250</v>
      </c>
      <c r="L104" s="578">
        <v>38.71</v>
      </c>
      <c r="M104" s="578">
        <v>3.0499999999999999E-2</v>
      </c>
      <c r="N104" s="578">
        <v>1.4999999999999999E-2</v>
      </c>
      <c r="O104" s="529">
        <v>1.7736533299999999</v>
      </c>
      <c r="P104" s="544">
        <v>89.2</v>
      </c>
      <c r="Q104" s="544">
        <v>85.8</v>
      </c>
      <c r="R104" s="530">
        <v>8945</v>
      </c>
      <c r="S104" s="530">
        <v>11743</v>
      </c>
      <c r="T104" s="530">
        <v>782</v>
      </c>
      <c r="U104" s="530">
        <v>440.89788391737187</v>
      </c>
      <c r="V104" s="534">
        <v>8971</v>
      </c>
      <c r="W104" s="530">
        <v>11774</v>
      </c>
      <c r="X104" s="530">
        <v>784</v>
      </c>
      <c r="Y104" s="533">
        <v>442.0254999887718</v>
      </c>
      <c r="Z104" s="534">
        <v>196</v>
      </c>
      <c r="AA104" s="530">
        <v>292</v>
      </c>
      <c r="AB104" s="530">
        <v>67</v>
      </c>
      <c r="AC104" s="533">
        <v>37.775138391897592</v>
      </c>
      <c r="AD104" s="534">
        <v>5832</v>
      </c>
      <c r="AE104" s="530">
        <v>8209</v>
      </c>
      <c r="AF104" s="530">
        <v>590</v>
      </c>
      <c r="AG104" s="533">
        <v>332.64674106297878</v>
      </c>
      <c r="AH104" s="534">
        <v>582.4</v>
      </c>
      <c r="AI104" s="530">
        <v>658</v>
      </c>
      <c r="AJ104" s="530">
        <v>29.899999999999977</v>
      </c>
      <c r="AK104" s="533">
        <v>16.857860267428912</v>
      </c>
      <c r="AL104" s="534">
        <v>485.15581600000002</v>
      </c>
      <c r="AM104" s="530">
        <v>547.54549199999997</v>
      </c>
      <c r="AN104" s="530">
        <v>24.701217999999926</v>
      </c>
      <c r="AO104" s="533">
        <v>13.926745199976551</v>
      </c>
      <c r="AP104" s="534">
        <v>2318.5</v>
      </c>
      <c r="AQ104" s="530">
        <v>2564.6366119999998</v>
      </c>
      <c r="AR104" s="530">
        <v>94.436611999999514</v>
      </c>
      <c r="AS104" s="533">
        <v>53.244120709879375</v>
      </c>
      <c r="AT104" s="534">
        <v>3</v>
      </c>
      <c r="AU104" s="530">
        <v>3.3</v>
      </c>
      <c r="AV104" s="530">
        <v>9.9999999999999645E-2</v>
      </c>
      <c r="AW104" s="533">
        <v>5.6380803569996203E-2</v>
      </c>
      <c r="AX104" s="534">
        <v>-9.1999999999999993</v>
      </c>
      <c r="AY104" s="530">
        <v>-10.1</v>
      </c>
      <c r="AZ104" s="530">
        <v>-0.35000000000000142</v>
      </c>
      <c r="BA104" s="530">
        <v>-5.3636379999999999</v>
      </c>
      <c r="BB104" s="533">
        <v>-0.19733281249498821</v>
      </c>
      <c r="BC104" s="545"/>
      <c r="BD104" s="545"/>
      <c r="BE104" s="545"/>
      <c r="BF104" s="545"/>
      <c r="BG104" s="545"/>
      <c r="BH104" s="567"/>
      <c r="BI104" s="574" t="s">
        <v>723</v>
      </c>
      <c r="BJ104" s="1">
        <v>5479.7127985799998</v>
      </c>
      <c r="BK104" s="1">
        <v>-2.6994951</v>
      </c>
      <c r="BL104" s="1">
        <v>2393.03489111</v>
      </c>
      <c r="BM104" s="1">
        <v>2459.42700259</v>
      </c>
      <c r="BN104" s="1">
        <v>3.0174486100000002</v>
      </c>
      <c r="BO104" s="1">
        <v>3.0984042000000001</v>
      </c>
      <c r="BP104" s="1">
        <v>8.5034419999999999E-2</v>
      </c>
      <c r="BQ104" s="1">
        <v>1.7736151</v>
      </c>
      <c r="BR104" s="1">
        <v>1.7721081999999999</v>
      </c>
      <c r="BS104" s="1">
        <v>-2.77023128</v>
      </c>
      <c r="BT104" s="1">
        <v>-2.6128158099999998</v>
      </c>
      <c r="BU104" s="128">
        <v>0.84360493000000003</v>
      </c>
      <c r="BV104" s="512"/>
    </row>
    <row r="105" spans="1:74" s="519" customFormat="1" ht="22.5">
      <c r="A105" s="546">
        <v>62006009</v>
      </c>
      <c r="B105" s="543" t="s">
        <v>837</v>
      </c>
      <c r="C105" s="543" t="s">
        <v>705</v>
      </c>
      <c r="D105" s="513" t="s">
        <v>816</v>
      </c>
      <c r="E105" s="524" t="s">
        <v>817</v>
      </c>
      <c r="F105" s="524" t="s">
        <v>708</v>
      </c>
      <c r="G105" s="531">
        <v>-1.5901259999999999</v>
      </c>
      <c r="H105" s="531">
        <v>6.7519650000000002</v>
      </c>
      <c r="I105" s="531">
        <v>29.080304999999999</v>
      </c>
      <c r="J105" s="531">
        <v>10.244281000000001</v>
      </c>
      <c r="K105" s="578">
        <v>4250</v>
      </c>
      <c r="L105" s="578">
        <v>38.71</v>
      </c>
      <c r="M105" s="578">
        <v>3.0499999999999999E-2</v>
      </c>
      <c r="N105" s="578">
        <v>1.4999999999999999E-2</v>
      </c>
      <c r="O105" s="529">
        <v>6.2480959599999997</v>
      </c>
      <c r="P105" s="544">
        <v>88.6</v>
      </c>
      <c r="Q105" s="544">
        <v>86.2</v>
      </c>
      <c r="R105" s="530">
        <v>9450</v>
      </c>
      <c r="S105" s="530">
        <v>11466</v>
      </c>
      <c r="T105" s="530">
        <v>2016</v>
      </c>
      <c r="U105" s="530">
        <v>322.65829668851632</v>
      </c>
      <c r="V105" s="534">
        <v>9477</v>
      </c>
      <c r="W105" s="530">
        <v>11496</v>
      </c>
      <c r="X105" s="530">
        <v>2019</v>
      </c>
      <c r="Y105" s="533">
        <v>323.13844296335043</v>
      </c>
      <c r="Z105" s="534">
        <v>224</v>
      </c>
      <c r="AA105" s="530">
        <v>253</v>
      </c>
      <c r="AB105" s="530">
        <v>29</v>
      </c>
      <c r="AC105" s="533">
        <v>4.6414139900629827</v>
      </c>
      <c r="AD105" s="534">
        <v>6239</v>
      </c>
      <c r="AE105" s="530">
        <v>8026</v>
      </c>
      <c r="AF105" s="530">
        <v>1787</v>
      </c>
      <c r="AG105" s="533">
        <v>286.00713104284654</v>
      </c>
      <c r="AH105" s="534">
        <v>598.5</v>
      </c>
      <c r="AI105" s="530">
        <v>644.20000000000005</v>
      </c>
      <c r="AJ105" s="530">
        <v>45.700000000000045</v>
      </c>
      <c r="AK105" s="533">
        <v>7.3142282533061556</v>
      </c>
      <c r="AL105" s="534">
        <v>498.38154200000002</v>
      </c>
      <c r="AM105" s="530">
        <v>536.07000000000005</v>
      </c>
      <c r="AN105" s="530">
        <v>37.688458000000026</v>
      </c>
      <c r="AO105" s="533">
        <v>6.0319909043138367</v>
      </c>
      <c r="AP105" s="534">
        <v>2371.6999999999998</v>
      </c>
      <c r="AQ105" s="530">
        <v>2523.4</v>
      </c>
      <c r="AR105" s="530">
        <v>151.70000000000027</v>
      </c>
      <c r="AS105" s="533">
        <v>24.279396630777782</v>
      </c>
      <c r="AT105" s="534">
        <v>3</v>
      </c>
      <c r="AU105" s="530">
        <v>3.2</v>
      </c>
      <c r="AV105" s="530">
        <v>0.20000000000000018</v>
      </c>
      <c r="AW105" s="533">
        <v>3.2009751655606808E-2</v>
      </c>
      <c r="AX105" s="534">
        <v>-9.4</v>
      </c>
      <c r="AY105" s="530">
        <v>-9.9499999999999993</v>
      </c>
      <c r="AZ105" s="530">
        <v>-0.54999999999999893</v>
      </c>
      <c r="BA105" s="530">
        <v>-5.4350870000000002</v>
      </c>
      <c r="BB105" s="533">
        <v>-8.8026817052918468E-2</v>
      </c>
      <c r="BC105" s="545"/>
      <c r="BD105" s="545"/>
      <c r="BE105" s="545"/>
      <c r="BF105" s="545"/>
      <c r="BG105" s="545"/>
      <c r="BH105" s="567"/>
      <c r="BI105" s="574" t="s">
        <v>723</v>
      </c>
      <c r="BJ105" s="1">
        <v>11301.12103989</v>
      </c>
      <c r="BK105" s="1">
        <v>0.35715453000000003</v>
      </c>
      <c r="BL105" s="1">
        <v>1143.1453078500001</v>
      </c>
      <c r="BM105" s="1">
        <v>1139.0770426199999</v>
      </c>
      <c r="BN105" s="1">
        <v>5.9140316500000001</v>
      </c>
      <c r="BO105" s="1">
        <v>5.8932339200000001</v>
      </c>
      <c r="BP105" s="1">
        <v>0.21241937</v>
      </c>
      <c r="BQ105" s="1">
        <v>6.2481028500000004</v>
      </c>
      <c r="BR105" s="1">
        <v>6.2348588100000004</v>
      </c>
      <c r="BS105" s="1">
        <v>0.13999526000000001</v>
      </c>
      <c r="BT105" s="1">
        <v>0.35290869000000002</v>
      </c>
      <c r="BU105" s="128">
        <v>0.41980804999999999</v>
      </c>
      <c r="BV105" s="512"/>
    </row>
    <row r="106" spans="1:74" s="519" customFormat="1" ht="22.5">
      <c r="A106" s="546">
        <v>62006009</v>
      </c>
      <c r="B106" s="543" t="s">
        <v>835</v>
      </c>
      <c r="C106" s="543" t="s">
        <v>703</v>
      </c>
      <c r="D106" s="513" t="s">
        <v>816</v>
      </c>
      <c r="E106" s="524" t="s">
        <v>817</v>
      </c>
      <c r="F106" s="524" t="s">
        <v>708</v>
      </c>
      <c r="G106" s="468">
        <v>-3.5318399999999999</v>
      </c>
      <c r="H106" s="468">
        <v>7.7382425000000001</v>
      </c>
      <c r="I106" s="468">
        <v>29.081158000000002</v>
      </c>
      <c r="J106" s="468">
        <v>10.469923000000001</v>
      </c>
      <c r="K106" s="579"/>
      <c r="L106" s="578"/>
      <c r="M106" s="580"/>
      <c r="N106" s="581"/>
      <c r="O106" s="453">
        <v>8.0217492899999989</v>
      </c>
      <c r="P106" s="493">
        <v>89.2</v>
      </c>
      <c r="Q106" s="493">
        <v>86.2</v>
      </c>
      <c r="R106" s="456">
        <v>8945</v>
      </c>
      <c r="S106" s="456">
        <v>11466</v>
      </c>
      <c r="T106" s="456">
        <v>2798</v>
      </c>
      <c r="U106" s="456">
        <v>348.80172626287606</v>
      </c>
      <c r="V106" s="456">
        <v>8971</v>
      </c>
      <c r="W106" s="456">
        <v>11496</v>
      </c>
      <c r="X106" s="456">
        <v>2803</v>
      </c>
      <c r="Y106" s="454">
        <v>349.42503170651952</v>
      </c>
      <c r="Z106" s="456">
        <v>196</v>
      </c>
      <c r="AA106" s="456">
        <v>253</v>
      </c>
      <c r="AB106" s="456">
        <v>96</v>
      </c>
      <c r="AC106" s="454">
        <v>11.967464517954289</v>
      </c>
      <c r="AD106" s="456">
        <v>5832</v>
      </c>
      <c r="AE106" s="456">
        <v>8026</v>
      </c>
      <c r="AF106" s="456">
        <v>2377</v>
      </c>
      <c r="AG106" s="454">
        <v>296.31940790809733</v>
      </c>
      <c r="AH106" s="456">
        <v>582.4</v>
      </c>
      <c r="AI106" s="456">
        <v>644.20000000000005</v>
      </c>
      <c r="AJ106" s="456">
        <v>75.600000000000023</v>
      </c>
      <c r="AK106" s="454">
        <v>9.4243783078890058</v>
      </c>
      <c r="AL106" s="456">
        <v>485.15581600000002</v>
      </c>
      <c r="AM106" s="456">
        <v>536.07000000000005</v>
      </c>
      <c r="AN106" s="456">
        <v>62.389675999999952</v>
      </c>
      <c r="AO106" s="454">
        <v>7.777564935590247</v>
      </c>
      <c r="AP106" s="456">
        <v>2318.5</v>
      </c>
      <c r="AQ106" s="456">
        <v>2523.4</v>
      </c>
      <c r="AR106" s="456">
        <v>246.13661199999979</v>
      </c>
      <c r="AS106" s="454">
        <v>30.683658027911243</v>
      </c>
      <c r="AT106" s="456">
        <v>3</v>
      </c>
      <c r="AU106" s="456">
        <v>3.2</v>
      </c>
      <c r="AV106" s="456">
        <v>0.29999999999999982</v>
      </c>
      <c r="AW106" s="454">
        <v>3.7398326618607133E-2</v>
      </c>
      <c r="AX106" s="456">
        <v>-9.1999999999999993</v>
      </c>
      <c r="AY106" s="456">
        <v>-9.9499999999999993</v>
      </c>
      <c r="AZ106" s="456">
        <v>-0.90000000000000036</v>
      </c>
      <c r="BA106" s="530">
        <v>-5.3993625000000005</v>
      </c>
      <c r="BB106" s="454">
        <v>-0.11219497985582151</v>
      </c>
      <c r="BC106" s="496"/>
      <c r="BD106" s="496"/>
      <c r="BE106" s="496"/>
      <c r="BF106" s="496"/>
      <c r="BG106" s="496"/>
      <c r="BH106" s="568"/>
      <c r="BI106" s="574" t="s">
        <v>723</v>
      </c>
      <c r="BJ106" s="1"/>
      <c r="BK106" s="1"/>
      <c r="BL106" s="1"/>
      <c r="BM106" s="1"/>
      <c r="BN106" s="1"/>
      <c r="BO106" s="1"/>
      <c r="BP106" s="1"/>
      <c r="BQ106" s="1"/>
      <c r="BR106" s="1"/>
      <c r="BS106" s="1"/>
      <c r="BT106" s="1"/>
      <c r="BU106" s="128"/>
      <c r="BV106" s="512"/>
    </row>
    <row r="107" spans="1:74" s="519" customFormat="1" ht="22.5">
      <c r="A107" s="546">
        <v>62006010</v>
      </c>
      <c r="B107" s="543" t="s">
        <v>838</v>
      </c>
      <c r="C107" s="543" t="s">
        <v>695</v>
      </c>
      <c r="D107" s="513" t="s">
        <v>871</v>
      </c>
      <c r="E107" s="524" t="s">
        <v>872</v>
      </c>
      <c r="F107" s="524" t="s">
        <v>708</v>
      </c>
      <c r="G107" s="531">
        <v>-4.9143400000000002</v>
      </c>
      <c r="H107" s="531">
        <v>22.186772000000001</v>
      </c>
      <c r="I107" s="531">
        <v>93.595510000000004</v>
      </c>
      <c r="J107" s="531">
        <v>41.320410000000003</v>
      </c>
      <c r="K107" s="578">
        <v>4250</v>
      </c>
      <c r="L107" s="578">
        <v>38.71</v>
      </c>
      <c r="M107" s="578">
        <v>3.0499999999999999E-2</v>
      </c>
      <c r="N107" s="578">
        <v>1.4999999999999999E-2</v>
      </c>
      <c r="O107" s="529">
        <v>171.55677721999999</v>
      </c>
      <c r="P107" s="544">
        <v>85.8</v>
      </c>
      <c r="Q107" s="544">
        <v>23.2</v>
      </c>
      <c r="R107" s="530">
        <v>11796</v>
      </c>
      <c r="S107" s="530">
        <v>61180</v>
      </c>
      <c r="T107" s="530">
        <v>49384</v>
      </c>
      <c r="U107" s="530">
        <v>287.85805376065809</v>
      </c>
      <c r="V107" s="534">
        <v>11831</v>
      </c>
      <c r="W107" s="530">
        <v>61274</v>
      </c>
      <c r="X107" s="530">
        <v>49443</v>
      </c>
      <c r="Y107" s="533">
        <v>288.20196322874244</v>
      </c>
      <c r="Z107" s="534">
        <v>292</v>
      </c>
      <c r="AA107" s="530">
        <v>296</v>
      </c>
      <c r="AB107" s="530">
        <v>4</v>
      </c>
      <c r="AC107" s="533">
        <v>2.331589614131363E-2</v>
      </c>
      <c r="AD107" s="534">
        <v>8208</v>
      </c>
      <c r="AE107" s="530">
        <v>52190</v>
      </c>
      <c r="AF107" s="530">
        <v>43982</v>
      </c>
      <c r="AG107" s="533">
        <v>256.36993602181406</v>
      </c>
      <c r="AH107" s="534">
        <v>699.7</v>
      </c>
      <c r="AI107" s="530">
        <v>1790.7</v>
      </c>
      <c r="AJ107" s="530">
        <v>1091</v>
      </c>
      <c r="AK107" s="533">
        <v>6.3594106725432926</v>
      </c>
      <c r="AL107" s="534">
        <v>578.11573799999996</v>
      </c>
      <c r="AM107" s="530">
        <v>1485.440691</v>
      </c>
      <c r="AN107" s="530">
        <v>907.32495300000005</v>
      </c>
      <c r="AO107" s="533">
        <v>5.2887735926425687</v>
      </c>
      <c r="AP107" s="534">
        <v>2573.9</v>
      </c>
      <c r="AQ107" s="530">
        <v>6803.4</v>
      </c>
      <c r="AR107" s="530">
        <v>4229.5</v>
      </c>
      <c r="AS107" s="533">
        <v>24.653645682421502</v>
      </c>
      <c r="AT107" s="534">
        <v>3.6</v>
      </c>
      <c r="AU107" s="530">
        <v>7.6</v>
      </c>
      <c r="AV107" s="530">
        <v>3.9999999999999996</v>
      </c>
      <c r="AW107" s="533">
        <v>2.331589614131363E-2</v>
      </c>
      <c r="AX107" s="534">
        <v>-10.58</v>
      </c>
      <c r="AY107" s="530">
        <v>-19.88</v>
      </c>
      <c r="AZ107" s="530">
        <v>-9.2999999999999989</v>
      </c>
      <c r="BA107" s="530">
        <v>-11.310812</v>
      </c>
      <c r="BB107" s="533">
        <v>-5.4209458528554189E-2</v>
      </c>
      <c r="BC107" s="545"/>
      <c r="BD107" s="545"/>
      <c r="BE107" s="545"/>
      <c r="BF107" s="545"/>
      <c r="BG107" s="545"/>
      <c r="BH107" s="567"/>
      <c r="BI107" s="574" t="s">
        <v>723</v>
      </c>
      <c r="BJ107" s="1">
        <v>13.373183539999999</v>
      </c>
      <c r="BK107" s="1">
        <v>64.822261830000002</v>
      </c>
      <c r="BL107" s="1">
        <v>957.8678711</v>
      </c>
      <c r="BM107" s="1">
        <v>581.15200000000004</v>
      </c>
      <c r="BN107" s="1">
        <v>128.91032575</v>
      </c>
      <c r="BO107" s="1">
        <v>128.07601743000001</v>
      </c>
      <c r="BP107" s="1">
        <v>0.29147429000000002</v>
      </c>
      <c r="BQ107" s="1">
        <v>171.55708404999999</v>
      </c>
      <c r="BR107" s="1">
        <v>171.05849253</v>
      </c>
      <c r="BS107" s="1">
        <v>0.35761268000000002</v>
      </c>
      <c r="BT107" s="1">
        <v>0.65141651</v>
      </c>
      <c r="BU107" s="128">
        <v>6.44985E-3</v>
      </c>
      <c r="BV107" s="512"/>
    </row>
    <row r="108" spans="1:74" s="519" customFormat="1" ht="22.5">
      <c r="A108" s="546">
        <v>62006011</v>
      </c>
      <c r="B108" s="543" t="s">
        <v>839</v>
      </c>
      <c r="C108" s="543" t="s">
        <v>771</v>
      </c>
      <c r="D108" s="513" t="s">
        <v>873</v>
      </c>
      <c r="E108" s="524" t="s">
        <v>874</v>
      </c>
      <c r="F108" s="524" t="s">
        <v>708</v>
      </c>
      <c r="G108" s="531">
        <v>-8.185003</v>
      </c>
      <c r="H108" s="531">
        <v>9.3634760000000004</v>
      </c>
      <c r="I108" s="531">
        <v>29.086158000000001</v>
      </c>
      <c r="J108" s="531">
        <v>13.425794</v>
      </c>
      <c r="K108" s="578">
        <v>4250</v>
      </c>
      <c r="L108" s="578">
        <v>38.71</v>
      </c>
      <c r="M108" s="578">
        <v>3.0499999999999999E-2</v>
      </c>
      <c r="N108" s="578">
        <v>1.4999999999999999E-2</v>
      </c>
      <c r="O108" s="529">
        <v>1.77453416</v>
      </c>
      <c r="P108" s="544">
        <v>23.2</v>
      </c>
      <c r="Q108" s="544">
        <v>19.600000000000001</v>
      </c>
      <c r="R108" s="530">
        <v>61218</v>
      </c>
      <c r="S108" s="530">
        <v>63739</v>
      </c>
      <c r="T108" s="530">
        <v>636</v>
      </c>
      <c r="U108" s="530">
        <v>358.40392049708413</v>
      </c>
      <c r="V108" s="534">
        <v>61315</v>
      </c>
      <c r="W108" s="530">
        <v>63841</v>
      </c>
      <c r="X108" s="530">
        <v>638</v>
      </c>
      <c r="Y108" s="533">
        <v>359.53097685084856</v>
      </c>
      <c r="Z108" s="534">
        <v>296</v>
      </c>
      <c r="AA108" s="530">
        <v>349</v>
      </c>
      <c r="AB108" s="530">
        <v>37</v>
      </c>
      <c r="AC108" s="533">
        <v>20.850542544641687</v>
      </c>
      <c r="AD108" s="534">
        <v>52190</v>
      </c>
      <c r="AE108" s="530">
        <v>54317</v>
      </c>
      <c r="AF108" s="530">
        <v>447</v>
      </c>
      <c r="AG108" s="533">
        <v>251.89709506634688</v>
      </c>
      <c r="AH108" s="534">
        <v>1820.7</v>
      </c>
      <c r="AI108" s="530">
        <v>1886.6</v>
      </c>
      <c r="AJ108" s="530">
        <v>27.299999999999727</v>
      </c>
      <c r="AK108" s="533">
        <v>15.384319228884118</v>
      </c>
      <c r="AL108" s="534">
        <v>1508.591087</v>
      </c>
      <c r="AM108" s="530">
        <v>1563.631108</v>
      </c>
      <c r="AN108" s="530">
        <v>22.970140000000129</v>
      </c>
      <c r="AO108" s="533">
        <v>12.944321116929149</v>
      </c>
      <c r="AP108" s="534">
        <v>6810.7</v>
      </c>
      <c r="AQ108" s="530">
        <v>7082.0110789999999</v>
      </c>
      <c r="AR108" s="530">
        <v>122.11107900000025</v>
      </c>
      <c r="AS108" s="533">
        <v>68.813033725989385</v>
      </c>
      <c r="AT108" s="534">
        <v>7.8</v>
      </c>
      <c r="AU108" s="530">
        <v>7.9</v>
      </c>
      <c r="AV108" s="530">
        <v>0</v>
      </c>
      <c r="AW108" s="533">
        <v>0</v>
      </c>
      <c r="AX108" s="534">
        <v>-20.25</v>
      </c>
      <c r="AY108" s="530">
        <v>-20.8</v>
      </c>
      <c r="AZ108" s="530">
        <v>-0.22000000000000242</v>
      </c>
      <c r="BA108" s="530">
        <v>-3.304322</v>
      </c>
      <c r="BB108" s="533">
        <v>-0.12397619891408708</v>
      </c>
      <c r="BC108" s="545"/>
      <c r="BD108" s="545"/>
      <c r="BE108" s="545"/>
      <c r="BF108" s="545"/>
      <c r="BG108" s="545"/>
      <c r="BH108" s="567"/>
      <c r="BI108" s="574" t="s">
        <v>723</v>
      </c>
      <c r="BJ108" s="1">
        <v>5459.3358493799997</v>
      </c>
      <c r="BK108" s="1">
        <v>-4.1285760600000003</v>
      </c>
      <c r="BL108" s="1">
        <v>2358.2423416299998</v>
      </c>
      <c r="BM108" s="1">
        <v>2459.7969286799998</v>
      </c>
      <c r="BN108" s="1">
        <v>3.0272337899999999</v>
      </c>
      <c r="BO108" s="1">
        <v>3.09907295</v>
      </c>
      <c r="BP108" s="1">
        <v>0.13125118999999999</v>
      </c>
      <c r="BQ108" s="1">
        <v>1.7745261400000001</v>
      </c>
      <c r="BR108" s="1">
        <v>1.77220011</v>
      </c>
      <c r="BS108" s="1">
        <v>-2.50746168</v>
      </c>
      <c r="BT108" s="1">
        <v>-2.3180853799999999</v>
      </c>
      <c r="BU108" s="128">
        <v>0.84362795999999995</v>
      </c>
      <c r="BV108" s="512"/>
    </row>
    <row r="109" spans="1:74" s="519" customFormat="1" ht="22.5">
      <c r="A109" s="546">
        <v>62006011</v>
      </c>
      <c r="B109" s="543" t="s">
        <v>840</v>
      </c>
      <c r="C109" s="543" t="s">
        <v>696</v>
      </c>
      <c r="D109" s="513" t="s">
        <v>873</v>
      </c>
      <c r="E109" s="524" t="s">
        <v>874</v>
      </c>
      <c r="F109" s="524" t="s">
        <v>708</v>
      </c>
      <c r="G109" s="531">
        <v>-5.4785969999999997</v>
      </c>
      <c r="H109" s="531">
        <v>8.2148339999999997</v>
      </c>
      <c r="I109" s="531">
        <v>29.083157</v>
      </c>
      <c r="J109" s="531">
        <v>10.525577999999999</v>
      </c>
      <c r="K109" s="578">
        <v>4250</v>
      </c>
      <c r="L109" s="578">
        <v>38.71</v>
      </c>
      <c r="M109" s="578">
        <v>3.0499999999999999E-2</v>
      </c>
      <c r="N109" s="578">
        <v>1.4999999999999999E-2</v>
      </c>
      <c r="O109" s="529">
        <v>6.25128021</v>
      </c>
      <c r="P109" s="544">
        <v>22.6</v>
      </c>
      <c r="Q109" s="544">
        <v>19.899999999999999</v>
      </c>
      <c r="R109" s="530">
        <v>61654</v>
      </c>
      <c r="S109" s="530">
        <v>63539</v>
      </c>
      <c r="T109" s="530">
        <v>1885</v>
      </c>
      <c r="U109" s="530">
        <v>301.53823483782054</v>
      </c>
      <c r="V109" s="534">
        <v>61752</v>
      </c>
      <c r="W109" s="530">
        <v>63640</v>
      </c>
      <c r="X109" s="530">
        <v>1888</v>
      </c>
      <c r="Y109" s="533">
        <v>302.01813653782767</v>
      </c>
      <c r="Z109" s="534">
        <v>310</v>
      </c>
      <c r="AA109" s="530">
        <v>326</v>
      </c>
      <c r="AB109" s="530">
        <v>16</v>
      </c>
      <c r="AC109" s="533">
        <v>2.5594757333714209</v>
      </c>
      <c r="AD109" s="534">
        <v>52511</v>
      </c>
      <c r="AE109" s="530">
        <v>54191</v>
      </c>
      <c r="AF109" s="530">
        <v>1680</v>
      </c>
      <c r="AG109" s="533">
        <v>268.74495200399917</v>
      </c>
      <c r="AH109" s="534">
        <v>1835.8</v>
      </c>
      <c r="AI109" s="530">
        <v>1874.4</v>
      </c>
      <c r="AJ109" s="530">
        <v>38.600000000000136</v>
      </c>
      <c r="AK109" s="533">
        <v>6.1747352067585748</v>
      </c>
      <c r="AL109" s="534">
        <v>1521.35139</v>
      </c>
      <c r="AM109" s="530">
        <v>1553.4212709999999</v>
      </c>
      <c r="AN109" s="530">
        <v>32.069880999999896</v>
      </c>
      <c r="AO109" s="533">
        <v>5.1301301369755583</v>
      </c>
      <c r="AP109" s="534">
        <v>6894.2</v>
      </c>
      <c r="AQ109" s="530">
        <v>7043.4</v>
      </c>
      <c r="AR109" s="530">
        <v>149.19999999999982</v>
      </c>
      <c r="AS109" s="533">
        <v>23.867111213688471</v>
      </c>
      <c r="AT109" s="534">
        <v>7.8</v>
      </c>
      <c r="AU109" s="530">
        <v>7.9</v>
      </c>
      <c r="AV109" s="530">
        <v>0.10000000000000053</v>
      </c>
      <c r="AW109" s="533">
        <v>1.5996723333571466E-2</v>
      </c>
      <c r="AX109" s="534">
        <v>-20.37</v>
      </c>
      <c r="AY109" s="530">
        <v>-20.7</v>
      </c>
      <c r="AZ109" s="530">
        <v>-0.32999999999999829</v>
      </c>
      <c r="BA109" s="530">
        <v>-3.2809309999999998</v>
      </c>
      <c r="BB109" s="533">
        <v>-5.2789187000785283E-2</v>
      </c>
      <c r="BC109" s="545"/>
      <c r="BD109" s="545"/>
      <c r="BE109" s="545"/>
      <c r="BF109" s="545"/>
      <c r="BG109" s="545"/>
      <c r="BH109" s="567"/>
      <c r="BI109" s="574" t="s">
        <v>723</v>
      </c>
      <c r="BJ109" s="1">
        <v>11304.69538152</v>
      </c>
      <c r="BK109" s="1">
        <v>-5.76057664</v>
      </c>
      <c r="BL109" s="1">
        <v>1073.8391557499999</v>
      </c>
      <c r="BM109" s="1">
        <v>1139.4797606</v>
      </c>
      <c r="BN109" s="1">
        <v>5.8137293899999998</v>
      </c>
      <c r="BO109" s="1">
        <v>5.8954765900000003</v>
      </c>
      <c r="BP109" s="1">
        <v>0.24895286</v>
      </c>
      <c r="BQ109" s="1">
        <v>6.2512781000000004</v>
      </c>
      <c r="BR109" s="1">
        <v>6.23575401</v>
      </c>
      <c r="BS109" s="1">
        <v>-1.6585593700000001</v>
      </c>
      <c r="BT109" s="1">
        <v>-1.38660878</v>
      </c>
      <c r="BU109" s="128">
        <v>0.41987783000000001</v>
      </c>
      <c r="BV109" s="512"/>
    </row>
    <row r="110" spans="1:74" s="519" customFormat="1" ht="22.5">
      <c r="A110" s="546">
        <v>62006011</v>
      </c>
      <c r="B110" s="543" t="s">
        <v>834</v>
      </c>
      <c r="C110" s="543" t="s">
        <v>698</v>
      </c>
      <c r="D110" s="513" t="s">
        <v>873</v>
      </c>
      <c r="E110" s="524" t="s">
        <v>874</v>
      </c>
      <c r="F110" s="524" t="s">
        <v>708</v>
      </c>
      <c r="G110" s="468">
        <v>-6.8317999999999994</v>
      </c>
      <c r="H110" s="468">
        <v>8.7891550000000009</v>
      </c>
      <c r="I110" s="468">
        <v>29.084657499999999</v>
      </c>
      <c r="J110" s="468">
        <v>11.975686</v>
      </c>
      <c r="K110" s="579"/>
      <c r="L110" s="578"/>
      <c r="M110" s="580"/>
      <c r="N110" s="581"/>
      <c r="O110" s="453">
        <v>8.0258143699999991</v>
      </c>
      <c r="P110" s="493">
        <v>23.2</v>
      </c>
      <c r="Q110" s="493">
        <v>19.899999999999999</v>
      </c>
      <c r="R110" s="456">
        <v>61218</v>
      </c>
      <c r="S110" s="456">
        <v>63539</v>
      </c>
      <c r="T110" s="456">
        <v>2521</v>
      </c>
      <c r="U110" s="456">
        <v>314.11142642712286</v>
      </c>
      <c r="V110" s="456">
        <v>61315</v>
      </c>
      <c r="W110" s="456">
        <v>63640</v>
      </c>
      <c r="X110" s="456">
        <v>2526</v>
      </c>
      <c r="Y110" s="454">
        <v>314.73441616616913</v>
      </c>
      <c r="Z110" s="456">
        <v>296</v>
      </c>
      <c r="AA110" s="456">
        <v>326</v>
      </c>
      <c r="AB110" s="456">
        <v>53</v>
      </c>
      <c r="AC110" s="454">
        <v>6.6036912338903253</v>
      </c>
      <c r="AD110" s="456">
        <v>52190</v>
      </c>
      <c r="AE110" s="456">
        <v>54191</v>
      </c>
      <c r="AF110" s="456">
        <v>2127</v>
      </c>
      <c r="AG110" s="454">
        <v>265.01983499027779</v>
      </c>
      <c r="AH110" s="456">
        <v>1820.7</v>
      </c>
      <c r="AI110" s="456">
        <v>1874.4</v>
      </c>
      <c r="AJ110" s="456">
        <v>65.899999999999864</v>
      </c>
      <c r="AK110" s="454">
        <v>8.2110047606296526</v>
      </c>
      <c r="AL110" s="456">
        <v>1508.591087</v>
      </c>
      <c r="AM110" s="456">
        <v>1553.4212709999999</v>
      </c>
      <c r="AN110" s="456">
        <v>55.040021000000024</v>
      </c>
      <c r="AO110" s="454">
        <v>6.8578736639781059</v>
      </c>
      <c r="AP110" s="456">
        <v>6810.7</v>
      </c>
      <c r="AQ110" s="456">
        <v>7043.4</v>
      </c>
      <c r="AR110" s="456">
        <v>271.31107900000006</v>
      </c>
      <c r="AS110" s="454">
        <v>33.804803661313699</v>
      </c>
      <c r="AT110" s="456">
        <v>7.8</v>
      </c>
      <c r="AU110" s="456">
        <v>7.9</v>
      </c>
      <c r="AV110" s="456">
        <v>0.10000000000000053</v>
      </c>
      <c r="AW110" s="454">
        <v>1.245979478092521E-2</v>
      </c>
      <c r="AX110" s="456">
        <v>-20.25</v>
      </c>
      <c r="AY110" s="456">
        <v>-20.7</v>
      </c>
      <c r="AZ110" s="456">
        <v>-0.55000000000000071</v>
      </c>
      <c r="BA110" s="530">
        <v>-3.2926264999999999</v>
      </c>
      <c r="BB110" s="454">
        <v>-6.8528871295088375E-2</v>
      </c>
      <c r="BC110" s="496"/>
      <c r="BD110" s="496"/>
      <c r="BE110" s="496"/>
      <c r="BF110" s="496"/>
      <c r="BG110" s="496"/>
      <c r="BH110" s="568"/>
      <c r="BI110" s="574" t="s">
        <v>723</v>
      </c>
      <c r="BJ110" s="1"/>
      <c r="BK110" s="1"/>
      <c r="BL110" s="1"/>
      <c r="BM110" s="1"/>
      <c r="BN110" s="1"/>
      <c r="BO110" s="1"/>
      <c r="BP110" s="1"/>
      <c r="BQ110" s="1"/>
      <c r="BR110" s="1"/>
      <c r="BS110" s="1"/>
      <c r="BT110" s="1"/>
      <c r="BU110" s="128"/>
      <c r="BV110" s="512"/>
    </row>
    <row r="111" spans="1:74" s="519" customFormat="1" ht="22.5">
      <c r="A111" s="546">
        <v>62006011</v>
      </c>
      <c r="B111" s="543" t="s">
        <v>841</v>
      </c>
      <c r="C111" s="543" t="s">
        <v>697</v>
      </c>
      <c r="D111" s="513" t="s">
        <v>873</v>
      </c>
      <c r="E111" s="524" t="s">
        <v>874</v>
      </c>
      <c r="F111" s="524" t="s">
        <v>708</v>
      </c>
      <c r="G111" s="531">
        <v>-5.8007400000000002</v>
      </c>
      <c r="H111" s="531">
        <v>8.1807440000000007</v>
      </c>
      <c r="I111" s="531">
        <v>29.079163999999999</v>
      </c>
      <c r="J111" s="531">
        <v>9.6829230000000006</v>
      </c>
      <c r="K111" s="578">
        <v>4250</v>
      </c>
      <c r="L111" s="578">
        <v>38.71</v>
      </c>
      <c r="M111" s="578">
        <v>3.0499999999999999E-2</v>
      </c>
      <c r="N111" s="578">
        <v>1.4999999999999999E-2</v>
      </c>
      <c r="O111" s="529">
        <v>3.59698933</v>
      </c>
      <c r="P111" s="544">
        <v>19.5</v>
      </c>
      <c r="Q111" s="544">
        <v>18</v>
      </c>
      <c r="R111" s="530">
        <v>63784</v>
      </c>
      <c r="S111" s="530">
        <v>64851</v>
      </c>
      <c r="T111" s="530">
        <v>1067</v>
      </c>
      <c r="U111" s="530">
        <v>296.63696555919449</v>
      </c>
      <c r="V111" s="534">
        <v>63890</v>
      </c>
      <c r="W111" s="530">
        <v>64961</v>
      </c>
      <c r="X111" s="530">
        <v>1071</v>
      </c>
      <c r="Y111" s="533">
        <v>297.7490066671952</v>
      </c>
      <c r="Z111" s="534">
        <v>349</v>
      </c>
      <c r="AA111" s="530">
        <v>355</v>
      </c>
      <c r="AB111" s="530">
        <v>6</v>
      </c>
      <c r="AC111" s="533">
        <v>1.6680616620010935</v>
      </c>
      <c r="AD111" s="534">
        <v>54316</v>
      </c>
      <c r="AE111" s="530">
        <v>55062</v>
      </c>
      <c r="AF111" s="530">
        <v>746</v>
      </c>
      <c r="AG111" s="533">
        <v>207.39566664213598</v>
      </c>
      <c r="AH111" s="534">
        <v>1926.1</v>
      </c>
      <c r="AI111" s="530">
        <v>1981.8</v>
      </c>
      <c r="AJ111" s="530">
        <v>55.700000000000045</v>
      </c>
      <c r="AK111" s="533">
        <v>15.485172428910165</v>
      </c>
      <c r="AL111" s="534">
        <v>1593.4608470000001</v>
      </c>
      <c r="AM111" s="530">
        <v>1639.980509</v>
      </c>
      <c r="AN111" s="530">
        <v>46.519661999999926</v>
      </c>
      <c r="AO111" s="533">
        <v>12.932944118574833</v>
      </c>
      <c r="AP111" s="534">
        <v>7086</v>
      </c>
      <c r="AQ111" s="530">
        <v>7343</v>
      </c>
      <c r="AR111" s="530">
        <v>257</v>
      </c>
      <c r="AS111" s="533">
        <v>71.448641189046839</v>
      </c>
      <c r="AT111" s="534">
        <v>8.1</v>
      </c>
      <c r="AU111" s="530">
        <v>8.1999999999999993</v>
      </c>
      <c r="AV111" s="530">
        <v>9.9999999999999645E-2</v>
      </c>
      <c r="AW111" s="533">
        <v>2.7801027700018126E-2</v>
      </c>
      <c r="AX111" s="534">
        <v>-21.34</v>
      </c>
      <c r="AY111" s="530">
        <v>-21.8</v>
      </c>
      <c r="AZ111" s="530">
        <v>-0.46000000000000085</v>
      </c>
      <c r="BA111" s="530">
        <v>-3.251261</v>
      </c>
      <c r="BB111" s="533">
        <v>-0.12788472742008408</v>
      </c>
      <c r="BC111" s="545"/>
      <c r="BD111" s="545"/>
      <c r="BE111" s="545"/>
      <c r="BF111" s="545"/>
      <c r="BG111" s="545"/>
      <c r="BH111" s="567"/>
      <c r="BI111" s="574" t="s">
        <v>723</v>
      </c>
      <c r="BJ111" s="1">
        <v>2370.14400707</v>
      </c>
      <c r="BK111" s="1">
        <v>-1.1467248299999999</v>
      </c>
      <c r="BL111" s="1">
        <v>2025.3867869999999</v>
      </c>
      <c r="BM111" s="1">
        <v>2048.8818235399999</v>
      </c>
      <c r="BN111" s="1">
        <v>3.02280485</v>
      </c>
      <c r="BO111" s="1">
        <v>3.0320730500000002</v>
      </c>
      <c r="BP111" s="1">
        <v>0.16705128</v>
      </c>
      <c r="BQ111" s="1">
        <v>3.5969792200000001</v>
      </c>
      <c r="BR111" s="1">
        <v>3.59098045</v>
      </c>
      <c r="BS111" s="1">
        <v>-0.47417271999999999</v>
      </c>
      <c r="BT111" s="1">
        <v>-0.30567202999999998</v>
      </c>
      <c r="BU111" s="128">
        <v>0.63451221000000002</v>
      </c>
      <c r="BV111" s="512"/>
    </row>
    <row r="112" spans="1:74" s="519" customFormat="1" ht="22.5">
      <c r="A112" s="546">
        <v>62006011</v>
      </c>
      <c r="B112" s="543" t="s">
        <v>234</v>
      </c>
      <c r="C112" s="543" t="s">
        <v>699</v>
      </c>
      <c r="D112" s="513" t="s">
        <v>873</v>
      </c>
      <c r="E112" s="524" t="s">
        <v>874</v>
      </c>
      <c r="F112" s="524" t="s">
        <v>708</v>
      </c>
      <c r="G112" s="531">
        <v>-7.0396130000000001</v>
      </c>
      <c r="H112" s="531">
        <v>8.3444409999999998</v>
      </c>
      <c r="I112" s="531">
        <v>29.077697000000001</v>
      </c>
      <c r="J112" s="531">
        <v>9.8505409999999998</v>
      </c>
      <c r="K112" s="578">
        <v>4250</v>
      </c>
      <c r="L112" s="578">
        <v>38.71</v>
      </c>
      <c r="M112" s="578">
        <v>3.0499999999999999E-2</v>
      </c>
      <c r="N112" s="578">
        <v>1.4999999999999999E-2</v>
      </c>
      <c r="O112" s="529">
        <v>3.8647225199999999</v>
      </c>
      <c r="P112" s="544">
        <v>18</v>
      </c>
      <c r="Q112" s="544">
        <v>16.5</v>
      </c>
      <c r="R112" s="530">
        <v>64851</v>
      </c>
      <c r="S112" s="530">
        <v>65926</v>
      </c>
      <c r="T112" s="530">
        <v>1075</v>
      </c>
      <c r="U112" s="530">
        <v>278.15709780892627</v>
      </c>
      <c r="V112" s="534">
        <v>64961</v>
      </c>
      <c r="W112" s="530">
        <v>66042</v>
      </c>
      <c r="X112" s="530">
        <v>1081</v>
      </c>
      <c r="Y112" s="533">
        <v>279.70960254088305</v>
      </c>
      <c r="Z112" s="534">
        <v>355</v>
      </c>
      <c r="AA112" s="530">
        <v>371</v>
      </c>
      <c r="AB112" s="530">
        <v>16</v>
      </c>
      <c r="AC112" s="533">
        <v>4.1400126185514612</v>
      </c>
      <c r="AD112" s="534">
        <v>55062</v>
      </c>
      <c r="AE112" s="530">
        <v>55730</v>
      </c>
      <c r="AF112" s="530">
        <v>668</v>
      </c>
      <c r="AG112" s="533">
        <v>172.84552682452349</v>
      </c>
      <c r="AH112" s="534">
        <v>1981.8</v>
      </c>
      <c r="AI112" s="530">
        <v>2075.6</v>
      </c>
      <c r="AJ112" s="530">
        <v>93.799999999999955</v>
      </c>
      <c r="AK112" s="533">
        <v>24.270823976257926</v>
      </c>
      <c r="AL112" s="534">
        <v>1640.000599</v>
      </c>
      <c r="AM112" s="530">
        <v>1718.1601680000001</v>
      </c>
      <c r="AN112" s="530">
        <v>78.159569000000147</v>
      </c>
      <c r="AO112" s="533">
        <v>20.223850120034012</v>
      </c>
      <c r="AP112" s="534">
        <v>7343.1</v>
      </c>
      <c r="AQ112" s="530">
        <v>7637.8</v>
      </c>
      <c r="AR112" s="530">
        <v>294.69999999999982</v>
      </c>
      <c r="AS112" s="533">
        <v>76.253857417944673</v>
      </c>
      <c r="AT112" s="534">
        <v>8.1999999999999993</v>
      </c>
      <c r="AU112" s="530">
        <v>8.3000000000000007</v>
      </c>
      <c r="AV112" s="530">
        <v>0.10000000000000142</v>
      </c>
      <c r="AW112" s="533">
        <v>2.5875078865946997E-2</v>
      </c>
      <c r="AX112" s="534">
        <v>-21.8</v>
      </c>
      <c r="AY112" s="530">
        <v>-22.57</v>
      </c>
      <c r="AZ112" s="530">
        <v>-0.76999999999999957</v>
      </c>
      <c r="BA112" s="530">
        <v>-3.1915019999999998</v>
      </c>
      <c r="BB112" s="533">
        <v>-0.19923810726778893</v>
      </c>
      <c r="BC112" s="545"/>
      <c r="BD112" s="545"/>
      <c r="BE112" s="545"/>
      <c r="BF112" s="545"/>
      <c r="BG112" s="545"/>
      <c r="BH112" s="567"/>
      <c r="BI112" s="574" t="s">
        <v>723</v>
      </c>
      <c r="BJ112" s="1">
        <v>1477.1536818100001</v>
      </c>
      <c r="BK112" s="1">
        <v>-1.47631906</v>
      </c>
      <c r="BL112" s="1">
        <v>3365.8735300500002</v>
      </c>
      <c r="BM112" s="1">
        <v>3416.3091533699999</v>
      </c>
      <c r="BN112" s="1">
        <v>2.9822797699999999</v>
      </c>
      <c r="BO112" s="1">
        <v>2.9954660299999998</v>
      </c>
      <c r="BP112" s="1">
        <v>0.1235774</v>
      </c>
      <c r="BQ112" s="1">
        <v>3.8646012600000001</v>
      </c>
      <c r="BR112" s="1">
        <v>3.8598313800000001</v>
      </c>
      <c r="BS112" s="1">
        <v>-0.56627757000000001</v>
      </c>
      <c r="BT112" s="1">
        <v>-0.44020736999999999</v>
      </c>
      <c r="BU112" s="128">
        <v>0.72008435999999998</v>
      </c>
      <c r="BV112" s="512"/>
    </row>
    <row r="113" spans="1:74" s="519" customFormat="1" ht="22.5">
      <c r="A113" s="546">
        <v>62006011</v>
      </c>
      <c r="B113" s="543" t="s">
        <v>842</v>
      </c>
      <c r="C113" s="543" t="s">
        <v>704</v>
      </c>
      <c r="D113" s="513" t="s">
        <v>873</v>
      </c>
      <c r="E113" s="524" t="s">
        <v>874</v>
      </c>
      <c r="F113" s="524" t="s">
        <v>708</v>
      </c>
      <c r="G113" s="468">
        <v>-6.4201765000000002</v>
      </c>
      <c r="H113" s="468">
        <v>8.2625925000000002</v>
      </c>
      <c r="I113" s="468">
        <v>29.0784305</v>
      </c>
      <c r="J113" s="468">
        <v>9.7667320000000011</v>
      </c>
      <c r="K113" s="579"/>
      <c r="L113" s="578"/>
      <c r="M113" s="580"/>
      <c r="N113" s="581"/>
      <c r="O113" s="453">
        <v>7.4617118500000004</v>
      </c>
      <c r="P113" s="493">
        <v>19.5</v>
      </c>
      <c r="Q113" s="493">
        <v>16.5</v>
      </c>
      <c r="R113" s="456">
        <v>63784</v>
      </c>
      <c r="S113" s="456">
        <v>65926</v>
      </c>
      <c r="T113" s="456">
        <v>2142</v>
      </c>
      <c r="U113" s="456">
        <v>287.06549422703853</v>
      </c>
      <c r="V113" s="456">
        <v>63890</v>
      </c>
      <c r="W113" s="456">
        <v>66042</v>
      </c>
      <c r="X113" s="456">
        <v>2152</v>
      </c>
      <c r="Y113" s="454">
        <v>288.40566927011525</v>
      </c>
      <c r="Z113" s="456">
        <v>349</v>
      </c>
      <c r="AA113" s="456">
        <v>371</v>
      </c>
      <c r="AB113" s="456">
        <v>22</v>
      </c>
      <c r="AC113" s="454">
        <v>2.9483850947688364</v>
      </c>
      <c r="AD113" s="456">
        <v>54316</v>
      </c>
      <c r="AE113" s="456">
        <v>55730</v>
      </c>
      <c r="AF113" s="456">
        <v>1414</v>
      </c>
      <c r="AG113" s="454">
        <v>189.50075109105157</v>
      </c>
      <c r="AH113" s="456">
        <v>1926.1</v>
      </c>
      <c r="AI113" s="456">
        <v>2075.6</v>
      </c>
      <c r="AJ113" s="456">
        <v>149.5</v>
      </c>
      <c r="AK113" s="454">
        <v>20.035616893997318</v>
      </c>
      <c r="AL113" s="456">
        <v>1593.4608470000001</v>
      </c>
      <c r="AM113" s="456">
        <v>1718.1601680000001</v>
      </c>
      <c r="AN113" s="456">
        <v>124.67923100000007</v>
      </c>
      <c r="AO113" s="454">
        <v>16.709199377620038</v>
      </c>
      <c r="AP113" s="456">
        <v>7086</v>
      </c>
      <c r="AQ113" s="456">
        <v>7637.8</v>
      </c>
      <c r="AR113" s="456">
        <v>551.69999999999982</v>
      </c>
      <c r="AS113" s="454">
        <v>73.937457126543933</v>
      </c>
      <c r="AT113" s="456">
        <v>8.1</v>
      </c>
      <c r="AU113" s="456">
        <v>8.3000000000000007</v>
      </c>
      <c r="AV113" s="456">
        <v>0.20000000000000107</v>
      </c>
      <c r="AW113" s="454">
        <v>2.6803500861535018E-2</v>
      </c>
      <c r="AX113" s="456">
        <v>-21.34</v>
      </c>
      <c r="AY113" s="456">
        <v>-22.57</v>
      </c>
      <c r="AZ113" s="456">
        <v>-1.2300000000000004</v>
      </c>
      <c r="BA113" s="530">
        <v>-3.2213814999999997</v>
      </c>
      <c r="BB113" s="454">
        <v>-0.16484153029843954</v>
      </c>
      <c r="BC113" s="496"/>
      <c r="BD113" s="496"/>
      <c r="BE113" s="496"/>
      <c r="BF113" s="496"/>
      <c r="BG113" s="496"/>
      <c r="BH113" s="568"/>
      <c r="BI113" s="574" t="s">
        <v>723</v>
      </c>
      <c r="BJ113" s="1"/>
      <c r="BK113" s="1"/>
      <c r="BL113" s="1"/>
      <c r="BM113" s="1"/>
      <c r="BN113" s="1"/>
      <c r="BO113" s="1"/>
      <c r="BP113" s="1"/>
      <c r="BQ113" s="1"/>
      <c r="BR113" s="1"/>
      <c r="BS113" s="1"/>
      <c r="BT113" s="1"/>
      <c r="BU113" s="128"/>
      <c r="BV113" s="512"/>
    </row>
    <row r="114" spans="1:74" s="519" customFormat="1" ht="22.5">
      <c r="A114" s="546">
        <v>62006011</v>
      </c>
      <c r="B114" s="543" t="s">
        <v>56</v>
      </c>
      <c r="C114" s="543" t="s">
        <v>700</v>
      </c>
      <c r="D114" s="513" t="s">
        <v>873</v>
      </c>
      <c r="E114" s="524" t="s">
        <v>874</v>
      </c>
      <c r="F114" s="524" t="s">
        <v>708</v>
      </c>
      <c r="G114" s="531">
        <v>-4.939953</v>
      </c>
      <c r="H114" s="531">
        <v>7.2451610000000004</v>
      </c>
      <c r="I114" s="531">
        <v>29.07264</v>
      </c>
      <c r="J114" s="531">
        <v>9.7762510000000002</v>
      </c>
      <c r="K114" s="578">
        <v>4250</v>
      </c>
      <c r="L114" s="578">
        <v>38.71</v>
      </c>
      <c r="M114" s="578">
        <v>3.0499999999999999E-2</v>
      </c>
      <c r="N114" s="578">
        <v>1.4999999999999999E-2</v>
      </c>
      <c r="O114" s="529">
        <v>10.284009490000001</v>
      </c>
      <c r="P114" s="544">
        <v>16.5</v>
      </c>
      <c r="Q114" s="544">
        <v>12.8</v>
      </c>
      <c r="R114" s="530">
        <v>65933</v>
      </c>
      <c r="S114" s="530">
        <v>68475</v>
      </c>
      <c r="T114" s="530">
        <v>2542</v>
      </c>
      <c r="U114" s="530">
        <v>247.17985747405217</v>
      </c>
      <c r="V114" s="534">
        <v>66049</v>
      </c>
      <c r="W114" s="530">
        <v>68595</v>
      </c>
      <c r="X114" s="530">
        <v>2546</v>
      </c>
      <c r="Y114" s="533">
        <v>247.56881082963682</v>
      </c>
      <c r="Z114" s="534">
        <v>371</v>
      </c>
      <c r="AA114" s="530">
        <v>373</v>
      </c>
      <c r="AB114" s="530">
        <v>2</v>
      </c>
      <c r="AC114" s="533">
        <v>0.19447667779233058</v>
      </c>
      <c r="AD114" s="534">
        <v>55730</v>
      </c>
      <c r="AE114" s="530">
        <v>57933</v>
      </c>
      <c r="AF114" s="530">
        <v>2203</v>
      </c>
      <c r="AG114" s="533">
        <v>214.21606058825213</v>
      </c>
      <c r="AH114" s="534">
        <v>2077.4</v>
      </c>
      <c r="AI114" s="530">
        <v>2158.8000000000002</v>
      </c>
      <c r="AJ114" s="530">
        <v>81.400000000000091</v>
      </c>
      <c r="AK114" s="533">
        <v>7.9152007861478628</v>
      </c>
      <c r="AL114" s="534">
        <v>1719.590144</v>
      </c>
      <c r="AM114" s="530">
        <v>1787.549358</v>
      </c>
      <c r="AN114" s="530">
        <v>67.959213999999974</v>
      </c>
      <c r="AO114" s="533">
        <v>6.6082410820490178</v>
      </c>
      <c r="AP114" s="534">
        <v>7642.5</v>
      </c>
      <c r="AQ114" s="530">
        <v>7895.1967919999997</v>
      </c>
      <c r="AR114" s="530">
        <v>252.69679199999973</v>
      </c>
      <c r="AS114" s="533">
        <v>24.571816298469763</v>
      </c>
      <c r="AT114" s="534">
        <v>8.3000000000000007</v>
      </c>
      <c r="AU114" s="530">
        <v>8.4</v>
      </c>
      <c r="AV114" s="530">
        <v>9.9999999999999645E-2</v>
      </c>
      <c r="AW114" s="533">
        <v>9.7238338896164945E-3</v>
      </c>
      <c r="AX114" s="534">
        <v>-22.59</v>
      </c>
      <c r="AY114" s="530">
        <v>-23.26</v>
      </c>
      <c r="AZ114" s="530">
        <v>-0.67000000000000171</v>
      </c>
      <c r="BA114" s="530">
        <v>-3.1845530000000002</v>
      </c>
      <c r="BB114" s="533">
        <v>-6.5149687060430908E-2</v>
      </c>
      <c r="BC114" s="545"/>
      <c r="BD114" s="545"/>
      <c r="BE114" s="545"/>
      <c r="BF114" s="545"/>
      <c r="BG114" s="545"/>
      <c r="BH114" s="567"/>
      <c r="BI114" s="574" t="s">
        <v>723</v>
      </c>
      <c r="BJ114" s="1">
        <v>1876.2041123399999</v>
      </c>
      <c r="BK114" s="1">
        <v>2.6329647500000002</v>
      </c>
      <c r="BL114" s="1">
        <v>1341.20360164</v>
      </c>
      <c r="BM114" s="1">
        <v>1306.7961204799999</v>
      </c>
      <c r="BN114" s="1">
        <v>6.8355829200000002</v>
      </c>
      <c r="BO114" s="1">
        <v>6.7904734500000004</v>
      </c>
      <c r="BP114" s="1">
        <v>0.26656155999999998</v>
      </c>
      <c r="BQ114" s="1">
        <v>10.284020959999999</v>
      </c>
      <c r="BR114" s="1">
        <v>10.25668059</v>
      </c>
      <c r="BS114" s="1">
        <v>0.39511884000000003</v>
      </c>
      <c r="BT114" s="1">
        <v>0.66430520000000004</v>
      </c>
      <c r="BU114" s="128">
        <v>0.33399022</v>
      </c>
      <c r="BV114" s="512"/>
    </row>
    <row r="115" spans="1:74" s="519" customFormat="1" ht="22.5">
      <c r="A115" s="546">
        <v>62006011</v>
      </c>
      <c r="B115" s="543" t="s">
        <v>843</v>
      </c>
      <c r="C115" s="543" t="s">
        <v>702</v>
      </c>
      <c r="D115" s="513" t="s">
        <v>873</v>
      </c>
      <c r="E115" s="524" t="s">
        <v>874</v>
      </c>
      <c r="F115" s="524" t="s">
        <v>708</v>
      </c>
      <c r="G115" s="531">
        <v>-6.1277569999999999</v>
      </c>
      <c r="H115" s="531">
        <v>8.1299499999999991</v>
      </c>
      <c r="I115" s="531">
        <v>29.073488000000001</v>
      </c>
      <c r="J115" s="531">
        <v>9.5846800000000005</v>
      </c>
      <c r="K115" s="578">
        <v>4250</v>
      </c>
      <c r="L115" s="578">
        <v>38.71</v>
      </c>
      <c r="M115" s="578">
        <v>3.0499999999999999E-2</v>
      </c>
      <c r="N115" s="578">
        <v>1.4999999999999999E-2</v>
      </c>
      <c r="O115" s="529">
        <v>3.59759911</v>
      </c>
      <c r="P115" s="544">
        <v>12.7</v>
      </c>
      <c r="Q115" s="544">
        <v>11.1</v>
      </c>
      <c r="R115" s="530">
        <v>68519</v>
      </c>
      <c r="S115" s="530">
        <v>69579</v>
      </c>
      <c r="T115" s="530">
        <v>1060</v>
      </c>
      <c r="U115" s="530">
        <v>294.64094458262196</v>
      </c>
      <c r="V115" s="534">
        <v>68641</v>
      </c>
      <c r="W115" s="530">
        <v>69704</v>
      </c>
      <c r="X115" s="530">
        <v>1063</v>
      </c>
      <c r="Y115" s="533">
        <v>295.47483404842183</v>
      </c>
      <c r="Z115" s="534">
        <v>373</v>
      </c>
      <c r="AA115" s="530">
        <v>379</v>
      </c>
      <c r="AB115" s="530">
        <v>6</v>
      </c>
      <c r="AC115" s="533">
        <v>1.6677789315997469</v>
      </c>
      <c r="AD115" s="534">
        <v>57933</v>
      </c>
      <c r="AE115" s="530">
        <v>58674</v>
      </c>
      <c r="AF115" s="530">
        <v>741</v>
      </c>
      <c r="AG115" s="533">
        <v>205.97069805256874</v>
      </c>
      <c r="AH115" s="534">
        <v>2198</v>
      </c>
      <c r="AI115" s="530">
        <v>2253.3000000000002</v>
      </c>
      <c r="AJ115" s="530">
        <v>55.300000000000182</v>
      </c>
      <c r="AK115" s="533">
        <v>15.371362486244383</v>
      </c>
      <c r="AL115" s="534">
        <v>1817.56</v>
      </c>
      <c r="AM115" s="530">
        <v>1864</v>
      </c>
      <c r="AN115" s="530">
        <v>46.440000000000055</v>
      </c>
      <c r="AO115" s="533">
        <v>12.908608930582055</v>
      </c>
      <c r="AP115" s="534">
        <v>7898</v>
      </c>
      <c r="AQ115" s="530">
        <v>8153</v>
      </c>
      <c r="AR115" s="530">
        <v>255</v>
      </c>
      <c r="AS115" s="533">
        <v>70.880604592989243</v>
      </c>
      <c r="AT115" s="534">
        <v>8.5</v>
      </c>
      <c r="AU115" s="530">
        <v>8.5</v>
      </c>
      <c r="AV115" s="530">
        <v>0</v>
      </c>
      <c r="AW115" s="533">
        <v>0</v>
      </c>
      <c r="AX115" s="534">
        <v>-23.78</v>
      </c>
      <c r="AY115" s="530">
        <v>-24.22</v>
      </c>
      <c r="AZ115" s="530">
        <v>-0.43999999999999773</v>
      </c>
      <c r="BA115" s="530">
        <v>-3.1212499999999999</v>
      </c>
      <c r="BB115" s="533">
        <v>-0.12230378831731413</v>
      </c>
      <c r="BC115" s="545"/>
      <c r="BD115" s="545"/>
      <c r="BE115" s="545"/>
      <c r="BF115" s="545"/>
      <c r="BG115" s="545"/>
      <c r="BH115" s="567"/>
      <c r="BI115" s="574" t="s">
        <v>723</v>
      </c>
      <c r="BJ115" s="1">
        <v>2369.27182795</v>
      </c>
      <c r="BK115" s="1">
        <v>-0.70591230000000005</v>
      </c>
      <c r="BL115" s="1">
        <v>2034.3731086499999</v>
      </c>
      <c r="BM115" s="1">
        <v>2048.8360946399998</v>
      </c>
      <c r="BN115" s="1">
        <v>3.0317692900000002</v>
      </c>
      <c r="BO115" s="1">
        <v>3.0319981399999998</v>
      </c>
      <c r="BP115" s="1">
        <v>0.18304066999999999</v>
      </c>
      <c r="BQ115" s="1">
        <v>3.5975533799999999</v>
      </c>
      <c r="BR115" s="1">
        <v>3.5909804200000002</v>
      </c>
      <c r="BS115" s="1">
        <v>-0.19060314</v>
      </c>
      <c r="BT115" s="1">
        <v>-7.5480800000000004E-3</v>
      </c>
      <c r="BU115" s="128">
        <v>0.63450503000000003</v>
      </c>
      <c r="BV115" s="512"/>
    </row>
    <row r="116" spans="1:74" s="519" customFormat="1" ht="22.5">
      <c r="A116" s="546">
        <v>62006011</v>
      </c>
      <c r="B116" s="543" t="s">
        <v>844</v>
      </c>
      <c r="C116" s="543" t="s">
        <v>705</v>
      </c>
      <c r="D116" s="513" t="s">
        <v>873</v>
      </c>
      <c r="E116" s="524" t="s">
        <v>874</v>
      </c>
      <c r="F116" s="524" t="s">
        <v>708</v>
      </c>
      <c r="G116" s="531">
        <v>-7.3311469999999996</v>
      </c>
      <c r="H116" s="531">
        <v>8.2135300000000004</v>
      </c>
      <c r="I116" s="531">
        <v>29.071715000000001</v>
      </c>
      <c r="J116" s="531">
        <v>9.7777510000000003</v>
      </c>
      <c r="K116" s="578">
        <v>4250</v>
      </c>
      <c r="L116" s="578">
        <v>38.71</v>
      </c>
      <c r="M116" s="578">
        <v>3.0499999999999999E-2</v>
      </c>
      <c r="N116" s="578">
        <v>1.4999999999999999E-2</v>
      </c>
      <c r="O116" s="529">
        <v>3.8643894400000001</v>
      </c>
      <c r="P116" s="544">
        <v>11.1</v>
      </c>
      <c r="Q116" s="544">
        <v>9.5</v>
      </c>
      <c r="R116" s="530">
        <v>69579</v>
      </c>
      <c r="S116" s="530">
        <v>70655</v>
      </c>
      <c r="T116" s="530">
        <v>1076</v>
      </c>
      <c r="U116" s="530">
        <v>278.43984585570132</v>
      </c>
      <c r="V116" s="534">
        <v>69704</v>
      </c>
      <c r="W116" s="530">
        <v>70784</v>
      </c>
      <c r="X116" s="530">
        <v>1080</v>
      </c>
      <c r="Y116" s="533">
        <v>279.47493821947717</v>
      </c>
      <c r="Z116" s="534">
        <v>379</v>
      </c>
      <c r="AA116" s="530">
        <v>395</v>
      </c>
      <c r="AB116" s="530">
        <v>16</v>
      </c>
      <c r="AC116" s="533">
        <v>4.1403694551033654</v>
      </c>
      <c r="AD116" s="534">
        <v>58674</v>
      </c>
      <c r="AE116" s="530">
        <v>59340</v>
      </c>
      <c r="AF116" s="530">
        <v>666</v>
      </c>
      <c r="AG116" s="533">
        <v>172.34287856867758</v>
      </c>
      <c r="AH116" s="534">
        <v>2253.3916760000002</v>
      </c>
      <c r="AI116" s="530">
        <v>2346.8000000000002</v>
      </c>
      <c r="AJ116" s="530">
        <v>93.408323999999993</v>
      </c>
      <c r="AK116" s="533">
        <v>24.171560721374913</v>
      </c>
      <c r="AL116" s="534">
        <v>1864.019168</v>
      </c>
      <c r="AM116" s="530">
        <v>1942.3686319999999</v>
      </c>
      <c r="AN116" s="530">
        <v>78.349463999999898</v>
      </c>
      <c r="AO116" s="533">
        <v>20.274732973082521</v>
      </c>
      <c r="AP116" s="534">
        <v>8153.1</v>
      </c>
      <c r="AQ116" s="530">
        <v>8451.9</v>
      </c>
      <c r="AR116" s="530">
        <v>298.79999999999927</v>
      </c>
      <c r="AS116" s="533">
        <v>77.321399574055164</v>
      </c>
      <c r="AT116" s="534">
        <v>8.5</v>
      </c>
      <c r="AU116" s="530">
        <v>8.6</v>
      </c>
      <c r="AV116" s="530">
        <v>9.9999999999999645E-2</v>
      </c>
      <c r="AW116" s="533">
        <v>2.5877309094395944E-2</v>
      </c>
      <c r="AX116" s="534">
        <v>-24.22</v>
      </c>
      <c r="AY116" s="530">
        <v>-24.97</v>
      </c>
      <c r="AZ116" s="530">
        <v>-0.75</v>
      </c>
      <c r="BA116" s="530">
        <v>-3.0896439999999998</v>
      </c>
      <c r="BB116" s="533">
        <v>-0.19407981820797027</v>
      </c>
      <c r="BC116" s="545"/>
      <c r="BD116" s="545"/>
      <c r="BE116" s="545"/>
      <c r="BF116" s="545"/>
      <c r="BG116" s="545"/>
      <c r="BH116" s="567"/>
      <c r="BI116" s="574" t="s">
        <v>723</v>
      </c>
      <c r="BJ116" s="1">
        <v>1476.7016028</v>
      </c>
      <c r="BK116" s="1">
        <v>-1.0786850699999999</v>
      </c>
      <c r="BL116" s="1">
        <v>3379.4192207599999</v>
      </c>
      <c r="BM116" s="1">
        <v>3416.2700153699998</v>
      </c>
      <c r="BN116" s="1">
        <v>2.98213178</v>
      </c>
      <c r="BO116" s="1">
        <v>2.9954018100000002</v>
      </c>
      <c r="BP116" s="1">
        <v>0.11471263</v>
      </c>
      <c r="BQ116" s="1">
        <v>3.86425938</v>
      </c>
      <c r="BR116" s="1">
        <v>3.8598316600000002</v>
      </c>
      <c r="BS116" s="1">
        <v>-0.56020791000000003</v>
      </c>
      <c r="BT116" s="1">
        <v>-0.44301348000000002</v>
      </c>
      <c r="BU116" s="128">
        <v>0.72008921000000004</v>
      </c>
      <c r="BV116" s="512"/>
    </row>
    <row r="117" spans="1:74" s="519" customFormat="1" ht="22.5">
      <c r="A117" s="546">
        <v>62006011</v>
      </c>
      <c r="B117" s="543" t="s">
        <v>845</v>
      </c>
      <c r="C117" s="543" t="s">
        <v>703</v>
      </c>
      <c r="D117" s="513" t="s">
        <v>873</v>
      </c>
      <c r="E117" s="524" t="s">
        <v>874</v>
      </c>
      <c r="F117" s="524" t="s">
        <v>708</v>
      </c>
      <c r="G117" s="468">
        <v>-6.7294520000000002</v>
      </c>
      <c r="H117" s="468">
        <v>8.1717399999999998</v>
      </c>
      <c r="I117" s="468">
        <v>29.072601500000001</v>
      </c>
      <c r="J117" s="468">
        <v>9.6812155000000004</v>
      </c>
      <c r="K117" s="579"/>
      <c r="L117" s="578"/>
      <c r="M117" s="580"/>
      <c r="N117" s="581"/>
      <c r="O117" s="453">
        <v>7.4619885500000001</v>
      </c>
      <c r="P117" s="493">
        <v>12.7</v>
      </c>
      <c r="Q117" s="493">
        <v>9.5</v>
      </c>
      <c r="R117" s="456">
        <v>68519</v>
      </c>
      <c r="S117" s="456">
        <v>70655</v>
      </c>
      <c r="T117" s="456">
        <v>2136</v>
      </c>
      <c r="U117" s="456">
        <v>286.25077426579543</v>
      </c>
      <c r="V117" s="456">
        <v>68641</v>
      </c>
      <c r="W117" s="456">
        <v>70784</v>
      </c>
      <c r="X117" s="456">
        <v>2143</v>
      </c>
      <c r="Y117" s="454">
        <v>287.18886200917581</v>
      </c>
      <c r="Z117" s="456">
        <v>373</v>
      </c>
      <c r="AA117" s="456">
        <v>395</v>
      </c>
      <c r="AB117" s="456">
        <v>22</v>
      </c>
      <c r="AC117" s="454">
        <v>2.9482757649098779</v>
      </c>
      <c r="AD117" s="456">
        <v>57933</v>
      </c>
      <c r="AE117" s="456">
        <v>59340</v>
      </c>
      <c r="AF117" s="456">
        <v>1407</v>
      </c>
      <c r="AG117" s="454">
        <v>188.55563641946355</v>
      </c>
      <c r="AH117" s="456">
        <v>2198</v>
      </c>
      <c r="AI117" s="456">
        <v>2346.8000000000002</v>
      </c>
      <c r="AJ117" s="456">
        <v>148.70832400000018</v>
      </c>
      <c r="AK117" s="454">
        <v>19.928779440434838</v>
      </c>
      <c r="AL117" s="456">
        <v>1817.56</v>
      </c>
      <c r="AM117" s="456">
        <v>1942.3686319999999</v>
      </c>
      <c r="AN117" s="456">
        <v>124.78946399999995</v>
      </c>
      <c r="AO117" s="454">
        <v>16.723352383058796</v>
      </c>
      <c r="AP117" s="456">
        <v>7898</v>
      </c>
      <c r="AQ117" s="456">
        <v>8451.9</v>
      </c>
      <c r="AR117" s="456">
        <v>553.79999999999927</v>
      </c>
      <c r="AS117" s="454">
        <v>74.21614175486765</v>
      </c>
      <c r="AT117" s="456">
        <v>8.5</v>
      </c>
      <c r="AU117" s="456">
        <v>8.6</v>
      </c>
      <c r="AV117" s="456">
        <v>9.9999999999999645E-2</v>
      </c>
      <c r="AW117" s="454">
        <v>1.3401253476863034E-2</v>
      </c>
      <c r="AX117" s="456">
        <v>-23.78</v>
      </c>
      <c r="AY117" s="456">
        <v>-24.97</v>
      </c>
      <c r="AZ117" s="456">
        <v>-1.1899999999999977</v>
      </c>
      <c r="BA117" s="530">
        <v>-3.1054469999999998</v>
      </c>
      <c r="BB117" s="454">
        <v>-0.15947491637467034</v>
      </c>
      <c r="BC117" s="496"/>
      <c r="BD117" s="496"/>
      <c r="BE117" s="496"/>
      <c r="BF117" s="496"/>
      <c r="BG117" s="496"/>
      <c r="BH117" s="568"/>
      <c r="BI117" s="574" t="s">
        <v>723</v>
      </c>
      <c r="BJ117" s="1"/>
      <c r="BK117" s="1"/>
      <c r="BL117" s="1"/>
      <c r="BM117" s="1"/>
      <c r="BN117" s="1"/>
      <c r="BO117" s="1"/>
      <c r="BP117" s="1"/>
      <c r="BQ117" s="1"/>
      <c r="BR117" s="1"/>
      <c r="BS117" s="1"/>
      <c r="BT117" s="1"/>
      <c r="BU117" s="128"/>
      <c r="BV117" s="512"/>
    </row>
    <row r="118" spans="1:74" s="519" customFormat="1" ht="22.5">
      <c r="A118" s="546">
        <v>62006012</v>
      </c>
      <c r="B118" s="543" t="s">
        <v>838</v>
      </c>
      <c r="C118" s="543" t="s">
        <v>695</v>
      </c>
      <c r="D118" s="513" t="s">
        <v>875</v>
      </c>
      <c r="E118" s="524" t="s">
        <v>876</v>
      </c>
      <c r="F118" s="524" t="s">
        <v>708</v>
      </c>
      <c r="G118" s="531">
        <v>-1.578943</v>
      </c>
      <c r="H118" s="531">
        <v>6.3239910000000004</v>
      </c>
      <c r="I118" s="531">
        <v>29.068508000000001</v>
      </c>
      <c r="J118" s="531">
        <v>11.096788999999999</v>
      </c>
      <c r="K118" s="578">
        <v>4250</v>
      </c>
      <c r="L118" s="578">
        <v>38.71</v>
      </c>
      <c r="M118" s="578">
        <v>3.0499999999999999E-2</v>
      </c>
      <c r="N118" s="578">
        <v>1.4999999999999999E-2</v>
      </c>
      <c r="O118" s="529">
        <v>11.98691921</v>
      </c>
      <c r="P118" s="544">
        <v>9.5</v>
      </c>
      <c r="Q118" s="544">
        <v>3.7</v>
      </c>
      <c r="R118" s="530">
        <v>70685</v>
      </c>
      <c r="S118" s="530">
        <v>74150</v>
      </c>
      <c r="T118" s="530">
        <v>3465</v>
      </c>
      <c r="U118" s="530">
        <v>289.06509998910724</v>
      </c>
      <c r="V118" s="534">
        <v>70815</v>
      </c>
      <c r="W118" s="530">
        <v>74283</v>
      </c>
      <c r="X118" s="530">
        <v>3468</v>
      </c>
      <c r="Y118" s="533">
        <v>289.31537280295061</v>
      </c>
      <c r="Z118" s="534">
        <v>395</v>
      </c>
      <c r="AA118" s="530">
        <v>396</v>
      </c>
      <c r="AB118" s="530">
        <v>1</v>
      </c>
      <c r="AC118" s="533">
        <v>8.3424271281127615E-2</v>
      </c>
      <c r="AD118" s="534">
        <v>59340</v>
      </c>
      <c r="AE118" s="530">
        <v>62432</v>
      </c>
      <c r="AF118" s="530">
        <v>3092</v>
      </c>
      <c r="AG118" s="533">
        <v>257.94784680124661</v>
      </c>
      <c r="AH118" s="534">
        <v>2367.3268539999999</v>
      </c>
      <c r="AI118" s="530">
        <v>2441.3000000000002</v>
      </c>
      <c r="AJ118" s="530">
        <v>73.97314600000027</v>
      </c>
      <c r="AK118" s="533">
        <v>6.1711557994224835</v>
      </c>
      <c r="AL118" s="534">
        <v>1958.475371</v>
      </c>
      <c r="AM118" s="530">
        <v>2020.99</v>
      </c>
      <c r="AN118" s="530">
        <v>62.514629000000014</v>
      </c>
      <c r="AO118" s="533">
        <v>5.2152373687350488</v>
      </c>
      <c r="AP118" s="534">
        <v>8460.7000000000007</v>
      </c>
      <c r="AQ118" s="530">
        <v>8753.1</v>
      </c>
      <c r="AR118" s="530">
        <v>292.39999999999964</v>
      </c>
      <c r="AS118" s="533">
        <v>24.393256922601687</v>
      </c>
      <c r="AT118" s="534">
        <v>8.6999999999999993</v>
      </c>
      <c r="AU118" s="530">
        <v>8.6999999999999993</v>
      </c>
      <c r="AV118" s="530">
        <v>0</v>
      </c>
      <c r="AW118" s="533">
        <v>0</v>
      </c>
      <c r="AX118" s="534">
        <v>-25.21</v>
      </c>
      <c r="AY118" s="530">
        <v>-25.8</v>
      </c>
      <c r="AZ118" s="530">
        <v>-0.58999999999999986</v>
      </c>
      <c r="BA118" s="530">
        <v>-3.0104660000000001</v>
      </c>
      <c r="BB118" s="533">
        <v>-4.9220320055865283E-2</v>
      </c>
      <c r="BC118" s="545"/>
      <c r="BD118" s="545"/>
      <c r="BE118" s="545"/>
      <c r="BF118" s="545"/>
      <c r="BG118" s="545"/>
      <c r="BH118" s="567"/>
      <c r="BI118" s="574" t="s">
        <v>723</v>
      </c>
      <c r="BJ118" s="1">
        <v>174.01472489</v>
      </c>
      <c r="BK118" s="1">
        <v>4.8984112199999998</v>
      </c>
      <c r="BL118" s="1">
        <v>609.61921475999998</v>
      </c>
      <c r="BM118" s="1">
        <v>581.15200000000004</v>
      </c>
      <c r="BN118" s="1">
        <v>9.27155664</v>
      </c>
      <c r="BO118" s="1">
        <v>10.307568679999999</v>
      </c>
      <c r="BP118" s="1">
        <v>-6.5270203200000001</v>
      </c>
      <c r="BQ118" s="1">
        <v>11.98693405</v>
      </c>
      <c r="BR118" s="1">
        <v>12.823956280000001</v>
      </c>
      <c r="BS118" s="1">
        <v>-3.91773412</v>
      </c>
      <c r="BT118" s="1">
        <v>-10.05098362</v>
      </c>
      <c r="BU118" s="128">
        <v>8.0142199999999997E-2</v>
      </c>
      <c r="BV118" s="512"/>
    </row>
    <row r="119" spans="1:74" s="519" customFormat="1" ht="22.5">
      <c r="A119" s="546">
        <v>62006013</v>
      </c>
      <c r="B119" s="543" t="s">
        <v>906</v>
      </c>
      <c r="C119" s="543" t="s">
        <v>695</v>
      </c>
      <c r="D119" s="513" t="s">
        <v>877</v>
      </c>
      <c r="E119" s="524" t="s">
        <v>878</v>
      </c>
      <c r="F119" s="524" t="s">
        <v>708</v>
      </c>
      <c r="G119" s="531">
        <v>-76.781841</v>
      </c>
      <c r="H119" s="531">
        <v>84.027805999999998</v>
      </c>
      <c r="I119" s="531">
        <v>323.958167</v>
      </c>
      <c r="J119" s="531">
        <v>-78.595860000000002</v>
      </c>
      <c r="K119" s="578">
        <v>4250</v>
      </c>
      <c r="L119" s="578">
        <v>38.71</v>
      </c>
      <c r="M119" s="578">
        <v>3.0499999999999999E-2</v>
      </c>
      <c r="N119" s="578">
        <v>1.4999999999999999E-2</v>
      </c>
      <c r="O119" s="529">
        <v>4.9071799999999997E-3</v>
      </c>
      <c r="P119" s="544">
        <v>3.6</v>
      </c>
      <c r="Q119" s="544">
        <v>99.4</v>
      </c>
      <c r="R119" s="530">
        <v>74168</v>
      </c>
      <c r="S119" s="530">
        <v>-3776</v>
      </c>
      <c r="T119" s="530">
        <v>-77944</v>
      </c>
      <c r="U119" s="530">
        <v>-15883664.344898701</v>
      </c>
      <c r="V119" s="534">
        <v>74303</v>
      </c>
      <c r="W119" s="530">
        <v>-3556</v>
      </c>
      <c r="X119" s="530">
        <v>-77859</v>
      </c>
      <c r="Y119" s="533">
        <v>-15866342.787507286</v>
      </c>
      <c r="Z119" s="534">
        <v>396</v>
      </c>
      <c r="AA119" s="530">
        <v>404</v>
      </c>
      <c r="AB119" s="530">
        <v>8</v>
      </c>
      <c r="AC119" s="533">
        <v>1630.264225074279</v>
      </c>
      <c r="AD119" s="534">
        <v>62432</v>
      </c>
      <c r="AE119" s="530">
        <v>62375</v>
      </c>
      <c r="AF119" s="530">
        <v>-57</v>
      </c>
      <c r="AG119" s="533">
        <v>-11615.632603654238</v>
      </c>
      <c r="AH119" s="534">
        <v>2457.6999999999998</v>
      </c>
      <c r="AI119" s="530">
        <v>-75536.2</v>
      </c>
      <c r="AJ119" s="530">
        <v>-77993.899999999994</v>
      </c>
      <c r="AK119" s="533">
        <v>-15893833.118002601</v>
      </c>
      <c r="AL119" s="534">
        <v>2033.385822</v>
      </c>
      <c r="AM119" s="530">
        <v>2644.99</v>
      </c>
      <c r="AN119" s="530">
        <v>611.60417799999982</v>
      </c>
      <c r="AO119" s="533">
        <v>124634.55141242014</v>
      </c>
      <c r="AP119" s="534">
        <v>8754.5</v>
      </c>
      <c r="AQ119" s="530">
        <v>8734</v>
      </c>
      <c r="AR119" s="530">
        <v>-20.5</v>
      </c>
      <c r="AS119" s="533">
        <v>-4177.5520767528396</v>
      </c>
      <c r="AT119" s="534">
        <v>8.6999999999999993</v>
      </c>
      <c r="AU119" s="530">
        <v>9.6999999999999993</v>
      </c>
      <c r="AV119" s="530">
        <v>1</v>
      </c>
      <c r="AW119" s="533">
        <v>203.78302813428488</v>
      </c>
      <c r="AX119" s="534">
        <v>-26.03</v>
      </c>
      <c r="AY119" s="530">
        <v>-52.12</v>
      </c>
      <c r="AZ119" s="530">
        <v>-26.089999999999996</v>
      </c>
      <c r="BA119" s="530">
        <v>-29.132315999999999</v>
      </c>
      <c r="BB119" s="533">
        <v>-5316.6992040234918</v>
      </c>
      <c r="BC119" s="545">
        <v>21.7</v>
      </c>
      <c r="BD119" s="545">
        <v>84095.7</v>
      </c>
      <c r="BE119" s="545">
        <v>84074</v>
      </c>
      <c r="BF119" s="545">
        <v>0</v>
      </c>
      <c r="BG119" s="545">
        <v>-83829.5</v>
      </c>
      <c r="BH119" s="567">
        <v>-83829.5</v>
      </c>
      <c r="BI119" s="574" t="s">
        <v>723</v>
      </c>
      <c r="BJ119" s="1"/>
      <c r="BK119" s="1"/>
      <c r="BL119" s="1"/>
      <c r="BM119" s="1"/>
      <c r="BN119" s="1"/>
      <c r="BO119" s="1"/>
      <c r="BP119" s="1"/>
      <c r="BQ119" s="1"/>
      <c r="BR119" s="1"/>
      <c r="BS119" s="1"/>
      <c r="BT119" s="1"/>
      <c r="BU119" s="128"/>
      <c r="BV119" s="512"/>
    </row>
    <row r="120" spans="1:74" s="520" customFormat="1" ht="15.75">
      <c r="A120" s="535" t="s">
        <v>1245</v>
      </c>
      <c r="B120" s="537"/>
      <c r="C120" s="537"/>
      <c r="D120" s="537"/>
      <c r="E120" s="538"/>
      <c r="F120" s="538"/>
      <c r="G120" s="538"/>
      <c r="H120" s="538"/>
      <c r="I120" s="538"/>
      <c r="J120" s="538"/>
      <c r="K120" s="537"/>
      <c r="L120" s="537"/>
      <c r="M120" s="576"/>
      <c r="N120" s="577"/>
      <c r="O120" s="537"/>
      <c r="P120" s="537"/>
      <c r="Q120" s="537"/>
      <c r="R120" s="537"/>
      <c r="S120" s="537"/>
      <c r="T120" s="537"/>
      <c r="U120" s="537"/>
      <c r="V120" s="537"/>
      <c r="W120" s="537"/>
      <c r="X120" s="537"/>
      <c r="Y120" s="537"/>
      <c r="Z120" s="537"/>
      <c r="AA120" s="537"/>
      <c r="AB120" s="537"/>
      <c r="AC120" s="537"/>
      <c r="AD120" s="537"/>
      <c r="AE120" s="537"/>
      <c r="AF120" s="537"/>
      <c r="AG120" s="537"/>
      <c r="AH120" s="537"/>
      <c r="AI120" s="537"/>
      <c r="AJ120" s="537"/>
      <c r="AK120" s="537"/>
      <c r="AL120" s="537"/>
      <c r="AM120" s="537"/>
      <c r="AN120" s="537"/>
      <c r="AO120" s="537"/>
      <c r="AP120" s="537"/>
      <c r="AQ120" s="537"/>
      <c r="AR120" s="537"/>
      <c r="AS120" s="537"/>
      <c r="AT120" s="537"/>
      <c r="AU120" s="537"/>
      <c r="AV120" s="537"/>
      <c r="AW120" s="537"/>
      <c r="AX120" s="537"/>
      <c r="AY120" s="537"/>
      <c r="AZ120" s="537"/>
      <c r="BA120" s="537"/>
      <c r="BB120" s="537"/>
      <c r="BC120" s="537"/>
      <c r="BD120" s="537"/>
      <c r="BE120" s="537"/>
      <c r="BF120" s="537"/>
      <c r="BG120" s="537"/>
      <c r="BH120" s="537"/>
      <c r="BI120" s="569"/>
      <c r="BJ120" s="537"/>
      <c r="BK120" s="537"/>
      <c r="BL120" s="537"/>
      <c r="BM120" s="537"/>
      <c r="BN120" s="537"/>
      <c r="BO120" s="537"/>
      <c r="BP120" s="537"/>
      <c r="BQ120" s="537"/>
      <c r="BR120" s="537"/>
      <c r="BS120" s="537"/>
      <c r="BT120" s="537"/>
      <c r="BU120" s="542"/>
      <c r="BV120" s="541"/>
    </row>
    <row r="121" spans="1:74" s="519" customFormat="1">
      <c r="A121" s="546">
        <v>62006014</v>
      </c>
      <c r="B121" s="543" t="s">
        <v>870</v>
      </c>
      <c r="C121" s="543" t="s">
        <v>695</v>
      </c>
      <c r="D121" s="513" t="s">
        <v>879</v>
      </c>
      <c r="E121" s="524" t="s">
        <v>880</v>
      </c>
      <c r="F121" s="524" t="s">
        <v>881</v>
      </c>
      <c r="G121" s="531">
        <v>7.3883409999999996</v>
      </c>
      <c r="H121" s="531">
        <v>-9.2227879999999995</v>
      </c>
      <c r="I121" s="531">
        <v>-31.568026</v>
      </c>
      <c r="J121" s="531">
        <v>8.7457550000000008</v>
      </c>
      <c r="K121" s="578">
        <v>4250</v>
      </c>
      <c r="L121" s="578">
        <v>38.71</v>
      </c>
      <c r="M121" s="578">
        <v>3.0499999999999999E-2</v>
      </c>
      <c r="N121" s="578">
        <v>1.4999999999999999E-2</v>
      </c>
      <c r="O121" s="529">
        <v>3.2803999999999998E-4</v>
      </c>
      <c r="P121" s="544">
        <v>99.2</v>
      </c>
      <c r="Q121" s="544">
        <v>98.5</v>
      </c>
      <c r="R121" s="530">
        <v>-3639</v>
      </c>
      <c r="S121" s="530">
        <v>-3104</v>
      </c>
      <c r="T121" s="530">
        <v>535</v>
      </c>
      <c r="U121" s="530">
        <v>1630898.6708937935</v>
      </c>
      <c r="V121" s="534">
        <v>-3404</v>
      </c>
      <c r="W121" s="530">
        <v>-2850</v>
      </c>
      <c r="X121" s="530">
        <v>554</v>
      </c>
      <c r="Y121" s="533">
        <v>1688818.4367760031</v>
      </c>
      <c r="Z121" s="534">
        <v>406</v>
      </c>
      <c r="AA121" s="530">
        <v>2618</v>
      </c>
      <c r="AB121" s="530">
        <v>2212</v>
      </c>
      <c r="AC121" s="533">
        <v>6743080.1121814419</v>
      </c>
      <c r="AD121" s="534">
        <v>62369</v>
      </c>
      <c r="AE121" s="530">
        <v>64305</v>
      </c>
      <c r="AF121" s="530">
        <v>1936</v>
      </c>
      <c r="AG121" s="533">
        <v>5901719.3025240824</v>
      </c>
      <c r="AH121" s="534">
        <v>-75401</v>
      </c>
      <c r="AI121" s="530">
        <v>-81268.600000000006</v>
      </c>
      <c r="AJ121" s="530">
        <v>-5867.6000000000058</v>
      </c>
      <c r="AK121" s="533">
        <v>-17886843.067918565</v>
      </c>
      <c r="AL121" s="534">
        <v>2726.53</v>
      </c>
      <c r="AM121" s="530">
        <v>3130.19</v>
      </c>
      <c r="AN121" s="530">
        <v>403.65999999999985</v>
      </c>
      <c r="AO121" s="533">
        <v>1230520.6682111933</v>
      </c>
      <c r="AP121" s="534">
        <v>8733.1</v>
      </c>
      <c r="AQ121" s="530">
        <v>10964.4</v>
      </c>
      <c r="AR121" s="530">
        <v>2231.2999999999993</v>
      </c>
      <c r="AS121" s="533">
        <v>6801914.4006828414</v>
      </c>
      <c r="AT121" s="534">
        <v>12.1</v>
      </c>
      <c r="AU121" s="530">
        <v>14</v>
      </c>
      <c r="AV121" s="530">
        <v>1.9000000000000004</v>
      </c>
      <c r="AW121" s="533">
        <v>5791.9765882209504</v>
      </c>
      <c r="AX121" s="534">
        <v>-72.569999999999993</v>
      </c>
      <c r="AY121" s="530">
        <v>-78.040000000000006</v>
      </c>
      <c r="AZ121" s="530">
        <v>-5.4700000000000131</v>
      </c>
      <c r="BA121" s="530">
        <v>6.25441</v>
      </c>
      <c r="BB121" s="533">
        <v>-16674.795756615087</v>
      </c>
      <c r="BC121" s="545">
        <v>84126.6</v>
      </c>
      <c r="BD121" s="545">
        <v>90844.1</v>
      </c>
      <c r="BE121" s="545">
        <v>6717.5</v>
      </c>
      <c r="BF121" s="545">
        <v>-83829.5</v>
      </c>
      <c r="BG121" s="545">
        <v>-90523.5</v>
      </c>
      <c r="BH121" s="567">
        <v>-6694</v>
      </c>
      <c r="BI121" s="574"/>
      <c r="BJ121" s="1"/>
      <c r="BK121" s="1"/>
      <c r="BL121" s="1"/>
      <c r="BM121" s="1"/>
      <c r="BN121" s="1"/>
      <c r="BO121" s="1"/>
      <c r="BP121" s="1"/>
      <c r="BQ121" s="1"/>
      <c r="BR121" s="1"/>
      <c r="BS121" s="1"/>
      <c r="BT121" s="1"/>
      <c r="BU121" s="128"/>
      <c r="BV121" s="512"/>
    </row>
    <row r="122" spans="1:74" s="519" customFormat="1" ht="33.75">
      <c r="A122" s="546">
        <v>62006015</v>
      </c>
      <c r="B122" s="543" t="s">
        <v>832</v>
      </c>
      <c r="C122" s="543" t="s">
        <v>695</v>
      </c>
      <c r="D122" s="513" t="s">
        <v>883</v>
      </c>
      <c r="E122" s="524" t="s">
        <v>884</v>
      </c>
      <c r="F122" s="524" t="s">
        <v>708</v>
      </c>
      <c r="G122" s="531">
        <v>-5.1705379999999996</v>
      </c>
      <c r="H122" s="531">
        <v>8.1316769999999998</v>
      </c>
      <c r="I122" s="531">
        <v>29.154578000000001</v>
      </c>
      <c r="J122" s="531">
        <v>3.7395040000000002</v>
      </c>
      <c r="K122" s="578">
        <v>4250</v>
      </c>
      <c r="L122" s="578">
        <v>38.71</v>
      </c>
      <c r="M122" s="578">
        <v>3.0499999999999999E-2</v>
      </c>
      <c r="N122" s="578">
        <v>1.4999999999999999E-2</v>
      </c>
      <c r="O122" s="529">
        <v>3.59692386</v>
      </c>
      <c r="P122" s="544">
        <v>98.3</v>
      </c>
      <c r="Q122" s="544">
        <v>97</v>
      </c>
      <c r="R122" s="530">
        <v>-2882</v>
      </c>
      <c r="S122" s="530">
        <v>-1766</v>
      </c>
      <c r="T122" s="530">
        <v>1116</v>
      </c>
      <c r="U122" s="530">
        <v>310.2651163708536</v>
      </c>
      <c r="V122" s="534">
        <v>-2623</v>
      </c>
      <c r="W122" s="530">
        <v>-1503</v>
      </c>
      <c r="X122" s="530">
        <v>1120</v>
      </c>
      <c r="Y122" s="533">
        <v>311.37717771985308</v>
      </c>
      <c r="Z122" s="534">
        <v>3046</v>
      </c>
      <c r="AA122" s="530">
        <v>3057</v>
      </c>
      <c r="AB122" s="530">
        <v>11</v>
      </c>
      <c r="AC122" s="533">
        <v>3.058168709748557</v>
      </c>
      <c r="AD122" s="534">
        <v>64678</v>
      </c>
      <c r="AE122" s="530">
        <v>65559</v>
      </c>
      <c r="AF122" s="530">
        <v>881</v>
      </c>
      <c r="AG122" s="533">
        <v>244.93151211713445</v>
      </c>
      <c r="AH122" s="534">
        <v>-82564.5</v>
      </c>
      <c r="AI122" s="530">
        <v>-82508.7</v>
      </c>
      <c r="AJ122" s="530">
        <v>55.80000000000291</v>
      </c>
      <c r="AK122" s="533">
        <v>15.51325581854349</v>
      </c>
      <c r="AL122" s="534">
        <v>3273.9487049999998</v>
      </c>
      <c r="AM122" s="530">
        <v>3319.728286</v>
      </c>
      <c r="AN122" s="530">
        <v>45.779581000000235</v>
      </c>
      <c r="AO122" s="533">
        <v>12.727425650872753</v>
      </c>
      <c r="AP122" s="534">
        <v>11673.7</v>
      </c>
      <c r="AQ122" s="530">
        <v>11840.282857</v>
      </c>
      <c r="AR122" s="530">
        <v>166.58285699999942</v>
      </c>
      <c r="AS122" s="533">
        <v>46.312589168901511</v>
      </c>
      <c r="AT122" s="534">
        <v>14.4</v>
      </c>
      <c r="AU122" s="530">
        <v>14.6</v>
      </c>
      <c r="AV122" s="530">
        <v>0.19999999999999929</v>
      </c>
      <c r="AW122" s="533">
        <v>5.5603067449973571E-2</v>
      </c>
      <c r="AX122" s="534">
        <v>-79.33</v>
      </c>
      <c r="AY122" s="530">
        <v>-79.819999999999993</v>
      </c>
      <c r="AZ122" s="530">
        <v>-0.48999999999999488</v>
      </c>
      <c r="BA122" s="530">
        <v>-3.4361069999999998</v>
      </c>
      <c r="BB122" s="533">
        <v>-0.13622751525243432</v>
      </c>
      <c r="BC122" s="545"/>
      <c r="BD122" s="545"/>
      <c r="BE122" s="545"/>
      <c r="BF122" s="545"/>
      <c r="BG122" s="545"/>
      <c r="BH122" s="567"/>
      <c r="BI122" s="574" t="s">
        <v>723</v>
      </c>
      <c r="BJ122" s="1">
        <v>2372.8382966899999</v>
      </c>
      <c r="BK122" s="1">
        <v>-1.19987541</v>
      </c>
      <c r="BL122" s="1">
        <v>2024.28501383</v>
      </c>
      <c r="BM122" s="1">
        <v>2048.8688877200002</v>
      </c>
      <c r="BN122" s="1">
        <v>3.0201414500000001</v>
      </c>
      <c r="BO122" s="1">
        <v>3.0320541400000001</v>
      </c>
      <c r="BP122" s="1">
        <v>0.16423747999999999</v>
      </c>
      <c r="BQ122" s="1">
        <v>3.5968786599999998</v>
      </c>
      <c r="BR122" s="1">
        <v>3.5909809199999998</v>
      </c>
      <c r="BS122" s="1">
        <v>-0.55932698000000003</v>
      </c>
      <c r="BT122" s="1">
        <v>-0.39289194</v>
      </c>
      <c r="BU122" s="128">
        <v>0.63450991999999995</v>
      </c>
      <c r="BV122" s="512"/>
    </row>
    <row r="123" spans="1:74" s="519" customFormat="1" ht="33.75">
      <c r="A123" s="546">
        <v>62006015</v>
      </c>
      <c r="B123" s="543" t="s">
        <v>831</v>
      </c>
      <c r="C123" s="543" t="s">
        <v>696</v>
      </c>
      <c r="D123" s="513" t="s">
        <v>883</v>
      </c>
      <c r="E123" s="524" t="s">
        <v>884</v>
      </c>
      <c r="F123" s="524" t="s">
        <v>708</v>
      </c>
      <c r="G123" s="531">
        <v>-6.2480209999999996</v>
      </c>
      <c r="H123" s="531">
        <v>8.1942699999999995</v>
      </c>
      <c r="I123" s="531">
        <v>29.156023000000001</v>
      </c>
      <c r="J123" s="531">
        <v>8.1019070000000006</v>
      </c>
      <c r="K123" s="578">
        <v>4250</v>
      </c>
      <c r="L123" s="578">
        <v>38.71</v>
      </c>
      <c r="M123" s="578">
        <v>3.0499999999999999E-2</v>
      </c>
      <c r="N123" s="578">
        <v>1.4999999999999999E-2</v>
      </c>
      <c r="O123" s="529">
        <v>3.8634109200000002</v>
      </c>
      <c r="P123" s="544">
        <v>97</v>
      </c>
      <c r="Q123" s="544">
        <v>95.7</v>
      </c>
      <c r="R123" s="530">
        <v>-1766</v>
      </c>
      <c r="S123" s="530">
        <v>-658</v>
      </c>
      <c r="T123" s="530">
        <v>1108</v>
      </c>
      <c r="U123" s="530">
        <v>286.79320500548772</v>
      </c>
      <c r="V123" s="534">
        <v>-1503</v>
      </c>
      <c r="W123" s="530">
        <v>-391</v>
      </c>
      <c r="X123" s="530">
        <v>1112</v>
      </c>
      <c r="Y123" s="533">
        <v>287.82855953619344</v>
      </c>
      <c r="Z123" s="534">
        <v>3057</v>
      </c>
      <c r="AA123" s="530">
        <v>3075</v>
      </c>
      <c r="AB123" s="530">
        <v>18</v>
      </c>
      <c r="AC123" s="533">
        <v>4.6590953881757935</v>
      </c>
      <c r="AD123" s="534">
        <v>65559</v>
      </c>
      <c r="AE123" s="530">
        <v>66265</v>
      </c>
      <c r="AF123" s="530">
        <v>706</v>
      </c>
      <c r="AG123" s="533">
        <v>182.74007466956166</v>
      </c>
      <c r="AH123" s="534">
        <v>-82508.7</v>
      </c>
      <c r="AI123" s="530">
        <v>-82413.5</v>
      </c>
      <c r="AJ123" s="530">
        <v>95.19999999999709</v>
      </c>
      <c r="AK123" s="533">
        <v>24.641437830795667</v>
      </c>
      <c r="AL123" s="534">
        <v>3319.748384</v>
      </c>
      <c r="AM123" s="530">
        <v>3397.7479269999999</v>
      </c>
      <c r="AN123" s="530">
        <v>77.999542999999903</v>
      </c>
      <c r="AO123" s="533">
        <v>20.189295059506613</v>
      </c>
      <c r="AP123" s="534">
        <v>11840.38384</v>
      </c>
      <c r="AQ123" s="530">
        <v>12123.8</v>
      </c>
      <c r="AR123" s="530">
        <v>283.41615999999885</v>
      </c>
      <c r="AS123" s="533">
        <v>73.359051332804853</v>
      </c>
      <c r="AT123" s="534">
        <v>14.6</v>
      </c>
      <c r="AU123" s="530">
        <v>14.8</v>
      </c>
      <c r="AV123" s="530">
        <v>0.20000000000000107</v>
      </c>
      <c r="AW123" s="533">
        <v>5.176772653528687E-2</v>
      </c>
      <c r="AX123" s="534">
        <v>-79.819999999999993</v>
      </c>
      <c r="AY123" s="530">
        <v>-80.64</v>
      </c>
      <c r="AZ123" s="530">
        <v>-0.82000000000000739</v>
      </c>
      <c r="BA123" s="530">
        <v>-3.4014389999999999</v>
      </c>
      <c r="BB123" s="533">
        <v>-0.21224767879467696</v>
      </c>
      <c r="BC123" s="545"/>
      <c r="BD123" s="545"/>
      <c r="BE123" s="545"/>
      <c r="BF123" s="545"/>
      <c r="BG123" s="545"/>
      <c r="BH123" s="567"/>
      <c r="BI123" s="574" t="s">
        <v>723</v>
      </c>
      <c r="BJ123" s="1">
        <v>1475.9490921900001</v>
      </c>
      <c r="BK123" s="1">
        <v>-1.29544288</v>
      </c>
      <c r="BL123" s="1">
        <v>3372.0227149799998</v>
      </c>
      <c r="BM123" s="1">
        <v>3416.2786534000002</v>
      </c>
      <c r="BN123" s="1">
        <v>2.9821475300000002</v>
      </c>
      <c r="BO123" s="1">
        <v>2.99541872</v>
      </c>
      <c r="BP123" s="1">
        <v>9.0735940000000001E-2</v>
      </c>
      <c r="BQ123" s="1">
        <v>3.8633331399999999</v>
      </c>
      <c r="BR123" s="1">
        <v>3.85983089</v>
      </c>
      <c r="BS123" s="1">
        <v>-0.53616098999999995</v>
      </c>
      <c r="BT123" s="1">
        <v>-0.44304958999999999</v>
      </c>
      <c r="BU123" s="128">
        <v>0.72008459999999996</v>
      </c>
      <c r="BV123" s="512"/>
    </row>
    <row r="124" spans="1:74" s="519" customFormat="1" ht="33.75">
      <c r="A124" s="546">
        <v>62006015</v>
      </c>
      <c r="B124" s="543" t="s">
        <v>830</v>
      </c>
      <c r="C124" s="543" t="s">
        <v>698</v>
      </c>
      <c r="D124" s="513" t="s">
        <v>883</v>
      </c>
      <c r="E124" s="524" t="s">
        <v>884</v>
      </c>
      <c r="F124" s="524" t="s">
        <v>708</v>
      </c>
      <c r="G124" s="468">
        <v>-5.7092794999999992</v>
      </c>
      <c r="H124" s="468">
        <v>8.1629734999999997</v>
      </c>
      <c r="I124" s="468">
        <v>29.155300500000003</v>
      </c>
      <c r="J124" s="468">
        <v>5.9207055000000004</v>
      </c>
      <c r="K124" s="579"/>
      <c r="L124" s="578"/>
      <c r="M124" s="580"/>
      <c r="N124" s="581"/>
      <c r="O124" s="453">
        <v>7.4603347800000002</v>
      </c>
      <c r="P124" s="493">
        <v>98.3</v>
      </c>
      <c r="Q124" s="493">
        <v>95.7</v>
      </c>
      <c r="R124" s="456">
        <v>-2882</v>
      </c>
      <c r="S124" s="456">
        <v>-658</v>
      </c>
      <c r="T124" s="456">
        <v>2224</v>
      </c>
      <c r="U124" s="456">
        <v>298.10994621343252</v>
      </c>
      <c r="V124" s="456">
        <v>-2623</v>
      </c>
      <c r="W124" s="456">
        <v>-391</v>
      </c>
      <c r="X124" s="456">
        <v>2232</v>
      </c>
      <c r="Y124" s="454">
        <v>299.18228414945207</v>
      </c>
      <c r="Z124" s="456">
        <v>3046</v>
      </c>
      <c r="AA124" s="456">
        <v>3075</v>
      </c>
      <c r="AB124" s="456">
        <v>29</v>
      </c>
      <c r="AC124" s="454">
        <v>3.8872250180708376</v>
      </c>
      <c r="AD124" s="456">
        <v>64678</v>
      </c>
      <c r="AE124" s="456">
        <v>66265</v>
      </c>
      <c r="AF124" s="456">
        <v>1587</v>
      </c>
      <c r="AG124" s="454">
        <v>212.72503805787653</v>
      </c>
      <c r="AH124" s="456">
        <v>-82564.5</v>
      </c>
      <c r="AI124" s="456">
        <v>-82413.5</v>
      </c>
      <c r="AJ124" s="456">
        <v>151</v>
      </c>
      <c r="AK124" s="454">
        <v>20.240378542368845</v>
      </c>
      <c r="AL124" s="456">
        <v>3273.9487049999998</v>
      </c>
      <c r="AM124" s="456">
        <v>3397.7479269999999</v>
      </c>
      <c r="AN124" s="456">
        <v>123.77912400000014</v>
      </c>
      <c r="AO124" s="454">
        <v>16.591631294058381</v>
      </c>
      <c r="AP124" s="456">
        <v>11673.7</v>
      </c>
      <c r="AQ124" s="456">
        <v>12123.8</v>
      </c>
      <c r="AR124" s="456">
        <v>449.99901699999828</v>
      </c>
      <c r="AS124" s="454">
        <v>60.318877137575086</v>
      </c>
      <c r="AT124" s="456">
        <v>14.4</v>
      </c>
      <c r="AU124" s="456">
        <v>14.8</v>
      </c>
      <c r="AV124" s="456">
        <v>0.40000000000000036</v>
      </c>
      <c r="AW124" s="454">
        <v>5.3616896800977122E-2</v>
      </c>
      <c r="AX124" s="456">
        <v>-79.33</v>
      </c>
      <c r="AY124" s="456">
        <v>-80.64</v>
      </c>
      <c r="AZ124" s="456">
        <v>-1.3100000000000023</v>
      </c>
      <c r="BA124" s="530">
        <v>-3.4187729999999998</v>
      </c>
      <c r="BB124" s="454">
        <v>-0.17559533702320021</v>
      </c>
      <c r="BC124" s="496"/>
      <c r="BD124" s="496"/>
      <c r="BE124" s="496"/>
      <c r="BF124" s="496"/>
      <c r="BG124" s="496"/>
      <c r="BH124" s="568"/>
      <c r="BI124" s="574" t="s">
        <v>723</v>
      </c>
      <c r="BJ124" s="1"/>
      <c r="BK124" s="1"/>
      <c r="BL124" s="1"/>
      <c r="BM124" s="1"/>
      <c r="BN124" s="1"/>
      <c r="BO124" s="1"/>
      <c r="BP124" s="1"/>
      <c r="BQ124" s="1"/>
      <c r="BR124" s="1"/>
      <c r="BS124" s="1"/>
      <c r="BT124" s="1"/>
      <c r="BU124" s="128"/>
      <c r="BV124" s="512"/>
    </row>
    <row r="125" spans="1:74" s="519" customFormat="1" ht="33.75">
      <c r="A125" s="546">
        <v>62006015</v>
      </c>
      <c r="B125" s="543" t="s">
        <v>829</v>
      </c>
      <c r="C125" s="543" t="s">
        <v>697</v>
      </c>
      <c r="D125" s="513" t="s">
        <v>883</v>
      </c>
      <c r="E125" s="524" t="s">
        <v>884</v>
      </c>
      <c r="F125" s="524" t="s">
        <v>708</v>
      </c>
      <c r="G125" s="531">
        <v>-4.6861629999999996</v>
      </c>
      <c r="H125" s="531">
        <v>7.3651249999999999</v>
      </c>
      <c r="I125" s="531">
        <v>29.161712000000001</v>
      </c>
      <c r="J125" s="531">
        <v>9.350676</v>
      </c>
      <c r="K125" s="578">
        <v>4250</v>
      </c>
      <c r="L125" s="578">
        <v>38.71</v>
      </c>
      <c r="M125" s="578">
        <v>3.0499999999999999E-2</v>
      </c>
      <c r="N125" s="578">
        <v>1.4999999999999999E-2</v>
      </c>
      <c r="O125" s="529">
        <v>10.284090709999999</v>
      </c>
      <c r="P125" s="544">
        <v>95.7</v>
      </c>
      <c r="Q125" s="544">
        <v>92.7</v>
      </c>
      <c r="R125" s="530">
        <v>-651</v>
      </c>
      <c r="S125" s="530">
        <v>1957</v>
      </c>
      <c r="T125" s="530">
        <v>2608</v>
      </c>
      <c r="U125" s="530">
        <v>253.5955850198836</v>
      </c>
      <c r="V125" s="534">
        <v>-384</v>
      </c>
      <c r="W125" s="530">
        <v>2230</v>
      </c>
      <c r="X125" s="530">
        <v>2614</v>
      </c>
      <c r="Y125" s="533">
        <v>254.17901044554284</v>
      </c>
      <c r="Z125" s="534">
        <v>3075</v>
      </c>
      <c r="AA125" s="530">
        <v>3077</v>
      </c>
      <c r="AB125" s="530">
        <v>2</v>
      </c>
      <c r="AC125" s="533">
        <v>0.19447514188641382</v>
      </c>
      <c r="AD125" s="534">
        <v>66265</v>
      </c>
      <c r="AE125" s="530">
        <v>68523</v>
      </c>
      <c r="AF125" s="530">
        <v>2258</v>
      </c>
      <c r="AG125" s="533">
        <v>219.5624351897612</v>
      </c>
      <c r="AH125" s="534">
        <v>-82411.8</v>
      </c>
      <c r="AI125" s="530">
        <v>-82325</v>
      </c>
      <c r="AJ125" s="530">
        <v>86.80000000000291</v>
      </c>
      <c r="AK125" s="533">
        <v>8.4402211578706421</v>
      </c>
      <c r="AL125" s="534">
        <v>3399.14</v>
      </c>
      <c r="AM125" s="530">
        <v>3470.69</v>
      </c>
      <c r="AN125" s="530">
        <v>71.550000000000182</v>
      </c>
      <c r="AO125" s="533">
        <v>6.9573482009864716</v>
      </c>
      <c r="AP125" s="534">
        <v>12129.1</v>
      </c>
      <c r="AQ125" s="530">
        <v>12385.8</v>
      </c>
      <c r="AR125" s="530">
        <v>256.69999999999891</v>
      </c>
      <c r="AS125" s="533">
        <v>24.960884461121108</v>
      </c>
      <c r="AT125" s="534">
        <v>14.8</v>
      </c>
      <c r="AU125" s="530">
        <v>15</v>
      </c>
      <c r="AV125" s="530">
        <v>0.19999999999999929</v>
      </c>
      <c r="AW125" s="533">
        <v>1.9447514188641313E-2</v>
      </c>
      <c r="AX125" s="534">
        <v>-80.650000000000006</v>
      </c>
      <c r="AY125" s="530">
        <v>-81.349999999999994</v>
      </c>
      <c r="AZ125" s="530">
        <v>-0.69999999999998863</v>
      </c>
      <c r="BA125" s="530">
        <v>-3.276675</v>
      </c>
      <c r="BB125" s="533">
        <v>-6.8066299660243731E-2</v>
      </c>
      <c r="BC125" s="545"/>
      <c r="BD125" s="545"/>
      <c r="BE125" s="545"/>
      <c r="BF125" s="545"/>
      <c r="BG125" s="545"/>
      <c r="BH125" s="567"/>
      <c r="BI125" s="574" t="s">
        <v>723</v>
      </c>
      <c r="BJ125" s="1">
        <v>1875.8349582999999</v>
      </c>
      <c r="BK125" s="1">
        <v>-0.32691491</v>
      </c>
      <c r="BL125" s="1">
        <v>1302.5149796600001</v>
      </c>
      <c r="BM125" s="1">
        <v>1306.78706145</v>
      </c>
      <c r="BN125" s="1">
        <v>6.80690566</v>
      </c>
      <c r="BO125" s="1">
        <v>6.7904522199999997</v>
      </c>
      <c r="BP125" s="1">
        <v>0.26730822999999998</v>
      </c>
      <c r="BQ125" s="1">
        <v>10.284097389999999</v>
      </c>
      <c r="BR125" s="1">
        <v>10.25668044</v>
      </c>
      <c r="BS125" s="1">
        <v>-2.4945229999999999E-2</v>
      </c>
      <c r="BT125" s="1">
        <v>0.24230256</v>
      </c>
      <c r="BU125" s="128">
        <v>0.33398836999999998</v>
      </c>
      <c r="BV125" s="512"/>
    </row>
    <row r="126" spans="1:74" s="519" customFormat="1" ht="33.75">
      <c r="A126" s="546">
        <v>62006015</v>
      </c>
      <c r="B126" s="543" t="s">
        <v>828</v>
      </c>
      <c r="C126" s="543" t="s">
        <v>699</v>
      </c>
      <c r="D126" s="513" t="s">
        <v>883</v>
      </c>
      <c r="E126" s="524" t="s">
        <v>884</v>
      </c>
      <c r="F126" s="524" t="s">
        <v>708</v>
      </c>
      <c r="G126" s="531">
        <v>-6.1766880000000004</v>
      </c>
      <c r="H126" s="531">
        <v>8.3075569999999992</v>
      </c>
      <c r="I126" s="531">
        <v>29.167753000000001</v>
      </c>
      <c r="J126" s="531">
        <v>9.1271869999999993</v>
      </c>
      <c r="K126" s="578">
        <v>4250</v>
      </c>
      <c r="L126" s="578">
        <v>38.71</v>
      </c>
      <c r="M126" s="578">
        <v>3.0499999999999999E-2</v>
      </c>
      <c r="N126" s="578">
        <v>1.4999999999999999E-2</v>
      </c>
      <c r="O126" s="529">
        <v>3.5975343799999999</v>
      </c>
      <c r="P126" s="544">
        <v>92.6</v>
      </c>
      <c r="Q126" s="544">
        <v>91.4</v>
      </c>
      <c r="R126" s="530">
        <v>2007</v>
      </c>
      <c r="S126" s="530">
        <v>3100</v>
      </c>
      <c r="T126" s="530">
        <v>1093</v>
      </c>
      <c r="U126" s="530">
        <v>303.81919519001235</v>
      </c>
      <c r="V126" s="534">
        <v>2284</v>
      </c>
      <c r="W126" s="530">
        <v>3382</v>
      </c>
      <c r="X126" s="530">
        <v>1098</v>
      </c>
      <c r="Y126" s="533">
        <v>305.20903597313225</v>
      </c>
      <c r="Z126" s="534">
        <v>3081</v>
      </c>
      <c r="AA126" s="530">
        <v>3092</v>
      </c>
      <c r="AB126" s="530">
        <v>11</v>
      </c>
      <c r="AC126" s="533">
        <v>3.0576497228638022</v>
      </c>
      <c r="AD126" s="534">
        <v>68524</v>
      </c>
      <c r="AE126" s="530">
        <v>69286</v>
      </c>
      <c r="AF126" s="530">
        <v>762</v>
      </c>
      <c r="AG126" s="533">
        <v>211.8117353474743</v>
      </c>
      <c r="AH126" s="534">
        <v>-82284.100000000006</v>
      </c>
      <c r="AI126" s="530">
        <v>-82227.3</v>
      </c>
      <c r="AJ126" s="530">
        <v>56.80000000000291</v>
      </c>
      <c r="AK126" s="533">
        <v>15.788591296242988</v>
      </c>
      <c r="AL126" s="534">
        <v>3501.137205</v>
      </c>
      <c r="AM126" s="530">
        <v>3547.8970119999999</v>
      </c>
      <c r="AN126" s="530">
        <v>46.75980699999991</v>
      </c>
      <c r="AO126" s="533">
        <v>12.997737355883146</v>
      </c>
      <c r="AP126" s="534">
        <v>12388.2</v>
      </c>
      <c r="AQ126" s="530">
        <v>12648.070121999999</v>
      </c>
      <c r="AR126" s="530">
        <v>259.87012199999845</v>
      </c>
      <c r="AS126" s="533">
        <v>72.235618773988875</v>
      </c>
      <c r="AT126" s="534">
        <v>15.1</v>
      </c>
      <c r="AU126" s="530">
        <v>15.3</v>
      </c>
      <c r="AV126" s="530">
        <v>0.20000000000000107</v>
      </c>
      <c r="AW126" s="533">
        <v>5.5593631324796701E-2</v>
      </c>
      <c r="AX126" s="534">
        <v>-81.88</v>
      </c>
      <c r="AY126" s="530">
        <v>-82.32</v>
      </c>
      <c r="AZ126" s="530">
        <v>-0.43999999999999773</v>
      </c>
      <c r="BA126" s="530">
        <v>-3.1027</v>
      </c>
      <c r="BB126" s="533">
        <v>-0.12230598891455145</v>
      </c>
      <c r="BC126" s="545"/>
      <c r="BD126" s="545"/>
      <c r="BE126" s="545"/>
      <c r="BF126" s="545"/>
      <c r="BG126" s="545"/>
      <c r="BH126" s="567"/>
      <c r="BI126" s="574" t="s">
        <v>723</v>
      </c>
      <c r="BJ126" s="1">
        <v>2367.8317081499999</v>
      </c>
      <c r="BK126" s="1">
        <v>-0.95886081999999995</v>
      </c>
      <c r="BL126" s="1">
        <v>2029.1763991099999</v>
      </c>
      <c r="BM126" s="1">
        <v>2048.82174803</v>
      </c>
      <c r="BN126" s="1">
        <v>3.0246299699999999</v>
      </c>
      <c r="BO126" s="1">
        <v>3.0319664500000001</v>
      </c>
      <c r="BP126" s="1">
        <v>0.18136394</v>
      </c>
      <c r="BQ126" s="1">
        <v>3.5974922199999999</v>
      </c>
      <c r="BR126" s="1">
        <v>3.5909794800000001</v>
      </c>
      <c r="BS126" s="1">
        <v>-0.42436157000000002</v>
      </c>
      <c r="BT126" s="1">
        <v>-0.24197081000000001</v>
      </c>
      <c r="BU126" s="128">
        <v>0.63450677</v>
      </c>
      <c r="BV126" s="512"/>
    </row>
    <row r="127" spans="1:74" s="519" customFormat="1" ht="33.75">
      <c r="A127" s="546">
        <v>62006015</v>
      </c>
      <c r="B127" s="543" t="s">
        <v>239</v>
      </c>
      <c r="C127" s="543" t="s">
        <v>700</v>
      </c>
      <c r="D127" s="513" t="s">
        <v>883</v>
      </c>
      <c r="E127" s="524" t="s">
        <v>884</v>
      </c>
      <c r="F127" s="524" t="s">
        <v>708</v>
      </c>
      <c r="G127" s="531">
        <v>-7.0813959999999998</v>
      </c>
      <c r="H127" s="531">
        <v>8.2586779999999997</v>
      </c>
      <c r="I127" s="531">
        <v>29.169723000000001</v>
      </c>
      <c r="J127" s="531">
        <v>9.2324129999999993</v>
      </c>
      <c r="K127" s="578">
        <v>4250</v>
      </c>
      <c r="L127" s="578">
        <v>38.71</v>
      </c>
      <c r="M127" s="578">
        <v>3.0499999999999999E-2</v>
      </c>
      <c r="N127" s="578">
        <v>1.4999999999999999E-2</v>
      </c>
      <c r="O127" s="529">
        <v>3.8613518</v>
      </c>
      <c r="P127" s="544">
        <v>91.4</v>
      </c>
      <c r="Q127" s="544">
        <v>90.1</v>
      </c>
      <c r="R127" s="530">
        <v>3100</v>
      </c>
      <c r="S127" s="530">
        <v>4220</v>
      </c>
      <c r="T127" s="530">
        <v>1120</v>
      </c>
      <c r="U127" s="530">
        <v>290.05386144821097</v>
      </c>
      <c r="V127" s="534">
        <v>3382</v>
      </c>
      <c r="W127" s="530">
        <v>4507</v>
      </c>
      <c r="X127" s="530">
        <v>1125</v>
      </c>
      <c r="Y127" s="533">
        <v>291.34874475824762</v>
      </c>
      <c r="Z127" s="534">
        <v>3092</v>
      </c>
      <c r="AA127" s="530">
        <v>3117</v>
      </c>
      <c r="AB127" s="530">
        <v>25</v>
      </c>
      <c r="AC127" s="533">
        <v>6.47441655018328</v>
      </c>
      <c r="AD127" s="534">
        <v>69286</v>
      </c>
      <c r="AE127" s="530">
        <v>69974</v>
      </c>
      <c r="AF127" s="530">
        <v>688</v>
      </c>
      <c r="AG127" s="533">
        <v>178.17594346104389</v>
      </c>
      <c r="AH127" s="534">
        <v>-82227.3</v>
      </c>
      <c r="AI127" s="530">
        <v>-82130.8</v>
      </c>
      <c r="AJ127" s="530">
        <v>96.5</v>
      </c>
      <c r="AK127" s="533">
        <v>24.991247883707462</v>
      </c>
      <c r="AL127" s="534">
        <v>3547.9169430000002</v>
      </c>
      <c r="AM127" s="530">
        <v>3627.1964619999999</v>
      </c>
      <c r="AN127" s="530">
        <v>79.279518999999709</v>
      </c>
      <c r="AO127" s="533">
        <v>20.531545196166718</v>
      </c>
      <c r="AP127" s="534">
        <v>12648.169433999999</v>
      </c>
      <c r="AQ127" s="530">
        <v>12954</v>
      </c>
      <c r="AR127" s="530">
        <v>305.83056600000054</v>
      </c>
      <c r="AS127" s="533">
        <v>79.202979122492948</v>
      </c>
      <c r="AT127" s="534">
        <v>15.3</v>
      </c>
      <c r="AU127" s="530">
        <v>15.5</v>
      </c>
      <c r="AV127" s="530">
        <v>0.19999999999999929</v>
      </c>
      <c r="AW127" s="533">
        <v>5.1795332401466061E-2</v>
      </c>
      <c r="AX127" s="534">
        <v>-82.32</v>
      </c>
      <c r="AY127" s="530">
        <v>-83.05</v>
      </c>
      <c r="AZ127" s="530">
        <v>-0.73000000000000398</v>
      </c>
      <c r="BA127" s="530">
        <v>-3.036877</v>
      </c>
      <c r="BB127" s="533">
        <v>-0.18905296326535281</v>
      </c>
      <c r="BC127" s="545"/>
      <c r="BD127" s="545"/>
      <c r="BE127" s="545"/>
      <c r="BF127" s="545"/>
      <c r="BG127" s="545"/>
      <c r="BH127" s="567"/>
      <c r="BI127" s="574" t="s">
        <v>723</v>
      </c>
      <c r="BJ127" s="1">
        <v>1476.3246863700001</v>
      </c>
      <c r="BK127" s="1">
        <v>-1.1462844400000001</v>
      </c>
      <c r="BL127" s="1">
        <v>3377.0814992099999</v>
      </c>
      <c r="BM127" s="1">
        <v>3416.2413420799999</v>
      </c>
      <c r="BN127" s="1">
        <v>2.9869885900000002</v>
      </c>
      <c r="BO127" s="1">
        <v>2.99536274</v>
      </c>
      <c r="BP127" s="1">
        <v>3.7378069999999999E-2</v>
      </c>
      <c r="BQ127" s="1">
        <v>3.8612736600000002</v>
      </c>
      <c r="BR127" s="1">
        <v>3.8598309300000002</v>
      </c>
      <c r="BS127" s="1">
        <v>-0.31783711999999997</v>
      </c>
      <c r="BT127" s="1">
        <v>-0.27957047000000002</v>
      </c>
      <c r="BU127" s="128">
        <v>0.72008896</v>
      </c>
      <c r="BV127" s="512"/>
    </row>
    <row r="128" spans="1:74" s="519" customFormat="1" ht="33.75">
      <c r="A128" s="546">
        <v>62006015</v>
      </c>
      <c r="B128" s="543" t="s">
        <v>833</v>
      </c>
      <c r="C128" s="543" t="s">
        <v>701</v>
      </c>
      <c r="D128" s="513" t="s">
        <v>883</v>
      </c>
      <c r="E128" s="524" t="s">
        <v>884</v>
      </c>
      <c r="F128" s="524" t="s">
        <v>708</v>
      </c>
      <c r="G128" s="468">
        <v>-6.6290420000000001</v>
      </c>
      <c r="H128" s="468">
        <v>8.2831174999999995</v>
      </c>
      <c r="I128" s="468">
        <v>29.168738000000001</v>
      </c>
      <c r="J128" s="468">
        <v>9.1798000000000002</v>
      </c>
      <c r="K128" s="579"/>
      <c r="L128" s="578"/>
      <c r="M128" s="580"/>
      <c r="N128" s="581"/>
      <c r="O128" s="453">
        <v>7.4588861800000004</v>
      </c>
      <c r="P128" s="493">
        <v>92.6</v>
      </c>
      <c r="Q128" s="493">
        <v>90.1</v>
      </c>
      <c r="R128" s="456">
        <v>2007</v>
      </c>
      <c r="S128" s="456">
        <v>4220</v>
      </c>
      <c r="T128" s="456">
        <v>2213</v>
      </c>
      <c r="U128" s="456">
        <v>296.69309151463682</v>
      </c>
      <c r="V128" s="456">
        <v>2284</v>
      </c>
      <c r="W128" s="456">
        <v>4507</v>
      </c>
      <c r="X128" s="456">
        <v>2223</v>
      </c>
      <c r="Y128" s="454">
        <v>298.0337742598453</v>
      </c>
      <c r="Z128" s="456">
        <v>3081</v>
      </c>
      <c r="AA128" s="456">
        <v>3117</v>
      </c>
      <c r="AB128" s="456">
        <v>36</v>
      </c>
      <c r="AC128" s="454">
        <v>4.8264578827505309</v>
      </c>
      <c r="AD128" s="456">
        <v>68524</v>
      </c>
      <c r="AE128" s="456">
        <v>69974</v>
      </c>
      <c r="AF128" s="456">
        <v>1450</v>
      </c>
      <c r="AG128" s="454">
        <v>194.39899805522973</v>
      </c>
      <c r="AH128" s="456">
        <v>-82284.100000000006</v>
      </c>
      <c r="AI128" s="456">
        <v>-82130.8</v>
      </c>
      <c r="AJ128" s="456">
        <v>153.30000000000291</v>
      </c>
      <c r="AK128" s="454">
        <v>20.552666484046402</v>
      </c>
      <c r="AL128" s="456">
        <v>3501.137205</v>
      </c>
      <c r="AM128" s="456">
        <v>3627.1964619999999</v>
      </c>
      <c r="AN128" s="456">
        <v>126.03932599999962</v>
      </c>
      <c r="AO128" s="454">
        <v>16.897874958590617</v>
      </c>
      <c r="AP128" s="456">
        <v>12388.2</v>
      </c>
      <c r="AQ128" s="456">
        <v>12954</v>
      </c>
      <c r="AR128" s="456">
        <v>565.70068799999899</v>
      </c>
      <c r="AS128" s="454">
        <v>75.842515135416505</v>
      </c>
      <c r="AT128" s="456">
        <v>15.1</v>
      </c>
      <c r="AU128" s="456">
        <v>15.5</v>
      </c>
      <c r="AV128" s="456">
        <v>0.40000000000000036</v>
      </c>
      <c r="AW128" s="454">
        <v>5.3627309808339282E-2</v>
      </c>
      <c r="AX128" s="456">
        <v>-81.88</v>
      </c>
      <c r="AY128" s="456">
        <v>-83.05</v>
      </c>
      <c r="AZ128" s="456">
        <v>-1.1700000000000017</v>
      </c>
      <c r="BA128" s="530">
        <v>-3.0697885</v>
      </c>
      <c r="BB128" s="454">
        <v>-0.15685988118939251</v>
      </c>
      <c r="BC128" s="496"/>
      <c r="BD128" s="496"/>
      <c r="BE128" s="496"/>
      <c r="BF128" s="496"/>
      <c r="BG128" s="496"/>
      <c r="BH128" s="568"/>
      <c r="BI128" s="574" t="s">
        <v>723</v>
      </c>
      <c r="BJ128" s="1"/>
      <c r="BK128" s="1"/>
      <c r="BL128" s="1"/>
      <c r="BM128" s="1"/>
      <c r="BN128" s="1"/>
      <c r="BO128" s="1"/>
      <c r="BP128" s="1"/>
      <c r="BQ128" s="1"/>
      <c r="BR128" s="1"/>
      <c r="BS128" s="1"/>
      <c r="BT128" s="1"/>
      <c r="BU128" s="128"/>
      <c r="BV128" s="512"/>
    </row>
    <row r="129" spans="1:74" s="519" customFormat="1" ht="33.75">
      <c r="A129" s="546">
        <v>62006015</v>
      </c>
      <c r="B129" s="543" t="s">
        <v>836</v>
      </c>
      <c r="C129" s="543" t="s">
        <v>770</v>
      </c>
      <c r="D129" s="513" t="s">
        <v>883</v>
      </c>
      <c r="E129" s="524" t="s">
        <v>884</v>
      </c>
      <c r="F129" s="524" t="s">
        <v>708</v>
      </c>
      <c r="G129" s="531">
        <v>-5.3699620000000001</v>
      </c>
      <c r="H129" s="531">
        <v>7.6259569999999997</v>
      </c>
      <c r="I129" s="531">
        <v>29.166989999999998</v>
      </c>
      <c r="J129" s="531">
        <v>10.693629</v>
      </c>
      <c r="K129" s="578">
        <v>4250</v>
      </c>
      <c r="L129" s="578">
        <v>38.71</v>
      </c>
      <c r="M129" s="578">
        <v>3.0499999999999999E-2</v>
      </c>
      <c r="N129" s="578">
        <v>1.4999999999999999E-2</v>
      </c>
      <c r="O129" s="529">
        <v>1.7754383499999999</v>
      </c>
      <c r="P129" s="544">
        <v>90</v>
      </c>
      <c r="Q129" s="544">
        <v>87</v>
      </c>
      <c r="R129" s="530">
        <v>4265.6423130000003</v>
      </c>
      <c r="S129" s="530">
        <v>6798</v>
      </c>
      <c r="T129" s="530">
        <v>618.35768699999971</v>
      </c>
      <c r="U129" s="530">
        <v>348.28451632803791</v>
      </c>
      <c r="V129" s="534">
        <v>4553</v>
      </c>
      <c r="W129" s="530">
        <v>7089</v>
      </c>
      <c r="X129" s="530">
        <v>620</v>
      </c>
      <c r="Y129" s="533">
        <v>349.20953464816171</v>
      </c>
      <c r="Z129" s="534">
        <v>3122</v>
      </c>
      <c r="AA129" s="530">
        <v>3187</v>
      </c>
      <c r="AB129" s="530">
        <v>47</v>
      </c>
      <c r="AC129" s="533">
        <v>26.47233569107032</v>
      </c>
      <c r="AD129" s="534">
        <v>69975</v>
      </c>
      <c r="AE129" s="530">
        <v>72170</v>
      </c>
      <c r="AF129" s="530">
        <v>467</v>
      </c>
      <c r="AG129" s="533">
        <v>263.03363335595407</v>
      </c>
      <c r="AH129" s="534">
        <v>-82120.3</v>
      </c>
      <c r="AI129" s="530">
        <v>-82051.8</v>
      </c>
      <c r="AJ129" s="530">
        <v>27.099999999991269</v>
      </c>
      <c r="AK129" s="533">
        <v>15.263836111229246</v>
      </c>
      <c r="AL129" s="534">
        <v>3635.7864239999999</v>
      </c>
      <c r="AM129" s="530">
        <v>3692.35</v>
      </c>
      <c r="AN129" s="530">
        <v>22.420302999999876</v>
      </c>
      <c r="AO129" s="533">
        <v>12.62803802790442</v>
      </c>
      <c r="AP129" s="534">
        <v>12982.764244</v>
      </c>
      <c r="AQ129" s="530">
        <v>13181.6</v>
      </c>
      <c r="AR129" s="530">
        <v>76.635756000001493</v>
      </c>
      <c r="AS129" s="533">
        <v>43.164414016404173</v>
      </c>
      <c r="AT129" s="534">
        <v>15.5</v>
      </c>
      <c r="AU129" s="530">
        <v>15.6</v>
      </c>
      <c r="AV129" s="530">
        <v>0</v>
      </c>
      <c r="AW129" s="533">
        <v>0</v>
      </c>
      <c r="AX129" s="534">
        <v>-83.13</v>
      </c>
      <c r="AY129" s="530">
        <v>-83.63</v>
      </c>
      <c r="AZ129" s="530">
        <v>-0.19999999999998863</v>
      </c>
      <c r="BA129" s="530">
        <v>-3.0061499999999999</v>
      </c>
      <c r="BB129" s="533">
        <v>-0.11264823698327156</v>
      </c>
      <c r="BC129" s="545"/>
      <c r="BD129" s="545"/>
      <c r="BE129" s="545"/>
      <c r="BF129" s="545"/>
      <c r="BG129" s="545"/>
      <c r="BH129" s="567"/>
      <c r="BI129" s="574" t="s">
        <v>723</v>
      </c>
      <c r="BJ129" s="1">
        <v>5473.0101221599998</v>
      </c>
      <c r="BK129" s="1">
        <v>-4.2765351300000001</v>
      </c>
      <c r="BL129" s="1">
        <v>2354.2545652499998</v>
      </c>
      <c r="BM129" s="1">
        <v>2459.43308505</v>
      </c>
      <c r="BN129" s="1">
        <v>3.0103470899999998</v>
      </c>
      <c r="BO129" s="1">
        <v>3.09835445</v>
      </c>
      <c r="BP129" s="1">
        <v>0.18646441999999999</v>
      </c>
      <c r="BQ129" s="1">
        <v>1.77540904</v>
      </c>
      <c r="BR129" s="1">
        <v>1.7721047000000001</v>
      </c>
      <c r="BS129" s="1">
        <v>-3.1154111000000002</v>
      </c>
      <c r="BT129" s="1">
        <v>-2.8404548300000001</v>
      </c>
      <c r="BU129" s="128">
        <v>0.84360588999999997</v>
      </c>
      <c r="BV129" s="512"/>
    </row>
    <row r="130" spans="1:74" s="519" customFormat="1" ht="33.75">
      <c r="A130" s="546">
        <v>62006015</v>
      </c>
      <c r="B130" s="543" t="s">
        <v>837</v>
      </c>
      <c r="C130" s="543" t="s">
        <v>705</v>
      </c>
      <c r="D130" s="513" t="s">
        <v>883</v>
      </c>
      <c r="E130" s="524" t="s">
        <v>884</v>
      </c>
      <c r="F130" s="524" t="s">
        <v>708</v>
      </c>
      <c r="G130" s="531">
        <v>-1.4480630000000001</v>
      </c>
      <c r="H130" s="531">
        <v>5.902495</v>
      </c>
      <c r="I130" s="531">
        <v>29.166007</v>
      </c>
      <c r="J130" s="531">
        <v>10.250030000000001</v>
      </c>
      <c r="K130" s="578">
        <v>4250</v>
      </c>
      <c r="L130" s="578">
        <v>38.71</v>
      </c>
      <c r="M130" s="578">
        <v>3.0499999999999999E-2</v>
      </c>
      <c r="N130" s="578">
        <v>1.4999999999999999E-2</v>
      </c>
      <c r="O130" s="529">
        <v>6.25069813</v>
      </c>
      <c r="P130" s="544">
        <v>89.5</v>
      </c>
      <c r="Q130" s="544">
        <v>87.3</v>
      </c>
      <c r="R130" s="530">
        <v>4683</v>
      </c>
      <c r="S130" s="530">
        <v>6597</v>
      </c>
      <c r="T130" s="530">
        <v>1914</v>
      </c>
      <c r="U130" s="530">
        <v>306.20579656755876</v>
      </c>
      <c r="V130" s="534">
        <v>4971</v>
      </c>
      <c r="W130" s="530">
        <v>6887</v>
      </c>
      <c r="X130" s="530">
        <v>1916</v>
      </c>
      <c r="Y130" s="533">
        <v>306.52576082729496</v>
      </c>
      <c r="Z130" s="534">
        <v>3140</v>
      </c>
      <c r="AA130" s="530">
        <v>3158</v>
      </c>
      <c r="AB130" s="530">
        <v>18</v>
      </c>
      <c r="AC130" s="533">
        <v>2.8796783376259447</v>
      </c>
      <c r="AD130" s="534">
        <v>70317</v>
      </c>
      <c r="AE130" s="530">
        <v>72045</v>
      </c>
      <c r="AF130" s="530">
        <v>1728</v>
      </c>
      <c r="AG130" s="533">
        <v>276.44912041209068</v>
      </c>
      <c r="AH130" s="534">
        <v>-82105.8</v>
      </c>
      <c r="AI130" s="530">
        <v>-82064.399999999994</v>
      </c>
      <c r="AJ130" s="530">
        <v>41.400000000008731</v>
      </c>
      <c r="AK130" s="533">
        <v>6.623260176541069</v>
      </c>
      <c r="AL130" s="534">
        <v>3647.7729199999999</v>
      </c>
      <c r="AM130" s="530">
        <v>3681.916193</v>
      </c>
      <c r="AN130" s="530">
        <v>34.143273000000136</v>
      </c>
      <c r="AO130" s="533">
        <v>5.4623135352082883</v>
      </c>
      <c r="AP130" s="534">
        <v>13025.6</v>
      </c>
      <c r="AQ130" s="530">
        <v>13147.8</v>
      </c>
      <c r="AR130" s="530">
        <v>122.19999999999891</v>
      </c>
      <c r="AS130" s="533">
        <v>19.549816269882626</v>
      </c>
      <c r="AT130" s="534">
        <v>15.5</v>
      </c>
      <c r="AU130" s="530">
        <v>15.6</v>
      </c>
      <c r="AV130" s="530">
        <v>9.9999999999999645E-2</v>
      </c>
      <c r="AW130" s="533">
        <v>1.5998212986810745E-2</v>
      </c>
      <c r="AX130" s="534">
        <v>-83.24</v>
      </c>
      <c r="AY130" s="530">
        <v>-83.54</v>
      </c>
      <c r="AZ130" s="530">
        <v>-0.30000000000001137</v>
      </c>
      <c r="BA130" s="530">
        <v>-3.0010629999999998</v>
      </c>
      <c r="BB130" s="533">
        <v>-4.7994638960434224E-2</v>
      </c>
      <c r="BC130" s="545"/>
      <c r="BD130" s="545"/>
      <c r="BE130" s="545"/>
      <c r="BF130" s="545"/>
      <c r="BG130" s="545"/>
      <c r="BH130" s="567"/>
      <c r="BI130" s="574" t="s">
        <v>723</v>
      </c>
      <c r="BJ130" s="1">
        <v>11295.56789516</v>
      </c>
      <c r="BK130" s="1">
        <v>0.65275355999999995</v>
      </c>
      <c r="BL130" s="1">
        <v>1146.3855189400001</v>
      </c>
      <c r="BM130" s="1">
        <v>1138.95097586</v>
      </c>
      <c r="BN130" s="1">
        <v>5.9086995099999999</v>
      </c>
      <c r="BO130" s="1">
        <v>5.8929619100000004</v>
      </c>
      <c r="BP130" s="1">
        <v>0.25379697000000001</v>
      </c>
      <c r="BQ130" s="1">
        <v>6.2506822099999999</v>
      </c>
      <c r="BR130" s="1">
        <v>6.2348583299999998</v>
      </c>
      <c r="BS130" s="1">
        <v>1.3225310000000001E-2</v>
      </c>
      <c r="BT130" s="1">
        <v>0.26705760000000001</v>
      </c>
      <c r="BU130" s="128">
        <v>0.41976734999999998</v>
      </c>
      <c r="BV130" s="512"/>
    </row>
    <row r="131" spans="1:74" s="519" customFormat="1" ht="33.75">
      <c r="A131" s="546">
        <v>62006015</v>
      </c>
      <c r="B131" s="543" t="s">
        <v>835</v>
      </c>
      <c r="C131" s="543" t="s">
        <v>703</v>
      </c>
      <c r="D131" s="513" t="s">
        <v>883</v>
      </c>
      <c r="E131" s="524" t="s">
        <v>884</v>
      </c>
      <c r="F131" s="524" t="s">
        <v>708</v>
      </c>
      <c r="G131" s="468">
        <v>-3.4090125000000002</v>
      </c>
      <c r="H131" s="468">
        <v>6.7642259999999998</v>
      </c>
      <c r="I131" s="468">
        <v>29.166498499999999</v>
      </c>
      <c r="J131" s="468">
        <v>10.4718295</v>
      </c>
      <c r="K131" s="579"/>
      <c r="L131" s="578"/>
      <c r="M131" s="580"/>
      <c r="N131" s="581"/>
      <c r="O131" s="453">
        <v>8.0261364799999999</v>
      </c>
      <c r="P131" s="493">
        <v>90</v>
      </c>
      <c r="Q131" s="493">
        <v>87.3</v>
      </c>
      <c r="R131" s="456">
        <v>4265.6423130000003</v>
      </c>
      <c r="S131" s="456">
        <v>6597</v>
      </c>
      <c r="T131" s="456">
        <v>2532.3576869999997</v>
      </c>
      <c r="U131" s="456">
        <v>315.5139080067076</v>
      </c>
      <c r="V131" s="456">
        <v>4553</v>
      </c>
      <c r="W131" s="456">
        <v>6887</v>
      </c>
      <c r="X131" s="456">
        <v>2536</v>
      </c>
      <c r="Y131" s="454">
        <v>315.96771451860485</v>
      </c>
      <c r="Z131" s="456">
        <v>3122</v>
      </c>
      <c r="AA131" s="456">
        <v>3158</v>
      </c>
      <c r="AB131" s="456">
        <v>65</v>
      </c>
      <c r="AC131" s="454">
        <v>8.0985415787497299</v>
      </c>
      <c r="AD131" s="456">
        <v>69975</v>
      </c>
      <c r="AE131" s="456">
        <v>72045</v>
      </c>
      <c r="AF131" s="456">
        <v>2195</v>
      </c>
      <c r="AG131" s="454">
        <v>273.48151946701012</v>
      </c>
      <c r="AH131" s="456">
        <v>-82120.3</v>
      </c>
      <c r="AI131" s="456">
        <v>-82064.399999999994</v>
      </c>
      <c r="AJ131" s="456">
        <v>68.5</v>
      </c>
      <c r="AK131" s="454">
        <v>8.5346168945285612</v>
      </c>
      <c r="AL131" s="456">
        <v>3635.7864239999999</v>
      </c>
      <c r="AM131" s="456">
        <v>3681.916193</v>
      </c>
      <c r="AN131" s="456">
        <v>56.563576000000012</v>
      </c>
      <c r="AO131" s="454">
        <v>7.0474226473656989</v>
      </c>
      <c r="AP131" s="456">
        <v>12982.764244</v>
      </c>
      <c r="AQ131" s="456">
        <v>13147.8</v>
      </c>
      <c r="AR131" s="456">
        <v>198.8357560000004</v>
      </c>
      <c r="AS131" s="454">
        <v>24.773532881663684</v>
      </c>
      <c r="AT131" s="456">
        <v>15.5</v>
      </c>
      <c r="AU131" s="456">
        <v>15.6</v>
      </c>
      <c r="AV131" s="456">
        <v>9.9999999999999645E-2</v>
      </c>
      <c r="AW131" s="454">
        <v>1.2459294736538002E-2</v>
      </c>
      <c r="AX131" s="456">
        <v>-83.13</v>
      </c>
      <c r="AY131" s="456">
        <v>-83.54</v>
      </c>
      <c r="AZ131" s="456">
        <v>-0.5</v>
      </c>
      <c r="BA131" s="530">
        <v>-3.0036065000000001</v>
      </c>
      <c r="BB131" s="454">
        <v>-6.2296473682690229E-2</v>
      </c>
      <c r="BC131" s="496"/>
      <c r="BD131" s="496"/>
      <c r="BE131" s="496"/>
      <c r="BF131" s="496"/>
      <c r="BG131" s="496"/>
      <c r="BH131" s="568"/>
      <c r="BI131" s="574" t="s">
        <v>723</v>
      </c>
      <c r="BJ131" s="1"/>
      <c r="BK131" s="1"/>
      <c r="BL131" s="1"/>
      <c r="BM131" s="1"/>
      <c r="BN131" s="1"/>
      <c r="BO131" s="1"/>
      <c r="BP131" s="1"/>
      <c r="BQ131" s="1"/>
      <c r="BR131" s="1"/>
      <c r="BS131" s="1"/>
      <c r="BT131" s="1"/>
      <c r="BU131" s="128"/>
      <c r="BV131" s="512"/>
    </row>
    <row r="132" spans="1:74" s="519" customFormat="1">
      <c r="A132" s="546">
        <v>62006016</v>
      </c>
      <c r="B132" s="543" t="s">
        <v>906</v>
      </c>
      <c r="C132" s="546" t="s">
        <v>695</v>
      </c>
      <c r="D132" s="513" t="s">
        <v>920</v>
      </c>
      <c r="E132" s="524" t="s">
        <v>921</v>
      </c>
      <c r="F132" s="524" t="s">
        <v>922</v>
      </c>
      <c r="G132" s="531">
        <v>179.013182</v>
      </c>
      <c r="H132" s="531">
        <v>-203.137238</v>
      </c>
      <c r="I132" s="531">
        <v>-295.92188299999998</v>
      </c>
      <c r="J132" s="531">
        <v>181.937253</v>
      </c>
      <c r="K132" s="578">
        <v>4250</v>
      </c>
      <c r="L132" s="578">
        <v>38.71</v>
      </c>
      <c r="M132" s="578">
        <v>3.0499999999999999E-2</v>
      </c>
      <c r="N132" s="578">
        <v>1.4999999999999999E-2</v>
      </c>
      <c r="O132" s="529">
        <v>9.5575450000000006E-2</v>
      </c>
      <c r="P132" s="544">
        <v>87</v>
      </c>
      <c r="Q132" s="544">
        <v>99.3</v>
      </c>
      <c r="R132" s="530">
        <v>0</v>
      </c>
      <c r="S132" s="530">
        <v>-9019</v>
      </c>
      <c r="T132" s="530">
        <v>-9019</v>
      </c>
      <c r="U132" s="530">
        <v>-94365.237098020458</v>
      </c>
      <c r="V132" s="534">
        <v>0</v>
      </c>
      <c r="W132" s="530">
        <v>-8611</v>
      </c>
      <c r="X132" s="530">
        <v>-8611</v>
      </c>
      <c r="Y132" s="533">
        <v>-90096.358426771723</v>
      </c>
      <c r="Z132" s="534">
        <v>0</v>
      </c>
      <c r="AA132" s="530">
        <v>501</v>
      </c>
      <c r="AB132" s="530">
        <v>501</v>
      </c>
      <c r="AC132" s="533">
        <v>5241.9318977833736</v>
      </c>
      <c r="AD132" s="534">
        <v>0</v>
      </c>
      <c r="AE132" s="530">
        <v>343</v>
      </c>
      <c r="AF132" s="530">
        <v>343</v>
      </c>
      <c r="AG132" s="533">
        <v>3588.7877064664617</v>
      </c>
      <c r="AH132" s="534">
        <v>-4846.3999999999996</v>
      </c>
      <c r="AI132" s="530">
        <v>-9973.6</v>
      </c>
      <c r="AJ132" s="530">
        <v>-5127.2000000000007</v>
      </c>
      <c r="AK132" s="533">
        <v>-53645.575302025783</v>
      </c>
      <c r="AL132" s="534">
        <v>42.6</v>
      </c>
      <c r="AM132" s="530">
        <v>1421.47</v>
      </c>
      <c r="AN132" s="530">
        <v>1378.8700000000001</v>
      </c>
      <c r="AO132" s="533">
        <v>14427.031209374374</v>
      </c>
      <c r="AP132" s="534">
        <v>-1</v>
      </c>
      <c r="AQ132" s="530">
        <v>-1.3</v>
      </c>
      <c r="AR132" s="530">
        <v>-0.30000000000000004</v>
      </c>
      <c r="AS132" s="533">
        <v>-3.1388813759181886</v>
      </c>
      <c r="AT132" s="534">
        <v>0.5</v>
      </c>
      <c r="AU132" s="530">
        <v>50</v>
      </c>
      <c r="AV132" s="530">
        <v>49.5</v>
      </c>
      <c r="AW132" s="533">
        <v>517.91542702650099</v>
      </c>
      <c r="AX132" s="534">
        <v>-0.26</v>
      </c>
      <c r="AY132" s="530">
        <v>-160.27000000000001</v>
      </c>
      <c r="AZ132" s="530">
        <v>-160.01000000000002</v>
      </c>
      <c r="BA132" s="530">
        <v>24.345616</v>
      </c>
      <c r="BB132" s="533">
        <v>-1674.1746965355644</v>
      </c>
      <c r="BC132" s="545">
        <v>0.6</v>
      </c>
      <c r="BD132" s="545">
        <v>13192</v>
      </c>
      <c r="BE132" s="545">
        <v>13191.4</v>
      </c>
      <c r="BF132" s="545">
        <v>0</v>
      </c>
      <c r="BG132" s="545">
        <v>-12936.6</v>
      </c>
      <c r="BH132" s="567">
        <v>-12936.6</v>
      </c>
      <c r="BI132" s="574"/>
      <c r="BJ132" s="1"/>
      <c r="BK132" s="1"/>
      <c r="BL132" s="1"/>
      <c r="BM132" s="1"/>
      <c r="BN132" s="1"/>
      <c r="BO132" s="1"/>
      <c r="BP132" s="1"/>
      <c r="BQ132" s="1"/>
      <c r="BR132" s="1"/>
      <c r="BS132" s="1"/>
      <c r="BT132" s="1"/>
      <c r="BU132" s="128"/>
      <c r="BV132" s="512"/>
    </row>
    <row r="133" spans="1:74" s="520" customFormat="1" ht="15.75">
      <c r="A133" s="535" t="s">
        <v>1244</v>
      </c>
      <c r="B133" s="537"/>
      <c r="C133" s="537"/>
      <c r="D133" s="537"/>
      <c r="E133" s="538"/>
      <c r="F133" s="538"/>
      <c r="G133" s="538"/>
      <c r="H133" s="538"/>
      <c r="I133" s="538"/>
      <c r="J133" s="538"/>
      <c r="K133" s="537"/>
      <c r="L133" s="537"/>
      <c r="M133" s="576"/>
      <c r="N133" s="577"/>
      <c r="O133" s="537"/>
      <c r="P133" s="537"/>
      <c r="Q133" s="537"/>
      <c r="R133" s="537"/>
      <c r="S133" s="537"/>
      <c r="T133" s="537"/>
      <c r="U133" s="537"/>
      <c r="V133" s="537"/>
      <c r="W133" s="537"/>
      <c r="X133" s="537"/>
      <c r="Y133" s="537"/>
      <c r="Z133" s="537"/>
      <c r="AA133" s="537"/>
      <c r="AB133" s="537"/>
      <c r="AC133" s="537"/>
      <c r="AD133" s="537"/>
      <c r="AE133" s="537"/>
      <c r="AF133" s="537"/>
      <c r="AG133" s="537"/>
      <c r="AH133" s="537"/>
      <c r="AI133" s="537"/>
      <c r="AJ133" s="537"/>
      <c r="AK133" s="537"/>
      <c r="AL133" s="537"/>
      <c r="AM133" s="537"/>
      <c r="AN133" s="537"/>
      <c r="AO133" s="537"/>
      <c r="AP133" s="537"/>
      <c r="AQ133" s="537"/>
      <c r="AR133" s="537"/>
      <c r="AS133" s="537"/>
      <c r="AT133" s="537"/>
      <c r="AU133" s="537"/>
      <c r="AV133" s="537"/>
      <c r="AW133" s="537"/>
      <c r="AX133" s="537"/>
      <c r="AY133" s="537"/>
      <c r="AZ133" s="537"/>
      <c r="BA133" s="537"/>
      <c r="BB133" s="537"/>
      <c r="BC133" s="537"/>
      <c r="BD133" s="537"/>
      <c r="BE133" s="537"/>
      <c r="BF133" s="537"/>
      <c r="BG133" s="537"/>
      <c r="BH133" s="537"/>
      <c r="BI133" s="569"/>
      <c r="BJ133" s="537"/>
      <c r="BK133" s="537"/>
      <c r="BL133" s="537"/>
      <c r="BM133" s="537"/>
      <c r="BN133" s="537"/>
      <c r="BO133" s="537"/>
      <c r="BP133" s="537"/>
      <c r="BQ133" s="537"/>
      <c r="BR133" s="537"/>
      <c r="BS133" s="537"/>
      <c r="BT133" s="537"/>
      <c r="BU133" s="542"/>
      <c r="BV133" s="541"/>
    </row>
    <row r="134" spans="1:74" s="519" customFormat="1" ht="22.5">
      <c r="A134" s="546">
        <v>62006017</v>
      </c>
      <c r="B134" s="543" t="s">
        <v>832</v>
      </c>
      <c r="C134" s="543" t="s">
        <v>695</v>
      </c>
      <c r="D134" s="513" t="s">
        <v>885</v>
      </c>
      <c r="E134" s="524" t="s">
        <v>886</v>
      </c>
      <c r="F134" s="524" t="s">
        <v>708</v>
      </c>
      <c r="G134" s="531">
        <v>-16.495609999999999</v>
      </c>
      <c r="H134" s="531">
        <v>37.022759000000001</v>
      </c>
      <c r="I134" s="531">
        <v>29.298425000000002</v>
      </c>
      <c r="J134" s="531">
        <v>-2.5775730000000001</v>
      </c>
      <c r="K134" s="578">
        <v>4250</v>
      </c>
      <c r="L134" s="578">
        <v>38.71</v>
      </c>
      <c r="M134" s="578">
        <v>3.0499999999999999E-2</v>
      </c>
      <c r="N134" s="578">
        <v>1.4999999999999999E-2</v>
      </c>
      <c r="O134" s="529">
        <v>3.5962610800000001</v>
      </c>
      <c r="P134" s="544">
        <v>96.7</v>
      </c>
      <c r="Q134" s="544">
        <v>93.2</v>
      </c>
      <c r="R134" s="530">
        <v>-8918</v>
      </c>
      <c r="S134" s="530">
        <v>-6180</v>
      </c>
      <c r="T134" s="530">
        <v>2738</v>
      </c>
      <c r="U134" s="530">
        <v>761.34628134395621</v>
      </c>
      <c r="V134" s="534">
        <v>-8508</v>
      </c>
      <c r="W134" s="530">
        <v>-5764</v>
      </c>
      <c r="X134" s="530">
        <v>2744</v>
      </c>
      <c r="Y134" s="533">
        <v>763.01468079175163</v>
      </c>
      <c r="Z134" s="534">
        <v>519</v>
      </c>
      <c r="AA134" s="530">
        <v>774</v>
      </c>
      <c r="AB134" s="530">
        <v>255</v>
      </c>
      <c r="AC134" s="533">
        <v>70.906976531303442</v>
      </c>
      <c r="AD134" s="534">
        <v>394</v>
      </c>
      <c r="AE134" s="530">
        <v>1977</v>
      </c>
      <c r="AF134" s="530">
        <v>1583</v>
      </c>
      <c r="AG134" s="533">
        <v>440.1793876433465</v>
      </c>
      <c r="AH134" s="534">
        <v>-9943.2000000000007</v>
      </c>
      <c r="AI134" s="530">
        <v>-9842.5</v>
      </c>
      <c r="AJ134" s="530">
        <v>100.70000000000073</v>
      </c>
      <c r="AK134" s="533">
        <v>28.001304065499252</v>
      </c>
      <c r="AL134" s="534">
        <v>1445.6173659999999</v>
      </c>
      <c r="AM134" s="530">
        <v>1537.6065819999999</v>
      </c>
      <c r="AN134" s="530">
        <v>91.989215999999942</v>
      </c>
      <c r="AO134" s="533">
        <v>25.579126196254901</v>
      </c>
      <c r="AP134" s="534">
        <v>-1.3</v>
      </c>
      <c r="AQ134" s="530">
        <v>796.46581700000002</v>
      </c>
      <c r="AR134" s="530">
        <v>797.76581699999997</v>
      </c>
      <c r="AS134" s="533">
        <v>221.83200809213773</v>
      </c>
      <c r="AT134" s="534">
        <v>50.3</v>
      </c>
      <c r="AU134" s="530">
        <v>50.8</v>
      </c>
      <c r="AV134" s="530">
        <v>0.5</v>
      </c>
      <c r="AW134" s="533">
        <v>0.13903328731628128</v>
      </c>
      <c r="AX134" s="534">
        <v>-161.81</v>
      </c>
      <c r="AY134" s="530">
        <v>-162.84</v>
      </c>
      <c r="AZ134" s="530">
        <v>-1.0300000000000011</v>
      </c>
      <c r="BA134" s="530">
        <v>-7.4944030000000001</v>
      </c>
      <c r="BB134" s="533">
        <v>-0.28640857187153973</v>
      </c>
      <c r="BC134" s="545"/>
      <c r="BD134" s="545"/>
      <c r="BE134" s="545"/>
      <c r="BF134" s="545"/>
      <c r="BG134" s="545"/>
      <c r="BH134" s="567"/>
      <c r="BI134" s="574" t="s">
        <v>723</v>
      </c>
      <c r="BJ134" s="1">
        <v>2371.7407291599998</v>
      </c>
      <c r="BK134" s="1">
        <v>9.3254429999999999E-2</v>
      </c>
      <c r="BL134" s="1">
        <v>2050.73424626</v>
      </c>
      <c r="BM134" s="1">
        <v>2048.8236275099998</v>
      </c>
      <c r="BN134" s="1">
        <v>3.0361611000000002</v>
      </c>
      <c r="BO134" s="1">
        <v>3.03200029</v>
      </c>
      <c r="BP134" s="1">
        <v>0.14512235000000001</v>
      </c>
      <c r="BQ134" s="1">
        <v>3.5961916899999999</v>
      </c>
      <c r="BR134" s="1">
        <v>3.59098037</v>
      </c>
      <c r="BS134" s="1">
        <v>-7.8818299999999994E-3</v>
      </c>
      <c r="BT134" s="1">
        <v>0.13722971</v>
      </c>
      <c r="BU134" s="128">
        <v>0.63450154999999997</v>
      </c>
      <c r="BV134" s="512"/>
    </row>
    <row r="135" spans="1:74" s="519" customFormat="1" ht="22.5">
      <c r="A135" s="546">
        <v>62006017</v>
      </c>
      <c r="B135" s="543" t="s">
        <v>831</v>
      </c>
      <c r="C135" s="543" t="s">
        <v>696</v>
      </c>
      <c r="D135" s="513" t="s">
        <v>885</v>
      </c>
      <c r="E135" s="524" t="s">
        <v>886</v>
      </c>
      <c r="F135" s="524" t="s">
        <v>708</v>
      </c>
      <c r="G135" s="531">
        <v>-17.93083</v>
      </c>
      <c r="H135" s="531">
        <v>38.538497</v>
      </c>
      <c r="I135" s="531">
        <v>29.293371</v>
      </c>
      <c r="J135" s="531">
        <v>2.519196</v>
      </c>
      <c r="K135" s="578">
        <v>4250</v>
      </c>
      <c r="L135" s="578">
        <v>38.71</v>
      </c>
      <c r="M135" s="578">
        <v>3.0499999999999999E-2</v>
      </c>
      <c r="N135" s="578">
        <v>1.4999999999999999E-2</v>
      </c>
      <c r="O135" s="529">
        <v>3.8664160999999999</v>
      </c>
      <c r="P135" s="544">
        <v>93.2</v>
      </c>
      <c r="Q135" s="544">
        <v>90.3</v>
      </c>
      <c r="R135" s="530">
        <v>-6180</v>
      </c>
      <c r="S135" s="530">
        <v>-3689</v>
      </c>
      <c r="T135" s="530">
        <v>2491</v>
      </c>
      <c r="U135" s="530">
        <v>644.26588747134588</v>
      </c>
      <c r="V135" s="534">
        <v>-5763</v>
      </c>
      <c r="W135" s="530">
        <v>-3264</v>
      </c>
      <c r="X135" s="530">
        <v>2499</v>
      </c>
      <c r="Y135" s="533">
        <v>646.33498706980868</v>
      </c>
      <c r="Z135" s="534">
        <v>774</v>
      </c>
      <c r="AA135" s="530">
        <v>1030</v>
      </c>
      <c r="AB135" s="530">
        <v>256</v>
      </c>
      <c r="AC135" s="533">
        <v>66.211187150808726</v>
      </c>
      <c r="AD135" s="534">
        <v>1977</v>
      </c>
      <c r="AE135" s="530">
        <v>3233</v>
      </c>
      <c r="AF135" s="530">
        <v>1256</v>
      </c>
      <c r="AG135" s="533">
        <v>324.84863695865533</v>
      </c>
      <c r="AH135" s="534">
        <v>-9842.5</v>
      </c>
      <c r="AI135" s="530">
        <v>-9694.2999999999993</v>
      </c>
      <c r="AJ135" s="530">
        <v>148.20000000000073</v>
      </c>
      <c r="AK135" s="533">
        <v>38.330070061523053</v>
      </c>
      <c r="AL135" s="534">
        <v>1537.6467319999999</v>
      </c>
      <c r="AM135" s="530">
        <v>1668.692591</v>
      </c>
      <c r="AN135" s="530">
        <v>131.04585900000006</v>
      </c>
      <c r="AO135" s="533">
        <v>33.893366779638662</v>
      </c>
      <c r="AP135" s="534">
        <v>796.76732300000003</v>
      </c>
      <c r="AQ135" s="530">
        <v>1625.4</v>
      </c>
      <c r="AR135" s="530">
        <v>828.63267700000006</v>
      </c>
      <c r="AS135" s="533">
        <v>214.31544240672909</v>
      </c>
      <c r="AT135" s="534">
        <v>50.8</v>
      </c>
      <c r="AU135" s="530">
        <v>51.7</v>
      </c>
      <c r="AV135" s="530">
        <v>0.90000000000000568</v>
      </c>
      <c r="AW135" s="533">
        <v>0.23277370482706342</v>
      </c>
      <c r="AX135" s="534">
        <v>-162.84</v>
      </c>
      <c r="AY135" s="530">
        <v>-164.44</v>
      </c>
      <c r="AZ135" s="530">
        <v>-1.5999999999999943</v>
      </c>
      <c r="BA135" s="530">
        <v>-6.6319100000000004</v>
      </c>
      <c r="BB135" s="533">
        <v>-0.41381991969255311</v>
      </c>
      <c r="BC135" s="545"/>
      <c r="BD135" s="545"/>
      <c r="BE135" s="545"/>
      <c r="BF135" s="545"/>
      <c r="BG135" s="545"/>
      <c r="BH135" s="567"/>
      <c r="BI135" s="574" t="s">
        <v>723</v>
      </c>
      <c r="BJ135" s="1">
        <v>1475.7640616000001</v>
      </c>
      <c r="BK135" s="1">
        <v>-0.97726409999999997</v>
      </c>
      <c r="BL135" s="1">
        <v>3382.85019513</v>
      </c>
      <c r="BM135" s="1">
        <v>3416.2358415600002</v>
      </c>
      <c r="BN135" s="1">
        <v>2.9811334399999998</v>
      </c>
      <c r="BO135" s="1">
        <v>2.9953647499999998</v>
      </c>
      <c r="BP135" s="1">
        <v>0.16614651999999999</v>
      </c>
      <c r="BQ135" s="1">
        <v>3.8662434600000002</v>
      </c>
      <c r="BR135" s="1">
        <v>3.8598304899999998</v>
      </c>
      <c r="BS135" s="1">
        <v>-0.64431885</v>
      </c>
      <c r="BT135" s="1">
        <v>-0.47511110000000001</v>
      </c>
      <c r="BU135" s="128">
        <v>0.72008472999999995</v>
      </c>
      <c r="BV135" s="512"/>
    </row>
    <row r="136" spans="1:74" s="519" customFormat="1" ht="22.5">
      <c r="A136" s="546">
        <v>62006017</v>
      </c>
      <c r="B136" s="543" t="s">
        <v>830</v>
      </c>
      <c r="C136" s="543" t="s">
        <v>698</v>
      </c>
      <c r="D136" s="513" t="s">
        <v>885</v>
      </c>
      <c r="E136" s="524" t="s">
        <v>886</v>
      </c>
      <c r="F136" s="524" t="s">
        <v>708</v>
      </c>
      <c r="G136" s="468">
        <v>-17.21322</v>
      </c>
      <c r="H136" s="468">
        <v>37.780628</v>
      </c>
      <c r="I136" s="468">
        <v>29.295898000000001</v>
      </c>
      <c r="J136" s="468">
        <v>-2.9188500000000062E-2</v>
      </c>
      <c r="K136" s="579"/>
      <c r="L136" s="578"/>
      <c r="M136" s="580"/>
      <c r="N136" s="581"/>
      <c r="O136" s="453">
        <v>7.46267718</v>
      </c>
      <c r="P136" s="493">
        <v>96.7</v>
      </c>
      <c r="Q136" s="493">
        <v>90.3</v>
      </c>
      <c r="R136" s="456">
        <v>-8918</v>
      </c>
      <c r="S136" s="456">
        <v>-3689</v>
      </c>
      <c r="T136" s="456">
        <v>5229</v>
      </c>
      <c r="U136" s="456">
        <v>700.68688138001437</v>
      </c>
      <c r="V136" s="456">
        <v>-8508</v>
      </c>
      <c r="W136" s="456">
        <v>-3264</v>
      </c>
      <c r="X136" s="456">
        <v>5243</v>
      </c>
      <c r="Y136" s="454">
        <v>702.56288373980021</v>
      </c>
      <c r="Z136" s="456">
        <v>519</v>
      </c>
      <c r="AA136" s="456">
        <v>1030</v>
      </c>
      <c r="AB136" s="456">
        <v>511</v>
      </c>
      <c r="AC136" s="454">
        <v>68.474086132183459</v>
      </c>
      <c r="AD136" s="456">
        <v>394</v>
      </c>
      <c r="AE136" s="456">
        <v>3233</v>
      </c>
      <c r="AF136" s="456">
        <v>2839</v>
      </c>
      <c r="AG136" s="454">
        <v>380.42647853085879</v>
      </c>
      <c r="AH136" s="456">
        <v>-9943.2000000000007</v>
      </c>
      <c r="AI136" s="456">
        <v>-9694.2999999999993</v>
      </c>
      <c r="AJ136" s="456">
        <v>248.90000000000146</v>
      </c>
      <c r="AK136" s="454">
        <v>33.352641953621458</v>
      </c>
      <c r="AL136" s="456">
        <v>1445.6173659999999</v>
      </c>
      <c r="AM136" s="456">
        <v>1668.692591</v>
      </c>
      <c r="AN136" s="456">
        <v>223.03507500000001</v>
      </c>
      <c r="AO136" s="454">
        <v>29.88673764392955</v>
      </c>
      <c r="AP136" s="456">
        <v>-1.3</v>
      </c>
      <c r="AQ136" s="456">
        <v>1625.4</v>
      </c>
      <c r="AR136" s="456">
        <v>1626.398494</v>
      </c>
      <c r="AS136" s="454">
        <v>217.93767233543929</v>
      </c>
      <c r="AT136" s="456">
        <v>50.3</v>
      </c>
      <c r="AU136" s="456">
        <v>51.7</v>
      </c>
      <c r="AV136" s="456">
        <v>1.4000000000000057</v>
      </c>
      <c r="AW136" s="454">
        <v>0.18760023597858561</v>
      </c>
      <c r="AX136" s="456">
        <v>-161.81</v>
      </c>
      <c r="AY136" s="456">
        <v>-164.44</v>
      </c>
      <c r="AZ136" s="456">
        <v>-2.6299999999999955</v>
      </c>
      <c r="BA136" s="530">
        <v>-7.0631564999999998</v>
      </c>
      <c r="BB136" s="454">
        <v>-0.35242044330262662</v>
      </c>
      <c r="BC136" s="496"/>
      <c r="BD136" s="496"/>
      <c r="BE136" s="496"/>
      <c r="BF136" s="496"/>
      <c r="BG136" s="496"/>
      <c r="BH136" s="568"/>
      <c r="BI136" s="574" t="s">
        <v>723</v>
      </c>
      <c r="BJ136" s="1"/>
      <c r="BK136" s="1"/>
      <c r="BL136" s="1"/>
      <c r="BM136" s="1"/>
      <c r="BN136" s="1"/>
      <c r="BO136" s="1"/>
      <c r="BP136" s="1"/>
      <c r="BQ136" s="1"/>
      <c r="BR136" s="1"/>
      <c r="BS136" s="1"/>
      <c r="BT136" s="1"/>
      <c r="BU136" s="128"/>
      <c r="BV136" s="512"/>
    </row>
    <row r="137" spans="1:74" s="519" customFormat="1" ht="22.5">
      <c r="A137" s="546">
        <v>62006017</v>
      </c>
      <c r="B137" s="543" t="s">
        <v>829</v>
      </c>
      <c r="C137" s="543" t="s">
        <v>697</v>
      </c>
      <c r="D137" s="513" t="s">
        <v>885</v>
      </c>
      <c r="E137" s="524" t="s">
        <v>886</v>
      </c>
      <c r="F137" s="524" t="s">
        <v>708</v>
      </c>
      <c r="G137" s="531">
        <v>-14.521599</v>
      </c>
      <c r="H137" s="531">
        <v>25.357749999999999</v>
      </c>
      <c r="I137" s="531">
        <v>29.292674999999999</v>
      </c>
      <c r="J137" s="531">
        <v>3.2799049999999998</v>
      </c>
      <c r="K137" s="578">
        <v>4250</v>
      </c>
      <c r="L137" s="578">
        <v>38.71</v>
      </c>
      <c r="M137" s="578">
        <v>3.0499999999999999E-2</v>
      </c>
      <c r="N137" s="578">
        <v>1.4999999999999999E-2</v>
      </c>
      <c r="O137" s="529">
        <v>10.280925939999999</v>
      </c>
      <c r="P137" s="544">
        <v>90.2</v>
      </c>
      <c r="Q137" s="544">
        <v>86.3</v>
      </c>
      <c r="R137" s="530">
        <v>-3675</v>
      </c>
      <c r="S137" s="530">
        <v>-368</v>
      </c>
      <c r="T137" s="530">
        <v>3307</v>
      </c>
      <c r="U137" s="530">
        <v>321.66363412204487</v>
      </c>
      <c r="V137" s="534">
        <v>-3250</v>
      </c>
      <c r="W137" s="530">
        <v>58</v>
      </c>
      <c r="X137" s="530">
        <v>3308</v>
      </c>
      <c r="Y137" s="533">
        <v>321.76090162555926</v>
      </c>
      <c r="Z137" s="534">
        <v>1030</v>
      </c>
      <c r="AA137" s="530">
        <v>1062</v>
      </c>
      <c r="AB137" s="530">
        <v>32</v>
      </c>
      <c r="AC137" s="533">
        <v>3.112560112460065</v>
      </c>
      <c r="AD137" s="534">
        <v>3233</v>
      </c>
      <c r="AE137" s="530">
        <v>5858</v>
      </c>
      <c r="AF137" s="530">
        <v>2625</v>
      </c>
      <c r="AG137" s="533">
        <v>255.32719672523973</v>
      </c>
      <c r="AH137" s="534">
        <v>-9692.1</v>
      </c>
      <c r="AI137" s="530">
        <v>-9586.1257640000003</v>
      </c>
      <c r="AJ137" s="530">
        <v>105.97423600000002</v>
      </c>
      <c r="AK137" s="533">
        <v>10.307849372563423</v>
      </c>
      <c r="AL137" s="534">
        <v>1670.457848</v>
      </c>
      <c r="AM137" s="530">
        <v>1759.5348469999999</v>
      </c>
      <c r="AN137" s="530">
        <v>89.076998999999887</v>
      </c>
      <c r="AO137" s="533">
        <v>8.6642973132826491</v>
      </c>
      <c r="AP137" s="534">
        <v>1637.0784839999999</v>
      </c>
      <c r="AQ137" s="530">
        <v>2175.974236</v>
      </c>
      <c r="AR137" s="530">
        <v>538.89575200000013</v>
      </c>
      <c r="AS137" s="533">
        <v>52.417044451542871</v>
      </c>
      <c r="AT137" s="534">
        <v>51.8</v>
      </c>
      <c r="AU137" s="530">
        <v>52.6</v>
      </c>
      <c r="AV137" s="530">
        <v>0.80000000000000426</v>
      </c>
      <c r="AW137" s="533">
        <v>7.7814002811502039E-2</v>
      </c>
      <c r="AX137" s="534">
        <v>-164.47</v>
      </c>
      <c r="AY137" s="530">
        <v>-165.77</v>
      </c>
      <c r="AZ137" s="530">
        <v>-1.3000000000000114</v>
      </c>
      <c r="BA137" s="530">
        <v>-6.1677900000000001</v>
      </c>
      <c r="BB137" s="533">
        <v>-0.12644775456869126</v>
      </c>
      <c r="BC137" s="545"/>
      <c r="BD137" s="545"/>
      <c r="BE137" s="545"/>
      <c r="BF137" s="545"/>
      <c r="BG137" s="545"/>
      <c r="BH137" s="567"/>
      <c r="BI137" s="574" t="s">
        <v>723</v>
      </c>
      <c r="BJ137" s="1">
        <v>1875.32367686</v>
      </c>
      <c r="BK137" s="1">
        <v>3.5286717400000001</v>
      </c>
      <c r="BL137" s="1">
        <v>1352.8836916400001</v>
      </c>
      <c r="BM137" s="1">
        <v>1306.7719974300001</v>
      </c>
      <c r="BN137" s="1">
        <v>6.8777133900000003</v>
      </c>
      <c r="BO137" s="1">
        <v>6.7904271400000003</v>
      </c>
      <c r="BP137" s="1">
        <v>0.23642114</v>
      </c>
      <c r="BQ137" s="1">
        <v>10.2809294</v>
      </c>
      <c r="BR137" s="1">
        <v>10.25668044</v>
      </c>
      <c r="BS137" s="1">
        <v>1.03569669</v>
      </c>
      <c r="BT137" s="1">
        <v>1.285431</v>
      </c>
      <c r="BU137" s="128">
        <v>0.33398517</v>
      </c>
      <c r="BV137" s="512"/>
    </row>
    <row r="138" spans="1:74" s="519" customFormat="1" ht="22.5">
      <c r="A138" s="546">
        <v>62006017</v>
      </c>
      <c r="B138" s="543" t="s">
        <v>828</v>
      </c>
      <c r="C138" s="543" t="s">
        <v>699</v>
      </c>
      <c r="D138" s="513" t="s">
        <v>885</v>
      </c>
      <c r="E138" s="524" t="s">
        <v>886</v>
      </c>
      <c r="F138" s="524" t="s">
        <v>708</v>
      </c>
      <c r="G138" s="531">
        <v>-17.525312</v>
      </c>
      <c r="H138" s="531">
        <v>24.998685999999999</v>
      </c>
      <c r="I138" s="531">
        <v>29.292505999999999</v>
      </c>
      <c r="J138" s="531">
        <v>3.8150520000000001</v>
      </c>
      <c r="K138" s="578">
        <v>4250</v>
      </c>
      <c r="L138" s="578">
        <v>38.71</v>
      </c>
      <c r="M138" s="578">
        <v>3.0499999999999999E-2</v>
      </c>
      <c r="N138" s="578">
        <v>1.4999999999999999E-2</v>
      </c>
      <c r="O138" s="529">
        <v>3.5978732199999999</v>
      </c>
      <c r="P138" s="544">
        <v>86.3</v>
      </c>
      <c r="Q138" s="544">
        <v>84.3</v>
      </c>
      <c r="R138" s="530">
        <v>-319</v>
      </c>
      <c r="S138" s="530">
        <v>1303</v>
      </c>
      <c r="T138" s="530">
        <v>1622</v>
      </c>
      <c r="U138" s="530">
        <v>450.82188860451288</v>
      </c>
      <c r="V138" s="534">
        <v>107</v>
      </c>
      <c r="W138" s="530">
        <v>1727</v>
      </c>
      <c r="X138" s="530">
        <v>1620</v>
      </c>
      <c r="Y138" s="533">
        <v>450.26600464815715</v>
      </c>
      <c r="Z138" s="534">
        <v>1062</v>
      </c>
      <c r="AA138" s="530">
        <v>1116</v>
      </c>
      <c r="AB138" s="530">
        <v>54</v>
      </c>
      <c r="AC138" s="533">
        <v>15.008866821605238</v>
      </c>
      <c r="AD138" s="534">
        <v>5857</v>
      </c>
      <c r="AE138" s="530">
        <v>6865</v>
      </c>
      <c r="AF138" s="530">
        <v>1008</v>
      </c>
      <c r="AG138" s="533">
        <v>280.16551400329774</v>
      </c>
      <c r="AH138" s="534">
        <v>-9543.5</v>
      </c>
      <c r="AI138" s="530">
        <v>-9476.7000000000007</v>
      </c>
      <c r="AJ138" s="530">
        <v>66.799999999999272</v>
      </c>
      <c r="AK138" s="533">
        <v>18.566524142281832</v>
      </c>
      <c r="AL138" s="534">
        <v>1791.4970980000001</v>
      </c>
      <c r="AM138" s="530">
        <v>1848.026736</v>
      </c>
      <c r="AN138" s="530">
        <v>56.529637999999977</v>
      </c>
      <c r="AO138" s="533">
        <v>15.711959411399153</v>
      </c>
      <c r="AP138" s="534">
        <v>2180.9</v>
      </c>
      <c r="AQ138" s="530">
        <v>2671.367362</v>
      </c>
      <c r="AR138" s="530">
        <v>490.46736199999987</v>
      </c>
      <c r="AS138" s="533">
        <v>136.32146882596376</v>
      </c>
      <c r="AT138" s="534">
        <v>53.2</v>
      </c>
      <c r="AU138" s="530">
        <v>53.8</v>
      </c>
      <c r="AV138" s="530">
        <v>0.59999999999999432</v>
      </c>
      <c r="AW138" s="533">
        <v>0.16676518690672329</v>
      </c>
      <c r="AX138" s="534">
        <v>-166.12</v>
      </c>
      <c r="AY138" s="530">
        <v>-166.66</v>
      </c>
      <c r="AZ138" s="530">
        <v>-0.53999999999999204</v>
      </c>
      <c r="BA138" s="530">
        <v>-3.8110240000000002</v>
      </c>
      <c r="BB138" s="533">
        <v>-0.15008866821605016</v>
      </c>
      <c r="BC138" s="545"/>
      <c r="BD138" s="545"/>
      <c r="BE138" s="545"/>
      <c r="BF138" s="545"/>
      <c r="BG138" s="545"/>
      <c r="BH138" s="567"/>
      <c r="BI138" s="574" t="s">
        <v>723</v>
      </c>
      <c r="BJ138" s="1">
        <v>2366.85867388</v>
      </c>
      <c r="BK138" s="1">
        <v>0.22278756999999999</v>
      </c>
      <c r="BL138" s="1">
        <v>2053.3499434199998</v>
      </c>
      <c r="BM138" s="1">
        <v>2048.7855039999999</v>
      </c>
      <c r="BN138" s="1">
        <v>3.0360313699999999</v>
      </c>
      <c r="BO138" s="1">
        <v>3.0319383499999999</v>
      </c>
      <c r="BP138" s="1">
        <v>0.19005068999999999</v>
      </c>
      <c r="BQ138" s="1">
        <v>3.59780554</v>
      </c>
      <c r="BR138" s="1">
        <v>3.5909808600000002</v>
      </c>
      <c r="BS138" s="1">
        <v>-5.4979930000000003E-2</v>
      </c>
      <c r="BT138" s="1">
        <v>0.13499653</v>
      </c>
      <c r="BU138" s="128">
        <v>0.63449675000000005</v>
      </c>
      <c r="BV138" s="512"/>
    </row>
    <row r="139" spans="1:74" s="519" customFormat="1" ht="22.5">
      <c r="A139" s="546">
        <v>62006017</v>
      </c>
      <c r="B139" s="543" t="s">
        <v>239</v>
      </c>
      <c r="C139" s="543" t="s">
        <v>700</v>
      </c>
      <c r="D139" s="513" t="s">
        <v>885</v>
      </c>
      <c r="E139" s="524" t="s">
        <v>886</v>
      </c>
      <c r="F139" s="524" t="s">
        <v>708</v>
      </c>
      <c r="G139" s="531">
        <v>-18.082474000000001</v>
      </c>
      <c r="H139" s="531">
        <v>35.963653000000001</v>
      </c>
      <c r="I139" s="531">
        <v>29.291976999999999</v>
      </c>
      <c r="J139" s="531">
        <v>3.7978489999999998</v>
      </c>
      <c r="K139" s="578">
        <v>4250</v>
      </c>
      <c r="L139" s="578">
        <v>38.71</v>
      </c>
      <c r="M139" s="578">
        <v>3.0499999999999999E-2</v>
      </c>
      <c r="N139" s="578">
        <v>1.4999999999999999E-2</v>
      </c>
      <c r="O139" s="529">
        <v>3.8630534299999999</v>
      </c>
      <c r="P139" s="544">
        <v>84.3</v>
      </c>
      <c r="Q139" s="544">
        <v>82.6</v>
      </c>
      <c r="R139" s="530">
        <v>1303</v>
      </c>
      <c r="S139" s="530">
        <v>2812</v>
      </c>
      <c r="T139" s="530">
        <v>1509</v>
      </c>
      <c r="U139" s="530">
        <v>390.6236419826065</v>
      </c>
      <c r="V139" s="534">
        <v>1727.67309</v>
      </c>
      <c r="W139" s="530">
        <v>3236</v>
      </c>
      <c r="X139" s="530">
        <v>1508.32691</v>
      </c>
      <c r="Y139" s="533">
        <v>390.44940416472576</v>
      </c>
      <c r="Z139" s="534">
        <v>1116</v>
      </c>
      <c r="AA139" s="530">
        <v>1158</v>
      </c>
      <c r="AB139" s="530">
        <v>42</v>
      </c>
      <c r="AC139" s="533">
        <v>10.872228603889644</v>
      </c>
      <c r="AD139" s="534">
        <v>6865</v>
      </c>
      <c r="AE139" s="530">
        <v>7669</v>
      </c>
      <c r="AF139" s="530">
        <v>804</v>
      </c>
      <c r="AG139" s="533">
        <v>208.1255189887446</v>
      </c>
      <c r="AH139" s="534">
        <v>-9476.6326609999996</v>
      </c>
      <c r="AI139" s="530">
        <v>-9369.9</v>
      </c>
      <c r="AJ139" s="530">
        <v>106.73266100000001</v>
      </c>
      <c r="AK139" s="533">
        <v>27.629092616510874</v>
      </c>
      <c r="AL139" s="534">
        <v>1848.04</v>
      </c>
      <c r="AM139" s="530">
        <v>1937.086067</v>
      </c>
      <c r="AN139" s="530">
        <v>89.046066999999994</v>
      </c>
      <c r="AO139" s="533">
        <v>23.050695159554135</v>
      </c>
      <c r="AP139" s="534">
        <v>2671.5</v>
      </c>
      <c r="AQ139" s="530">
        <v>3223.0606720000001</v>
      </c>
      <c r="AR139" s="530">
        <v>551.56067200000007</v>
      </c>
      <c r="AS139" s="533">
        <v>142.7784217833094</v>
      </c>
      <c r="AT139" s="534">
        <v>53.8</v>
      </c>
      <c r="AU139" s="530">
        <v>54.6</v>
      </c>
      <c r="AV139" s="530">
        <v>0.80000000000000426</v>
      </c>
      <c r="AW139" s="533">
        <v>0.20709006864551813</v>
      </c>
      <c r="AX139" s="534">
        <v>-166.66</v>
      </c>
      <c r="AY139" s="530">
        <v>-167.6</v>
      </c>
      <c r="AZ139" s="530">
        <v>-0.93999999999999773</v>
      </c>
      <c r="BA139" s="530">
        <v>-3.909179</v>
      </c>
      <c r="BB139" s="533">
        <v>-0.24333083065848193</v>
      </c>
      <c r="BC139" s="545"/>
      <c r="BD139" s="545"/>
      <c r="BE139" s="545"/>
      <c r="BF139" s="545"/>
      <c r="BG139" s="545"/>
      <c r="BH139" s="567"/>
      <c r="BI139" s="574" t="s">
        <v>723</v>
      </c>
      <c r="BJ139" s="1">
        <v>1475.7703292000001</v>
      </c>
      <c r="BK139" s="1">
        <v>-1.2483453799999999</v>
      </c>
      <c r="BL139" s="1">
        <v>3373.5389808599998</v>
      </c>
      <c r="BM139" s="1">
        <v>3416.18476543</v>
      </c>
      <c r="BN139" s="1">
        <v>2.9864713300000001</v>
      </c>
      <c r="BO139" s="1">
        <v>2.9952812</v>
      </c>
      <c r="BP139" s="1">
        <v>8.1475950000000005E-2</v>
      </c>
      <c r="BQ139" s="1">
        <v>3.8629755000000001</v>
      </c>
      <c r="BR139" s="1">
        <v>3.85983067</v>
      </c>
      <c r="BS139" s="1">
        <v>-0.37670902000000001</v>
      </c>
      <c r="BT139" s="1">
        <v>-0.29412507999999998</v>
      </c>
      <c r="BU139" s="128">
        <v>0.72009208000000002</v>
      </c>
      <c r="BV139" s="512"/>
    </row>
    <row r="140" spans="1:74" s="519" customFormat="1" ht="22.5">
      <c r="A140" s="546">
        <v>62006017</v>
      </c>
      <c r="B140" s="543" t="s">
        <v>833</v>
      </c>
      <c r="C140" s="543" t="s">
        <v>701</v>
      </c>
      <c r="D140" s="513" t="s">
        <v>885</v>
      </c>
      <c r="E140" s="524" t="s">
        <v>886</v>
      </c>
      <c r="F140" s="524" t="s">
        <v>708</v>
      </c>
      <c r="G140" s="468">
        <v>-17.803893000000002</v>
      </c>
      <c r="H140" s="468">
        <v>30.4811695</v>
      </c>
      <c r="I140" s="468">
        <v>29.292241499999999</v>
      </c>
      <c r="J140" s="468">
        <v>3.8064505</v>
      </c>
      <c r="K140" s="579"/>
      <c r="L140" s="578"/>
      <c r="M140" s="580"/>
      <c r="N140" s="581"/>
      <c r="O140" s="453">
        <v>7.4609266499999993</v>
      </c>
      <c r="P140" s="493">
        <v>86.3</v>
      </c>
      <c r="Q140" s="493">
        <v>82.6</v>
      </c>
      <c r="R140" s="456">
        <v>-319</v>
      </c>
      <c r="S140" s="456">
        <v>2812</v>
      </c>
      <c r="T140" s="456">
        <v>3131</v>
      </c>
      <c r="U140" s="456">
        <v>419.65296629742369</v>
      </c>
      <c r="V140" s="456">
        <v>107</v>
      </c>
      <c r="W140" s="456">
        <v>3236</v>
      </c>
      <c r="X140" s="456">
        <v>3128.3269099999998</v>
      </c>
      <c r="Y140" s="454">
        <v>419.29468774498673</v>
      </c>
      <c r="Z140" s="456">
        <v>1062</v>
      </c>
      <c r="AA140" s="456">
        <v>1158</v>
      </c>
      <c r="AB140" s="456">
        <v>96</v>
      </c>
      <c r="AC140" s="454">
        <v>12.867034418573196</v>
      </c>
      <c r="AD140" s="456">
        <v>5857</v>
      </c>
      <c r="AE140" s="456">
        <v>7669</v>
      </c>
      <c r="AF140" s="456">
        <v>1812</v>
      </c>
      <c r="AG140" s="454">
        <v>242.86527465056906</v>
      </c>
      <c r="AH140" s="456">
        <v>-9543.5</v>
      </c>
      <c r="AI140" s="456">
        <v>-9369.9</v>
      </c>
      <c r="AJ140" s="456">
        <v>173.53266099999928</v>
      </c>
      <c r="AK140" s="454">
        <v>23.258861685766512</v>
      </c>
      <c r="AL140" s="456">
        <v>1791.4970980000001</v>
      </c>
      <c r="AM140" s="456">
        <v>1937.086067</v>
      </c>
      <c r="AN140" s="456">
        <v>145.57570499999997</v>
      </c>
      <c r="AO140" s="454">
        <v>19.511745903573516</v>
      </c>
      <c r="AP140" s="456">
        <v>2180.9</v>
      </c>
      <c r="AQ140" s="456">
        <v>3223.0606720000001</v>
      </c>
      <c r="AR140" s="456">
        <v>1042.0280339999999</v>
      </c>
      <c r="AS140" s="454">
        <v>139.66469352704331</v>
      </c>
      <c r="AT140" s="456">
        <v>53.2</v>
      </c>
      <c r="AU140" s="456">
        <v>54.6</v>
      </c>
      <c r="AV140" s="456">
        <v>1.3999999999999986</v>
      </c>
      <c r="AW140" s="454">
        <v>0.18764425193752557</v>
      </c>
      <c r="AX140" s="456">
        <v>-166.12</v>
      </c>
      <c r="AY140" s="456">
        <v>-167.6</v>
      </c>
      <c r="AZ140" s="456">
        <v>-1.4799999999999898</v>
      </c>
      <c r="BA140" s="530">
        <v>-3.8601014999999999</v>
      </c>
      <c r="BB140" s="454">
        <v>-0.19836678061966873</v>
      </c>
      <c r="BC140" s="496"/>
      <c r="BD140" s="496"/>
      <c r="BE140" s="496"/>
      <c r="BF140" s="496"/>
      <c r="BG140" s="496"/>
      <c r="BH140" s="568"/>
      <c r="BI140" s="574" t="s">
        <v>723</v>
      </c>
      <c r="BJ140" s="1"/>
      <c r="BK140" s="1"/>
      <c r="BL140" s="1"/>
      <c r="BM140" s="1"/>
      <c r="BN140" s="1"/>
      <c r="BO140" s="1"/>
      <c r="BP140" s="1"/>
      <c r="BQ140" s="1"/>
      <c r="BR140" s="1"/>
      <c r="BS140" s="1"/>
      <c r="BT140" s="1"/>
      <c r="BU140" s="128"/>
      <c r="BV140" s="512"/>
    </row>
    <row r="141" spans="1:74" s="519" customFormat="1" ht="22.5">
      <c r="A141" s="546">
        <v>62006017</v>
      </c>
      <c r="B141" s="543" t="s">
        <v>836</v>
      </c>
      <c r="C141" s="543" t="s">
        <v>770</v>
      </c>
      <c r="D141" s="513" t="s">
        <v>885</v>
      </c>
      <c r="E141" s="524" t="s">
        <v>886</v>
      </c>
      <c r="F141" s="524" t="s">
        <v>708</v>
      </c>
      <c r="G141" s="531">
        <v>-14.898562999999999</v>
      </c>
      <c r="H141" s="531">
        <v>28.656213999999999</v>
      </c>
      <c r="I141" s="531">
        <v>29.290610999999998</v>
      </c>
      <c r="J141" s="531">
        <v>5.2046979999999996</v>
      </c>
      <c r="K141" s="578">
        <v>4250</v>
      </c>
      <c r="L141" s="578">
        <v>38.71</v>
      </c>
      <c r="M141" s="578">
        <v>3.0499999999999999E-2</v>
      </c>
      <c r="N141" s="578">
        <v>1.4999999999999999E-2</v>
      </c>
      <c r="O141" s="529">
        <v>1.7741114200000001</v>
      </c>
      <c r="P141" s="544">
        <v>82.5</v>
      </c>
      <c r="Q141" s="544">
        <v>78.7</v>
      </c>
      <c r="R141" s="530">
        <v>2874.6264299999998</v>
      </c>
      <c r="S141" s="530">
        <v>5960</v>
      </c>
      <c r="T141" s="530">
        <v>903.3735700000002</v>
      </c>
      <c r="U141" s="530">
        <v>509.1977650422881</v>
      </c>
      <c r="V141" s="534">
        <v>3299</v>
      </c>
      <c r="W141" s="530">
        <v>6391</v>
      </c>
      <c r="X141" s="530">
        <v>905</v>
      </c>
      <c r="Y141" s="533">
        <v>510.11452257040315</v>
      </c>
      <c r="Z141" s="534">
        <v>1159</v>
      </c>
      <c r="AA141" s="530">
        <v>1259</v>
      </c>
      <c r="AB141" s="530">
        <v>69</v>
      </c>
      <c r="AC141" s="533">
        <v>38.892709455643995</v>
      </c>
      <c r="AD141" s="534">
        <v>7669</v>
      </c>
      <c r="AE141" s="530">
        <v>10242</v>
      </c>
      <c r="AF141" s="530">
        <v>675</v>
      </c>
      <c r="AG141" s="533">
        <v>380.47215771825648</v>
      </c>
      <c r="AH141" s="534">
        <v>-9358.7999999999993</v>
      </c>
      <c r="AI141" s="530">
        <v>-9284.9</v>
      </c>
      <c r="AJ141" s="530">
        <v>29.100000000000364</v>
      </c>
      <c r="AK141" s="533">
        <v>16.402577466076153</v>
      </c>
      <c r="AL141" s="534">
        <v>1946.34</v>
      </c>
      <c r="AM141" s="530">
        <v>2008.2158629999999</v>
      </c>
      <c r="AN141" s="530">
        <v>24.366097999999965</v>
      </c>
      <c r="AO141" s="533">
        <v>13.734254638865897</v>
      </c>
      <c r="AP141" s="534">
        <v>3274.1</v>
      </c>
      <c r="AQ141" s="530">
        <v>3608.1586309999998</v>
      </c>
      <c r="AR141" s="530">
        <v>128.19906599999968</v>
      </c>
      <c r="AS141" s="533">
        <v>72.261000382940807</v>
      </c>
      <c r="AT141" s="534">
        <v>54.7</v>
      </c>
      <c r="AU141" s="530">
        <v>55.2</v>
      </c>
      <c r="AV141" s="530">
        <v>0.19999999999999574</v>
      </c>
      <c r="AW141" s="533">
        <v>0.1127324911757773</v>
      </c>
      <c r="AX141" s="534">
        <v>-167.7</v>
      </c>
      <c r="AY141" s="530">
        <v>-168.37</v>
      </c>
      <c r="AZ141" s="530">
        <v>-0.27000000000001023</v>
      </c>
      <c r="BA141" s="530">
        <v>-3.967994</v>
      </c>
      <c r="BB141" s="533">
        <v>-0.15218886308730836</v>
      </c>
      <c r="BC141" s="545"/>
      <c r="BD141" s="545"/>
      <c r="BE141" s="545"/>
      <c r="BF141" s="545"/>
      <c r="BG141" s="545"/>
      <c r="BH141" s="567"/>
      <c r="BI141" s="574" t="s">
        <v>723</v>
      </c>
      <c r="BJ141" s="1">
        <v>5475.8844948400001</v>
      </c>
      <c r="BK141" s="1">
        <v>-2.3865660399999999</v>
      </c>
      <c r="BL141" s="1">
        <v>2400.7209914099999</v>
      </c>
      <c r="BM141" s="1">
        <v>2459.4165925500001</v>
      </c>
      <c r="BN141" s="1">
        <v>3.0209715899999998</v>
      </c>
      <c r="BO141" s="1">
        <v>3.0983246499999999</v>
      </c>
      <c r="BP141" s="1">
        <v>0.11228681</v>
      </c>
      <c r="BQ141" s="1">
        <v>1.7740941800000001</v>
      </c>
      <c r="BR141" s="1">
        <v>1.7721043400000001</v>
      </c>
      <c r="BS141" s="1">
        <v>-2.67569773</v>
      </c>
      <c r="BT141" s="1">
        <v>-2.4966092</v>
      </c>
      <c r="BU141" s="128">
        <v>0.84360263999999996</v>
      </c>
      <c r="BV141" s="512"/>
    </row>
    <row r="142" spans="1:74" s="519" customFormat="1" ht="22.5">
      <c r="A142" s="546">
        <v>62006017</v>
      </c>
      <c r="B142" s="543" t="s">
        <v>837</v>
      </c>
      <c r="C142" s="543" t="s">
        <v>705</v>
      </c>
      <c r="D142" s="513" t="s">
        <v>885</v>
      </c>
      <c r="E142" s="524" t="s">
        <v>886</v>
      </c>
      <c r="F142" s="524" t="s">
        <v>708</v>
      </c>
      <c r="G142" s="531">
        <v>-10.859024</v>
      </c>
      <c r="H142" s="531">
        <v>22.692795</v>
      </c>
      <c r="I142" s="531">
        <v>29.288668999999999</v>
      </c>
      <c r="J142" s="531">
        <v>4.3830660000000004</v>
      </c>
      <c r="K142" s="578">
        <v>4250</v>
      </c>
      <c r="L142" s="578">
        <v>38.71</v>
      </c>
      <c r="M142" s="578">
        <v>3.0499999999999999E-2</v>
      </c>
      <c r="N142" s="578">
        <v>1.4999999999999999E-2</v>
      </c>
      <c r="O142" s="529">
        <v>6.2477103500000002</v>
      </c>
      <c r="P142" s="544">
        <v>81.8</v>
      </c>
      <c r="Q142" s="544">
        <v>79.099999999999994</v>
      </c>
      <c r="R142" s="530">
        <v>3455</v>
      </c>
      <c r="S142" s="530">
        <v>5637</v>
      </c>
      <c r="T142" s="530">
        <v>2182</v>
      </c>
      <c r="U142" s="530">
        <v>349.24794488912244</v>
      </c>
      <c r="V142" s="534">
        <v>3880</v>
      </c>
      <c r="W142" s="530">
        <v>6067</v>
      </c>
      <c r="X142" s="530">
        <v>2187</v>
      </c>
      <c r="Y142" s="533">
        <v>350.04823807172812</v>
      </c>
      <c r="Z142" s="534">
        <v>1190</v>
      </c>
      <c r="AA142" s="530">
        <v>1221</v>
      </c>
      <c r="AB142" s="530">
        <v>31</v>
      </c>
      <c r="AC142" s="533">
        <v>4.9618177321552688</v>
      </c>
      <c r="AD142" s="534">
        <v>8129</v>
      </c>
      <c r="AE142" s="530">
        <v>10027</v>
      </c>
      <c r="AF142" s="530">
        <v>1898</v>
      </c>
      <c r="AG142" s="533">
        <v>303.79129211711933</v>
      </c>
      <c r="AH142" s="534">
        <v>-9343</v>
      </c>
      <c r="AI142" s="530">
        <v>-9298.2000000000007</v>
      </c>
      <c r="AJ142" s="530">
        <v>44.799999999999272</v>
      </c>
      <c r="AK142" s="533">
        <v>7.1706269161468521</v>
      </c>
      <c r="AL142" s="534">
        <v>1959.5061909999999</v>
      </c>
      <c r="AM142" s="530">
        <v>1997.015956</v>
      </c>
      <c r="AN142" s="530">
        <v>37.509765000000016</v>
      </c>
      <c r="AO142" s="533">
        <v>6.003761842128295</v>
      </c>
      <c r="AP142" s="534">
        <v>3346.5</v>
      </c>
      <c r="AQ142" s="530">
        <v>3552.3595650000002</v>
      </c>
      <c r="AR142" s="530">
        <v>205.8595650000002</v>
      </c>
      <c r="AS142" s="533">
        <v>32.949601288734549</v>
      </c>
      <c r="AT142" s="534">
        <v>54.8</v>
      </c>
      <c r="AU142" s="530">
        <v>55.1</v>
      </c>
      <c r="AV142" s="530">
        <v>0.30000000000000426</v>
      </c>
      <c r="AW142" s="533">
        <v>4.8017590956341991E-2</v>
      </c>
      <c r="AX142" s="534">
        <v>-167.85</v>
      </c>
      <c r="AY142" s="530">
        <v>-168.25</v>
      </c>
      <c r="AZ142" s="530">
        <v>-0.40000000000000568</v>
      </c>
      <c r="BA142" s="530">
        <v>-3.9975239999999999</v>
      </c>
      <c r="BB142" s="533">
        <v>-6.4023454608455987E-2</v>
      </c>
      <c r="BC142" s="545"/>
      <c r="BD142" s="545"/>
      <c r="BE142" s="545"/>
      <c r="BF142" s="545"/>
      <c r="BG142" s="545"/>
      <c r="BH142" s="567"/>
      <c r="BI142" s="574" t="s">
        <v>723</v>
      </c>
      <c r="BJ142" s="1">
        <v>11289.602729849999</v>
      </c>
      <c r="BK142" s="1">
        <v>-0.59652760000000005</v>
      </c>
      <c r="BL142" s="1">
        <v>1132.00538334</v>
      </c>
      <c r="BM142" s="1">
        <v>1138.7986314899999</v>
      </c>
      <c r="BN142" s="1">
        <v>5.9002057299999997</v>
      </c>
      <c r="BO142" s="1">
        <v>5.8927490999999996</v>
      </c>
      <c r="BP142" s="1">
        <v>0.20622138000000001</v>
      </c>
      <c r="BQ142" s="1">
        <v>6.2477158800000003</v>
      </c>
      <c r="BR142" s="1">
        <v>6.2348582700000001</v>
      </c>
      <c r="BS142" s="1">
        <v>-7.958171E-2</v>
      </c>
      <c r="BT142" s="1">
        <v>0.12653897</v>
      </c>
      <c r="BU142" s="128">
        <v>0.41970787999999998</v>
      </c>
      <c r="BV142" s="512"/>
    </row>
    <row r="143" spans="1:74" s="519" customFormat="1" ht="22.5">
      <c r="A143" s="546">
        <v>62006017</v>
      </c>
      <c r="B143" s="543" t="s">
        <v>835</v>
      </c>
      <c r="C143" s="543" t="s">
        <v>703</v>
      </c>
      <c r="D143" s="513" t="s">
        <v>885</v>
      </c>
      <c r="E143" s="524" t="s">
        <v>886</v>
      </c>
      <c r="F143" s="524" t="s">
        <v>708</v>
      </c>
      <c r="G143" s="468">
        <v>-12.8787935</v>
      </c>
      <c r="H143" s="468">
        <v>25.674504499999998</v>
      </c>
      <c r="I143" s="468">
        <v>29.289639999999999</v>
      </c>
      <c r="J143" s="468">
        <v>4.793882</v>
      </c>
      <c r="K143" s="579"/>
      <c r="L143" s="578"/>
      <c r="M143" s="580"/>
      <c r="N143" s="581"/>
      <c r="O143" s="453">
        <v>8.0218217700000007</v>
      </c>
      <c r="P143" s="493">
        <v>82.5</v>
      </c>
      <c r="Q143" s="493">
        <v>79.099999999999994</v>
      </c>
      <c r="R143" s="456">
        <v>2874.6264299999998</v>
      </c>
      <c r="S143" s="456">
        <v>5637</v>
      </c>
      <c r="T143" s="456">
        <v>3085.3735700000002</v>
      </c>
      <c r="U143" s="456">
        <v>384.62255313857463</v>
      </c>
      <c r="V143" s="456">
        <v>3299</v>
      </c>
      <c r="W143" s="456">
        <v>6067</v>
      </c>
      <c r="X143" s="456">
        <v>3092</v>
      </c>
      <c r="Y143" s="454">
        <v>385.44860365303276</v>
      </c>
      <c r="Z143" s="456">
        <v>1159</v>
      </c>
      <c r="AA143" s="456">
        <v>1221</v>
      </c>
      <c r="AB143" s="456">
        <v>100</v>
      </c>
      <c r="AC143" s="454">
        <v>12.465996237161473</v>
      </c>
      <c r="AD143" s="456">
        <v>7669</v>
      </c>
      <c r="AE143" s="456">
        <v>10027</v>
      </c>
      <c r="AF143" s="456">
        <v>2573</v>
      </c>
      <c r="AG143" s="454">
        <v>320.7500831821647</v>
      </c>
      <c r="AH143" s="456">
        <v>-9358.7999999999993</v>
      </c>
      <c r="AI143" s="456">
        <v>-9298.2000000000007</v>
      </c>
      <c r="AJ143" s="456">
        <v>73.899999999999636</v>
      </c>
      <c r="AK143" s="454">
        <v>9.212371219262284</v>
      </c>
      <c r="AL143" s="456">
        <v>1946.34</v>
      </c>
      <c r="AM143" s="456">
        <v>1997.015956</v>
      </c>
      <c r="AN143" s="456">
        <v>61.875862999999981</v>
      </c>
      <c r="AO143" s="454">
        <v>7.7134427532911864</v>
      </c>
      <c r="AP143" s="456">
        <v>3274.1</v>
      </c>
      <c r="AQ143" s="456">
        <v>3552.3595650000002</v>
      </c>
      <c r="AR143" s="456">
        <v>334.05863099999988</v>
      </c>
      <c r="AS143" s="454">
        <v>41.643736370373119</v>
      </c>
      <c r="AT143" s="456">
        <v>54.7</v>
      </c>
      <c r="AU143" s="456">
        <v>55.1</v>
      </c>
      <c r="AV143" s="456">
        <v>0.5</v>
      </c>
      <c r="AW143" s="454">
        <v>6.2329981185807369E-2</v>
      </c>
      <c r="AX143" s="456">
        <v>-167.7</v>
      </c>
      <c r="AY143" s="456">
        <v>-168.25</v>
      </c>
      <c r="AZ143" s="456">
        <v>-0.67000000000001592</v>
      </c>
      <c r="BA143" s="530">
        <v>-3.9827589999999997</v>
      </c>
      <c r="BB143" s="454">
        <v>-8.3522174788983855E-2</v>
      </c>
      <c r="BC143" s="496"/>
      <c r="BD143" s="496"/>
      <c r="BE143" s="496"/>
      <c r="BF143" s="496"/>
      <c r="BG143" s="496"/>
      <c r="BH143" s="568"/>
      <c r="BI143" s="574" t="s">
        <v>723</v>
      </c>
      <c r="BJ143" s="1"/>
      <c r="BK143" s="1"/>
      <c r="BL143" s="1"/>
      <c r="BM143" s="1"/>
      <c r="BN143" s="1"/>
      <c r="BO143" s="1"/>
      <c r="BP143" s="1"/>
      <c r="BQ143" s="1"/>
      <c r="BR143" s="1"/>
      <c r="BS143" s="1"/>
      <c r="BT143" s="1"/>
      <c r="BU143" s="128"/>
      <c r="BV143" s="512"/>
    </row>
    <row r="144" spans="1:74" s="519" customFormat="1" ht="22.5">
      <c r="A144" s="546">
        <v>62006018</v>
      </c>
      <c r="B144" s="543" t="s">
        <v>838</v>
      </c>
      <c r="C144" s="543" t="s">
        <v>695</v>
      </c>
      <c r="D144" s="513" t="s">
        <v>887</v>
      </c>
      <c r="E144" s="524" t="s">
        <v>888</v>
      </c>
      <c r="F144" s="524" t="s">
        <v>708</v>
      </c>
      <c r="G144" s="531">
        <v>-49.259608</v>
      </c>
      <c r="H144" s="531">
        <v>94.597318999999999</v>
      </c>
      <c r="I144" s="531">
        <v>287.48620399999999</v>
      </c>
      <c r="J144" s="531">
        <v>100.77735</v>
      </c>
      <c r="K144" s="578">
        <v>4250</v>
      </c>
      <c r="L144" s="578">
        <v>38.71</v>
      </c>
      <c r="M144" s="578">
        <v>3.0499999999999999E-2</v>
      </c>
      <c r="N144" s="578">
        <v>1.4999999999999999E-2</v>
      </c>
      <c r="O144" s="529">
        <v>131.49459483000001</v>
      </c>
      <c r="P144" s="544">
        <v>78.7</v>
      </c>
      <c r="Q144" s="544">
        <v>28.4</v>
      </c>
      <c r="R144" s="530">
        <v>6006</v>
      </c>
      <c r="S144" s="530">
        <v>45477</v>
      </c>
      <c r="T144" s="530">
        <v>39471</v>
      </c>
      <c r="U144" s="530">
        <v>300.17203407508305</v>
      </c>
      <c r="V144" s="534">
        <v>6441</v>
      </c>
      <c r="W144" s="530">
        <v>45942</v>
      </c>
      <c r="X144" s="530">
        <v>39501</v>
      </c>
      <c r="Y144" s="533">
        <v>300.40018033492578</v>
      </c>
      <c r="Z144" s="534">
        <v>1259</v>
      </c>
      <c r="AA144" s="530">
        <v>1265</v>
      </c>
      <c r="AB144" s="530">
        <v>6</v>
      </c>
      <c r="AC144" s="533">
        <v>4.5629251968546482E-2</v>
      </c>
      <c r="AD144" s="534">
        <v>10241</v>
      </c>
      <c r="AE144" s="530">
        <v>44955</v>
      </c>
      <c r="AF144" s="530">
        <v>34714</v>
      </c>
      <c r="AG144" s="533">
        <v>263.99564213935378</v>
      </c>
      <c r="AH144" s="534">
        <v>-9252</v>
      </c>
      <c r="AI144" s="530">
        <v>-8396.7999999999993</v>
      </c>
      <c r="AJ144" s="530">
        <v>855.20000000000073</v>
      </c>
      <c r="AK144" s="533">
        <v>6.5036893805834977</v>
      </c>
      <c r="AL144" s="534">
        <v>2032.67</v>
      </c>
      <c r="AM144" s="530">
        <v>2748.1319309999999</v>
      </c>
      <c r="AN144" s="530">
        <v>715.46193099999982</v>
      </c>
      <c r="AO144" s="533">
        <v>5.4409987872503018</v>
      </c>
      <c r="AP144" s="534">
        <v>3620.7</v>
      </c>
      <c r="AQ144" s="530">
        <v>7463.3</v>
      </c>
      <c r="AR144" s="530">
        <v>3842.6000000000004</v>
      </c>
      <c r="AS144" s="533">
        <v>29.222493935722788</v>
      </c>
      <c r="AT144" s="534">
        <v>55.6</v>
      </c>
      <c r="AU144" s="530">
        <v>59.2</v>
      </c>
      <c r="AV144" s="530">
        <v>3.6000000000000014</v>
      </c>
      <c r="AW144" s="533">
        <v>2.7377551181127901E-2</v>
      </c>
      <c r="AX144" s="534">
        <v>-168.89</v>
      </c>
      <c r="AY144" s="530">
        <v>-177.27</v>
      </c>
      <c r="AZ144" s="530">
        <v>-8.3800000000000239</v>
      </c>
      <c r="BA144" s="530">
        <v>-40.532933999999997</v>
      </c>
      <c r="BB144" s="533">
        <v>-6.3728855249403429E-2</v>
      </c>
      <c r="BC144" s="545"/>
      <c r="BD144" s="545"/>
      <c r="BE144" s="545"/>
      <c r="BF144" s="545"/>
      <c r="BG144" s="545"/>
      <c r="BH144" s="567"/>
      <c r="BI144" s="574" t="s">
        <v>723</v>
      </c>
      <c r="BJ144" s="1">
        <v>17.428242300000001</v>
      </c>
      <c r="BK144" s="1">
        <v>50.262492960000003</v>
      </c>
      <c r="BL144" s="1">
        <v>873.25348310000004</v>
      </c>
      <c r="BM144" s="1">
        <v>581.15200000000004</v>
      </c>
      <c r="BN144" s="1">
        <v>98.945206900000002</v>
      </c>
      <c r="BO144" s="1">
        <v>98.317524669999997</v>
      </c>
      <c r="BP144" s="1">
        <v>0.28614722999999997</v>
      </c>
      <c r="BQ144" s="1">
        <v>131.49476060000001</v>
      </c>
      <c r="BR144" s="1">
        <v>131.11956559999999</v>
      </c>
      <c r="BS144" s="1">
        <v>0.35004157000000002</v>
      </c>
      <c r="BT144" s="1">
        <v>0.63842354000000001</v>
      </c>
      <c r="BU144" s="128">
        <v>8.4020799999999993E-3</v>
      </c>
      <c r="BV144" s="512"/>
    </row>
    <row r="145" spans="1:74" s="519" customFormat="1" ht="22.5">
      <c r="A145" s="546">
        <v>62006019</v>
      </c>
      <c r="B145" s="543" t="s">
        <v>839</v>
      </c>
      <c r="C145" s="543" t="s">
        <v>771</v>
      </c>
      <c r="D145" s="513" t="s">
        <v>889</v>
      </c>
      <c r="E145" s="524" t="s">
        <v>890</v>
      </c>
      <c r="F145" s="524" t="s">
        <v>708</v>
      </c>
      <c r="G145" s="531">
        <v>-9.5726790000000008</v>
      </c>
      <c r="H145" s="531">
        <v>11.358561999999999</v>
      </c>
      <c r="I145" s="531">
        <v>29.266473000000001</v>
      </c>
      <c r="J145" s="531">
        <v>12.244092999999999</v>
      </c>
      <c r="K145" s="578">
        <v>4250</v>
      </c>
      <c r="L145" s="578">
        <v>38.71</v>
      </c>
      <c r="M145" s="578">
        <v>3.0499999999999999E-2</v>
      </c>
      <c r="N145" s="578">
        <v>1.4999999999999999E-2</v>
      </c>
      <c r="O145" s="529">
        <v>1.7741857299999999</v>
      </c>
      <c r="P145" s="544">
        <v>24.8</v>
      </c>
      <c r="Q145" s="544">
        <v>24.8</v>
      </c>
      <c r="R145" s="530">
        <v>45504</v>
      </c>
      <c r="S145" s="530">
        <v>48094</v>
      </c>
      <c r="T145" s="530">
        <v>654.78478100000211</v>
      </c>
      <c r="U145" s="530">
        <v>369.06213928346847</v>
      </c>
      <c r="V145" s="534">
        <v>45970</v>
      </c>
      <c r="W145" s="530">
        <v>48563.395681000002</v>
      </c>
      <c r="X145" s="530">
        <v>655.39568100000179</v>
      </c>
      <c r="Y145" s="533">
        <v>369.4064662553688</v>
      </c>
      <c r="Z145" s="534">
        <v>1266</v>
      </c>
      <c r="AA145" s="530">
        <v>1320</v>
      </c>
      <c r="AB145" s="530">
        <v>38</v>
      </c>
      <c r="AC145" s="533">
        <v>21.418276202683696</v>
      </c>
      <c r="AD145" s="534">
        <v>44954</v>
      </c>
      <c r="AE145" s="530">
        <v>47114</v>
      </c>
      <c r="AF145" s="530">
        <v>450</v>
      </c>
      <c r="AG145" s="533">
        <v>253.63748134757009</v>
      </c>
      <c r="AH145" s="534">
        <v>-8369.6</v>
      </c>
      <c r="AI145" s="530">
        <v>-8302.7000000000007</v>
      </c>
      <c r="AJ145" s="530">
        <v>27.899999999999636</v>
      </c>
      <c r="AK145" s="533">
        <v>15.725523843549141</v>
      </c>
      <c r="AL145" s="534">
        <v>2768.89</v>
      </c>
      <c r="AM145" s="530">
        <v>2824.8420409999999</v>
      </c>
      <c r="AN145" s="530">
        <v>23.572157000000061</v>
      </c>
      <c r="AO145" s="533">
        <v>13.286183403132243</v>
      </c>
      <c r="AP145" s="534">
        <v>7463.1</v>
      </c>
      <c r="AQ145" s="530">
        <v>7766.7</v>
      </c>
      <c r="AR145" s="530">
        <v>135.82265199999983</v>
      </c>
      <c r="AS145" s="533">
        <v>76.554923029394359</v>
      </c>
      <c r="AT145" s="534">
        <v>59.4</v>
      </c>
      <c r="AU145" s="530">
        <v>59.6</v>
      </c>
      <c r="AV145" s="530">
        <v>0</v>
      </c>
      <c r="AW145" s="533">
        <v>0</v>
      </c>
      <c r="AX145" s="534">
        <v>-177.74</v>
      </c>
      <c r="AY145" s="530">
        <v>-178.49</v>
      </c>
      <c r="AZ145" s="530">
        <v>-0.28999999999999204</v>
      </c>
      <c r="BA145" s="530">
        <v>-4.488537</v>
      </c>
      <c r="BB145" s="533">
        <v>-0.16345526575731847</v>
      </c>
      <c r="BC145" s="545"/>
      <c r="BD145" s="545"/>
      <c r="BE145" s="545"/>
      <c r="BF145" s="545"/>
      <c r="BG145" s="545"/>
      <c r="BH145" s="567"/>
      <c r="BI145" s="574" t="s">
        <v>723</v>
      </c>
      <c r="BJ145" s="1">
        <v>5450.3362978599998</v>
      </c>
      <c r="BK145" s="1">
        <v>-4.1246111900000004</v>
      </c>
      <c r="BL145" s="1">
        <v>2358.2420243199999</v>
      </c>
      <c r="BM145" s="1">
        <v>2459.6948743399998</v>
      </c>
      <c r="BN145" s="1">
        <v>3.0253569800000002</v>
      </c>
      <c r="BO145" s="1">
        <v>3.0989737399999999</v>
      </c>
      <c r="BP145" s="1">
        <v>0.11030474999999999</v>
      </c>
      <c r="BQ145" s="1">
        <v>1.77415437</v>
      </c>
      <c r="BR145" s="1">
        <v>1.7721995500000001</v>
      </c>
      <c r="BS145" s="1">
        <v>-2.5463134699999999</v>
      </c>
      <c r="BT145" s="1">
        <v>-2.3755205199999998</v>
      </c>
      <c r="BU145" s="128">
        <v>0.84361717000000003</v>
      </c>
      <c r="BV145" s="512"/>
    </row>
    <row r="146" spans="1:74" s="519" customFormat="1" ht="22.5">
      <c r="A146" s="546">
        <v>62006019</v>
      </c>
      <c r="B146" s="543" t="s">
        <v>840</v>
      </c>
      <c r="C146" s="543" t="s">
        <v>696</v>
      </c>
      <c r="D146" s="513" t="s">
        <v>889</v>
      </c>
      <c r="E146" s="524" t="s">
        <v>890</v>
      </c>
      <c r="F146" s="524" t="s">
        <v>708</v>
      </c>
      <c r="G146" s="531">
        <v>-6.8216020000000004</v>
      </c>
      <c r="H146" s="531">
        <v>10.152138000000001</v>
      </c>
      <c r="I146" s="531">
        <v>29.263722000000001</v>
      </c>
      <c r="J146" s="531">
        <v>9.3687769999999997</v>
      </c>
      <c r="K146" s="578">
        <v>4250</v>
      </c>
      <c r="L146" s="578">
        <v>38.71</v>
      </c>
      <c r="M146" s="578">
        <v>3.0499999999999999E-2</v>
      </c>
      <c r="N146" s="578">
        <v>1.4999999999999999E-2</v>
      </c>
      <c r="O146" s="529">
        <v>6.2519422799999997</v>
      </c>
      <c r="P146" s="544">
        <v>24.8</v>
      </c>
      <c r="Q146" s="544">
        <v>24.8</v>
      </c>
      <c r="R146" s="530">
        <v>45953</v>
      </c>
      <c r="S146" s="530">
        <v>47888.215218999998</v>
      </c>
      <c r="T146" s="530">
        <v>1935.2152189999979</v>
      </c>
      <c r="U146" s="530">
        <v>309.53824145030302</v>
      </c>
      <c r="V146" s="534">
        <v>46419</v>
      </c>
      <c r="W146" s="530">
        <v>48357</v>
      </c>
      <c r="X146" s="530">
        <v>1938</v>
      </c>
      <c r="Y146" s="533">
        <v>309.98366798741466</v>
      </c>
      <c r="Z146" s="534">
        <v>1280</v>
      </c>
      <c r="AA146" s="530">
        <v>1296</v>
      </c>
      <c r="AB146" s="530">
        <v>16</v>
      </c>
      <c r="AC146" s="533">
        <v>2.559204689266581</v>
      </c>
      <c r="AD146" s="534">
        <v>45278</v>
      </c>
      <c r="AE146" s="530">
        <v>46988</v>
      </c>
      <c r="AF146" s="530">
        <v>1710</v>
      </c>
      <c r="AG146" s="533">
        <v>273.51500116536585</v>
      </c>
      <c r="AH146" s="534">
        <v>-8354</v>
      </c>
      <c r="AI146" s="530">
        <v>-8315</v>
      </c>
      <c r="AJ146" s="530">
        <v>39</v>
      </c>
      <c r="AK146" s="533">
        <v>6.2380614300872912</v>
      </c>
      <c r="AL146" s="534">
        <v>2782.082265</v>
      </c>
      <c r="AM146" s="530">
        <v>2814.462149</v>
      </c>
      <c r="AN146" s="530">
        <v>32.379883999999947</v>
      </c>
      <c r="AO146" s="533">
        <v>5.1791719356692383</v>
      </c>
      <c r="AP146" s="534">
        <v>7556.122652</v>
      </c>
      <c r="AQ146" s="530">
        <v>7723.9</v>
      </c>
      <c r="AR146" s="530">
        <v>167.77734799999962</v>
      </c>
      <c r="AS146" s="533">
        <v>26.836035984644379</v>
      </c>
      <c r="AT146" s="534">
        <v>59.4</v>
      </c>
      <c r="AU146" s="530">
        <v>59.6</v>
      </c>
      <c r="AV146" s="530">
        <v>0.20000000000000284</v>
      </c>
      <c r="AW146" s="533">
        <v>3.199005861583272E-2</v>
      </c>
      <c r="AX146" s="534">
        <v>-177.9</v>
      </c>
      <c r="AY146" s="530">
        <v>-178.36</v>
      </c>
      <c r="AZ146" s="530">
        <v>-0.46000000000000796</v>
      </c>
      <c r="BA146" s="530">
        <v>-4.4783229999999996</v>
      </c>
      <c r="BB146" s="533">
        <v>-7.3577134816415479E-2</v>
      </c>
      <c r="BC146" s="545"/>
      <c r="BD146" s="545"/>
      <c r="BE146" s="545"/>
      <c r="BF146" s="545"/>
      <c r="BG146" s="545"/>
      <c r="BH146" s="567"/>
      <c r="BI146" s="574" t="s">
        <v>723</v>
      </c>
      <c r="BJ146" s="1">
        <v>11290.734611710001</v>
      </c>
      <c r="BK146" s="1">
        <v>-5.6790924800000004</v>
      </c>
      <c r="BL146" s="1">
        <v>1074.4969714199999</v>
      </c>
      <c r="BM146" s="1">
        <v>1139.19278304</v>
      </c>
      <c r="BN146" s="1">
        <v>5.8143388600000003</v>
      </c>
      <c r="BO146" s="1">
        <v>5.89500724</v>
      </c>
      <c r="BP146" s="1">
        <v>0.25961582999999999</v>
      </c>
      <c r="BQ146" s="1">
        <v>6.2519417500000003</v>
      </c>
      <c r="BR146" s="1">
        <v>6.2357527499999996</v>
      </c>
      <c r="BS146" s="1">
        <v>-1.6506219900000001</v>
      </c>
      <c r="BT146" s="1">
        <v>-1.3684187400000001</v>
      </c>
      <c r="BU146" s="128">
        <v>0.41977209999999998</v>
      </c>
      <c r="BV146" s="512"/>
    </row>
    <row r="147" spans="1:74" s="519" customFormat="1" ht="22.5">
      <c r="A147" s="546">
        <v>62006019</v>
      </c>
      <c r="B147" s="543" t="s">
        <v>834</v>
      </c>
      <c r="C147" s="543" t="s">
        <v>698</v>
      </c>
      <c r="D147" s="513" t="s">
        <v>889</v>
      </c>
      <c r="E147" s="524" t="s">
        <v>890</v>
      </c>
      <c r="F147" s="524" t="s">
        <v>708</v>
      </c>
      <c r="G147" s="468">
        <v>-8.1971404999999997</v>
      </c>
      <c r="H147" s="468">
        <v>10.75535</v>
      </c>
      <c r="I147" s="468">
        <v>29.265097500000003</v>
      </c>
      <c r="J147" s="468">
        <v>10.806435</v>
      </c>
      <c r="K147" s="579"/>
      <c r="L147" s="578"/>
      <c r="M147" s="580"/>
      <c r="N147" s="581"/>
      <c r="O147" s="453">
        <v>8.026128009999999</v>
      </c>
      <c r="P147" s="493">
        <v>24.8</v>
      </c>
      <c r="Q147" s="493">
        <v>24.8</v>
      </c>
      <c r="R147" s="456">
        <v>45504</v>
      </c>
      <c r="S147" s="456">
        <v>47888.215218999998</v>
      </c>
      <c r="T147" s="456">
        <v>2590</v>
      </c>
      <c r="U147" s="456">
        <v>322.69607421823321</v>
      </c>
      <c r="V147" s="456">
        <v>45970</v>
      </c>
      <c r="W147" s="456">
        <v>48357</v>
      </c>
      <c r="X147" s="456">
        <v>2593.3956810000018</v>
      </c>
      <c r="Y147" s="454">
        <v>323.11915256881156</v>
      </c>
      <c r="Z147" s="456">
        <v>1266</v>
      </c>
      <c r="AA147" s="456">
        <v>1296</v>
      </c>
      <c r="AB147" s="456">
        <v>54</v>
      </c>
      <c r="AC147" s="454">
        <v>6.728026257831889</v>
      </c>
      <c r="AD147" s="456">
        <v>44954</v>
      </c>
      <c r="AE147" s="456">
        <v>46988</v>
      </c>
      <c r="AF147" s="456">
        <v>2160</v>
      </c>
      <c r="AG147" s="454">
        <v>269.12105031327559</v>
      </c>
      <c r="AH147" s="456">
        <v>-8369.6</v>
      </c>
      <c r="AI147" s="456">
        <v>-8315</v>
      </c>
      <c r="AJ147" s="456">
        <v>66.899999999999636</v>
      </c>
      <c r="AK147" s="454">
        <v>8.3352769749805731</v>
      </c>
      <c r="AL147" s="456">
        <v>2768.89</v>
      </c>
      <c r="AM147" s="456">
        <v>2814.462149</v>
      </c>
      <c r="AN147" s="456">
        <v>55.952041000000008</v>
      </c>
      <c r="AO147" s="454">
        <v>6.9712370560608612</v>
      </c>
      <c r="AP147" s="456">
        <v>7463.1</v>
      </c>
      <c r="AQ147" s="456">
        <v>7723.9</v>
      </c>
      <c r="AR147" s="456">
        <v>303.59999999999945</v>
      </c>
      <c r="AS147" s="454">
        <v>37.826458738476994</v>
      </c>
      <c r="AT147" s="456">
        <v>59.4</v>
      </c>
      <c r="AU147" s="456">
        <v>59.6</v>
      </c>
      <c r="AV147" s="456">
        <v>0.20000000000000284</v>
      </c>
      <c r="AW147" s="454">
        <v>2.491861576974809E-2</v>
      </c>
      <c r="AX147" s="456">
        <v>-177.74</v>
      </c>
      <c r="AY147" s="456">
        <v>-178.36</v>
      </c>
      <c r="AZ147" s="456">
        <v>-0.75</v>
      </c>
      <c r="BA147" s="530">
        <v>-4.4834300000000002</v>
      </c>
      <c r="BB147" s="454">
        <v>-9.3444809136554022E-2</v>
      </c>
      <c r="BC147" s="496"/>
      <c r="BD147" s="496"/>
      <c r="BE147" s="496"/>
      <c r="BF147" s="496"/>
      <c r="BG147" s="496"/>
      <c r="BH147" s="568"/>
      <c r="BI147" s="574" t="s">
        <v>723</v>
      </c>
      <c r="BJ147" s="1"/>
      <c r="BK147" s="1"/>
      <c r="BL147" s="1"/>
      <c r="BM147" s="1"/>
      <c r="BN147" s="1"/>
      <c r="BO147" s="1"/>
      <c r="BP147" s="1"/>
      <c r="BQ147" s="1"/>
      <c r="BR147" s="1"/>
      <c r="BS147" s="1"/>
      <c r="BT147" s="1"/>
      <c r="BU147" s="128"/>
      <c r="BV147" s="512"/>
    </row>
    <row r="148" spans="1:74" s="519" customFormat="1" ht="22.5">
      <c r="A148" s="546">
        <v>62006019</v>
      </c>
      <c r="B148" s="543" t="s">
        <v>841</v>
      </c>
      <c r="C148" s="543" t="s">
        <v>697</v>
      </c>
      <c r="D148" s="513" t="s">
        <v>889</v>
      </c>
      <c r="E148" s="524" t="s">
        <v>890</v>
      </c>
      <c r="F148" s="524" t="s">
        <v>708</v>
      </c>
      <c r="G148" s="531">
        <v>-14.155946999999999</v>
      </c>
      <c r="H148" s="531">
        <v>14.832115</v>
      </c>
      <c r="I148" s="531">
        <v>29.257705999999999</v>
      </c>
      <c r="J148" s="531">
        <v>6.9552420000000001</v>
      </c>
      <c r="K148" s="578">
        <v>4250</v>
      </c>
      <c r="L148" s="578">
        <v>38.71</v>
      </c>
      <c r="M148" s="578">
        <v>3.0499999999999999E-2</v>
      </c>
      <c r="N148" s="578">
        <v>1.4999999999999999E-2</v>
      </c>
      <c r="O148" s="529">
        <v>3.59738779</v>
      </c>
      <c r="P148" s="544">
        <v>24.7</v>
      </c>
      <c r="Q148" s="544">
        <v>23.2</v>
      </c>
      <c r="R148" s="530">
        <v>48134</v>
      </c>
      <c r="S148" s="530">
        <v>49273</v>
      </c>
      <c r="T148" s="530">
        <v>1139</v>
      </c>
      <c r="U148" s="530">
        <v>316.61863176557898</v>
      </c>
      <c r="V148" s="534">
        <v>48608</v>
      </c>
      <c r="W148" s="530">
        <v>49752</v>
      </c>
      <c r="X148" s="530">
        <v>1144</v>
      </c>
      <c r="Y148" s="533">
        <v>318.00852918333834</v>
      </c>
      <c r="Z148" s="534">
        <v>1320</v>
      </c>
      <c r="AA148" s="530">
        <v>1326</v>
      </c>
      <c r="AB148" s="530">
        <v>6</v>
      </c>
      <c r="AC148" s="533">
        <v>1.6678769013112151</v>
      </c>
      <c r="AD148" s="534">
        <v>47113</v>
      </c>
      <c r="AE148" s="530">
        <v>47886</v>
      </c>
      <c r="AF148" s="530">
        <v>773</v>
      </c>
      <c r="AG148" s="533">
        <v>214.87814078559487</v>
      </c>
      <c r="AH148" s="534">
        <v>-8262.7000000000007</v>
      </c>
      <c r="AI148" s="530">
        <v>-8205.7000000000007</v>
      </c>
      <c r="AJ148" s="530">
        <v>57</v>
      </c>
      <c r="AK148" s="533">
        <v>15.844830562456544</v>
      </c>
      <c r="AL148" s="534">
        <v>2854.9416219999998</v>
      </c>
      <c r="AM148" s="530">
        <v>2902.651331</v>
      </c>
      <c r="AN148" s="530">
        <v>47.709709000000203</v>
      </c>
      <c r="AO148" s="533">
        <v>13.26232026823002</v>
      </c>
      <c r="AP148" s="534">
        <v>7766.4</v>
      </c>
      <c r="AQ148" s="530">
        <v>8066.8</v>
      </c>
      <c r="AR148" s="530">
        <v>300.40000000000055</v>
      </c>
      <c r="AS148" s="533">
        <v>83.505036858981654</v>
      </c>
      <c r="AT148" s="534">
        <v>59.9</v>
      </c>
      <c r="AU148" s="530">
        <v>60.1</v>
      </c>
      <c r="AV148" s="530">
        <v>0.20000000000000284</v>
      </c>
      <c r="AW148" s="533">
        <v>5.5595896710374626E-2</v>
      </c>
      <c r="AX148" s="534">
        <v>-179.23</v>
      </c>
      <c r="AY148" s="530">
        <v>-179.88</v>
      </c>
      <c r="AZ148" s="530">
        <v>-0.65000000000000568</v>
      </c>
      <c r="BA148" s="530">
        <v>-4.6248659999999999</v>
      </c>
      <c r="BB148" s="533">
        <v>-0.18068666430871655</v>
      </c>
      <c r="BC148" s="545"/>
      <c r="BD148" s="545"/>
      <c r="BE148" s="545"/>
      <c r="BF148" s="545"/>
      <c r="BG148" s="545"/>
      <c r="BH148" s="567"/>
      <c r="BI148" s="574" t="s">
        <v>723</v>
      </c>
      <c r="BJ148" s="1">
        <v>2368.1268613000002</v>
      </c>
      <c r="BK148" s="1">
        <v>-1.2648712799999999</v>
      </c>
      <c r="BL148" s="1">
        <v>2022.8919207199999</v>
      </c>
      <c r="BM148" s="1">
        <v>2048.8066881300001</v>
      </c>
      <c r="BN148" s="1">
        <v>3.0224561300000001</v>
      </c>
      <c r="BO148" s="1">
        <v>3.0319835199999998</v>
      </c>
      <c r="BP148" s="1">
        <v>0.17784427</v>
      </c>
      <c r="BQ148" s="1">
        <v>3.59736703</v>
      </c>
      <c r="BR148" s="1">
        <v>3.59098067</v>
      </c>
      <c r="BS148" s="1">
        <v>-0.49362499999999998</v>
      </c>
      <c r="BT148" s="1">
        <v>-0.31422960999999999</v>
      </c>
      <c r="BU148" s="128">
        <v>0.63449522999999997</v>
      </c>
      <c r="BV148" s="512"/>
    </row>
    <row r="149" spans="1:74" s="519" customFormat="1" ht="22.5">
      <c r="A149" s="546">
        <v>62006019</v>
      </c>
      <c r="B149" s="543" t="s">
        <v>234</v>
      </c>
      <c r="C149" s="543" t="s">
        <v>699</v>
      </c>
      <c r="D149" s="513" t="s">
        <v>889</v>
      </c>
      <c r="E149" s="524" t="s">
        <v>890</v>
      </c>
      <c r="F149" s="524" t="s">
        <v>708</v>
      </c>
      <c r="G149" s="531">
        <v>-16.715432</v>
      </c>
      <c r="H149" s="531">
        <v>17.752998000000002</v>
      </c>
      <c r="I149" s="531">
        <v>29.255354000000001</v>
      </c>
      <c r="J149" s="531">
        <v>5.566522</v>
      </c>
      <c r="K149" s="578">
        <v>4250</v>
      </c>
      <c r="L149" s="578">
        <v>38.71</v>
      </c>
      <c r="M149" s="578">
        <v>3.0499999999999999E-2</v>
      </c>
      <c r="N149" s="578">
        <v>1.4999999999999999E-2</v>
      </c>
      <c r="O149" s="529">
        <v>3.8641895900000001</v>
      </c>
      <c r="P149" s="544">
        <v>23.2</v>
      </c>
      <c r="Q149" s="544">
        <v>21.5</v>
      </c>
      <c r="R149" s="530">
        <v>49273</v>
      </c>
      <c r="S149" s="530">
        <v>50474</v>
      </c>
      <c r="T149" s="530">
        <v>1201</v>
      </c>
      <c r="U149" s="530">
        <v>310.80255562719424</v>
      </c>
      <c r="V149" s="534">
        <v>49752</v>
      </c>
      <c r="W149" s="530">
        <v>50962</v>
      </c>
      <c r="X149" s="530">
        <v>1210</v>
      </c>
      <c r="Y149" s="533">
        <v>313.13163389584099</v>
      </c>
      <c r="Z149" s="534">
        <v>1326</v>
      </c>
      <c r="AA149" s="530">
        <v>1342</v>
      </c>
      <c r="AB149" s="530">
        <v>16</v>
      </c>
      <c r="AC149" s="533">
        <v>4.1405835887053355</v>
      </c>
      <c r="AD149" s="534">
        <v>47886</v>
      </c>
      <c r="AE149" s="530">
        <v>48599</v>
      </c>
      <c r="AF149" s="530">
        <v>713</v>
      </c>
      <c r="AG149" s="533">
        <v>184.51475617168151</v>
      </c>
      <c r="AH149" s="534">
        <v>-8205.7000000000007</v>
      </c>
      <c r="AI149" s="530">
        <v>-8110.2644380000002</v>
      </c>
      <c r="AJ149" s="530">
        <v>95.435562000000573</v>
      </c>
      <c r="AK149" s="533">
        <v>24.697432612254559</v>
      </c>
      <c r="AL149" s="534">
        <v>2902.6714160000001</v>
      </c>
      <c r="AM149" s="530">
        <v>2982.2406679999999</v>
      </c>
      <c r="AN149" s="530">
        <v>79.569251999999778</v>
      </c>
      <c r="AO149" s="533">
        <v>20.591446187297393</v>
      </c>
      <c r="AP149" s="534">
        <v>8066.9</v>
      </c>
      <c r="AQ149" s="530">
        <v>8441.3355620000002</v>
      </c>
      <c r="AR149" s="530">
        <v>374.43556200000057</v>
      </c>
      <c r="AS149" s="533">
        <v>96.898858940303853</v>
      </c>
      <c r="AT149" s="534">
        <v>60.1</v>
      </c>
      <c r="AU149" s="530">
        <v>60.4</v>
      </c>
      <c r="AV149" s="530">
        <v>0.29999999999999716</v>
      </c>
      <c r="AW149" s="533">
        <v>7.7635942288224305E-2</v>
      </c>
      <c r="AX149" s="534">
        <v>-179.88</v>
      </c>
      <c r="AY149" s="530">
        <v>-180.99</v>
      </c>
      <c r="AZ149" s="530">
        <v>-1.1100000000000136</v>
      </c>
      <c r="BA149" s="530">
        <v>-4.6147650000000002</v>
      </c>
      <c r="BB149" s="533">
        <v>-0.28725298646643621</v>
      </c>
      <c r="BC149" s="545"/>
      <c r="BD149" s="545"/>
      <c r="BE149" s="545"/>
      <c r="BF149" s="545"/>
      <c r="BG149" s="545"/>
      <c r="BH149" s="567"/>
      <c r="BI149" s="574" t="s">
        <v>723</v>
      </c>
      <c r="BJ149" s="1">
        <v>1476.03174038</v>
      </c>
      <c r="BK149" s="1">
        <v>-1.5450773200000001</v>
      </c>
      <c r="BL149" s="1">
        <v>3363.4475693899999</v>
      </c>
      <c r="BM149" s="1">
        <v>3416.23097955</v>
      </c>
      <c r="BN149" s="1">
        <v>2.9819343800000002</v>
      </c>
      <c r="BO149" s="1">
        <v>2.9953529799999998</v>
      </c>
      <c r="BP149" s="1">
        <v>0.11030191</v>
      </c>
      <c r="BQ149" s="1">
        <v>3.8640884400000002</v>
      </c>
      <c r="BR149" s="1">
        <v>3.8598309799999999</v>
      </c>
      <c r="BS149" s="1">
        <v>-0.56079460000000003</v>
      </c>
      <c r="BT149" s="1">
        <v>-0.44798044999999997</v>
      </c>
      <c r="BU149" s="128">
        <v>0.72008691000000002</v>
      </c>
      <c r="BV149" s="512"/>
    </row>
    <row r="150" spans="1:74" s="519" customFormat="1" ht="22.5">
      <c r="A150" s="546">
        <v>62006019</v>
      </c>
      <c r="B150" s="543" t="s">
        <v>842</v>
      </c>
      <c r="C150" s="543" t="s">
        <v>704</v>
      </c>
      <c r="D150" s="513" t="s">
        <v>889</v>
      </c>
      <c r="E150" s="524" t="s">
        <v>890</v>
      </c>
      <c r="F150" s="524" t="s">
        <v>708</v>
      </c>
      <c r="G150" s="468">
        <v>-15.435689499999999</v>
      </c>
      <c r="H150" s="468">
        <v>16.2925565</v>
      </c>
      <c r="I150" s="468">
        <v>29.256529999999998</v>
      </c>
      <c r="J150" s="468">
        <v>6.2608820000000005</v>
      </c>
      <c r="K150" s="579"/>
      <c r="L150" s="578"/>
      <c r="M150" s="580"/>
      <c r="N150" s="581"/>
      <c r="O150" s="453">
        <v>7.4615773799999996</v>
      </c>
      <c r="P150" s="493">
        <v>24.7</v>
      </c>
      <c r="Q150" s="493">
        <v>21.5</v>
      </c>
      <c r="R150" s="456">
        <v>48134</v>
      </c>
      <c r="S150" s="456">
        <v>50474</v>
      </c>
      <c r="T150" s="456">
        <v>2340</v>
      </c>
      <c r="U150" s="456">
        <v>313.60661168939055</v>
      </c>
      <c r="V150" s="456">
        <v>48608</v>
      </c>
      <c r="W150" s="456">
        <v>50962</v>
      </c>
      <c r="X150" s="456">
        <v>2354</v>
      </c>
      <c r="Y150" s="454">
        <v>315.48289056274587</v>
      </c>
      <c r="Z150" s="456">
        <v>1320</v>
      </c>
      <c r="AA150" s="456">
        <v>1342</v>
      </c>
      <c r="AB150" s="456">
        <v>22</v>
      </c>
      <c r="AC150" s="454">
        <v>2.9484382295583726</v>
      </c>
      <c r="AD150" s="456">
        <v>47113</v>
      </c>
      <c r="AE150" s="456">
        <v>48599</v>
      </c>
      <c r="AF150" s="456">
        <v>1486</v>
      </c>
      <c r="AG150" s="454">
        <v>199.15360041471553</v>
      </c>
      <c r="AH150" s="456">
        <v>-8262.7000000000007</v>
      </c>
      <c r="AI150" s="456">
        <v>-8110.2644380000002</v>
      </c>
      <c r="AJ150" s="456">
        <v>152.43556200000057</v>
      </c>
      <c r="AK150" s="454">
        <v>20.429401752046239</v>
      </c>
      <c r="AL150" s="456">
        <v>2854.9416219999998</v>
      </c>
      <c r="AM150" s="456">
        <v>2982.2406679999999</v>
      </c>
      <c r="AN150" s="456">
        <v>127.27896099999998</v>
      </c>
      <c r="AO150" s="454">
        <v>17.057916110494052</v>
      </c>
      <c r="AP150" s="456">
        <v>7766.4</v>
      </c>
      <c r="AQ150" s="456">
        <v>8441.3355620000002</v>
      </c>
      <c r="AR150" s="456">
        <v>674.83556200000112</v>
      </c>
      <c r="AS150" s="454">
        <v>90.441407712105132</v>
      </c>
      <c r="AT150" s="456">
        <v>59.9</v>
      </c>
      <c r="AU150" s="456">
        <v>60.4</v>
      </c>
      <c r="AV150" s="456">
        <v>0.5</v>
      </c>
      <c r="AW150" s="454">
        <v>6.7009959762690294E-2</v>
      </c>
      <c r="AX150" s="456">
        <v>-179.23</v>
      </c>
      <c r="AY150" s="456">
        <v>-180.99</v>
      </c>
      <c r="AZ150" s="456">
        <v>-1.7600000000000193</v>
      </c>
      <c r="BA150" s="530">
        <v>-4.6198154999999996</v>
      </c>
      <c r="BB150" s="454">
        <v>-0.2358750583646724</v>
      </c>
      <c r="BC150" s="496"/>
      <c r="BD150" s="496"/>
      <c r="BE150" s="496"/>
      <c r="BF150" s="496"/>
      <c r="BG150" s="496"/>
      <c r="BH150" s="568"/>
      <c r="BI150" s="574" t="s">
        <v>723</v>
      </c>
      <c r="BJ150" s="1"/>
      <c r="BK150" s="1"/>
      <c r="BL150" s="1"/>
      <c r="BM150" s="1"/>
      <c r="BN150" s="1"/>
      <c r="BO150" s="1"/>
      <c r="BP150" s="1"/>
      <c r="BQ150" s="1"/>
      <c r="BR150" s="1"/>
      <c r="BS150" s="1"/>
      <c r="BT150" s="1"/>
      <c r="BU150" s="128"/>
      <c r="BV150" s="512"/>
    </row>
    <row r="151" spans="1:74" s="519" customFormat="1" ht="22.5">
      <c r="A151" s="546">
        <v>62006019</v>
      </c>
      <c r="B151" s="543" t="s">
        <v>56</v>
      </c>
      <c r="C151" s="543" t="s">
        <v>700</v>
      </c>
      <c r="D151" s="513" t="s">
        <v>889</v>
      </c>
      <c r="E151" s="524" t="s">
        <v>890</v>
      </c>
      <c r="F151" s="524" t="s">
        <v>708</v>
      </c>
      <c r="G151" s="531">
        <v>-13.949801000000001</v>
      </c>
      <c r="H151" s="531">
        <v>14.900471</v>
      </c>
      <c r="I151" s="531">
        <v>29.251604</v>
      </c>
      <c r="J151" s="531">
        <v>4.1704650000000001</v>
      </c>
      <c r="K151" s="578">
        <v>4250</v>
      </c>
      <c r="L151" s="578">
        <v>38.71</v>
      </c>
      <c r="M151" s="578">
        <v>3.0499999999999999E-2</v>
      </c>
      <c r="N151" s="578">
        <v>1.4999999999999999E-2</v>
      </c>
      <c r="O151" s="529">
        <v>10.28346245</v>
      </c>
      <c r="P151" s="544">
        <v>21.5</v>
      </c>
      <c r="Q151" s="544">
        <v>17.600000000000001</v>
      </c>
      <c r="R151" s="530">
        <v>50482</v>
      </c>
      <c r="S151" s="530">
        <v>53250</v>
      </c>
      <c r="T151" s="530">
        <v>2768</v>
      </c>
      <c r="U151" s="530">
        <v>269.17004009675748</v>
      </c>
      <c r="V151" s="534">
        <v>50971</v>
      </c>
      <c r="W151" s="530">
        <v>53746</v>
      </c>
      <c r="X151" s="530">
        <v>2775</v>
      </c>
      <c r="Y151" s="533">
        <v>269.85074467792703</v>
      </c>
      <c r="Z151" s="534">
        <v>1342</v>
      </c>
      <c r="AA151" s="530">
        <v>1344</v>
      </c>
      <c r="AB151" s="530">
        <v>2</v>
      </c>
      <c r="AC151" s="533">
        <v>0.19448702319129876</v>
      </c>
      <c r="AD151" s="534">
        <v>48599</v>
      </c>
      <c r="AE151" s="530">
        <v>50948</v>
      </c>
      <c r="AF151" s="530">
        <v>2349</v>
      </c>
      <c r="AG151" s="533">
        <v>228.4250087381804</v>
      </c>
      <c r="AH151" s="534">
        <v>-8108.5</v>
      </c>
      <c r="AI151" s="530">
        <v>-8025.2</v>
      </c>
      <c r="AJ151" s="530">
        <v>83.300000000000182</v>
      </c>
      <c r="AK151" s="533">
        <v>8.1003845159176109</v>
      </c>
      <c r="AL151" s="534">
        <v>2983.7308950000001</v>
      </c>
      <c r="AM151" s="530">
        <v>3053.2400189999998</v>
      </c>
      <c r="AN151" s="530">
        <v>69.509123999999701</v>
      </c>
      <c r="AO151" s="533">
        <v>6.7593113056974019</v>
      </c>
      <c r="AP151" s="534">
        <v>8447.6089489999995</v>
      </c>
      <c r="AQ151" s="530">
        <v>8777</v>
      </c>
      <c r="AR151" s="530">
        <v>329.39105100000052</v>
      </c>
      <c r="AS151" s="533">
        <v>32.03114248742169</v>
      </c>
      <c r="AT151" s="534">
        <v>60.4</v>
      </c>
      <c r="AU151" s="530">
        <v>60.6</v>
      </c>
      <c r="AV151" s="530">
        <v>0.20000000000000284</v>
      </c>
      <c r="AW151" s="533">
        <v>1.9448702319130151E-2</v>
      </c>
      <c r="AX151" s="534">
        <v>-181.01</v>
      </c>
      <c r="AY151" s="530">
        <v>-181.98</v>
      </c>
      <c r="AZ151" s="530">
        <v>-0.96999999999999886</v>
      </c>
      <c r="BA151" s="530">
        <v>-4.5539740000000002</v>
      </c>
      <c r="BB151" s="533">
        <v>-9.4326206247779792E-2</v>
      </c>
      <c r="BC151" s="545"/>
      <c r="BD151" s="545"/>
      <c r="BE151" s="545"/>
      <c r="BF151" s="545"/>
      <c r="BG151" s="545"/>
      <c r="BH151" s="567"/>
      <c r="BI151" s="574" t="s">
        <v>723</v>
      </c>
      <c r="BJ151" s="1">
        <v>1875.2828452900001</v>
      </c>
      <c r="BK151" s="1">
        <v>2.1680739400000002</v>
      </c>
      <c r="BL151" s="1">
        <v>1335.1030058599999</v>
      </c>
      <c r="BM151" s="1">
        <v>1306.7712391600001</v>
      </c>
      <c r="BN151" s="1">
        <v>6.8334394200000004</v>
      </c>
      <c r="BO151" s="1">
        <v>6.79041242</v>
      </c>
      <c r="BP151" s="1">
        <v>0.26112354999999998</v>
      </c>
      <c r="BQ151" s="1">
        <v>10.28346294</v>
      </c>
      <c r="BR151" s="1">
        <v>10.25668033</v>
      </c>
      <c r="BS151" s="1">
        <v>0.37017421</v>
      </c>
      <c r="BT151" s="1">
        <v>0.63364335000000005</v>
      </c>
      <c r="BU151" s="128">
        <v>0.33398576000000002</v>
      </c>
      <c r="BV151" s="512"/>
    </row>
    <row r="152" spans="1:74" s="519" customFormat="1" ht="22.5">
      <c r="A152" s="546">
        <v>62006019</v>
      </c>
      <c r="B152" s="543" t="s">
        <v>843</v>
      </c>
      <c r="C152" s="543" t="s">
        <v>702</v>
      </c>
      <c r="D152" s="513" t="s">
        <v>889</v>
      </c>
      <c r="E152" s="524" t="s">
        <v>890</v>
      </c>
      <c r="F152" s="524" t="s">
        <v>708</v>
      </c>
      <c r="G152" s="531">
        <v>-16.542808000000001</v>
      </c>
      <c r="H152" s="531">
        <v>16.590114</v>
      </c>
      <c r="I152" s="531">
        <v>29.245763</v>
      </c>
      <c r="J152" s="531">
        <v>4.1702300000000001</v>
      </c>
      <c r="K152" s="578">
        <v>4250</v>
      </c>
      <c r="L152" s="578">
        <v>38.71</v>
      </c>
      <c r="M152" s="578">
        <v>3.0499999999999999E-2</v>
      </c>
      <c r="N152" s="578">
        <v>1.4999999999999999E-2</v>
      </c>
      <c r="O152" s="529">
        <v>3.5966684099999999</v>
      </c>
      <c r="P152" s="544">
        <v>17.600000000000001</v>
      </c>
      <c r="Q152" s="544">
        <v>15.8</v>
      </c>
      <c r="R152" s="530">
        <v>53291</v>
      </c>
      <c r="S152" s="530">
        <v>54486</v>
      </c>
      <c r="T152" s="530">
        <v>1195</v>
      </c>
      <c r="U152" s="530">
        <v>332.25192421894684</v>
      </c>
      <c r="V152" s="534">
        <v>53789</v>
      </c>
      <c r="W152" s="530">
        <v>54985</v>
      </c>
      <c r="X152" s="530">
        <v>1196</v>
      </c>
      <c r="Y152" s="533">
        <v>332.52995930197523</v>
      </c>
      <c r="Z152" s="534">
        <v>1344</v>
      </c>
      <c r="AA152" s="530">
        <v>1350</v>
      </c>
      <c r="AB152" s="530">
        <v>6</v>
      </c>
      <c r="AC152" s="533">
        <v>1.6682104981704444</v>
      </c>
      <c r="AD152" s="534">
        <v>50947</v>
      </c>
      <c r="AE152" s="530">
        <v>51746</v>
      </c>
      <c r="AF152" s="530">
        <v>799</v>
      </c>
      <c r="AG152" s="533">
        <v>222.15003133969751</v>
      </c>
      <c r="AH152" s="534">
        <v>-7985.3</v>
      </c>
      <c r="AI152" s="530">
        <v>-7927.5680679999996</v>
      </c>
      <c r="AJ152" s="530">
        <v>57.731932000000597</v>
      </c>
      <c r="AK152" s="533">
        <v>16.051502507010536</v>
      </c>
      <c r="AL152" s="534">
        <v>3083.5201120000002</v>
      </c>
      <c r="AM152" s="530">
        <v>3132.1327729999998</v>
      </c>
      <c r="AN152" s="530">
        <v>48.612660999999662</v>
      </c>
      <c r="AO152" s="533">
        <v>13.516025237366728</v>
      </c>
      <c r="AP152" s="534">
        <v>8776.7999999999993</v>
      </c>
      <c r="AQ152" s="530">
        <v>9106.3638640000008</v>
      </c>
      <c r="AR152" s="530">
        <v>329.56386400000156</v>
      </c>
      <c r="AS152" s="533">
        <v>91.630316290403201</v>
      </c>
      <c r="AT152" s="534">
        <v>60.8</v>
      </c>
      <c r="AU152" s="530">
        <v>61</v>
      </c>
      <c r="AV152" s="530">
        <v>0.20000000000000284</v>
      </c>
      <c r="AW152" s="533">
        <v>5.560701660568227E-2</v>
      </c>
      <c r="AX152" s="534">
        <v>-182.72</v>
      </c>
      <c r="AY152" s="530">
        <v>-183.36</v>
      </c>
      <c r="AZ152" s="530">
        <v>-0.64000000000001478</v>
      </c>
      <c r="BA152" s="530">
        <v>-4.5729329999999999</v>
      </c>
      <c r="BB152" s="533">
        <v>-0.17794245313818485</v>
      </c>
      <c r="BC152" s="545"/>
      <c r="BD152" s="545"/>
      <c r="BE152" s="545"/>
      <c r="BF152" s="545"/>
      <c r="BG152" s="545"/>
      <c r="BH152" s="567"/>
      <c r="BI152" s="574" t="s">
        <v>723</v>
      </c>
      <c r="BJ152" s="1">
        <v>2367.8780926999998</v>
      </c>
      <c r="BK152" s="1">
        <v>-0.81573443999999995</v>
      </c>
      <c r="BL152" s="1">
        <v>2032.0759731600001</v>
      </c>
      <c r="BM152" s="1">
        <v>2048.7886478</v>
      </c>
      <c r="BN152" s="1">
        <v>3.0293345899999999</v>
      </c>
      <c r="BO152" s="1">
        <v>3.03194688</v>
      </c>
      <c r="BP152" s="1">
        <v>0.15768372999999999</v>
      </c>
      <c r="BQ152" s="1">
        <v>3.5966428600000002</v>
      </c>
      <c r="BR152" s="1">
        <v>3.5909804699999999</v>
      </c>
      <c r="BS152" s="1">
        <v>-0.24405294</v>
      </c>
      <c r="BT152" s="1">
        <v>-8.6158929999999995E-2</v>
      </c>
      <c r="BU152" s="128">
        <v>0.63449451999999995</v>
      </c>
      <c r="BV152" s="512"/>
    </row>
    <row r="153" spans="1:74" s="519" customFormat="1" ht="22.5">
      <c r="A153" s="546">
        <v>62006019</v>
      </c>
      <c r="B153" s="543" t="s">
        <v>844</v>
      </c>
      <c r="C153" s="543" t="s">
        <v>705</v>
      </c>
      <c r="D153" s="513" t="s">
        <v>889</v>
      </c>
      <c r="E153" s="524" t="s">
        <v>890</v>
      </c>
      <c r="F153" s="524" t="s">
        <v>708</v>
      </c>
      <c r="G153" s="531">
        <v>-18.142040999999999</v>
      </c>
      <c r="H153" s="531">
        <v>22.759371000000002</v>
      </c>
      <c r="I153" s="531">
        <v>29.243455999999998</v>
      </c>
      <c r="J153" s="531">
        <v>3.5940729999999999</v>
      </c>
      <c r="K153" s="578">
        <v>4250</v>
      </c>
      <c r="L153" s="578">
        <v>38.71</v>
      </c>
      <c r="M153" s="578">
        <v>3.0499999999999999E-2</v>
      </c>
      <c r="N153" s="578">
        <v>1.4999999999999999E-2</v>
      </c>
      <c r="O153" s="529">
        <v>3.8643871700000001</v>
      </c>
      <c r="P153" s="544">
        <v>15.8</v>
      </c>
      <c r="Q153" s="544">
        <v>14</v>
      </c>
      <c r="R153" s="530">
        <v>54486</v>
      </c>
      <c r="S153" s="530">
        <v>55735</v>
      </c>
      <c r="T153" s="530">
        <v>1249</v>
      </c>
      <c r="U153" s="530">
        <v>323.20778044607783</v>
      </c>
      <c r="V153" s="534">
        <v>54985</v>
      </c>
      <c r="W153" s="530">
        <v>56234</v>
      </c>
      <c r="X153" s="530">
        <v>1249</v>
      </c>
      <c r="Y153" s="533">
        <v>323.20778044607783</v>
      </c>
      <c r="Z153" s="534">
        <v>1350</v>
      </c>
      <c r="AA153" s="530">
        <v>1367</v>
      </c>
      <c r="AB153" s="530">
        <v>17</v>
      </c>
      <c r="AC153" s="533">
        <v>4.3991451301707949</v>
      </c>
      <c r="AD153" s="534">
        <v>51746</v>
      </c>
      <c r="AE153" s="530">
        <v>52477</v>
      </c>
      <c r="AF153" s="530">
        <v>731</v>
      </c>
      <c r="AG153" s="533">
        <v>189.16324059734418</v>
      </c>
      <c r="AH153" s="534">
        <v>-7927.5029400000003</v>
      </c>
      <c r="AI153" s="530">
        <v>-7831.8</v>
      </c>
      <c r="AJ153" s="530">
        <v>95.702940000000126</v>
      </c>
      <c r="AK153" s="533">
        <v>24.765360143766372</v>
      </c>
      <c r="AL153" s="534">
        <v>3132.1588240000001</v>
      </c>
      <c r="AM153" s="530">
        <v>3212.3494089999999</v>
      </c>
      <c r="AN153" s="530">
        <v>80.190584999999828</v>
      </c>
      <c r="AO153" s="533">
        <v>20.751177734605672</v>
      </c>
      <c r="AP153" s="534">
        <v>9106.4941190000009</v>
      </c>
      <c r="AQ153" s="530">
        <v>9509.7999999999993</v>
      </c>
      <c r="AR153" s="530">
        <v>403.30588099999841</v>
      </c>
      <c r="AS153" s="533">
        <v>104.36477072766971</v>
      </c>
      <c r="AT153" s="534">
        <v>61</v>
      </c>
      <c r="AU153" s="530">
        <v>61.3</v>
      </c>
      <c r="AV153" s="530">
        <v>0.29999999999999716</v>
      </c>
      <c r="AW153" s="533">
        <v>7.7631972885366232E-2</v>
      </c>
      <c r="AX153" s="534">
        <v>-183.36</v>
      </c>
      <c r="AY153" s="530">
        <v>-184.46</v>
      </c>
      <c r="AZ153" s="530">
        <v>-1.0999999999999943</v>
      </c>
      <c r="BA153" s="530">
        <v>-4.5592899999999998</v>
      </c>
      <c r="BB153" s="533">
        <v>-0.28465056724634408</v>
      </c>
      <c r="BC153" s="545"/>
      <c r="BD153" s="545"/>
      <c r="BE153" s="545"/>
      <c r="BF153" s="545"/>
      <c r="BG153" s="545"/>
      <c r="BH153" s="567"/>
      <c r="BI153" s="574" t="s">
        <v>723</v>
      </c>
      <c r="BJ153" s="1">
        <v>1475.60977146</v>
      </c>
      <c r="BK153" s="1">
        <v>-1.25319556</v>
      </c>
      <c r="BL153" s="1">
        <v>3373.3778620100002</v>
      </c>
      <c r="BM153" s="1">
        <v>3416.18939572</v>
      </c>
      <c r="BN153" s="1">
        <v>2.97845038</v>
      </c>
      <c r="BO153" s="1">
        <v>2.9952823099999999</v>
      </c>
      <c r="BP153" s="1">
        <v>0.11507101</v>
      </c>
      <c r="BQ153" s="1">
        <v>3.86427225</v>
      </c>
      <c r="BR153" s="1">
        <v>3.8598307100000002</v>
      </c>
      <c r="BS153" s="1">
        <v>-0.68084509000000004</v>
      </c>
      <c r="BT153" s="1">
        <v>-0.56194809000000001</v>
      </c>
      <c r="BU153" s="128">
        <v>0.72009299000000004</v>
      </c>
      <c r="BV153" s="512"/>
    </row>
    <row r="154" spans="1:74" s="519" customFormat="1" ht="22.5">
      <c r="A154" s="546">
        <v>62006019</v>
      </c>
      <c r="B154" s="543" t="s">
        <v>845</v>
      </c>
      <c r="C154" s="543" t="s">
        <v>703</v>
      </c>
      <c r="D154" s="513" t="s">
        <v>889</v>
      </c>
      <c r="E154" s="524" t="s">
        <v>890</v>
      </c>
      <c r="F154" s="524" t="s">
        <v>708</v>
      </c>
      <c r="G154" s="468">
        <v>-17.3424245</v>
      </c>
      <c r="H154" s="468">
        <v>19.674742500000001</v>
      </c>
      <c r="I154" s="468">
        <v>29.244609499999999</v>
      </c>
      <c r="J154" s="468">
        <v>3.8821515</v>
      </c>
      <c r="K154" s="579"/>
      <c r="L154" s="578"/>
      <c r="M154" s="580"/>
      <c r="N154" s="581"/>
      <c r="O154" s="453">
        <v>7.46105558</v>
      </c>
      <c r="P154" s="493">
        <v>17.600000000000001</v>
      </c>
      <c r="Q154" s="493">
        <v>14</v>
      </c>
      <c r="R154" s="456">
        <v>53291</v>
      </c>
      <c r="S154" s="456">
        <v>55735</v>
      </c>
      <c r="T154" s="456">
        <v>2444</v>
      </c>
      <c r="U154" s="456">
        <v>327.56759064378929</v>
      </c>
      <c r="V154" s="456">
        <v>53789</v>
      </c>
      <c r="W154" s="456">
        <v>56234</v>
      </c>
      <c r="X154" s="456">
        <v>2445</v>
      </c>
      <c r="Y154" s="454">
        <v>327.70161993619672</v>
      </c>
      <c r="Z154" s="456">
        <v>1344</v>
      </c>
      <c r="AA154" s="456">
        <v>1367</v>
      </c>
      <c r="AB154" s="456">
        <v>23</v>
      </c>
      <c r="AC154" s="454">
        <v>3.0826737253711758</v>
      </c>
      <c r="AD154" s="456">
        <v>50947</v>
      </c>
      <c r="AE154" s="456">
        <v>52477</v>
      </c>
      <c r="AF154" s="456">
        <v>1530</v>
      </c>
      <c r="AG154" s="454">
        <v>205.06481738338692</v>
      </c>
      <c r="AH154" s="456">
        <v>-7985.3</v>
      </c>
      <c r="AI154" s="456">
        <v>-7831.8</v>
      </c>
      <c r="AJ154" s="456">
        <v>153.43487200000072</v>
      </c>
      <c r="AK154" s="454">
        <v>20.564767324786597</v>
      </c>
      <c r="AL154" s="456">
        <v>3083.5201120000002</v>
      </c>
      <c r="AM154" s="456">
        <v>3212.3494089999999</v>
      </c>
      <c r="AN154" s="456">
        <v>128.80324599999949</v>
      </c>
      <c r="AO154" s="454">
        <v>17.263407921161672</v>
      </c>
      <c r="AP154" s="456">
        <v>8776.7999999999993</v>
      </c>
      <c r="AQ154" s="456">
        <v>9509.7999999999993</v>
      </c>
      <c r="AR154" s="456">
        <v>732.86974499999997</v>
      </c>
      <c r="AS154" s="454">
        <v>98.226013349172774</v>
      </c>
      <c r="AT154" s="456">
        <v>60.8</v>
      </c>
      <c r="AU154" s="456">
        <v>61.3</v>
      </c>
      <c r="AV154" s="456">
        <v>0.5</v>
      </c>
      <c r="AW154" s="454">
        <v>6.7014646203721218E-2</v>
      </c>
      <c r="AX154" s="456">
        <v>-182.72</v>
      </c>
      <c r="AY154" s="456">
        <v>-184.46</v>
      </c>
      <c r="AZ154" s="456">
        <v>-1.7400000000000091</v>
      </c>
      <c r="BA154" s="530">
        <v>-4.5661114999999999</v>
      </c>
      <c r="BB154" s="454">
        <v>-0.23321096878895106</v>
      </c>
      <c r="BC154" s="496"/>
      <c r="BD154" s="496"/>
      <c r="BE154" s="496"/>
      <c r="BF154" s="496"/>
      <c r="BG154" s="496"/>
      <c r="BH154" s="568"/>
      <c r="BI154" s="574" t="s">
        <v>723</v>
      </c>
      <c r="BJ154" s="1"/>
      <c r="BK154" s="1"/>
      <c r="BL154" s="1"/>
      <c r="BM154" s="1"/>
      <c r="BN154" s="1"/>
      <c r="BO154" s="1"/>
      <c r="BP154" s="1"/>
      <c r="BQ154" s="1"/>
      <c r="BR154" s="1"/>
      <c r="BS154" s="1"/>
      <c r="BT154" s="1"/>
      <c r="BU154" s="128"/>
      <c r="BV154" s="512"/>
    </row>
    <row r="155" spans="1:74" s="519" customFormat="1" ht="22.5">
      <c r="A155" s="546">
        <v>62006020</v>
      </c>
      <c r="B155" s="543" t="s">
        <v>838</v>
      </c>
      <c r="C155" s="543" t="s">
        <v>695</v>
      </c>
      <c r="D155" s="513" t="s">
        <v>891</v>
      </c>
      <c r="E155" s="524" t="s">
        <v>892</v>
      </c>
      <c r="F155" s="524" t="s">
        <v>708</v>
      </c>
      <c r="G155" s="531">
        <v>-10.104049</v>
      </c>
      <c r="H155" s="531">
        <v>12.042424</v>
      </c>
      <c r="I155" s="531">
        <v>29.234508000000002</v>
      </c>
      <c r="J155" s="531">
        <v>5.2365190000000004</v>
      </c>
      <c r="K155" s="578">
        <v>4250</v>
      </c>
      <c r="L155" s="578">
        <v>38.71</v>
      </c>
      <c r="M155" s="578">
        <v>3.0499999999999999E-2</v>
      </c>
      <c r="N155" s="578">
        <v>1.4999999999999999E-2</v>
      </c>
      <c r="O155" s="529">
        <v>17.66500654</v>
      </c>
      <c r="P155" s="544">
        <v>14</v>
      </c>
      <c r="Q155" s="544">
        <v>5.3</v>
      </c>
      <c r="R155" s="530">
        <v>55756</v>
      </c>
      <c r="S155" s="530">
        <v>61212</v>
      </c>
      <c r="T155" s="530">
        <v>5456</v>
      </c>
      <c r="U155" s="530">
        <v>308.85921200457136</v>
      </c>
      <c r="V155" s="534">
        <v>56253</v>
      </c>
      <c r="W155" s="530">
        <v>61708</v>
      </c>
      <c r="X155" s="530">
        <v>5455</v>
      </c>
      <c r="Y155" s="533">
        <v>308.80260291146203</v>
      </c>
      <c r="Z155" s="534">
        <v>1367</v>
      </c>
      <c r="AA155" s="530">
        <v>1369</v>
      </c>
      <c r="AB155" s="530">
        <v>2</v>
      </c>
      <c r="AC155" s="533">
        <v>0.11321818621868453</v>
      </c>
      <c r="AD155" s="534">
        <v>52476</v>
      </c>
      <c r="AE155" s="530">
        <v>57263</v>
      </c>
      <c r="AF155" s="530">
        <v>4787</v>
      </c>
      <c r="AG155" s="533">
        <v>270.98772871442139</v>
      </c>
      <c r="AH155" s="534">
        <v>-7812.7</v>
      </c>
      <c r="AI155" s="530">
        <v>-7701.9</v>
      </c>
      <c r="AJ155" s="530">
        <v>110.80000000000018</v>
      </c>
      <c r="AK155" s="533">
        <v>6.2722875165151333</v>
      </c>
      <c r="AL155" s="534">
        <v>3227.13</v>
      </c>
      <c r="AM155" s="530">
        <v>3320.8</v>
      </c>
      <c r="AN155" s="530">
        <v>93.670000000000073</v>
      </c>
      <c r="AO155" s="533">
        <v>5.3025737515520941</v>
      </c>
      <c r="AP155" s="534">
        <v>9510.4</v>
      </c>
      <c r="AQ155" s="530">
        <v>10060.299999999999</v>
      </c>
      <c r="AR155" s="530">
        <v>549.89999999999964</v>
      </c>
      <c r="AS155" s="533">
        <v>31.129340300827288</v>
      </c>
      <c r="AT155" s="534">
        <v>61.4</v>
      </c>
      <c r="AU155" s="530">
        <v>61.7</v>
      </c>
      <c r="AV155" s="530">
        <v>0.30000000000000426</v>
      </c>
      <c r="AW155" s="533">
        <v>1.6982727932802921E-2</v>
      </c>
      <c r="AX155" s="534">
        <v>-184.8</v>
      </c>
      <c r="AY155" s="530">
        <v>-186.08</v>
      </c>
      <c r="AZ155" s="530">
        <v>-1.2800000000000011</v>
      </c>
      <c r="BA155" s="530">
        <v>-4.5276199999999998</v>
      </c>
      <c r="BB155" s="533">
        <v>-7.2459639179958166E-2</v>
      </c>
      <c r="BC155" s="545"/>
      <c r="BD155" s="545"/>
      <c r="BE155" s="545"/>
      <c r="BF155" s="545"/>
      <c r="BG155" s="545"/>
      <c r="BH155" s="567"/>
      <c r="BI155" s="574" t="s">
        <v>723</v>
      </c>
      <c r="BJ155" s="1">
        <v>121.65134127</v>
      </c>
      <c r="BK155" s="1">
        <v>6.5897774800000004</v>
      </c>
      <c r="BL155" s="1">
        <v>619.44862361000003</v>
      </c>
      <c r="BM155" s="1">
        <v>581.15200000000004</v>
      </c>
      <c r="BN155" s="1">
        <v>13.54391203</v>
      </c>
      <c r="BO155" s="1">
        <v>14.539947440000001</v>
      </c>
      <c r="BP155" s="1">
        <v>-4.5353020600000002</v>
      </c>
      <c r="BQ155" s="1">
        <v>17.665011199999999</v>
      </c>
      <c r="BR155" s="1">
        <v>18.504234109999999</v>
      </c>
      <c r="BS155" s="1">
        <v>-2.4852853700000002</v>
      </c>
      <c r="BT155" s="1">
        <v>-6.8503370099999996</v>
      </c>
      <c r="BU155" s="128">
        <v>5.6813910000000002E-2</v>
      </c>
      <c r="BV155" s="512"/>
    </row>
    <row r="156" spans="1:74" s="519" customFormat="1" ht="22.5">
      <c r="A156" s="546">
        <v>62006021</v>
      </c>
      <c r="B156" s="543" t="s">
        <v>914</v>
      </c>
      <c r="C156" s="543" t="s">
        <v>695</v>
      </c>
      <c r="D156" s="513" t="s">
        <v>923</v>
      </c>
      <c r="E156" s="524" t="s">
        <v>924</v>
      </c>
      <c r="F156" s="524" t="s">
        <v>708</v>
      </c>
      <c r="G156" s="531">
        <v>21.630282000000001</v>
      </c>
      <c r="H156" s="531">
        <v>-20.163976999999999</v>
      </c>
      <c r="I156" s="531">
        <v>-35.547815999999997</v>
      </c>
      <c r="J156" s="531">
        <v>21.200569999999999</v>
      </c>
      <c r="K156" s="578">
        <v>4250</v>
      </c>
      <c r="L156" s="578">
        <v>38.71</v>
      </c>
      <c r="M156" s="578">
        <v>3.0499999999999999E-2</v>
      </c>
      <c r="N156" s="578">
        <v>1.4999999999999999E-2</v>
      </c>
      <c r="O156" s="529">
        <v>1.173688E-2</v>
      </c>
      <c r="P156" s="544"/>
      <c r="Q156" s="544"/>
      <c r="R156" s="530">
        <v>13</v>
      </c>
      <c r="S156" s="530">
        <v>-76641</v>
      </c>
      <c r="T156" s="530">
        <v>-76654</v>
      </c>
      <c r="U156" s="530">
        <v>-6531037.2092072172</v>
      </c>
      <c r="V156" s="534">
        <v>14</v>
      </c>
      <c r="W156" s="530">
        <v>-76491</v>
      </c>
      <c r="X156" s="530">
        <v>-76505</v>
      </c>
      <c r="Y156" s="533">
        <v>-6518342.1829310684</v>
      </c>
      <c r="Z156" s="534">
        <v>0</v>
      </c>
      <c r="AA156" s="530">
        <v>1645</v>
      </c>
      <c r="AB156" s="530">
        <v>1645</v>
      </c>
      <c r="AC156" s="533">
        <v>140156.49814942302</v>
      </c>
      <c r="AD156" s="534">
        <v>0</v>
      </c>
      <c r="AE156" s="530">
        <v>1360</v>
      </c>
      <c r="AF156" s="530">
        <v>1360</v>
      </c>
      <c r="AG156" s="533">
        <v>115874.06533934061</v>
      </c>
      <c r="AH156" s="534">
        <v>12.61894</v>
      </c>
      <c r="AI156" s="530">
        <v>-79743.3</v>
      </c>
      <c r="AJ156" s="530">
        <v>-79755.918940000003</v>
      </c>
      <c r="AK156" s="533">
        <v>-6795325.4135681717</v>
      </c>
      <c r="AL156" s="534">
        <v>9.2275759999999991</v>
      </c>
      <c r="AM156" s="530">
        <v>730.93</v>
      </c>
      <c r="AN156" s="530">
        <v>721.70242399999995</v>
      </c>
      <c r="AO156" s="533">
        <v>61490.14252510036</v>
      </c>
      <c r="AP156" s="534">
        <v>-0.1</v>
      </c>
      <c r="AQ156" s="530">
        <v>-21.6</v>
      </c>
      <c r="AR156" s="530">
        <v>-21.5</v>
      </c>
      <c r="AS156" s="533">
        <v>-1831.8326505851639</v>
      </c>
      <c r="AT156" s="534">
        <v>0</v>
      </c>
      <c r="AU156" s="530">
        <v>7.6</v>
      </c>
      <c r="AV156" s="530">
        <v>7.6</v>
      </c>
      <c r="AW156" s="533">
        <v>647.53154160219754</v>
      </c>
      <c r="AX156" s="534">
        <v>-0.29189399999999999</v>
      </c>
      <c r="AY156" s="530">
        <v>-35.729999999999997</v>
      </c>
      <c r="AZ156" s="530">
        <v>-35.438105999999998</v>
      </c>
      <c r="BA156" s="530">
        <v>4.3078830000000004</v>
      </c>
      <c r="BB156" s="533">
        <v>-3019.3804486371164</v>
      </c>
      <c r="BC156" s="545">
        <v>0.2</v>
      </c>
      <c r="BD156" s="545">
        <v>85983.1</v>
      </c>
      <c r="BE156" s="545">
        <v>85982.900000000009</v>
      </c>
      <c r="BF156" s="545">
        <v>0</v>
      </c>
      <c r="BG156" s="545">
        <v>-85788.1</v>
      </c>
      <c r="BH156" s="567">
        <v>-85788.1</v>
      </c>
      <c r="BI156" s="574"/>
      <c r="BJ156" s="1"/>
      <c r="BK156" s="1"/>
      <c r="BL156" s="1"/>
      <c r="BM156" s="1"/>
      <c r="BN156" s="1"/>
      <c r="BO156" s="1"/>
      <c r="BP156" s="1"/>
      <c r="BQ156" s="1"/>
      <c r="BR156" s="1"/>
      <c r="BS156" s="1"/>
      <c r="BT156" s="1"/>
      <c r="BU156" s="128"/>
      <c r="BV156" s="512"/>
    </row>
    <row r="157" spans="1:74" s="520" customFormat="1" ht="15.75">
      <c r="A157" s="535" t="s">
        <v>1247</v>
      </c>
      <c r="B157" s="537"/>
      <c r="C157" s="537"/>
      <c r="D157" s="537"/>
      <c r="E157" s="538"/>
      <c r="F157" s="538"/>
      <c r="G157" s="538"/>
      <c r="H157" s="538"/>
      <c r="I157" s="538"/>
      <c r="J157" s="538"/>
      <c r="K157" s="537"/>
      <c r="L157" s="537"/>
      <c r="M157" s="576"/>
      <c r="N157" s="577"/>
      <c r="O157" s="537"/>
      <c r="P157" s="537"/>
      <c r="Q157" s="537"/>
      <c r="R157" s="537"/>
      <c r="S157" s="537"/>
      <c r="T157" s="537"/>
      <c r="U157" s="537"/>
      <c r="V157" s="537"/>
      <c r="W157" s="537"/>
      <c r="X157" s="537"/>
      <c r="Y157" s="537"/>
      <c r="Z157" s="537"/>
      <c r="AA157" s="537"/>
      <c r="AB157" s="537"/>
      <c r="AC157" s="537"/>
      <c r="AD157" s="537"/>
      <c r="AE157" s="537"/>
      <c r="AF157" s="537"/>
      <c r="AG157" s="537"/>
      <c r="AH157" s="537"/>
      <c r="AI157" s="537"/>
      <c r="AJ157" s="537"/>
      <c r="AK157" s="537"/>
      <c r="AL157" s="537"/>
      <c r="AM157" s="537"/>
      <c r="AN157" s="537"/>
      <c r="AO157" s="537"/>
      <c r="AP157" s="537"/>
      <c r="AQ157" s="537"/>
      <c r="AR157" s="537"/>
      <c r="AS157" s="537"/>
      <c r="AT157" s="537"/>
      <c r="AU157" s="537"/>
      <c r="AV157" s="537"/>
      <c r="AW157" s="537"/>
      <c r="AX157" s="537"/>
      <c r="AY157" s="537"/>
      <c r="AZ157" s="537"/>
      <c r="BA157" s="537"/>
      <c r="BB157" s="537"/>
      <c r="BC157" s="537"/>
      <c r="BD157" s="537"/>
      <c r="BE157" s="537"/>
      <c r="BF157" s="537"/>
      <c r="BG157" s="537"/>
      <c r="BH157" s="537"/>
      <c r="BI157" s="569"/>
      <c r="BJ157" s="537"/>
      <c r="BK157" s="537"/>
      <c r="BL157" s="537"/>
      <c r="BM157" s="537"/>
      <c r="BN157" s="537"/>
      <c r="BO157" s="537"/>
      <c r="BP157" s="537"/>
      <c r="BQ157" s="537"/>
      <c r="BR157" s="537"/>
      <c r="BS157" s="537"/>
      <c r="BT157" s="537"/>
      <c r="BU157" s="542"/>
      <c r="BV157" s="541"/>
    </row>
    <row r="158" spans="1:74" s="519" customFormat="1">
      <c r="A158" s="546">
        <v>62006023</v>
      </c>
      <c r="B158" s="543" t="s">
        <v>932</v>
      </c>
      <c r="C158" s="543" t="s">
        <v>695</v>
      </c>
      <c r="D158" s="513" t="s">
        <v>949</v>
      </c>
      <c r="E158" s="524" t="s">
        <v>950</v>
      </c>
      <c r="F158" s="524" t="s">
        <v>708</v>
      </c>
      <c r="G158" s="531">
        <v>25.161570000000001</v>
      </c>
      <c r="H158" s="531">
        <v>37.598022999999998</v>
      </c>
      <c r="I158" s="531">
        <v>29.400660999999999</v>
      </c>
      <c r="J158" s="531">
        <v>28.453547</v>
      </c>
      <c r="K158" s="578">
        <v>4250</v>
      </c>
      <c r="L158" s="578">
        <v>38.71</v>
      </c>
      <c r="M158" s="578">
        <v>3.0499999999999999E-2</v>
      </c>
      <c r="N158" s="578">
        <v>1.4999999999999999E-2</v>
      </c>
      <c r="O158" s="529">
        <v>8.0274372500000002</v>
      </c>
      <c r="P158" s="544">
        <v>92</v>
      </c>
      <c r="Q158" s="544">
        <v>89.6</v>
      </c>
      <c r="R158" s="530">
        <v>6327</v>
      </c>
      <c r="S158" s="530">
        <v>8423</v>
      </c>
      <c r="T158" s="530">
        <v>2096</v>
      </c>
      <c r="U158" s="530">
        <v>261.10450131516131</v>
      </c>
      <c r="V158" s="534">
        <v>6409</v>
      </c>
      <c r="W158" s="530">
        <v>8511</v>
      </c>
      <c r="X158" s="530">
        <v>2102</v>
      </c>
      <c r="Y158" s="533">
        <v>261.85193786472763</v>
      </c>
      <c r="Z158" s="534">
        <v>16</v>
      </c>
      <c r="AA158" s="530">
        <v>74</v>
      </c>
      <c r="AB158" s="530">
        <v>58</v>
      </c>
      <c r="AC158" s="533">
        <v>7.2252199791409142</v>
      </c>
      <c r="AD158" s="534">
        <v>5572</v>
      </c>
      <c r="AE158" s="530">
        <v>7519</v>
      </c>
      <c r="AF158" s="530">
        <v>1947</v>
      </c>
      <c r="AG158" s="533">
        <v>242.54316033426483</v>
      </c>
      <c r="AH158" s="534">
        <v>710.6</v>
      </c>
      <c r="AI158" s="530">
        <v>799.2</v>
      </c>
      <c r="AJ158" s="530">
        <v>88.600000000000023</v>
      </c>
      <c r="AK158" s="533">
        <v>11.037146381929055</v>
      </c>
      <c r="AL158" s="534">
        <v>561.24142099999995</v>
      </c>
      <c r="AM158" s="530">
        <v>637.14538700000003</v>
      </c>
      <c r="AN158" s="530">
        <v>75.903966000000082</v>
      </c>
      <c r="AO158" s="533">
        <v>9.4555664075729879</v>
      </c>
      <c r="AP158" s="534">
        <v>0.8</v>
      </c>
      <c r="AQ158" s="530">
        <v>0.9</v>
      </c>
      <c r="AR158" s="530">
        <v>9.9999999999999978E-2</v>
      </c>
      <c r="AS158" s="533">
        <v>1.2457275826105021E-2</v>
      </c>
      <c r="AT158" s="534">
        <v>20.100000000000001</v>
      </c>
      <c r="AU158" s="530">
        <v>20.8</v>
      </c>
      <c r="AV158" s="530">
        <v>0.69999999999999929</v>
      </c>
      <c r="AW158" s="533">
        <v>8.7200930782735081E-2</v>
      </c>
      <c r="AX158" s="534">
        <v>-15.415713</v>
      </c>
      <c r="AY158" s="530">
        <v>-36.26</v>
      </c>
      <c r="AZ158" s="530">
        <v>-20.844286999999998</v>
      </c>
      <c r="BA158" s="530">
        <v>-124.79862799999999</v>
      </c>
      <c r="BB158" s="533">
        <v>-2.5966303255749521</v>
      </c>
      <c r="BC158" s="545"/>
      <c r="BD158" s="545"/>
      <c r="BE158" s="545"/>
      <c r="BF158" s="545"/>
      <c r="BG158" s="545"/>
      <c r="BH158" s="567"/>
      <c r="BI158" s="574" t="s">
        <v>723</v>
      </c>
      <c r="BJ158" s="1">
        <v>9026.8836093600003</v>
      </c>
      <c r="BK158" s="1">
        <v>-3.2027397899999999</v>
      </c>
      <c r="BL158" s="1">
        <v>3483.4952633799999</v>
      </c>
      <c r="BM158" s="1">
        <v>3598.7539893899998</v>
      </c>
      <c r="BN158" s="1">
        <v>8.9016165600000008</v>
      </c>
      <c r="BO158" s="1">
        <v>8.9938089100000003</v>
      </c>
      <c r="BP158" s="1">
        <v>0.2424405</v>
      </c>
      <c r="BQ158" s="1">
        <v>8.0273667599999996</v>
      </c>
      <c r="BR158" s="1">
        <v>8.0079522399999998</v>
      </c>
      <c r="BS158" s="1">
        <v>-1.2806324600000001</v>
      </c>
      <c r="BT158" s="1">
        <v>-1.0250646400000001</v>
      </c>
      <c r="BU158" s="128">
        <v>0.56578951</v>
      </c>
      <c r="BV158" s="512"/>
    </row>
    <row r="159" spans="1:74" s="519" customFormat="1">
      <c r="A159" s="546">
        <v>62006023</v>
      </c>
      <c r="B159" s="543" t="s">
        <v>933</v>
      </c>
      <c r="C159" s="543" t="s">
        <v>696</v>
      </c>
      <c r="D159" s="513" t="s">
        <v>949</v>
      </c>
      <c r="E159" s="524" t="s">
        <v>950</v>
      </c>
      <c r="F159" s="524" t="s">
        <v>708</v>
      </c>
      <c r="G159" s="531">
        <v>24.269962</v>
      </c>
      <c r="H159" s="531">
        <v>39.526622000000003</v>
      </c>
      <c r="I159" s="531">
        <v>29.386427999999999</v>
      </c>
      <c r="J159" s="531">
        <v>31.695702000000001</v>
      </c>
      <c r="K159" s="578">
        <v>4250</v>
      </c>
      <c r="L159" s="578">
        <v>38.71</v>
      </c>
      <c r="M159" s="578">
        <v>3.0499999999999999E-2</v>
      </c>
      <c r="N159" s="578">
        <v>1.4999999999999999E-2</v>
      </c>
      <c r="O159" s="529">
        <v>8.0269055300000005</v>
      </c>
      <c r="P159" s="544">
        <v>89.6</v>
      </c>
      <c r="Q159" s="544">
        <v>87.2</v>
      </c>
      <c r="R159" s="530">
        <v>8423</v>
      </c>
      <c r="S159" s="530">
        <v>10431</v>
      </c>
      <c r="T159" s="530">
        <v>2008</v>
      </c>
      <c r="U159" s="530">
        <v>250.15866855480482</v>
      </c>
      <c r="V159" s="534">
        <v>8511</v>
      </c>
      <c r="W159" s="530">
        <v>10526</v>
      </c>
      <c r="X159" s="530">
        <v>2015</v>
      </c>
      <c r="Y159" s="533">
        <v>251.03073562646</v>
      </c>
      <c r="Z159" s="534">
        <v>74</v>
      </c>
      <c r="AA159" s="530">
        <v>129</v>
      </c>
      <c r="AB159" s="530">
        <v>55</v>
      </c>
      <c r="AC159" s="533">
        <v>6.8519555630051121</v>
      </c>
      <c r="AD159" s="534">
        <v>7519</v>
      </c>
      <c r="AE159" s="530">
        <v>9387</v>
      </c>
      <c r="AF159" s="530">
        <v>1868</v>
      </c>
      <c r="AG159" s="533">
        <v>232.71732712170089</v>
      </c>
      <c r="AH159" s="534">
        <v>799.25385100000005</v>
      </c>
      <c r="AI159" s="530">
        <v>882.4</v>
      </c>
      <c r="AJ159" s="530">
        <v>83.146148999999923</v>
      </c>
      <c r="AK159" s="533">
        <v>10.358431239690935</v>
      </c>
      <c r="AL159" s="534">
        <v>637.17076999999995</v>
      </c>
      <c r="AM159" s="530">
        <v>706.91504999999995</v>
      </c>
      <c r="AN159" s="530">
        <v>69.744280000000003</v>
      </c>
      <c r="AO159" s="533">
        <v>8.6888128606142949</v>
      </c>
      <c r="AP159" s="534">
        <v>0.9</v>
      </c>
      <c r="AQ159" s="530">
        <v>1</v>
      </c>
      <c r="AR159" s="530">
        <v>9.9999999999999978E-2</v>
      </c>
      <c r="AS159" s="533">
        <v>1.2458101023645656E-2</v>
      </c>
      <c r="AT159" s="534">
        <v>20.8</v>
      </c>
      <c r="AU159" s="530">
        <v>21.4</v>
      </c>
      <c r="AV159" s="530">
        <v>0.59999999999999787</v>
      </c>
      <c r="AW159" s="533">
        <v>7.4748606141873689E-2</v>
      </c>
      <c r="AX159" s="534">
        <v>-36.265380999999998</v>
      </c>
      <c r="AY159" s="530">
        <v>-50.07</v>
      </c>
      <c r="AZ159" s="530">
        <v>-13.804619000000002</v>
      </c>
      <c r="BA159" s="530">
        <v>-82.892090999999994</v>
      </c>
      <c r="BB159" s="533">
        <v>-1.7197933809493833</v>
      </c>
      <c r="BC159" s="545"/>
      <c r="BD159" s="545"/>
      <c r="BE159" s="545"/>
      <c r="BF159" s="545"/>
      <c r="BG159" s="545"/>
      <c r="BH159" s="567"/>
      <c r="BI159" s="574" t="s">
        <v>723</v>
      </c>
      <c r="BJ159" s="1">
        <v>9038.5759199299991</v>
      </c>
      <c r="BK159" s="1">
        <v>-3.1727598700000001</v>
      </c>
      <c r="BL159" s="1">
        <v>3484.5151820999999</v>
      </c>
      <c r="BM159" s="1">
        <v>3598.69307157</v>
      </c>
      <c r="BN159" s="1">
        <v>8.9025054299999997</v>
      </c>
      <c r="BO159" s="1">
        <v>8.99376146</v>
      </c>
      <c r="BP159" s="1">
        <v>0.23575363999999999</v>
      </c>
      <c r="BQ159" s="1">
        <v>8.0268303900000006</v>
      </c>
      <c r="BR159" s="1">
        <v>8.0079513599999999</v>
      </c>
      <c r="BS159" s="1">
        <v>-1.2632302500000001</v>
      </c>
      <c r="BT159" s="1">
        <v>-1.01465914</v>
      </c>
      <c r="BU159" s="128">
        <v>0.56577560999999998</v>
      </c>
      <c r="BV159" s="512"/>
    </row>
    <row r="160" spans="1:74" s="519" customFormat="1">
      <c r="A160" s="546">
        <v>62006023</v>
      </c>
      <c r="B160" s="543" t="s">
        <v>934</v>
      </c>
      <c r="C160" s="543" t="s">
        <v>697</v>
      </c>
      <c r="D160" s="513" t="s">
        <v>949</v>
      </c>
      <c r="E160" s="524" t="s">
        <v>950</v>
      </c>
      <c r="F160" s="524" t="s">
        <v>708</v>
      </c>
      <c r="G160" s="531">
        <v>23.865501999999999</v>
      </c>
      <c r="H160" s="531">
        <v>40.604593000000001</v>
      </c>
      <c r="I160" s="531">
        <v>29.385626999999999</v>
      </c>
      <c r="J160" s="531">
        <v>32.396104000000001</v>
      </c>
      <c r="K160" s="578">
        <v>4250</v>
      </c>
      <c r="L160" s="578">
        <v>38.71</v>
      </c>
      <c r="M160" s="578">
        <v>3.0499999999999999E-2</v>
      </c>
      <c r="N160" s="578">
        <v>1.4999999999999999E-2</v>
      </c>
      <c r="O160" s="529">
        <v>8.02667368</v>
      </c>
      <c r="P160" s="544">
        <v>87.2</v>
      </c>
      <c r="Q160" s="544">
        <v>84.9</v>
      </c>
      <c r="R160" s="530">
        <v>10431</v>
      </c>
      <c r="S160" s="530">
        <v>12413</v>
      </c>
      <c r="T160" s="530">
        <v>1982</v>
      </c>
      <c r="U160" s="530">
        <v>246.92669454577853</v>
      </c>
      <c r="V160" s="534">
        <v>10526</v>
      </c>
      <c r="W160" s="530">
        <v>12515</v>
      </c>
      <c r="X160" s="530">
        <v>1989</v>
      </c>
      <c r="Y160" s="533">
        <v>247.7987868070401</v>
      </c>
      <c r="Z160" s="534">
        <v>129</v>
      </c>
      <c r="AA160" s="530">
        <v>184</v>
      </c>
      <c r="AB160" s="530">
        <v>55</v>
      </c>
      <c r="AC160" s="533">
        <v>6.8521534813409781</v>
      </c>
      <c r="AD160" s="534">
        <v>9387</v>
      </c>
      <c r="AE160" s="530">
        <v>11240</v>
      </c>
      <c r="AF160" s="530">
        <v>1853</v>
      </c>
      <c r="AG160" s="533">
        <v>230.85528001681513</v>
      </c>
      <c r="AH160" s="534">
        <v>882.4</v>
      </c>
      <c r="AI160" s="530">
        <v>954.6</v>
      </c>
      <c r="AJ160" s="530">
        <v>72.200000000000045</v>
      </c>
      <c r="AK160" s="533">
        <v>8.9950087518694346</v>
      </c>
      <c r="AL160" s="534">
        <v>706.93505400000004</v>
      </c>
      <c r="AM160" s="530">
        <v>765.96470799999997</v>
      </c>
      <c r="AN160" s="530">
        <v>59.029653999999937</v>
      </c>
      <c r="AO160" s="533">
        <v>7.3541863483355083</v>
      </c>
      <c r="AP160" s="534">
        <v>1</v>
      </c>
      <c r="AQ160" s="530">
        <v>1</v>
      </c>
      <c r="AR160" s="530">
        <v>0</v>
      </c>
      <c r="AS160" s="533">
        <v>0</v>
      </c>
      <c r="AT160" s="534">
        <v>21.4</v>
      </c>
      <c r="AU160" s="530">
        <v>22</v>
      </c>
      <c r="AV160" s="530">
        <v>0.60000000000000142</v>
      </c>
      <c r="AW160" s="533">
        <v>7.4750765250992668E-2</v>
      </c>
      <c r="AX160" s="534">
        <v>-50.08</v>
      </c>
      <c r="AY160" s="530">
        <v>-54.28</v>
      </c>
      <c r="AZ160" s="530">
        <v>-4.2000000000000028</v>
      </c>
      <c r="BA160" s="530">
        <v>-25.221471999999999</v>
      </c>
      <c r="BB160" s="533">
        <v>-0.52325535675694779</v>
      </c>
      <c r="BC160" s="545"/>
      <c r="BD160" s="545"/>
      <c r="BE160" s="545"/>
      <c r="BF160" s="545"/>
      <c r="BG160" s="545"/>
      <c r="BH160" s="567"/>
      <c r="BI160" s="574" t="s">
        <v>723</v>
      </c>
      <c r="BJ160" s="1">
        <v>9035.5142251300003</v>
      </c>
      <c r="BK160" s="1">
        <v>-3.1879313699999998</v>
      </c>
      <c r="BL160" s="1">
        <v>3483.9448034900001</v>
      </c>
      <c r="BM160" s="1">
        <v>3598.66786538</v>
      </c>
      <c r="BN160" s="1">
        <v>8.9028932100000002</v>
      </c>
      <c r="BO160" s="1">
        <v>8.9936633700000002</v>
      </c>
      <c r="BP160" s="1">
        <v>0.23301314000000001</v>
      </c>
      <c r="BQ160" s="1">
        <v>8.0266118500000001</v>
      </c>
      <c r="BR160" s="1">
        <v>8.0079522700000005</v>
      </c>
      <c r="BS160" s="1">
        <v>-1.2549467400000001</v>
      </c>
      <c r="BT160" s="1">
        <v>-1.00926783</v>
      </c>
      <c r="BU160" s="128">
        <v>0.56577412000000005</v>
      </c>
      <c r="BV160" s="512"/>
    </row>
    <row r="161" spans="1:74" s="519" customFormat="1">
      <c r="A161" s="546">
        <v>62006023</v>
      </c>
      <c r="B161" s="543" t="s">
        <v>935</v>
      </c>
      <c r="C161" s="543" t="s">
        <v>699</v>
      </c>
      <c r="D161" s="513" t="s">
        <v>949</v>
      </c>
      <c r="E161" s="524" t="s">
        <v>950</v>
      </c>
      <c r="F161" s="524" t="s">
        <v>708</v>
      </c>
      <c r="G161" s="531">
        <v>23.785547999999999</v>
      </c>
      <c r="H161" s="531">
        <v>41.249391000000003</v>
      </c>
      <c r="I161" s="531">
        <v>29.386548000000001</v>
      </c>
      <c r="J161" s="531">
        <v>32.695351000000002</v>
      </c>
      <c r="K161" s="578">
        <v>4250</v>
      </c>
      <c r="L161" s="578">
        <v>38.71</v>
      </c>
      <c r="M161" s="578">
        <v>3.0499999999999999E-2</v>
      </c>
      <c r="N161" s="578">
        <v>1.4999999999999999E-2</v>
      </c>
      <c r="O161" s="529">
        <v>8.0266351500000006</v>
      </c>
      <c r="P161" s="544">
        <v>84.9</v>
      </c>
      <c r="Q161" s="544">
        <v>82.5</v>
      </c>
      <c r="R161" s="530">
        <v>12413</v>
      </c>
      <c r="S161" s="530">
        <v>14384</v>
      </c>
      <c r="T161" s="530">
        <v>1971</v>
      </c>
      <c r="U161" s="530">
        <v>245.55744258539019</v>
      </c>
      <c r="V161" s="534">
        <v>12515</v>
      </c>
      <c r="W161" s="530">
        <v>14494</v>
      </c>
      <c r="X161" s="530">
        <v>1979</v>
      </c>
      <c r="Y161" s="533">
        <v>246.55412423971953</v>
      </c>
      <c r="Z161" s="534">
        <v>184</v>
      </c>
      <c r="AA161" s="530">
        <v>239</v>
      </c>
      <c r="AB161" s="530">
        <v>55</v>
      </c>
      <c r="AC161" s="533">
        <v>6.8521863735141864</v>
      </c>
      <c r="AD161" s="534">
        <v>11240</v>
      </c>
      <c r="AE161" s="530">
        <v>13086</v>
      </c>
      <c r="AF161" s="530">
        <v>1846</v>
      </c>
      <c r="AG161" s="533">
        <v>229.98429173649433</v>
      </c>
      <c r="AH161" s="534">
        <v>954.6</v>
      </c>
      <c r="AI161" s="530">
        <v>1022.4</v>
      </c>
      <c r="AJ161" s="530">
        <v>67.799999999999955</v>
      </c>
      <c r="AK161" s="533">
        <v>8.4468770204411179</v>
      </c>
      <c r="AL161" s="534">
        <v>765.98467100000005</v>
      </c>
      <c r="AM161" s="530">
        <v>821.03441399999997</v>
      </c>
      <c r="AN161" s="530">
        <v>55.049742999999921</v>
      </c>
      <c r="AO161" s="533">
        <v>6.8583836154555895</v>
      </c>
      <c r="AP161" s="534">
        <v>1</v>
      </c>
      <c r="AQ161" s="530">
        <v>1.1000000000000001</v>
      </c>
      <c r="AR161" s="530">
        <v>0.10000000000000009</v>
      </c>
      <c r="AS161" s="533">
        <v>1.2458520679116713E-2</v>
      </c>
      <c r="AT161" s="534">
        <v>22</v>
      </c>
      <c r="AU161" s="530">
        <v>22.6</v>
      </c>
      <c r="AV161" s="530">
        <v>0.60000000000000142</v>
      </c>
      <c r="AW161" s="533">
        <v>7.4751124074700387E-2</v>
      </c>
      <c r="AX161" s="534">
        <v>-54.28</v>
      </c>
      <c r="AY161" s="530">
        <v>-56.66</v>
      </c>
      <c r="AZ161" s="530">
        <v>-2.3799999999999955</v>
      </c>
      <c r="BA161" s="530">
        <v>-14.297552</v>
      </c>
      <c r="BB161" s="533">
        <v>-0.29651279216297693</v>
      </c>
      <c r="BC161" s="545"/>
      <c r="BD161" s="545"/>
      <c r="BE161" s="545"/>
      <c r="BF161" s="545"/>
      <c r="BG161" s="545"/>
      <c r="BH161" s="567"/>
      <c r="BI161" s="574" t="s">
        <v>723</v>
      </c>
      <c r="BJ161" s="1">
        <v>9036.8600747199998</v>
      </c>
      <c r="BK161" s="1">
        <v>-3.2609537300000002</v>
      </c>
      <c r="BL161" s="1">
        <v>3481.23727547</v>
      </c>
      <c r="BM161" s="1">
        <v>3598.58548286</v>
      </c>
      <c r="BN161" s="1">
        <v>8.9048108799999994</v>
      </c>
      <c r="BO161" s="1">
        <v>8.9935629600000002</v>
      </c>
      <c r="BP161" s="1">
        <v>0.23271828</v>
      </c>
      <c r="BQ161" s="1">
        <v>8.0265885600000004</v>
      </c>
      <c r="BR161" s="1">
        <v>8.0079525900000004</v>
      </c>
      <c r="BS161" s="1">
        <v>-1.2317134199999999</v>
      </c>
      <c r="BT161" s="1">
        <v>-0.9868401</v>
      </c>
      <c r="BU161" s="128">
        <v>0.56575885999999997</v>
      </c>
      <c r="BV161" s="512"/>
    </row>
    <row r="162" spans="1:74" s="519" customFormat="1">
      <c r="A162" s="546">
        <v>62006023</v>
      </c>
      <c r="B162" s="543" t="s">
        <v>936</v>
      </c>
      <c r="C162" s="543" t="s">
        <v>700</v>
      </c>
      <c r="D162" s="513" t="s">
        <v>949</v>
      </c>
      <c r="E162" s="524" t="s">
        <v>950</v>
      </c>
      <c r="F162" s="524" t="s">
        <v>708</v>
      </c>
      <c r="G162" s="531">
        <v>23.775379999999998</v>
      </c>
      <c r="H162" s="531">
        <v>41.903066000000003</v>
      </c>
      <c r="I162" s="531">
        <v>29.387350000000001</v>
      </c>
      <c r="J162" s="531">
        <v>32.764884000000002</v>
      </c>
      <c r="K162" s="578">
        <v>4250</v>
      </c>
      <c r="L162" s="578">
        <v>38.71</v>
      </c>
      <c r="M162" s="578">
        <v>3.0499999999999999E-2</v>
      </c>
      <c r="N162" s="578">
        <v>1.4999999999999999E-2</v>
      </c>
      <c r="O162" s="529">
        <v>8.0261424199999993</v>
      </c>
      <c r="P162" s="544">
        <v>82.5</v>
      </c>
      <c r="Q162" s="544">
        <v>80.2</v>
      </c>
      <c r="R162" s="530">
        <v>14384</v>
      </c>
      <c r="S162" s="530">
        <v>16349</v>
      </c>
      <c r="T162" s="530">
        <v>1965</v>
      </c>
      <c r="U162" s="530">
        <v>244.82496038240001</v>
      </c>
      <c r="V162" s="534">
        <v>14494</v>
      </c>
      <c r="W162" s="530">
        <v>16466</v>
      </c>
      <c r="X162" s="530">
        <v>1972</v>
      </c>
      <c r="Y162" s="533">
        <v>245.69711036849509</v>
      </c>
      <c r="Z162" s="534">
        <v>239</v>
      </c>
      <c r="AA162" s="530">
        <v>294</v>
      </c>
      <c r="AB162" s="530">
        <v>55</v>
      </c>
      <c r="AC162" s="533">
        <v>6.8526070336040714</v>
      </c>
      <c r="AD162" s="534">
        <v>13086</v>
      </c>
      <c r="AE162" s="530">
        <v>14929</v>
      </c>
      <c r="AF162" s="530">
        <v>1843</v>
      </c>
      <c r="AG162" s="533">
        <v>229.62463205331463</v>
      </c>
      <c r="AH162" s="534">
        <v>1022.4</v>
      </c>
      <c r="AI162" s="530">
        <v>1087.9000000000001</v>
      </c>
      <c r="AJ162" s="530">
        <v>65.500000000000114</v>
      </c>
      <c r="AK162" s="533">
        <v>8.1608320127466811</v>
      </c>
      <c r="AL162" s="534">
        <v>821.05436299999997</v>
      </c>
      <c r="AM162" s="530">
        <v>873.90418699999998</v>
      </c>
      <c r="AN162" s="530">
        <v>52.849824000000012</v>
      </c>
      <c r="AO162" s="533">
        <v>6.584710466675225</v>
      </c>
      <c r="AP162" s="534">
        <v>1.1000000000000001</v>
      </c>
      <c r="AQ162" s="530">
        <v>1.1000000000000001</v>
      </c>
      <c r="AR162" s="530">
        <v>0</v>
      </c>
      <c r="AS162" s="533">
        <v>0</v>
      </c>
      <c r="AT162" s="534">
        <v>22.6</v>
      </c>
      <c r="AU162" s="530">
        <v>23.2</v>
      </c>
      <c r="AV162" s="530">
        <v>0.59999999999999787</v>
      </c>
      <c r="AW162" s="533">
        <v>7.4755713093862336E-2</v>
      </c>
      <c r="AX162" s="534">
        <v>-56.66</v>
      </c>
      <c r="AY162" s="530">
        <v>-58.43</v>
      </c>
      <c r="AZ162" s="530">
        <v>-1.7700000000000031</v>
      </c>
      <c r="BA162" s="530">
        <v>-10.601604999999999</v>
      </c>
      <c r="BB162" s="533">
        <v>-0.22052935362689505</v>
      </c>
      <c r="BC162" s="545"/>
      <c r="BD162" s="545"/>
      <c r="BE162" s="545"/>
      <c r="BF162" s="545"/>
      <c r="BG162" s="545"/>
      <c r="BH162" s="567"/>
      <c r="BI162" s="574" t="s">
        <v>723</v>
      </c>
      <c r="BJ162" s="1">
        <v>9036.3787098600005</v>
      </c>
      <c r="BK162" s="1">
        <v>-3.1733893000000002</v>
      </c>
      <c r="BL162" s="1">
        <v>3484.4035235400002</v>
      </c>
      <c r="BM162" s="1">
        <v>3598.6011471299998</v>
      </c>
      <c r="BN162" s="1">
        <v>8.9036311999999995</v>
      </c>
      <c r="BO162" s="1">
        <v>8.9936269499999995</v>
      </c>
      <c r="BP162" s="1">
        <v>0.22684846</v>
      </c>
      <c r="BQ162" s="1">
        <v>8.0261189000000002</v>
      </c>
      <c r="BR162" s="1">
        <v>8.0079529800000007</v>
      </c>
      <c r="BS162" s="1">
        <v>-1.23991717</v>
      </c>
      <c r="BT162" s="1">
        <v>-1.00066134</v>
      </c>
      <c r="BU162" s="128">
        <v>0.56576314999999999</v>
      </c>
      <c r="BV162" s="512"/>
    </row>
    <row r="163" spans="1:74" s="519" customFormat="1">
      <c r="A163" s="546">
        <v>62006023</v>
      </c>
      <c r="B163" s="543" t="s">
        <v>937</v>
      </c>
      <c r="C163" s="543" t="s">
        <v>702</v>
      </c>
      <c r="D163" s="513" t="s">
        <v>949</v>
      </c>
      <c r="E163" s="524" t="s">
        <v>950</v>
      </c>
      <c r="F163" s="524" t="s">
        <v>708</v>
      </c>
      <c r="G163" s="531">
        <v>23.797566</v>
      </c>
      <c r="H163" s="531">
        <v>41.778205</v>
      </c>
      <c r="I163" s="531">
        <v>29.387816999999998</v>
      </c>
      <c r="J163" s="531">
        <v>32.845537999999998</v>
      </c>
      <c r="K163" s="578">
        <v>4250</v>
      </c>
      <c r="L163" s="578">
        <v>38.71</v>
      </c>
      <c r="M163" s="578">
        <v>3.0499999999999999E-2</v>
      </c>
      <c r="N163" s="578">
        <v>1.4999999999999999E-2</v>
      </c>
      <c r="O163" s="529">
        <v>8.0266108299999992</v>
      </c>
      <c r="P163" s="544">
        <v>80.2</v>
      </c>
      <c r="Q163" s="544">
        <v>77.900000000000006</v>
      </c>
      <c r="R163" s="530">
        <v>16349</v>
      </c>
      <c r="S163" s="530">
        <v>18310</v>
      </c>
      <c r="T163" s="530">
        <v>1961</v>
      </c>
      <c r="U163" s="530">
        <v>244.31233076239729</v>
      </c>
      <c r="V163" s="534">
        <v>16466</v>
      </c>
      <c r="W163" s="530">
        <v>18434</v>
      </c>
      <c r="X163" s="530">
        <v>1968</v>
      </c>
      <c r="Y163" s="533">
        <v>245.18442985231914</v>
      </c>
      <c r="Z163" s="534">
        <v>294</v>
      </c>
      <c r="AA163" s="530">
        <v>348</v>
      </c>
      <c r="AB163" s="530">
        <v>54</v>
      </c>
      <c r="AC163" s="533">
        <v>6.7276215508258304</v>
      </c>
      <c r="AD163" s="534">
        <v>14929</v>
      </c>
      <c r="AE163" s="530">
        <v>16768</v>
      </c>
      <c r="AF163" s="530">
        <v>1839</v>
      </c>
      <c r="AG163" s="533">
        <v>229.11288948090188</v>
      </c>
      <c r="AH163" s="534">
        <v>1087.9414870000001</v>
      </c>
      <c r="AI163" s="530">
        <v>1152.678003</v>
      </c>
      <c r="AJ163" s="530">
        <v>64.736515999999938</v>
      </c>
      <c r="AK163" s="533">
        <v>8.0652366697589031</v>
      </c>
      <c r="AL163" s="534">
        <v>873.92414900000006</v>
      </c>
      <c r="AM163" s="530">
        <v>926.03340100000003</v>
      </c>
      <c r="AN163" s="530">
        <v>52.109251999999969</v>
      </c>
      <c r="AO163" s="533">
        <v>6.4920616065298855</v>
      </c>
      <c r="AP163" s="534">
        <v>1.1000000000000001</v>
      </c>
      <c r="AQ163" s="530">
        <v>1.2</v>
      </c>
      <c r="AR163" s="530">
        <v>9.9999999999999867E-2</v>
      </c>
      <c r="AS163" s="533">
        <v>1.2458558427455226E-2</v>
      </c>
      <c r="AT163" s="534">
        <v>23.2</v>
      </c>
      <c r="AU163" s="530">
        <v>23.9</v>
      </c>
      <c r="AV163" s="530">
        <v>0.69999999999999929</v>
      </c>
      <c r="AW163" s="533">
        <v>8.7209908992186599E-2</v>
      </c>
      <c r="AX163" s="534">
        <v>-58.43</v>
      </c>
      <c r="AY163" s="530">
        <v>-59.85</v>
      </c>
      <c r="AZ163" s="530">
        <v>-1.4200000000000017</v>
      </c>
      <c r="BA163" s="530">
        <v>-8.5131840000000008</v>
      </c>
      <c r="BB163" s="533">
        <v>-0.17691152966986465</v>
      </c>
      <c r="BC163" s="545"/>
      <c r="BD163" s="545"/>
      <c r="BE163" s="545"/>
      <c r="BF163" s="545"/>
      <c r="BG163" s="545"/>
      <c r="BH163" s="567"/>
      <c r="BI163" s="574" t="s">
        <v>723</v>
      </c>
      <c r="BJ163" s="1">
        <v>9034.6145450599997</v>
      </c>
      <c r="BK163" s="1">
        <v>-3.1492382000000001</v>
      </c>
      <c r="BL163" s="1">
        <v>3485.1771218600002</v>
      </c>
      <c r="BM163" s="1">
        <v>3598.5025385700001</v>
      </c>
      <c r="BN163" s="1">
        <v>8.9067352</v>
      </c>
      <c r="BO163" s="1">
        <v>8.9934361099999993</v>
      </c>
      <c r="BP163" s="1">
        <v>0.23256755000000001</v>
      </c>
      <c r="BQ163" s="1">
        <v>8.02657636</v>
      </c>
      <c r="BR163" s="1">
        <v>8.0079524600000003</v>
      </c>
      <c r="BS163" s="1">
        <v>-1.2082623100000001</v>
      </c>
      <c r="BT163" s="1">
        <v>-0.96404656</v>
      </c>
      <c r="BU163" s="128">
        <v>0.56574438000000005</v>
      </c>
      <c r="BV163" s="512"/>
    </row>
    <row r="164" spans="1:74" s="519" customFormat="1">
      <c r="A164" s="546">
        <v>62006023</v>
      </c>
      <c r="B164" s="543" t="s">
        <v>938</v>
      </c>
      <c r="C164" s="543" t="s">
        <v>705</v>
      </c>
      <c r="D164" s="513" t="s">
        <v>949</v>
      </c>
      <c r="E164" s="524" t="s">
        <v>950</v>
      </c>
      <c r="F164" s="524" t="s">
        <v>708</v>
      </c>
      <c r="G164" s="531">
        <v>23.812443999999999</v>
      </c>
      <c r="H164" s="531">
        <v>41.698708000000003</v>
      </c>
      <c r="I164" s="531">
        <v>29.389143000000001</v>
      </c>
      <c r="J164" s="531">
        <v>32.998683</v>
      </c>
      <c r="K164" s="578">
        <v>4250</v>
      </c>
      <c r="L164" s="578">
        <v>38.71</v>
      </c>
      <c r="M164" s="578">
        <v>3.0499999999999999E-2</v>
      </c>
      <c r="N164" s="578">
        <v>1.4999999999999999E-2</v>
      </c>
      <c r="O164" s="529">
        <v>8.0262460799999999</v>
      </c>
      <c r="P164" s="544">
        <v>77.900000000000006</v>
      </c>
      <c r="Q164" s="544">
        <v>75.5</v>
      </c>
      <c r="R164" s="530">
        <v>18310</v>
      </c>
      <c r="S164" s="530">
        <v>20269</v>
      </c>
      <c r="T164" s="530">
        <v>1959</v>
      </c>
      <c r="U164" s="530">
        <v>244.07425096041911</v>
      </c>
      <c r="V164" s="534">
        <v>18434</v>
      </c>
      <c r="W164" s="530">
        <v>20400</v>
      </c>
      <c r="X164" s="530">
        <v>1966</v>
      </c>
      <c r="Y164" s="533">
        <v>244.94638968258496</v>
      </c>
      <c r="Z164" s="534">
        <v>348</v>
      </c>
      <c r="AA164" s="530">
        <v>402</v>
      </c>
      <c r="AB164" s="530">
        <v>54</v>
      </c>
      <c r="AC164" s="533">
        <v>6.727927285279546</v>
      </c>
      <c r="AD164" s="534">
        <v>16768</v>
      </c>
      <c r="AE164" s="530">
        <v>18606</v>
      </c>
      <c r="AF164" s="530">
        <v>1838</v>
      </c>
      <c r="AG164" s="533">
        <v>228.99871019155196</v>
      </c>
      <c r="AH164" s="534">
        <v>1152.7</v>
      </c>
      <c r="AI164" s="530">
        <v>1217</v>
      </c>
      <c r="AJ164" s="530">
        <v>64.299999999999955</v>
      </c>
      <c r="AK164" s="533">
        <v>8.0112171193236019</v>
      </c>
      <c r="AL164" s="534">
        <v>926.05</v>
      </c>
      <c r="AM164" s="530">
        <v>977.83345999999995</v>
      </c>
      <c r="AN164" s="530">
        <v>51.783459999999991</v>
      </c>
      <c r="AO164" s="533">
        <v>6.4517658048181836</v>
      </c>
      <c r="AP164" s="534">
        <v>1.2</v>
      </c>
      <c r="AQ164" s="530">
        <v>1.2</v>
      </c>
      <c r="AR164" s="530">
        <v>0</v>
      </c>
      <c r="AS164" s="533">
        <v>0</v>
      </c>
      <c r="AT164" s="534">
        <v>23.9</v>
      </c>
      <c r="AU164" s="530">
        <v>24.5</v>
      </c>
      <c r="AV164" s="530">
        <v>0.60000000000000142</v>
      </c>
      <c r="AW164" s="533">
        <v>7.4754747614217354E-2</v>
      </c>
      <c r="AX164" s="534">
        <v>-59.85</v>
      </c>
      <c r="AY164" s="530">
        <v>-61.04</v>
      </c>
      <c r="AZ164" s="530">
        <v>-1.1899999999999977</v>
      </c>
      <c r="BA164" s="530">
        <v>-7.1593559999999998</v>
      </c>
      <c r="BB164" s="533">
        <v>-0.14826358276819712</v>
      </c>
      <c r="BC164" s="545"/>
      <c r="BD164" s="545"/>
      <c r="BE164" s="545"/>
      <c r="BF164" s="545"/>
      <c r="BG164" s="545"/>
      <c r="BH164" s="567"/>
      <c r="BI164" s="574" t="s">
        <v>723</v>
      </c>
      <c r="BJ164" s="1">
        <v>9034.50980437</v>
      </c>
      <c r="BK164" s="1">
        <v>-3.1058922199999999</v>
      </c>
      <c r="BL164" s="1">
        <v>3486.7398220199998</v>
      </c>
      <c r="BM164" s="1">
        <v>3598.5055253099999</v>
      </c>
      <c r="BN164" s="1">
        <v>8.9055969099999999</v>
      </c>
      <c r="BO164" s="1">
        <v>8.9934468899999995</v>
      </c>
      <c r="BP164" s="1">
        <v>0.22753899</v>
      </c>
      <c r="BQ164" s="1">
        <v>8.0261732200000004</v>
      </c>
      <c r="BR164" s="1">
        <v>8.0079520100000003</v>
      </c>
      <c r="BS164" s="1">
        <v>-1.2162416899999999</v>
      </c>
      <c r="BT164" s="1">
        <v>-0.97682217999999998</v>
      </c>
      <c r="BU164" s="128">
        <v>0.56574683000000003</v>
      </c>
      <c r="BV164" s="512"/>
    </row>
    <row r="165" spans="1:74" s="519" customFormat="1">
      <c r="A165" s="546">
        <v>62006023</v>
      </c>
      <c r="B165" s="543" t="s">
        <v>939</v>
      </c>
      <c r="C165" s="543" t="s">
        <v>788</v>
      </c>
      <c r="D165" s="513" t="s">
        <v>949</v>
      </c>
      <c r="E165" s="524" t="s">
        <v>950</v>
      </c>
      <c r="F165" s="524" t="s">
        <v>708</v>
      </c>
      <c r="G165" s="531">
        <v>23.769252999999999</v>
      </c>
      <c r="H165" s="531">
        <v>41.798886000000003</v>
      </c>
      <c r="I165" s="531">
        <v>29.389727000000001</v>
      </c>
      <c r="J165" s="531">
        <v>33.134970000000003</v>
      </c>
      <c r="K165" s="578">
        <v>4250</v>
      </c>
      <c r="L165" s="578">
        <v>38.71</v>
      </c>
      <c r="M165" s="578">
        <v>3.0499999999999999E-2</v>
      </c>
      <c r="N165" s="578">
        <v>1.4999999999999999E-2</v>
      </c>
      <c r="O165" s="529">
        <v>8.02707792</v>
      </c>
      <c r="P165" s="544">
        <v>75.5</v>
      </c>
      <c r="Q165" s="544">
        <v>73.099999999999994</v>
      </c>
      <c r="R165" s="530">
        <v>20269</v>
      </c>
      <c r="S165" s="530">
        <v>22224</v>
      </c>
      <c r="T165" s="530">
        <v>1955</v>
      </c>
      <c r="U165" s="530">
        <v>243.55064439190096</v>
      </c>
      <c r="V165" s="534">
        <v>20400</v>
      </c>
      <c r="W165" s="530">
        <v>22363</v>
      </c>
      <c r="X165" s="530">
        <v>1963</v>
      </c>
      <c r="Y165" s="533">
        <v>244.54727106971947</v>
      </c>
      <c r="Z165" s="534">
        <v>402</v>
      </c>
      <c r="AA165" s="530">
        <v>456</v>
      </c>
      <c r="AB165" s="530">
        <v>54</v>
      </c>
      <c r="AC165" s="533">
        <v>6.7272300752750134</v>
      </c>
      <c r="AD165" s="534">
        <v>18606</v>
      </c>
      <c r="AE165" s="530">
        <v>20442</v>
      </c>
      <c r="AF165" s="530">
        <v>1836</v>
      </c>
      <c r="AG165" s="533">
        <v>228.72582255935046</v>
      </c>
      <c r="AH165" s="534">
        <v>1217</v>
      </c>
      <c r="AI165" s="530">
        <v>1281.3</v>
      </c>
      <c r="AJ165" s="530">
        <v>64.299999999999955</v>
      </c>
      <c r="AK165" s="533">
        <v>8.0103869229663527</v>
      </c>
      <c r="AL165" s="534">
        <v>977.85345199999995</v>
      </c>
      <c r="AM165" s="530">
        <v>1029.643235</v>
      </c>
      <c r="AN165" s="530">
        <v>51.789783000000057</v>
      </c>
      <c r="AO165" s="533">
        <v>6.4518849220290182</v>
      </c>
      <c r="AP165" s="534">
        <v>1.2</v>
      </c>
      <c r="AQ165" s="530">
        <v>1.2</v>
      </c>
      <c r="AR165" s="530">
        <v>0</v>
      </c>
      <c r="AS165" s="533">
        <v>0</v>
      </c>
      <c r="AT165" s="534">
        <v>24.5</v>
      </c>
      <c r="AU165" s="530">
        <v>25</v>
      </c>
      <c r="AV165" s="530">
        <v>0.5</v>
      </c>
      <c r="AW165" s="533">
        <v>6.2289167363657534E-2</v>
      </c>
      <c r="AX165" s="534">
        <v>-61.04</v>
      </c>
      <c r="AY165" s="530">
        <v>-62.08</v>
      </c>
      <c r="AZ165" s="530">
        <v>-1.0399999999999991</v>
      </c>
      <c r="BA165" s="530">
        <v>-6.2340289999999996</v>
      </c>
      <c r="BB165" s="533">
        <v>-0.12956146811640756</v>
      </c>
      <c r="BC165" s="545"/>
      <c r="BD165" s="545"/>
      <c r="BE165" s="545"/>
      <c r="BF165" s="545"/>
      <c r="BG165" s="545"/>
      <c r="BH165" s="567"/>
      <c r="BI165" s="574" t="s">
        <v>723</v>
      </c>
      <c r="BJ165" s="1">
        <v>9032.7284857100003</v>
      </c>
      <c r="BK165" s="1">
        <v>-3.10242672</v>
      </c>
      <c r="BL165" s="1">
        <v>3486.7902778600001</v>
      </c>
      <c r="BM165" s="1">
        <v>3598.4288975300001</v>
      </c>
      <c r="BN165" s="1">
        <v>8.9027423999999993</v>
      </c>
      <c r="BO165" s="1">
        <v>8.9933405799999999</v>
      </c>
      <c r="BP165" s="1">
        <v>0.23755069000000001</v>
      </c>
      <c r="BQ165" s="1">
        <v>8.0269738099999994</v>
      </c>
      <c r="BR165" s="1">
        <v>8.0079508599999993</v>
      </c>
      <c r="BS165" s="1">
        <v>-1.25761166</v>
      </c>
      <c r="BT165" s="1">
        <v>-1.0073918900000001</v>
      </c>
      <c r="BU165" s="128">
        <v>0.56573227999999998</v>
      </c>
      <c r="BV165" s="512"/>
    </row>
    <row r="166" spans="1:74" s="519" customFormat="1">
      <c r="A166" s="546">
        <v>62006023</v>
      </c>
      <c r="B166" s="543" t="s">
        <v>940</v>
      </c>
      <c r="C166" s="543" t="s">
        <v>943</v>
      </c>
      <c r="D166" s="513" t="s">
        <v>949</v>
      </c>
      <c r="E166" s="524" t="s">
        <v>950</v>
      </c>
      <c r="F166" s="524" t="s">
        <v>708</v>
      </c>
      <c r="G166" s="531">
        <v>23.805111</v>
      </c>
      <c r="H166" s="531">
        <v>41.649653999999998</v>
      </c>
      <c r="I166" s="531">
        <v>29.392676000000002</v>
      </c>
      <c r="J166" s="531">
        <v>33.264087000000004</v>
      </c>
      <c r="K166" s="578">
        <v>4250</v>
      </c>
      <c r="L166" s="578">
        <v>38.71</v>
      </c>
      <c r="M166" s="578">
        <v>3.0499999999999999E-2</v>
      </c>
      <c r="N166" s="578">
        <v>1.4999999999999999E-2</v>
      </c>
      <c r="O166" s="529">
        <v>8.0260290800000007</v>
      </c>
      <c r="P166" s="544">
        <v>73.099999999999994</v>
      </c>
      <c r="Q166" s="544">
        <v>70.7</v>
      </c>
      <c r="R166" s="530">
        <v>22224</v>
      </c>
      <c r="S166" s="530">
        <v>24179</v>
      </c>
      <c r="T166" s="530">
        <v>1955</v>
      </c>
      <c r="U166" s="530">
        <v>243.58247154519404</v>
      </c>
      <c r="V166" s="534">
        <v>22363</v>
      </c>
      <c r="W166" s="530">
        <v>24325</v>
      </c>
      <c r="X166" s="530">
        <v>1962</v>
      </c>
      <c r="Y166" s="533">
        <v>244.45463384740188</v>
      </c>
      <c r="Z166" s="534">
        <v>456</v>
      </c>
      <c r="AA166" s="530">
        <v>510</v>
      </c>
      <c r="AB166" s="530">
        <v>54</v>
      </c>
      <c r="AC166" s="533">
        <v>6.7281091884606026</v>
      </c>
      <c r="AD166" s="534">
        <v>20442</v>
      </c>
      <c r="AE166" s="530">
        <v>22276</v>
      </c>
      <c r="AF166" s="530">
        <v>1834</v>
      </c>
      <c r="AG166" s="533">
        <v>228.50652317845822</v>
      </c>
      <c r="AH166" s="534">
        <v>1281.3</v>
      </c>
      <c r="AI166" s="530">
        <v>1345.6</v>
      </c>
      <c r="AJ166" s="530">
        <v>64.299999999999955</v>
      </c>
      <c r="AK166" s="533">
        <v>8.0114337188521567</v>
      </c>
      <c r="AL166" s="534">
        <v>1029.6632059999999</v>
      </c>
      <c r="AM166" s="530">
        <v>1081.5229420000001</v>
      </c>
      <c r="AN166" s="530">
        <v>51.859736000000112</v>
      </c>
      <c r="AO166" s="533">
        <v>6.4614438202359601</v>
      </c>
      <c r="AP166" s="534">
        <v>1.2</v>
      </c>
      <c r="AQ166" s="530">
        <v>1.2</v>
      </c>
      <c r="AR166" s="530">
        <v>0</v>
      </c>
      <c r="AS166" s="533">
        <v>0</v>
      </c>
      <c r="AT166" s="534">
        <v>25</v>
      </c>
      <c r="AU166" s="530">
        <v>25.6</v>
      </c>
      <c r="AV166" s="530">
        <v>0.60000000000000142</v>
      </c>
      <c r="AW166" s="533">
        <v>7.4756768760673539E-2</v>
      </c>
      <c r="AX166" s="534">
        <v>-62.08</v>
      </c>
      <c r="AY166" s="530">
        <v>-63</v>
      </c>
      <c r="AZ166" s="530">
        <v>-0.92000000000000171</v>
      </c>
      <c r="BA166" s="530">
        <v>-5.5079779999999996</v>
      </c>
      <c r="BB166" s="533">
        <v>-0.1146270454330327</v>
      </c>
      <c r="BC166" s="545"/>
      <c r="BD166" s="545"/>
      <c r="BE166" s="545"/>
      <c r="BF166" s="545"/>
      <c r="BG166" s="545"/>
      <c r="BH166" s="567"/>
      <c r="BI166" s="574" t="s">
        <v>723</v>
      </c>
      <c r="BJ166" s="1">
        <v>9032.8334674599992</v>
      </c>
      <c r="BK166" s="1">
        <v>-3.1544444399999998</v>
      </c>
      <c r="BL166" s="1">
        <v>3484.9181164699999</v>
      </c>
      <c r="BM166" s="1">
        <v>3598.42854549</v>
      </c>
      <c r="BN166" s="1">
        <v>8.9035652899999995</v>
      </c>
      <c r="BO166" s="1">
        <v>8.9933311800000002</v>
      </c>
      <c r="BP166" s="1">
        <v>0.22530668000000001</v>
      </c>
      <c r="BQ166" s="1">
        <v>8.0259942899999999</v>
      </c>
      <c r="BR166" s="1">
        <v>8.0079518400000005</v>
      </c>
      <c r="BS166" s="1">
        <v>-1.2357798200000001</v>
      </c>
      <c r="BT166" s="1">
        <v>-0.99813834000000001</v>
      </c>
      <c r="BU166" s="128">
        <v>0.56573572000000005</v>
      </c>
      <c r="BV166" s="512"/>
    </row>
    <row r="167" spans="1:74" s="519" customFormat="1">
      <c r="A167" s="546">
        <v>62006023</v>
      </c>
      <c r="B167" s="543" t="s">
        <v>941</v>
      </c>
      <c r="C167" s="543" t="s">
        <v>944</v>
      </c>
      <c r="D167" s="513" t="s">
        <v>949</v>
      </c>
      <c r="E167" s="524" t="s">
        <v>950</v>
      </c>
      <c r="F167" s="524" t="s">
        <v>708</v>
      </c>
      <c r="G167" s="531">
        <v>23.894134000000001</v>
      </c>
      <c r="H167" s="531">
        <v>41.400123999999998</v>
      </c>
      <c r="I167" s="531">
        <v>29.394321999999999</v>
      </c>
      <c r="J167" s="531">
        <v>33.329196000000003</v>
      </c>
      <c r="K167" s="578">
        <v>4250</v>
      </c>
      <c r="L167" s="578">
        <v>38.71</v>
      </c>
      <c r="M167" s="578">
        <v>3.0499999999999999E-2</v>
      </c>
      <c r="N167" s="578">
        <v>1.4999999999999999E-2</v>
      </c>
      <c r="O167" s="529">
        <v>8.0269273400000003</v>
      </c>
      <c r="P167" s="544">
        <v>70.7</v>
      </c>
      <c r="Q167" s="544">
        <v>68.3</v>
      </c>
      <c r="R167" s="530">
        <v>24179</v>
      </c>
      <c r="S167" s="530">
        <v>26131</v>
      </c>
      <c r="T167" s="530">
        <v>1952</v>
      </c>
      <c r="U167" s="530">
        <v>243.18147123031014</v>
      </c>
      <c r="V167" s="534">
        <v>24325</v>
      </c>
      <c r="W167" s="530">
        <v>26283.258546000001</v>
      </c>
      <c r="X167" s="530">
        <v>1958.2585460000009</v>
      </c>
      <c r="Y167" s="533">
        <v>243.96116509508616</v>
      </c>
      <c r="Z167" s="534">
        <v>510</v>
      </c>
      <c r="AA167" s="530">
        <v>565</v>
      </c>
      <c r="AB167" s="530">
        <v>55</v>
      </c>
      <c r="AC167" s="533">
        <v>6.8519369455261563</v>
      </c>
      <c r="AD167" s="534">
        <v>22276</v>
      </c>
      <c r="AE167" s="530">
        <v>24107</v>
      </c>
      <c r="AF167" s="530">
        <v>1831</v>
      </c>
      <c r="AG167" s="533">
        <v>228.10720995015259</v>
      </c>
      <c r="AH167" s="534">
        <v>1345.6</v>
      </c>
      <c r="AI167" s="530">
        <v>1409.7</v>
      </c>
      <c r="AJ167" s="530">
        <v>64.100000000000136</v>
      </c>
      <c r="AK167" s="533">
        <v>7.9856210583314109</v>
      </c>
      <c r="AL167" s="534">
        <v>1081.542942</v>
      </c>
      <c r="AM167" s="530">
        <v>1133.2825809999999</v>
      </c>
      <c r="AN167" s="530">
        <v>51.739638999999897</v>
      </c>
      <c r="AO167" s="533">
        <v>6.4457589820415508</v>
      </c>
      <c r="AP167" s="534">
        <v>1.2</v>
      </c>
      <c r="AQ167" s="530">
        <v>1.2</v>
      </c>
      <c r="AR167" s="530">
        <v>0</v>
      </c>
      <c r="AS167" s="533">
        <v>0</v>
      </c>
      <c r="AT167" s="534">
        <v>25.6</v>
      </c>
      <c r="AU167" s="530">
        <v>26.2</v>
      </c>
      <c r="AV167" s="530">
        <v>0.59999999999999787</v>
      </c>
      <c r="AW167" s="533">
        <v>7.4748403042103256E-2</v>
      </c>
      <c r="AX167" s="534">
        <v>-63</v>
      </c>
      <c r="AY167" s="530">
        <v>-63.84</v>
      </c>
      <c r="AZ167" s="530">
        <v>-0.84000000000000341</v>
      </c>
      <c r="BA167" s="530">
        <v>-4.9995250000000002</v>
      </c>
      <c r="BB167" s="533">
        <v>-0.10464776425894537</v>
      </c>
      <c r="BC167" s="545"/>
      <c r="BD167" s="545"/>
      <c r="BE167" s="545"/>
      <c r="BF167" s="545"/>
      <c r="BG167" s="545"/>
      <c r="BH167" s="567"/>
      <c r="BI167" s="574" t="s">
        <v>723</v>
      </c>
      <c r="BJ167" s="1">
        <v>9032.5819643100003</v>
      </c>
      <c r="BK167" s="1">
        <v>-3.0913243000000001</v>
      </c>
      <c r="BL167" s="1">
        <v>3487.1132576099999</v>
      </c>
      <c r="BM167" s="1">
        <v>3598.34992302</v>
      </c>
      <c r="BN167" s="1">
        <v>8.9053355399999994</v>
      </c>
      <c r="BO167" s="1">
        <v>8.9931895199999996</v>
      </c>
      <c r="BP167" s="1">
        <v>0.23666922000000001</v>
      </c>
      <c r="BQ167" s="1">
        <v>8.0269032100000004</v>
      </c>
      <c r="BR167" s="1">
        <v>8.0079508500000003</v>
      </c>
      <c r="BS167" s="1">
        <v>-1.2255360099999999</v>
      </c>
      <c r="BT167" s="1">
        <v>-0.97689459999999995</v>
      </c>
      <c r="BU167" s="128">
        <v>0.56572306999999999</v>
      </c>
      <c r="BV167" s="512"/>
    </row>
    <row r="168" spans="1:74" s="519" customFormat="1" ht="22.5">
      <c r="A168" s="546">
        <v>62006024</v>
      </c>
      <c r="B168" s="547" t="s">
        <v>974</v>
      </c>
      <c r="C168" s="543" t="s">
        <v>695</v>
      </c>
      <c r="D168" s="513" t="s">
        <v>951</v>
      </c>
      <c r="E168" s="524" t="s">
        <v>952</v>
      </c>
      <c r="F168" s="524" t="s">
        <v>708</v>
      </c>
      <c r="G168" s="531">
        <v>22.068380999999999</v>
      </c>
      <c r="H168" s="531">
        <v>48.657865999999999</v>
      </c>
      <c r="I168" s="531">
        <v>29.403231999999999</v>
      </c>
      <c r="J168" s="531">
        <v>31.194237999999999</v>
      </c>
      <c r="K168" s="578">
        <v>4250</v>
      </c>
      <c r="L168" s="578">
        <v>38.71</v>
      </c>
      <c r="M168" s="578">
        <v>3.0499999999999999E-2</v>
      </c>
      <c r="N168" s="578">
        <v>1.4999999999999999E-2</v>
      </c>
      <c r="O168" s="529">
        <v>7.7524794000000004</v>
      </c>
      <c r="P168" s="544">
        <v>68.3</v>
      </c>
      <c r="Q168" s="544">
        <v>66.099999999999994</v>
      </c>
      <c r="R168" s="530">
        <v>26171</v>
      </c>
      <c r="S168" s="530">
        <v>27889</v>
      </c>
      <c r="T168" s="530">
        <v>1718</v>
      </c>
      <c r="U168" s="530">
        <v>221.60652242429691</v>
      </c>
      <c r="V168" s="534">
        <v>26330</v>
      </c>
      <c r="W168" s="530">
        <v>28057</v>
      </c>
      <c r="X168" s="530">
        <v>1727</v>
      </c>
      <c r="Y168" s="533">
        <v>222.76744134270126</v>
      </c>
      <c r="Z168" s="534">
        <v>565</v>
      </c>
      <c r="AA168" s="530">
        <v>629</v>
      </c>
      <c r="AB168" s="530">
        <v>64</v>
      </c>
      <c r="AC168" s="533">
        <v>8.2554234197642629</v>
      </c>
      <c r="AD168" s="534">
        <v>24108</v>
      </c>
      <c r="AE168" s="530">
        <v>25671</v>
      </c>
      <c r="AF168" s="530">
        <v>1563</v>
      </c>
      <c r="AG168" s="533">
        <v>201.61291882955535</v>
      </c>
      <c r="AH168" s="534">
        <v>1448.7</v>
      </c>
      <c r="AI168" s="530">
        <v>1536.8</v>
      </c>
      <c r="AJ168" s="530">
        <v>88.099999999999909</v>
      </c>
      <c r="AK168" s="533">
        <v>11.364106301269231</v>
      </c>
      <c r="AL168" s="534">
        <v>1161.81</v>
      </c>
      <c r="AM168" s="530">
        <v>1232.52</v>
      </c>
      <c r="AN168" s="530">
        <v>70.710000000000036</v>
      </c>
      <c r="AO168" s="533">
        <v>9.120952968930176</v>
      </c>
      <c r="AP168" s="534">
        <v>1.2</v>
      </c>
      <c r="AQ168" s="530">
        <v>1.1000000000000001</v>
      </c>
      <c r="AR168" s="530">
        <v>-9.9999999999999867E-2</v>
      </c>
      <c r="AS168" s="533">
        <v>-1.2899099093381643E-2</v>
      </c>
      <c r="AT168" s="534">
        <v>26.7</v>
      </c>
      <c r="AU168" s="530">
        <v>27.5</v>
      </c>
      <c r="AV168" s="530">
        <v>0.80000000000000071</v>
      </c>
      <c r="AW168" s="533">
        <v>0.10319279274705337</v>
      </c>
      <c r="AX168" s="534">
        <v>-64.540000000000006</v>
      </c>
      <c r="AY168" s="530">
        <v>-65.55</v>
      </c>
      <c r="AZ168" s="530">
        <v>-1.0099999999999909</v>
      </c>
      <c r="BA168" s="530">
        <v>-4.2668819999999998</v>
      </c>
      <c r="BB168" s="533">
        <v>-0.13028090084315358</v>
      </c>
      <c r="BC168" s="545"/>
      <c r="BD168" s="545"/>
      <c r="BE168" s="545"/>
      <c r="BF168" s="545"/>
      <c r="BG168" s="545"/>
      <c r="BH168" s="567"/>
      <c r="BI168" s="574" t="s">
        <v>723</v>
      </c>
      <c r="BJ168" s="1">
        <v>1659.0497552300001</v>
      </c>
      <c r="BK168" s="1">
        <v>-2.1299899</v>
      </c>
      <c r="BL168" s="1">
        <v>5108.5836529500002</v>
      </c>
      <c r="BM168" s="1">
        <v>5219.7641011200003</v>
      </c>
      <c r="BN168" s="1">
        <v>8.84614981</v>
      </c>
      <c r="BO168" s="1">
        <v>9.0321642499999992</v>
      </c>
      <c r="BP168" s="1">
        <v>0.25974438</v>
      </c>
      <c r="BQ168" s="1">
        <v>7.7524223000000001</v>
      </c>
      <c r="BR168" s="1">
        <v>7.7323379900000004</v>
      </c>
      <c r="BS168" s="1">
        <v>-2.3679790600000001</v>
      </c>
      <c r="BT168" s="1">
        <v>-2.0594669300000001</v>
      </c>
      <c r="BU168" s="128">
        <v>0.73999570000000003</v>
      </c>
      <c r="BV168" s="512"/>
    </row>
    <row r="169" spans="1:74" s="519" customFormat="1" ht="22.5">
      <c r="A169" s="546">
        <v>62006025</v>
      </c>
      <c r="B169" s="547" t="s">
        <v>973</v>
      </c>
      <c r="C169" s="543" t="s">
        <v>695</v>
      </c>
      <c r="D169" s="513" t="s">
        <v>953</v>
      </c>
      <c r="E169" s="524" t="s">
        <v>954</v>
      </c>
      <c r="F169" s="524" t="s">
        <v>708</v>
      </c>
      <c r="G169" s="531">
        <v>23.095635999999999</v>
      </c>
      <c r="H169" s="531">
        <v>43.056486999999997</v>
      </c>
      <c r="I169" s="531">
        <v>29.405418999999998</v>
      </c>
      <c r="J169" s="531">
        <v>31.359000000000002</v>
      </c>
      <c r="K169" s="578">
        <v>4250</v>
      </c>
      <c r="L169" s="578">
        <v>38.71</v>
      </c>
      <c r="M169" s="578">
        <v>3.0499999999999999E-2</v>
      </c>
      <c r="N169" s="578">
        <v>1.4999999999999999E-2</v>
      </c>
      <c r="O169" s="529">
        <v>7.7597499699999997</v>
      </c>
      <c r="P169" s="544">
        <v>66.099999999999994</v>
      </c>
      <c r="Q169" s="544">
        <v>63.8</v>
      </c>
      <c r="R169" s="530">
        <v>27944</v>
      </c>
      <c r="S169" s="530">
        <v>29802</v>
      </c>
      <c r="T169" s="530">
        <v>1858</v>
      </c>
      <c r="U169" s="530">
        <v>239.44070455661861</v>
      </c>
      <c r="V169" s="534">
        <v>28118</v>
      </c>
      <c r="W169" s="530">
        <v>29986</v>
      </c>
      <c r="X169" s="530">
        <v>1868</v>
      </c>
      <c r="Y169" s="533">
        <v>240.72940587285444</v>
      </c>
      <c r="Z169" s="534">
        <v>629</v>
      </c>
      <c r="AA169" s="530">
        <v>695</v>
      </c>
      <c r="AB169" s="530">
        <v>66</v>
      </c>
      <c r="AC169" s="533">
        <v>8.5054286871565274</v>
      </c>
      <c r="AD169" s="534">
        <v>25672</v>
      </c>
      <c r="AE169" s="530">
        <v>27372</v>
      </c>
      <c r="AF169" s="530">
        <v>1700</v>
      </c>
      <c r="AG169" s="533">
        <v>219.07922376009236</v>
      </c>
      <c r="AH169" s="534">
        <v>1590.440008</v>
      </c>
      <c r="AI169" s="530">
        <v>1679.7</v>
      </c>
      <c r="AJ169" s="530">
        <v>89.259992000000011</v>
      </c>
      <c r="AK169" s="533">
        <v>11.502946917760033</v>
      </c>
      <c r="AL169" s="534">
        <v>1276.1220020000001</v>
      </c>
      <c r="AM169" s="530">
        <v>1347.9519150000001</v>
      </c>
      <c r="AN169" s="530">
        <v>71.829913000000033</v>
      </c>
      <c r="AO169" s="533">
        <v>9.2567303428205729</v>
      </c>
      <c r="AP169" s="534">
        <v>1.1000000000000001</v>
      </c>
      <c r="AQ169" s="530">
        <v>1</v>
      </c>
      <c r="AR169" s="530">
        <v>-0.10000000000000009</v>
      </c>
      <c r="AS169" s="533">
        <v>-1.2887013162358386E-2</v>
      </c>
      <c r="AT169" s="534">
        <v>27.9</v>
      </c>
      <c r="AU169" s="530">
        <v>28.6</v>
      </c>
      <c r="AV169" s="530">
        <v>0.70000000000000284</v>
      </c>
      <c r="AW169" s="533">
        <v>9.0209092136508989E-2</v>
      </c>
      <c r="AX169" s="534">
        <v>-66.09</v>
      </c>
      <c r="AY169" s="530">
        <v>-66.98</v>
      </c>
      <c r="AZ169" s="530">
        <v>-0.89000000000000057</v>
      </c>
      <c r="BA169" s="530">
        <v>-3.6463969999999999</v>
      </c>
      <c r="BB169" s="533">
        <v>-0.11469441714498961</v>
      </c>
      <c r="BC169" s="545"/>
      <c r="BD169" s="545"/>
      <c r="BE169" s="545"/>
      <c r="BF169" s="545"/>
      <c r="BG169" s="545"/>
      <c r="BH169" s="567"/>
      <c r="BI169" s="574" t="s">
        <v>723</v>
      </c>
      <c r="BJ169" s="1">
        <v>1658.7477775499999</v>
      </c>
      <c r="BK169" s="1">
        <v>-2.1330504700000001</v>
      </c>
      <c r="BL169" s="1">
        <v>5108.3843118499999</v>
      </c>
      <c r="BM169" s="1">
        <v>5219.7236519400003</v>
      </c>
      <c r="BN169" s="1">
        <v>8.8454559899999996</v>
      </c>
      <c r="BO169" s="1">
        <v>9.0320845300000006</v>
      </c>
      <c r="BP169" s="1">
        <v>0.35448011000000001</v>
      </c>
      <c r="BQ169" s="1">
        <v>7.7597463400000004</v>
      </c>
      <c r="BR169" s="1">
        <v>7.73233675</v>
      </c>
      <c r="BS169" s="1">
        <v>-2.4718395900000001</v>
      </c>
      <c r="BT169" s="1">
        <v>-2.0662842499999998</v>
      </c>
      <c r="BU169" s="128">
        <v>0.73999402000000003</v>
      </c>
      <c r="BV169" s="512"/>
    </row>
    <row r="170" spans="1:74" s="519" customFormat="1" ht="22.5">
      <c r="A170" s="546">
        <v>62006026</v>
      </c>
      <c r="B170" s="547" t="s">
        <v>975</v>
      </c>
      <c r="C170" s="543" t="s">
        <v>695</v>
      </c>
      <c r="D170" s="513" t="s">
        <v>955</v>
      </c>
      <c r="E170" s="524" t="s">
        <v>956</v>
      </c>
      <c r="F170" s="524" t="s">
        <v>708</v>
      </c>
      <c r="G170" s="531">
        <v>22.350743999999999</v>
      </c>
      <c r="H170" s="531">
        <v>45.843372000000002</v>
      </c>
      <c r="I170" s="531">
        <v>29.403276999999999</v>
      </c>
      <c r="J170" s="531">
        <v>31.845172999999999</v>
      </c>
      <c r="K170" s="578">
        <v>4250</v>
      </c>
      <c r="L170" s="578">
        <v>38.71</v>
      </c>
      <c r="M170" s="578">
        <v>3.0499999999999999E-2</v>
      </c>
      <c r="N170" s="578">
        <v>1.4999999999999999E-2</v>
      </c>
      <c r="O170" s="529">
        <v>7.7602214700000003</v>
      </c>
      <c r="P170" s="544">
        <v>63.7</v>
      </c>
      <c r="Q170" s="544">
        <v>61.4</v>
      </c>
      <c r="R170" s="530">
        <v>29818</v>
      </c>
      <c r="S170" s="530">
        <v>31670</v>
      </c>
      <c r="T170" s="530">
        <v>1852</v>
      </c>
      <c r="U170" s="530">
        <v>238.65298267060925</v>
      </c>
      <c r="V170" s="534">
        <v>30003</v>
      </c>
      <c r="W170" s="530">
        <v>31865</v>
      </c>
      <c r="X170" s="530">
        <v>1862</v>
      </c>
      <c r="Y170" s="533">
        <v>239.94160568718922</v>
      </c>
      <c r="Z170" s="534">
        <v>695</v>
      </c>
      <c r="AA170" s="530">
        <v>758</v>
      </c>
      <c r="AB170" s="530">
        <v>63</v>
      </c>
      <c r="AC170" s="533">
        <v>8.1183250044537711</v>
      </c>
      <c r="AD170" s="534">
        <v>27372</v>
      </c>
      <c r="AE170" s="530">
        <v>29069</v>
      </c>
      <c r="AF170" s="530">
        <v>1697</v>
      </c>
      <c r="AG170" s="533">
        <v>218.67932591361983</v>
      </c>
      <c r="AH170" s="534">
        <v>1694.7</v>
      </c>
      <c r="AI170" s="530">
        <v>1784</v>
      </c>
      <c r="AJ170" s="530">
        <v>89.299999999999955</v>
      </c>
      <c r="AK170" s="533">
        <v>11.507403538059069</v>
      </c>
      <c r="AL170" s="534">
        <v>1360.09</v>
      </c>
      <c r="AM170" s="530">
        <v>1432.041397</v>
      </c>
      <c r="AN170" s="530">
        <v>71.951397000000043</v>
      </c>
      <c r="AO170" s="533">
        <v>9.2718226249282605</v>
      </c>
      <c r="AP170" s="534">
        <v>1</v>
      </c>
      <c r="AQ170" s="530">
        <v>0.9</v>
      </c>
      <c r="AR170" s="530">
        <v>-9.9999999999999978E-2</v>
      </c>
      <c r="AS170" s="533">
        <v>-1.2886230165799633E-2</v>
      </c>
      <c r="AT170" s="534">
        <v>28.8</v>
      </c>
      <c r="AU170" s="530">
        <v>29.5</v>
      </c>
      <c r="AV170" s="530">
        <v>0.69999999999999929</v>
      </c>
      <c r="AW170" s="533">
        <v>9.0203611160597358E-2</v>
      </c>
      <c r="AX170" s="534">
        <v>-67.12</v>
      </c>
      <c r="AY170" s="530">
        <v>-67.94</v>
      </c>
      <c r="AZ170" s="530">
        <v>-0.81999999999999318</v>
      </c>
      <c r="BA170" s="530">
        <v>-3.6683759999999999</v>
      </c>
      <c r="BB170" s="533">
        <v>-0.10566708735955614</v>
      </c>
      <c r="BC170" s="545"/>
      <c r="BD170" s="545"/>
      <c r="BE170" s="545"/>
      <c r="BF170" s="545"/>
      <c r="BG170" s="545"/>
      <c r="BH170" s="567"/>
      <c r="BI170" s="574" t="s">
        <v>723</v>
      </c>
      <c r="BJ170" s="1">
        <v>1659.22109572</v>
      </c>
      <c r="BK170" s="1">
        <v>-2.1383282000000001</v>
      </c>
      <c r="BL170" s="1">
        <v>5108.2011657399999</v>
      </c>
      <c r="BM170" s="1">
        <v>5219.8180060000004</v>
      </c>
      <c r="BN170" s="1">
        <v>8.8456878999999997</v>
      </c>
      <c r="BO170" s="1">
        <v>9.0322563200000001</v>
      </c>
      <c r="BP170" s="1">
        <v>0.35956199999999999</v>
      </c>
      <c r="BQ170" s="1">
        <v>7.7601409500000003</v>
      </c>
      <c r="BR170" s="1">
        <v>7.7323383999999997</v>
      </c>
      <c r="BS170" s="1">
        <v>-2.4762911600000002</v>
      </c>
      <c r="BT170" s="1">
        <v>-2.0655793899999999</v>
      </c>
      <c r="BU170" s="128">
        <v>0.73999872</v>
      </c>
      <c r="BV170" s="512"/>
    </row>
    <row r="171" spans="1:74" s="519" customFormat="1" ht="22.5">
      <c r="A171" s="546">
        <v>62006027</v>
      </c>
      <c r="B171" s="547" t="s">
        <v>976</v>
      </c>
      <c r="C171" s="543" t="s">
        <v>695</v>
      </c>
      <c r="D171" s="513" t="s">
        <v>957</v>
      </c>
      <c r="E171" s="524" t="s">
        <v>958</v>
      </c>
      <c r="F171" s="524" t="s">
        <v>959</v>
      </c>
      <c r="G171" s="531">
        <v>21.984034999999999</v>
      </c>
      <c r="H171" s="531">
        <v>48.402566</v>
      </c>
      <c r="I171" s="531">
        <v>29.402771000000001</v>
      </c>
      <c r="J171" s="531">
        <v>31.702075000000001</v>
      </c>
      <c r="K171" s="578">
        <v>4250</v>
      </c>
      <c r="L171" s="578">
        <v>38.71</v>
      </c>
      <c r="M171" s="578">
        <v>3.0499999999999999E-2</v>
      </c>
      <c r="N171" s="578">
        <v>1.4999999999999999E-2</v>
      </c>
      <c r="O171" s="529">
        <v>7.75794988</v>
      </c>
      <c r="P171" s="544">
        <v>61.4</v>
      </c>
      <c r="Q171" s="544">
        <v>59</v>
      </c>
      <c r="R171" s="530">
        <v>31686</v>
      </c>
      <c r="S171" s="530">
        <v>33613</v>
      </c>
      <c r="T171" s="530">
        <v>1927</v>
      </c>
      <c r="U171" s="530">
        <v>248.39036469774152</v>
      </c>
      <c r="V171" s="534">
        <v>31883</v>
      </c>
      <c r="W171" s="530">
        <v>33819</v>
      </c>
      <c r="X171" s="530">
        <v>1936</v>
      </c>
      <c r="Y171" s="533">
        <v>249.55046499991053</v>
      </c>
      <c r="Z171" s="534">
        <v>758</v>
      </c>
      <c r="AA171" s="530">
        <v>830</v>
      </c>
      <c r="AB171" s="530">
        <v>72</v>
      </c>
      <c r="AC171" s="533">
        <v>9.280802417352044</v>
      </c>
      <c r="AD171" s="534">
        <v>29069</v>
      </c>
      <c r="AE171" s="530">
        <v>30832</v>
      </c>
      <c r="AF171" s="530">
        <v>1763</v>
      </c>
      <c r="AG171" s="533">
        <v>227.25075919155074</v>
      </c>
      <c r="AH171" s="534">
        <v>1799.614184</v>
      </c>
      <c r="AI171" s="530">
        <v>1889.2</v>
      </c>
      <c r="AJ171" s="530">
        <v>89.585816000000023</v>
      </c>
      <c r="AK171" s="533">
        <v>11.547614690184107</v>
      </c>
      <c r="AL171" s="534">
        <v>1444.7214180000001</v>
      </c>
      <c r="AM171" s="530">
        <v>1516.911065</v>
      </c>
      <c r="AN171" s="530">
        <v>72.189646999999923</v>
      </c>
      <c r="AO171" s="533">
        <v>9.305247922019305</v>
      </c>
      <c r="AP171" s="534">
        <v>0.9</v>
      </c>
      <c r="AQ171" s="530">
        <v>0.9</v>
      </c>
      <c r="AR171" s="530">
        <v>0</v>
      </c>
      <c r="AS171" s="533">
        <v>0</v>
      </c>
      <c r="AT171" s="534">
        <v>29.6</v>
      </c>
      <c r="AU171" s="530">
        <v>30.4</v>
      </c>
      <c r="AV171" s="530">
        <v>0.79999999999999716</v>
      </c>
      <c r="AW171" s="533">
        <v>0.10312002685946679</v>
      </c>
      <c r="AX171" s="534">
        <v>-68.08</v>
      </c>
      <c r="AY171" s="530">
        <v>-68.86</v>
      </c>
      <c r="AZ171" s="530">
        <v>-0.78000000000000114</v>
      </c>
      <c r="BA171" s="530">
        <v>-3.2947289999999998</v>
      </c>
      <c r="BB171" s="533">
        <v>-0.10054202618798062</v>
      </c>
      <c r="BC171" s="545"/>
      <c r="BD171" s="545"/>
      <c r="BE171" s="545"/>
      <c r="BF171" s="545"/>
      <c r="BG171" s="545"/>
      <c r="BH171" s="567"/>
      <c r="BI171" s="574" t="s">
        <v>723</v>
      </c>
      <c r="BJ171" s="1">
        <v>1659.2750717199999</v>
      </c>
      <c r="BK171" s="1">
        <v>-0.12355417</v>
      </c>
      <c r="BL171" s="1">
        <v>5213.3665309999997</v>
      </c>
      <c r="BM171" s="1">
        <v>5219.8158308900001</v>
      </c>
      <c r="BN171" s="1">
        <v>9.0613588699999994</v>
      </c>
      <c r="BO171" s="1">
        <v>9.0322613700000005</v>
      </c>
      <c r="BP171" s="1">
        <v>0.33020521000000003</v>
      </c>
      <c r="BQ171" s="1">
        <v>7.7578705299999999</v>
      </c>
      <c r="BR171" s="1">
        <v>7.7323379399999999</v>
      </c>
      <c r="BS171" s="1">
        <v>-8.0285200000000008E-3</v>
      </c>
      <c r="BT171" s="1">
        <v>0.32215082</v>
      </c>
      <c r="BU171" s="128">
        <v>0.73999888000000003</v>
      </c>
      <c r="BV171" s="512"/>
    </row>
    <row r="172" spans="1:74" s="519" customFormat="1" ht="22.5">
      <c r="A172" s="546">
        <v>62006028</v>
      </c>
      <c r="B172" s="547" t="s">
        <v>977</v>
      </c>
      <c r="C172" s="543" t="s">
        <v>695</v>
      </c>
      <c r="D172" s="513" t="s">
        <v>960</v>
      </c>
      <c r="E172" s="524" t="s">
        <v>961</v>
      </c>
      <c r="F172" s="524" t="s">
        <v>708</v>
      </c>
      <c r="G172" s="531">
        <v>22.32319</v>
      </c>
      <c r="H172" s="531">
        <v>45.170369000000001</v>
      </c>
      <c r="I172" s="531">
        <v>29.40297</v>
      </c>
      <c r="J172" s="531">
        <v>31.715831999999999</v>
      </c>
      <c r="K172" s="578">
        <v>4250</v>
      </c>
      <c r="L172" s="578">
        <v>38.71</v>
      </c>
      <c r="M172" s="578">
        <v>3.0499999999999999E-2</v>
      </c>
      <c r="N172" s="578">
        <v>1.4999999999999999E-2</v>
      </c>
      <c r="O172" s="529">
        <v>7.7527130599999996</v>
      </c>
      <c r="P172" s="544">
        <v>59</v>
      </c>
      <c r="Q172" s="544">
        <v>56.7</v>
      </c>
      <c r="R172" s="530">
        <v>33631</v>
      </c>
      <c r="S172" s="530">
        <v>35403</v>
      </c>
      <c r="T172" s="530">
        <v>1772</v>
      </c>
      <c r="U172" s="530">
        <v>228.56514697320682</v>
      </c>
      <c r="V172" s="534">
        <v>33839</v>
      </c>
      <c r="W172" s="530">
        <v>35620</v>
      </c>
      <c r="X172" s="530">
        <v>1781</v>
      </c>
      <c r="Y172" s="533">
        <v>229.726030902529</v>
      </c>
      <c r="Z172" s="534">
        <v>829</v>
      </c>
      <c r="AA172" s="530">
        <v>901</v>
      </c>
      <c r="AB172" s="530">
        <v>72</v>
      </c>
      <c r="AC172" s="533">
        <v>9.2870714345772534</v>
      </c>
      <c r="AD172" s="534">
        <v>30833</v>
      </c>
      <c r="AE172" s="530">
        <v>32442</v>
      </c>
      <c r="AF172" s="530">
        <v>1609</v>
      </c>
      <c r="AG172" s="533">
        <v>207.54024914215</v>
      </c>
      <c r="AH172" s="534">
        <v>1906.1</v>
      </c>
      <c r="AI172" s="530">
        <v>1994.7</v>
      </c>
      <c r="AJ172" s="530">
        <v>88.600000000000136</v>
      </c>
      <c r="AK172" s="533">
        <v>11.42825734866036</v>
      </c>
      <c r="AL172" s="534">
        <v>1530.630977</v>
      </c>
      <c r="AM172" s="530">
        <v>1601.9105300000001</v>
      </c>
      <c r="AN172" s="530">
        <v>71.279553000000078</v>
      </c>
      <c r="AO172" s="533">
        <v>9.1941430629963339</v>
      </c>
      <c r="AP172" s="534">
        <v>0.9</v>
      </c>
      <c r="AQ172" s="530">
        <v>0.8</v>
      </c>
      <c r="AR172" s="530">
        <v>-9.9999999999999978E-2</v>
      </c>
      <c r="AS172" s="533">
        <v>-1.2898710325801737E-2</v>
      </c>
      <c r="AT172" s="534">
        <v>30.5</v>
      </c>
      <c r="AU172" s="530">
        <v>31.3</v>
      </c>
      <c r="AV172" s="530">
        <v>0.80000000000000071</v>
      </c>
      <c r="AW172" s="533">
        <v>0.10318968260641401</v>
      </c>
      <c r="AX172" s="534">
        <v>-69</v>
      </c>
      <c r="AY172" s="530">
        <v>-69.739999999999995</v>
      </c>
      <c r="AZ172" s="530">
        <v>-0.73999999999999488</v>
      </c>
      <c r="BA172" s="530">
        <v>-3.1692610000000001</v>
      </c>
      <c r="BB172" s="533">
        <v>-9.5450456410932222E-2</v>
      </c>
      <c r="BC172" s="545"/>
      <c r="BD172" s="545"/>
      <c r="BE172" s="545"/>
      <c r="BF172" s="545"/>
      <c r="BG172" s="545"/>
      <c r="BH172" s="567"/>
      <c r="BI172" s="574" t="s">
        <v>723</v>
      </c>
      <c r="BJ172" s="1">
        <v>1659.1823881600001</v>
      </c>
      <c r="BK172" s="1">
        <v>-0.13698852</v>
      </c>
      <c r="BL172" s="1">
        <v>5212.6586234599999</v>
      </c>
      <c r="BM172" s="1">
        <v>5219.8091626200003</v>
      </c>
      <c r="BN172" s="1">
        <v>9.0598528900000002</v>
      </c>
      <c r="BO172" s="1">
        <v>9.0322457600000003</v>
      </c>
      <c r="BP172" s="1">
        <v>0.26289948000000002</v>
      </c>
      <c r="BQ172" s="1">
        <v>7.75266638</v>
      </c>
      <c r="BR172" s="1">
        <v>7.7323380999999998</v>
      </c>
      <c r="BS172" s="1">
        <v>4.2621060000000002E-2</v>
      </c>
      <c r="BT172" s="1">
        <v>0.30565081</v>
      </c>
      <c r="BU172" s="128">
        <v>0.73999815999999996</v>
      </c>
      <c r="BV172" s="512"/>
    </row>
    <row r="173" spans="1:74" s="519" customFormat="1">
      <c r="A173" s="546">
        <v>62006029</v>
      </c>
      <c r="B173" s="543" t="s">
        <v>942</v>
      </c>
      <c r="C173" s="543" t="s">
        <v>695</v>
      </c>
      <c r="D173" s="513" t="s">
        <v>963</v>
      </c>
      <c r="E173" s="524" t="s">
        <v>964</v>
      </c>
      <c r="F173" s="524" t="s">
        <v>965</v>
      </c>
      <c r="G173" s="531">
        <v>25.797079</v>
      </c>
      <c r="H173" s="531">
        <v>36.075499000000001</v>
      </c>
      <c r="I173" s="531">
        <v>29.402743000000001</v>
      </c>
      <c r="J173" s="531">
        <v>30.458407000000001</v>
      </c>
      <c r="K173" s="578">
        <v>4250</v>
      </c>
      <c r="L173" s="578">
        <v>38.71</v>
      </c>
      <c r="M173" s="578">
        <v>3.0499999999999999E-2</v>
      </c>
      <c r="N173" s="578">
        <v>1.4999999999999999E-2</v>
      </c>
      <c r="O173" s="529">
        <v>9.2066751199999999</v>
      </c>
      <c r="P173" s="544">
        <v>56.1</v>
      </c>
      <c r="Q173" s="544">
        <v>53.8</v>
      </c>
      <c r="R173" s="530">
        <v>35896.88839</v>
      </c>
      <c r="S173" s="530">
        <v>37755</v>
      </c>
      <c r="T173" s="530">
        <v>1858.1116099999999</v>
      </c>
      <c r="U173" s="530">
        <v>201.82221983303782</v>
      </c>
      <c r="V173" s="534">
        <v>36161.88839</v>
      </c>
      <c r="W173" s="530">
        <v>38027.145315000002</v>
      </c>
      <c r="X173" s="530">
        <v>1865.2569250000015</v>
      </c>
      <c r="Y173" s="533">
        <v>202.59832140139659</v>
      </c>
      <c r="Z173" s="534">
        <v>901</v>
      </c>
      <c r="AA173" s="530">
        <v>901</v>
      </c>
      <c r="AB173" s="530">
        <v>0</v>
      </c>
      <c r="AC173" s="533">
        <v>0</v>
      </c>
      <c r="AD173" s="534">
        <v>32756</v>
      </c>
      <c r="AE173" s="530">
        <v>34536</v>
      </c>
      <c r="AF173" s="530">
        <v>1780</v>
      </c>
      <c r="AG173" s="533">
        <v>193.33798323492923</v>
      </c>
      <c r="AH173" s="534">
        <v>2166.5</v>
      </c>
      <c r="AI173" s="530">
        <v>2243.8000000000002</v>
      </c>
      <c r="AJ173" s="530">
        <v>77.300000000000182</v>
      </c>
      <c r="AK173" s="533">
        <v>8.3960820809326204</v>
      </c>
      <c r="AL173" s="534">
        <v>1709.5788789999999</v>
      </c>
      <c r="AM173" s="530">
        <v>1774.0385450000001</v>
      </c>
      <c r="AN173" s="530">
        <v>64.459666000000198</v>
      </c>
      <c r="AO173" s="533">
        <v>7.0014055193467275</v>
      </c>
      <c r="AP173" s="534">
        <v>0.8</v>
      </c>
      <c r="AQ173" s="530">
        <v>0.7</v>
      </c>
      <c r="AR173" s="530">
        <v>-0.10000000000000009</v>
      </c>
      <c r="AS173" s="533">
        <v>-1.0861684451400528E-2</v>
      </c>
      <c r="AT173" s="534">
        <v>34.799999999999997</v>
      </c>
      <c r="AU173" s="530">
        <v>35.200000000000003</v>
      </c>
      <c r="AV173" s="530">
        <v>0.40000000000000568</v>
      </c>
      <c r="AW173" s="533">
        <v>4.3446737805602688E-2</v>
      </c>
      <c r="AX173" s="534">
        <v>-72.959999999999994</v>
      </c>
      <c r="AY173" s="530">
        <v>-73.39</v>
      </c>
      <c r="AZ173" s="530">
        <v>-0.43000000000000682</v>
      </c>
      <c r="BA173" s="530">
        <v>-2.532991</v>
      </c>
      <c r="BB173" s="533">
        <v>-4.6705243141022972E-2</v>
      </c>
      <c r="BC173" s="545"/>
      <c r="BD173" s="545"/>
      <c r="BE173" s="545"/>
      <c r="BF173" s="545"/>
      <c r="BG173" s="545"/>
      <c r="BH173" s="567"/>
      <c r="BI173" s="574" t="s">
        <v>723</v>
      </c>
      <c r="BJ173" s="1">
        <v>7875.9227012399997</v>
      </c>
      <c r="BK173" s="1">
        <v>10.230944129999999</v>
      </c>
      <c r="BL173" s="1">
        <v>542.05405390999999</v>
      </c>
      <c r="BM173" s="1">
        <v>491.74400000000003</v>
      </c>
      <c r="BN173" s="1">
        <v>6.2581401000000003</v>
      </c>
      <c r="BO173" s="1">
        <v>6.2222275500000004</v>
      </c>
      <c r="BP173" s="1">
        <v>0.28517013000000002</v>
      </c>
      <c r="BQ173" s="1">
        <v>9.2041439399999998</v>
      </c>
      <c r="BR173" s="1">
        <v>9.1779711099999997</v>
      </c>
      <c r="BS173" s="1">
        <v>0.29031965999999998</v>
      </c>
      <c r="BT173" s="1">
        <v>0.57716542000000004</v>
      </c>
      <c r="BU173" s="128">
        <v>9.5053970000000002E-2</v>
      </c>
      <c r="BV173" s="512"/>
    </row>
    <row r="174" spans="1:74" s="519" customFormat="1" ht="22.5">
      <c r="A174" s="546">
        <v>62006030</v>
      </c>
      <c r="B174" s="543" t="s">
        <v>838</v>
      </c>
      <c r="C174" s="543" t="s">
        <v>695</v>
      </c>
      <c r="D174" s="513" t="s">
        <v>967</v>
      </c>
      <c r="E174" s="524" t="s">
        <v>968</v>
      </c>
      <c r="F174" s="524" t="s">
        <v>969</v>
      </c>
      <c r="G174" s="531">
        <v>-83.666364000000002</v>
      </c>
      <c r="H174" s="531">
        <v>-115.79444700000001</v>
      </c>
      <c r="I174" s="531">
        <v>-94.329418000000004</v>
      </c>
      <c r="J174" s="531">
        <v>-110.18163699999999</v>
      </c>
      <c r="K174" s="578">
        <v>4250</v>
      </c>
      <c r="L174" s="578">
        <v>38.71</v>
      </c>
      <c r="M174" s="578">
        <v>3.0499999999999999E-2</v>
      </c>
      <c r="N174" s="578">
        <v>1.4999999999999999E-2</v>
      </c>
      <c r="O174" s="529">
        <v>89.380062690000003</v>
      </c>
      <c r="P174" s="544">
        <v>51.7</v>
      </c>
      <c r="Q174" s="544">
        <v>2.6</v>
      </c>
      <c r="R174" s="530">
        <v>39228</v>
      </c>
      <c r="S174" s="530">
        <v>74449</v>
      </c>
      <c r="T174" s="530">
        <v>35221</v>
      </c>
      <c r="U174" s="530">
        <v>394.05879723040948</v>
      </c>
      <c r="V174" s="534">
        <v>39511</v>
      </c>
      <c r="W174" s="530">
        <v>74789</v>
      </c>
      <c r="X174" s="530">
        <v>35278</v>
      </c>
      <c r="Y174" s="533">
        <v>394.69652334386831</v>
      </c>
      <c r="Z174" s="534">
        <v>1482</v>
      </c>
      <c r="AA174" s="530">
        <v>1488</v>
      </c>
      <c r="AB174" s="530">
        <v>6</v>
      </c>
      <c r="AC174" s="533">
        <v>6.7129064574613359E-2</v>
      </c>
      <c r="AD174" s="534">
        <v>34682</v>
      </c>
      <c r="AE174" s="530">
        <v>69375</v>
      </c>
      <c r="AF174" s="530">
        <v>34693</v>
      </c>
      <c r="AG174" s="533">
        <v>388.15143954784349</v>
      </c>
      <c r="AH174" s="534">
        <v>2323.4</v>
      </c>
      <c r="AI174" s="530">
        <v>2828.4</v>
      </c>
      <c r="AJ174" s="530">
        <v>505</v>
      </c>
      <c r="AK174" s="533">
        <v>5.650029601696624</v>
      </c>
      <c r="AL174" s="534">
        <v>1835.4582109999999</v>
      </c>
      <c r="AM174" s="530">
        <v>2248.3000000000002</v>
      </c>
      <c r="AN174" s="530">
        <v>412.84178900000029</v>
      </c>
      <c r="AO174" s="533">
        <v>4.6189471854799864</v>
      </c>
      <c r="AP174" s="534">
        <v>0.7</v>
      </c>
      <c r="AQ174" s="530">
        <v>-0.1</v>
      </c>
      <c r="AR174" s="530">
        <v>-0.79999999999999993</v>
      </c>
      <c r="AS174" s="533">
        <v>-8.9505419432817802E-3</v>
      </c>
      <c r="AT174" s="534">
        <v>36</v>
      </c>
      <c r="AU174" s="530">
        <v>39.6</v>
      </c>
      <c r="AV174" s="530">
        <v>3.6000000000000014</v>
      </c>
      <c r="AW174" s="533">
        <v>4.0277438744768031E-2</v>
      </c>
      <c r="AX174" s="534">
        <v>-74.069999999999993</v>
      </c>
      <c r="AY174" s="530">
        <v>-77.19</v>
      </c>
      <c r="AZ174" s="530">
        <v>-3.1200000000000045</v>
      </c>
      <c r="BA174" s="530">
        <v>7.2887529999999998</v>
      </c>
      <c r="BB174" s="533">
        <v>-3.4907113578798998E-2</v>
      </c>
      <c r="BC174" s="545"/>
      <c r="BD174" s="545"/>
      <c r="BE174" s="545"/>
      <c r="BF174" s="545"/>
      <c r="BG174" s="545"/>
      <c r="BH174" s="567"/>
      <c r="BI174" s="574" t="s">
        <v>723</v>
      </c>
      <c r="BJ174" s="1">
        <v>25.449309289999999</v>
      </c>
      <c r="BK174" s="1">
        <v>38.389798820000003</v>
      </c>
      <c r="BL174" s="1">
        <v>804.25508364999996</v>
      </c>
      <c r="BM174" s="1">
        <v>581.15200000000004</v>
      </c>
      <c r="BN174" s="1">
        <v>67.287498279999994</v>
      </c>
      <c r="BO174" s="1">
        <v>67.711055740000006</v>
      </c>
      <c r="BP174" s="1">
        <v>-0.53974871999999996</v>
      </c>
      <c r="BQ174" s="1">
        <v>89.380159950000007</v>
      </c>
      <c r="BR174" s="1">
        <v>89.865206259999994</v>
      </c>
      <c r="BS174" s="1">
        <v>-8.6327920000000002E-2</v>
      </c>
      <c r="BT174" s="1">
        <v>-0.62553663000000004</v>
      </c>
      <c r="BU174" s="128">
        <v>1.2199949999999999E-2</v>
      </c>
      <c r="BV174" s="512"/>
    </row>
    <row r="175" spans="1:74" s="519" customFormat="1">
      <c r="A175" s="546">
        <v>62006031</v>
      </c>
      <c r="B175" s="543" t="s">
        <v>907</v>
      </c>
      <c r="C175" s="543" t="s">
        <v>695</v>
      </c>
      <c r="D175" s="513" t="s">
        <v>971</v>
      </c>
      <c r="E175" s="524" t="s">
        <v>972</v>
      </c>
      <c r="F175" s="524" t="s">
        <v>708</v>
      </c>
      <c r="G175" s="531">
        <v>-42.396963</v>
      </c>
      <c r="H175" s="531">
        <v>-89.715800000000002</v>
      </c>
      <c r="I175" s="531">
        <v>-56.910167999999999</v>
      </c>
      <c r="J175" s="531">
        <v>-42.811514000000003</v>
      </c>
      <c r="K175" s="578">
        <v>4250</v>
      </c>
      <c r="L175" s="578">
        <v>38.71</v>
      </c>
      <c r="M175" s="578">
        <v>3.0499999999999999E-2</v>
      </c>
      <c r="N175" s="578">
        <v>1.4999999999999999E-2</v>
      </c>
      <c r="O175" s="529">
        <v>1.083021E-2</v>
      </c>
      <c r="P175" s="544"/>
      <c r="Q175" s="544"/>
      <c r="R175" s="530">
        <v>74449</v>
      </c>
      <c r="S175" s="530">
        <v>-4420</v>
      </c>
      <c r="T175" s="530">
        <v>-78869</v>
      </c>
      <c r="U175" s="530">
        <v>-7282314.9320280952</v>
      </c>
      <c r="V175" s="534">
        <v>74789</v>
      </c>
      <c r="W175" s="530">
        <v>-3826</v>
      </c>
      <c r="X175" s="530">
        <v>-78615</v>
      </c>
      <c r="Y175" s="533">
        <v>-7258862.016525995</v>
      </c>
      <c r="Z175" s="534">
        <v>1488</v>
      </c>
      <c r="AA175" s="530">
        <v>1512</v>
      </c>
      <c r="AB175" s="530">
        <v>24</v>
      </c>
      <c r="AC175" s="533">
        <v>2216.0235120094626</v>
      </c>
      <c r="AD175" s="534">
        <v>69375</v>
      </c>
      <c r="AE175" s="530">
        <v>69448</v>
      </c>
      <c r="AF175" s="530">
        <v>73</v>
      </c>
      <c r="AG175" s="533">
        <v>6740.4048490287814</v>
      </c>
      <c r="AH175" s="534">
        <v>2828.5</v>
      </c>
      <c r="AI175" s="530">
        <v>-76104.600000000006</v>
      </c>
      <c r="AJ175" s="530">
        <v>-78933.100000000006</v>
      </c>
      <c r="AK175" s="533">
        <v>-7288233.5614914214</v>
      </c>
      <c r="AL175" s="534">
        <v>2247.08</v>
      </c>
      <c r="AM175" s="530">
        <v>2877.48</v>
      </c>
      <c r="AN175" s="530">
        <v>630.40000000000009</v>
      </c>
      <c r="AO175" s="533">
        <v>58207.550915448555</v>
      </c>
      <c r="AP175" s="534">
        <v>-0.1</v>
      </c>
      <c r="AQ175" s="530">
        <v>-10.6</v>
      </c>
      <c r="AR175" s="530">
        <v>-10.5</v>
      </c>
      <c r="AS175" s="533">
        <v>-969.5102865041398</v>
      </c>
      <c r="AT175" s="534">
        <v>39.6</v>
      </c>
      <c r="AU175" s="530">
        <v>56.7</v>
      </c>
      <c r="AV175" s="530">
        <v>17.100000000000001</v>
      </c>
      <c r="AW175" s="533">
        <v>1578.9167523067422</v>
      </c>
      <c r="AX175" s="534">
        <v>-50.994869000000001</v>
      </c>
      <c r="AY175" s="530">
        <v>-95.29</v>
      </c>
      <c r="AZ175" s="530">
        <v>-44.295131000000005</v>
      </c>
      <c r="BA175" s="530">
        <v>7.1173019999999996</v>
      </c>
      <c r="BB175" s="533">
        <v>-4089.9604901474677</v>
      </c>
      <c r="BC175" s="545">
        <v>87.6</v>
      </c>
      <c r="BD175" s="545">
        <v>85782.9</v>
      </c>
      <c r="BE175" s="545">
        <v>85695.299999999988</v>
      </c>
      <c r="BF175" s="545">
        <v>0</v>
      </c>
      <c r="BG175" s="545">
        <v>-85118.8</v>
      </c>
      <c r="BH175" s="567">
        <v>-85118.8</v>
      </c>
      <c r="BI175" s="574"/>
      <c r="BJ175" s="1"/>
      <c r="BK175" s="1"/>
      <c r="BL175" s="1"/>
      <c r="BM175" s="1"/>
      <c r="BN175" s="1"/>
      <c r="BO175" s="1"/>
      <c r="BP175" s="1"/>
      <c r="BQ175" s="1"/>
      <c r="BR175" s="1"/>
      <c r="BS175" s="1"/>
      <c r="BT175" s="1"/>
      <c r="BU175" s="128"/>
      <c r="BV175" s="512"/>
    </row>
    <row r="176" spans="1:74" s="520" customFormat="1" ht="15.75">
      <c r="A176" s="535" t="s">
        <v>1246</v>
      </c>
      <c r="B176" s="537"/>
      <c r="C176" s="537"/>
      <c r="D176" s="537"/>
      <c r="E176" s="538"/>
      <c r="F176" s="538"/>
      <c r="G176" s="538"/>
      <c r="H176" s="538"/>
      <c r="I176" s="538"/>
      <c r="J176" s="538"/>
      <c r="K176" s="537"/>
      <c r="L176" s="537"/>
      <c r="M176" s="576"/>
      <c r="N176" s="577"/>
      <c r="O176" s="537"/>
      <c r="P176" s="537"/>
      <c r="Q176" s="537"/>
      <c r="R176" s="537"/>
      <c r="S176" s="537"/>
      <c r="T176" s="537"/>
      <c r="U176" s="537"/>
      <c r="V176" s="537"/>
      <c r="W176" s="537"/>
      <c r="X176" s="537"/>
      <c r="Y176" s="537"/>
      <c r="Z176" s="537"/>
      <c r="AA176" s="537"/>
      <c r="AB176" s="537"/>
      <c r="AC176" s="537"/>
      <c r="AD176" s="537"/>
      <c r="AE176" s="537"/>
      <c r="AF176" s="537"/>
      <c r="AG176" s="537"/>
      <c r="AH176" s="537"/>
      <c r="AI176" s="537"/>
      <c r="AJ176" s="537"/>
      <c r="AK176" s="537"/>
      <c r="AL176" s="537"/>
      <c r="AM176" s="537"/>
      <c r="AN176" s="537"/>
      <c r="AO176" s="537"/>
      <c r="AP176" s="537"/>
      <c r="AQ176" s="537"/>
      <c r="AR176" s="537"/>
      <c r="AS176" s="537"/>
      <c r="AT176" s="537"/>
      <c r="AU176" s="537"/>
      <c r="AV176" s="537"/>
      <c r="AW176" s="537"/>
      <c r="AX176" s="537"/>
      <c r="AY176" s="537"/>
      <c r="AZ176" s="537"/>
      <c r="BA176" s="537"/>
      <c r="BB176" s="537"/>
      <c r="BC176" s="537"/>
      <c r="BD176" s="537"/>
      <c r="BE176" s="537"/>
      <c r="BF176" s="537"/>
      <c r="BG176" s="537"/>
      <c r="BH176" s="537"/>
      <c r="BI176" s="569"/>
      <c r="BJ176" s="537"/>
      <c r="BK176" s="537"/>
      <c r="BL176" s="537"/>
      <c r="BM176" s="537"/>
      <c r="BN176" s="537"/>
      <c r="BO176" s="537"/>
      <c r="BP176" s="537"/>
      <c r="BQ176" s="537"/>
      <c r="BR176" s="537"/>
      <c r="BS176" s="537"/>
      <c r="BT176" s="537"/>
      <c r="BU176" s="542"/>
      <c r="BV176" s="541"/>
    </row>
    <row r="177" spans="1:74" s="519" customFormat="1">
      <c r="A177" s="546">
        <v>62006032</v>
      </c>
      <c r="B177" s="543" t="s">
        <v>832</v>
      </c>
      <c r="C177" s="543" t="s">
        <v>695</v>
      </c>
      <c r="D177" s="513" t="s">
        <v>979</v>
      </c>
      <c r="E177" s="524" t="s">
        <v>980</v>
      </c>
      <c r="F177" s="524" t="s">
        <v>708</v>
      </c>
      <c r="G177" s="531">
        <v>24.143381000000002</v>
      </c>
      <c r="H177" s="531">
        <v>40.275343999999997</v>
      </c>
      <c r="I177" s="531">
        <v>29.572938000000001</v>
      </c>
      <c r="J177" s="531">
        <v>25.726333</v>
      </c>
      <c r="K177" s="578">
        <v>4250</v>
      </c>
      <c r="L177" s="578">
        <v>38.71</v>
      </c>
      <c r="M177" s="578">
        <v>3.0499999999999999E-2</v>
      </c>
      <c r="N177" s="578">
        <v>1.4999999999999999E-2</v>
      </c>
      <c r="O177" s="529">
        <v>3.5950512699999999</v>
      </c>
      <c r="P177" s="544">
        <v>99.8</v>
      </c>
      <c r="Q177" s="544">
        <v>98.9</v>
      </c>
      <c r="R177" s="530">
        <v>22</v>
      </c>
      <c r="S177" s="530">
        <v>854</v>
      </c>
      <c r="T177" s="530">
        <v>832</v>
      </c>
      <c r="U177" s="530">
        <v>231.4292446794507</v>
      </c>
      <c r="V177" s="534">
        <v>22</v>
      </c>
      <c r="W177" s="530">
        <v>855</v>
      </c>
      <c r="X177" s="530">
        <v>833</v>
      </c>
      <c r="Y177" s="533">
        <v>231.70740482930583</v>
      </c>
      <c r="Z177" s="534">
        <v>0</v>
      </c>
      <c r="AA177" s="530">
        <v>42</v>
      </c>
      <c r="AB177" s="530">
        <v>42</v>
      </c>
      <c r="AC177" s="533">
        <v>11.682726293914579</v>
      </c>
      <c r="AD177" s="534">
        <v>0</v>
      </c>
      <c r="AE177" s="530">
        <v>729</v>
      </c>
      <c r="AF177" s="530">
        <v>729</v>
      </c>
      <c r="AG177" s="533">
        <v>202.77874924437447</v>
      </c>
      <c r="AH177" s="534">
        <v>21.6</v>
      </c>
      <c r="AI177" s="530">
        <v>81.204054999999997</v>
      </c>
      <c r="AJ177" s="530">
        <v>59.604054999999995</v>
      </c>
      <c r="AK177" s="533">
        <v>16.579472870772157</v>
      </c>
      <c r="AL177" s="534">
        <v>17.710564999999999</v>
      </c>
      <c r="AM177" s="530">
        <v>66.100406000000007</v>
      </c>
      <c r="AN177" s="530">
        <v>48.389841000000004</v>
      </c>
      <c r="AO177" s="533">
        <v>13.4601254240249</v>
      </c>
      <c r="AP177" s="534">
        <v>0</v>
      </c>
      <c r="AQ177" s="530">
        <v>0.2</v>
      </c>
      <c r="AR177" s="530">
        <v>0.2</v>
      </c>
      <c r="AS177" s="533">
        <v>5.5632029971021811E-2</v>
      </c>
      <c r="AT177" s="534">
        <v>0.1</v>
      </c>
      <c r="AU177" s="530">
        <v>0.5</v>
      </c>
      <c r="AV177" s="530">
        <v>0.4</v>
      </c>
      <c r="AW177" s="533">
        <v>0.11126405994204362</v>
      </c>
      <c r="AX177" s="534">
        <v>-1.96</v>
      </c>
      <c r="AY177" s="530">
        <v>-4.54</v>
      </c>
      <c r="AZ177" s="530">
        <v>-2.58</v>
      </c>
      <c r="BA177" s="530">
        <v>-18.393363000000001</v>
      </c>
      <c r="BB177" s="533">
        <v>-0.71765318662618127</v>
      </c>
      <c r="BC177" s="545"/>
      <c r="BD177" s="545"/>
      <c r="BE177" s="545"/>
      <c r="BF177" s="545"/>
      <c r="BG177" s="545"/>
      <c r="BH177" s="567"/>
      <c r="BI177" s="574" t="s">
        <v>723</v>
      </c>
      <c r="BJ177" s="1">
        <v>2373.2915815199999</v>
      </c>
      <c r="BK177" s="1">
        <v>0.45980552000000002</v>
      </c>
      <c r="BL177" s="1">
        <v>2058.3042915199999</v>
      </c>
      <c r="BM177" s="1">
        <v>2048.8834124800001</v>
      </c>
      <c r="BN177" s="1">
        <v>3.0390539900000002</v>
      </c>
      <c r="BO177" s="1">
        <v>3.03208031</v>
      </c>
      <c r="BP177" s="1">
        <v>0.11166937</v>
      </c>
      <c r="BQ177" s="1">
        <v>3.5949906899999999</v>
      </c>
      <c r="BR177" s="1">
        <v>3.59098067</v>
      </c>
      <c r="BS177" s="1">
        <v>0.11805554</v>
      </c>
      <c r="BT177" s="1">
        <v>0.22999643</v>
      </c>
      <c r="BU177" s="128">
        <v>0.63451159999999995</v>
      </c>
      <c r="BV177" s="512"/>
    </row>
    <row r="178" spans="1:74" s="519" customFormat="1">
      <c r="A178" s="546">
        <v>62006032</v>
      </c>
      <c r="B178" s="543" t="s">
        <v>831</v>
      </c>
      <c r="C178" s="543" t="s">
        <v>696</v>
      </c>
      <c r="D178" s="513" t="s">
        <v>979</v>
      </c>
      <c r="E178" s="524" t="s">
        <v>980</v>
      </c>
      <c r="F178" s="524" t="s">
        <v>708</v>
      </c>
      <c r="G178" s="531">
        <v>21.76061</v>
      </c>
      <c r="H178" s="531">
        <v>45.665196000000002</v>
      </c>
      <c r="I178" s="531">
        <v>29.562498999999999</v>
      </c>
      <c r="J178" s="531">
        <v>28.146321</v>
      </c>
      <c r="K178" s="578">
        <v>4250</v>
      </c>
      <c r="L178" s="578">
        <v>38.71</v>
      </c>
      <c r="M178" s="578">
        <v>3.0499999999999999E-2</v>
      </c>
      <c r="N178" s="578">
        <v>1.4999999999999999E-2</v>
      </c>
      <c r="O178" s="529">
        <v>3.86262477</v>
      </c>
      <c r="P178" s="544">
        <v>98.9</v>
      </c>
      <c r="Q178" s="544">
        <v>98.1</v>
      </c>
      <c r="R178" s="530">
        <v>854</v>
      </c>
      <c r="S178" s="530">
        <v>1539</v>
      </c>
      <c r="T178" s="530">
        <v>685</v>
      </c>
      <c r="U178" s="530">
        <v>177.34054970087089</v>
      </c>
      <c r="V178" s="534">
        <v>855</v>
      </c>
      <c r="W178" s="530">
        <v>1543</v>
      </c>
      <c r="X178" s="530">
        <v>688</v>
      </c>
      <c r="Y178" s="533">
        <v>178.11722364116667</v>
      </c>
      <c r="Z178" s="534">
        <v>42</v>
      </c>
      <c r="AA178" s="530">
        <v>72</v>
      </c>
      <c r="AB178" s="530">
        <v>30</v>
      </c>
      <c r="AC178" s="533">
        <v>7.7667394029578496</v>
      </c>
      <c r="AD178" s="534">
        <v>729</v>
      </c>
      <c r="AE178" s="530">
        <v>1287</v>
      </c>
      <c r="AF178" s="530">
        <v>558</v>
      </c>
      <c r="AG178" s="533">
        <v>144.46135289501601</v>
      </c>
      <c r="AH178" s="534">
        <v>81.3</v>
      </c>
      <c r="AI178" s="530">
        <v>178.5</v>
      </c>
      <c r="AJ178" s="530">
        <v>97.2</v>
      </c>
      <c r="AK178" s="533">
        <v>25.164235665583433</v>
      </c>
      <c r="AL178" s="534">
        <v>66.110202999999998</v>
      </c>
      <c r="AM178" s="530">
        <v>144.309944</v>
      </c>
      <c r="AN178" s="530">
        <v>78.199741000000003</v>
      </c>
      <c r="AO178" s="533">
        <v>20.245233657526615</v>
      </c>
      <c r="AP178" s="534">
        <v>0.2</v>
      </c>
      <c r="AQ178" s="530">
        <v>0.5</v>
      </c>
      <c r="AR178" s="530">
        <v>0.3</v>
      </c>
      <c r="AS178" s="533">
        <v>7.7667394029578493E-2</v>
      </c>
      <c r="AT178" s="534">
        <v>0.5</v>
      </c>
      <c r="AU178" s="530">
        <v>1.2</v>
      </c>
      <c r="AV178" s="530">
        <v>0.7</v>
      </c>
      <c r="AW178" s="533">
        <v>0.1812239194023498</v>
      </c>
      <c r="AX178" s="534">
        <v>-4.54</v>
      </c>
      <c r="AY178" s="530">
        <v>-6.7</v>
      </c>
      <c r="AZ178" s="530">
        <v>-2.16</v>
      </c>
      <c r="BA178" s="530">
        <v>-8.9750340000000008</v>
      </c>
      <c r="BB178" s="533">
        <v>-0.55920523701296521</v>
      </c>
      <c r="BC178" s="545"/>
      <c r="BD178" s="545"/>
      <c r="BE178" s="545"/>
      <c r="BF178" s="545"/>
      <c r="BG178" s="545"/>
      <c r="BH178" s="567"/>
      <c r="BI178" s="574" t="s">
        <v>723</v>
      </c>
      <c r="BJ178" s="1">
        <v>1477.1976901</v>
      </c>
      <c r="BK178" s="1">
        <v>-1.1970935300000001</v>
      </c>
      <c r="BL178" s="1">
        <v>3375.4193284100002</v>
      </c>
      <c r="BM178" s="1">
        <v>3416.3158240100001</v>
      </c>
      <c r="BN178" s="1">
        <v>2.9790429600000001</v>
      </c>
      <c r="BO178" s="1">
        <v>2.9954685400000001</v>
      </c>
      <c r="BP178" s="1">
        <v>6.748345E-2</v>
      </c>
      <c r="BQ178" s="1">
        <v>3.8624359899999998</v>
      </c>
      <c r="BR178" s="1">
        <v>3.8598312400000001</v>
      </c>
      <c r="BS178" s="1">
        <v>-0.61922632</v>
      </c>
      <c r="BT178" s="1">
        <v>-0.54834735999999995</v>
      </c>
      <c r="BU178" s="128">
        <v>0.72008287000000004</v>
      </c>
      <c r="BV178" s="512"/>
    </row>
    <row r="179" spans="1:74" s="519" customFormat="1">
      <c r="A179" s="546">
        <v>62006032</v>
      </c>
      <c r="B179" s="543" t="s">
        <v>830</v>
      </c>
      <c r="C179" s="543" t="s">
        <v>698</v>
      </c>
      <c r="D179" s="513" t="s">
        <v>979</v>
      </c>
      <c r="E179" s="524" t="s">
        <v>980</v>
      </c>
      <c r="F179" s="524" t="s">
        <v>708</v>
      </c>
      <c r="G179" s="468">
        <v>22.951995500000002</v>
      </c>
      <c r="H179" s="468">
        <v>42.970269999999999</v>
      </c>
      <c r="I179" s="468">
        <v>29.567718499999998</v>
      </c>
      <c r="J179" s="468">
        <v>26.936326999999999</v>
      </c>
      <c r="K179" s="579"/>
      <c r="L179" s="578"/>
      <c r="M179" s="580"/>
      <c r="N179" s="581"/>
      <c r="O179" s="453">
        <v>7.45767604</v>
      </c>
      <c r="P179" s="493">
        <v>99.8</v>
      </c>
      <c r="Q179" s="493">
        <v>98.1</v>
      </c>
      <c r="R179" s="456">
        <v>22</v>
      </c>
      <c r="S179" s="456">
        <v>1539</v>
      </c>
      <c r="T179" s="456">
        <v>1517</v>
      </c>
      <c r="U179" s="456">
        <v>203.41457470979122</v>
      </c>
      <c r="V179" s="456">
        <v>22</v>
      </c>
      <c r="W179" s="456">
        <v>1543</v>
      </c>
      <c r="X179" s="456">
        <v>1521</v>
      </c>
      <c r="Y179" s="454">
        <v>203.95093482768127</v>
      </c>
      <c r="Z179" s="456">
        <v>0</v>
      </c>
      <c r="AA179" s="456">
        <v>72</v>
      </c>
      <c r="AB179" s="456">
        <v>72</v>
      </c>
      <c r="AC179" s="454">
        <v>9.6544821220204149</v>
      </c>
      <c r="AD179" s="456">
        <v>0</v>
      </c>
      <c r="AE179" s="456">
        <v>1287</v>
      </c>
      <c r="AF179" s="456">
        <v>1287</v>
      </c>
      <c r="AG179" s="454">
        <v>172.5738679311149</v>
      </c>
      <c r="AH179" s="456">
        <v>21.6</v>
      </c>
      <c r="AI179" s="456">
        <v>178.5</v>
      </c>
      <c r="AJ179" s="456">
        <v>156.80405500000001</v>
      </c>
      <c r="AK179" s="454">
        <v>21.025860356358415</v>
      </c>
      <c r="AL179" s="456">
        <v>17.710564999999999</v>
      </c>
      <c r="AM179" s="456">
        <v>144.309944</v>
      </c>
      <c r="AN179" s="456">
        <v>126.58958200000001</v>
      </c>
      <c r="AO179" s="454">
        <v>16.974400781292186</v>
      </c>
      <c r="AP179" s="456">
        <v>0</v>
      </c>
      <c r="AQ179" s="456">
        <v>0.5</v>
      </c>
      <c r="AR179" s="456">
        <v>0.5</v>
      </c>
      <c r="AS179" s="454">
        <v>6.7045014736252878E-2</v>
      </c>
      <c r="AT179" s="456">
        <v>0.1</v>
      </c>
      <c r="AU179" s="456">
        <v>1.2</v>
      </c>
      <c r="AV179" s="456">
        <v>1.1000000000000001</v>
      </c>
      <c r="AW179" s="454">
        <v>0.14749903241975634</v>
      </c>
      <c r="AX179" s="456">
        <v>-1.96</v>
      </c>
      <c r="AY179" s="456">
        <v>-6.7</v>
      </c>
      <c r="AZ179" s="456">
        <v>-4.74</v>
      </c>
      <c r="BA179" s="530">
        <v>-13.684198500000001</v>
      </c>
      <c r="BB179" s="454">
        <v>-0.63558673969967727</v>
      </c>
      <c r="BC179" s="496"/>
      <c r="BD179" s="496"/>
      <c r="BE179" s="496"/>
      <c r="BF179" s="496"/>
      <c r="BG179" s="496"/>
      <c r="BH179" s="568"/>
      <c r="BI179" s="574" t="s">
        <v>723</v>
      </c>
      <c r="BJ179" s="1"/>
      <c r="BK179" s="1"/>
      <c r="BL179" s="1"/>
      <c r="BM179" s="1"/>
      <c r="BN179" s="1"/>
      <c r="BO179" s="1"/>
      <c r="BP179" s="1"/>
      <c r="BQ179" s="1"/>
      <c r="BR179" s="1"/>
      <c r="BS179" s="1"/>
      <c r="BT179" s="1"/>
      <c r="BU179" s="128"/>
      <c r="BV179" s="512"/>
    </row>
    <row r="180" spans="1:74" s="519" customFormat="1">
      <c r="A180" s="546">
        <v>62006032</v>
      </c>
      <c r="B180" s="543" t="s">
        <v>829</v>
      </c>
      <c r="C180" s="543" t="s">
        <v>697</v>
      </c>
      <c r="D180" s="513" t="s">
        <v>979</v>
      </c>
      <c r="E180" s="524" t="s">
        <v>980</v>
      </c>
      <c r="F180" s="524" t="s">
        <v>708</v>
      </c>
      <c r="G180" s="531">
        <v>24.704509000000002</v>
      </c>
      <c r="H180" s="531">
        <v>38.588059999999999</v>
      </c>
      <c r="I180" s="531">
        <v>29.568845</v>
      </c>
      <c r="J180" s="531">
        <v>30.079328</v>
      </c>
      <c r="K180" s="578">
        <v>4250</v>
      </c>
      <c r="L180" s="578">
        <v>38.71</v>
      </c>
      <c r="M180" s="578">
        <v>3.0499999999999999E-2</v>
      </c>
      <c r="N180" s="578">
        <v>1.4999999999999999E-2</v>
      </c>
      <c r="O180" s="529">
        <v>10.28394114</v>
      </c>
      <c r="P180" s="544">
        <v>98.1</v>
      </c>
      <c r="Q180" s="544">
        <v>95.9</v>
      </c>
      <c r="R180" s="530">
        <v>1541</v>
      </c>
      <c r="S180" s="530">
        <v>3476</v>
      </c>
      <c r="T180" s="530">
        <v>1935</v>
      </c>
      <c r="U180" s="530">
        <v>188.15743630364653</v>
      </c>
      <c r="V180" s="534">
        <v>1545</v>
      </c>
      <c r="W180" s="530">
        <v>3482</v>
      </c>
      <c r="X180" s="530">
        <v>1937</v>
      </c>
      <c r="Y180" s="533">
        <v>188.35191427398621</v>
      </c>
      <c r="Z180" s="534">
        <v>72</v>
      </c>
      <c r="AA180" s="530">
        <v>78</v>
      </c>
      <c r="AB180" s="530">
        <v>6</v>
      </c>
      <c r="AC180" s="533">
        <v>0.58343391101905906</v>
      </c>
      <c r="AD180" s="534">
        <v>1287</v>
      </c>
      <c r="AE180" s="530">
        <v>3129</v>
      </c>
      <c r="AF180" s="530">
        <v>1842</v>
      </c>
      <c r="AG180" s="533">
        <v>179.11421068285111</v>
      </c>
      <c r="AH180" s="534">
        <v>180.4</v>
      </c>
      <c r="AI180" s="530">
        <v>264.5</v>
      </c>
      <c r="AJ180" s="530">
        <v>84.1</v>
      </c>
      <c r="AK180" s="533">
        <v>8.1777986527838102</v>
      </c>
      <c r="AL180" s="534">
        <v>145.8698</v>
      </c>
      <c r="AM180" s="530">
        <v>213.43934300000001</v>
      </c>
      <c r="AN180" s="530">
        <v>67.56954300000001</v>
      </c>
      <c r="AO180" s="533">
        <v>6.5703937897100815</v>
      </c>
      <c r="AP180" s="534">
        <v>0.5</v>
      </c>
      <c r="AQ180" s="530">
        <v>0.6</v>
      </c>
      <c r="AR180" s="530">
        <v>9.9999999999999978E-2</v>
      </c>
      <c r="AS180" s="533">
        <v>9.7238985169843146E-3</v>
      </c>
      <c r="AT180" s="534">
        <v>1.2</v>
      </c>
      <c r="AU180" s="530">
        <v>1.7</v>
      </c>
      <c r="AV180" s="530">
        <v>0.5</v>
      </c>
      <c r="AW180" s="533">
        <v>4.8619492584921584E-2</v>
      </c>
      <c r="AX180" s="534">
        <v>-6.72</v>
      </c>
      <c r="AY180" s="530">
        <v>-7.82</v>
      </c>
      <c r="AZ180" s="530">
        <v>-1.1000000000000005</v>
      </c>
      <c r="BA180" s="530">
        <v>-5.2109139999999998</v>
      </c>
      <c r="BB180" s="533">
        <v>-0.10696288368682753</v>
      </c>
      <c r="BC180" s="545"/>
      <c r="BD180" s="545"/>
      <c r="BE180" s="545"/>
      <c r="BF180" s="545"/>
      <c r="BG180" s="545"/>
      <c r="BH180" s="567"/>
      <c r="BI180" s="574" t="s">
        <v>723</v>
      </c>
      <c r="BJ180" s="1">
        <v>1875.74490881</v>
      </c>
      <c r="BK180" s="1">
        <v>-0.33422043000000001</v>
      </c>
      <c r="BL180" s="1">
        <v>1302.4242997599999</v>
      </c>
      <c r="BM180" s="1">
        <v>1306.79186519</v>
      </c>
      <c r="BN180" s="1">
        <v>6.8085244700000001</v>
      </c>
      <c r="BO180" s="1">
        <v>6.79048666</v>
      </c>
      <c r="BP180" s="1">
        <v>0.26585313999999999</v>
      </c>
      <c r="BQ180" s="1">
        <v>10.28394834</v>
      </c>
      <c r="BR180" s="1">
        <v>10.256680640000001</v>
      </c>
      <c r="BS180" s="1">
        <v>-2.1906000000000001E-4</v>
      </c>
      <c r="BT180" s="1">
        <v>0.26563351000000002</v>
      </c>
      <c r="BU180" s="128">
        <v>0.33398818000000002</v>
      </c>
      <c r="BV180" s="512"/>
    </row>
    <row r="181" spans="1:74" s="519" customFormat="1">
      <c r="A181" s="546">
        <v>62006032</v>
      </c>
      <c r="B181" s="543" t="s">
        <v>828</v>
      </c>
      <c r="C181" s="543" t="s">
        <v>699</v>
      </c>
      <c r="D181" s="513" t="s">
        <v>979</v>
      </c>
      <c r="E181" s="524" t="s">
        <v>980</v>
      </c>
      <c r="F181" s="524" t="s">
        <v>708</v>
      </c>
      <c r="G181" s="531">
        <v>20.247181999999999</v>
      </c>
      <c r="H181" s="531">
        <v>53.921950000000002</v>
      </c>
      <c r="I181" s="531">
        <v>29.564561000000001</v>
      </c>
      <c r="J181" s="531">
        <v>30.093844000000001</v>
      </c>
      <c r="K181" s="578">
        <v>4250</v>
      </c>
      <c r="L181" s="578">
        <v>38.71</v>
      </c>
      <c r="M181" s="578">
        <v>3.0499999999999999E-2</v>
      </c>
      <c r="N181" s="578">
        <v>1.4999999999999999E-2</v>
      </c>
      <c r="O181" s="529">
        <v>3.5965295500000001</v>
      </c>
      <c r="P181" s="544">
        <v>95.8</v>
      </c>
      <c r="Q181" s="544">
        <v>95.1</v>
      </c>
      <c r="R181" s="530">
        <v>3518</v>
      </c>
      <c r="S181" s="530">
        <v>4178</v>
      </c>
      <c r="T181" s="530">
        <v>660</v>
      </c>
      <c r="U181" s="530">
        <v>183.51023975320877</v>
      </c>
      <c r="V181" s="534">
        <v>3525</v>
      </c>
      <c r="W181" s="530">
        <v>4186</v>
      </c>
      <c r="X181" s="530">
        <v>661</v>
      </c>
      <c r="Y181" s="533">
        <v>183.78828557101664</v>
      </c>
      <c r="Z181" s="534">
        <v>78</v>
      </c>
      <c r="AA181" s="530">
        <v>85</v>
      </c>
      <c r="AB181" s="530">
        <v>7</v>
      </c>
      <c r="AC181" s="533">
        <v>1.9463207246552443</v>
      </c>
      <c r="AD181" s="534">
        <v>3130</v>
      </c>
      <c r="AE181" s="530">
        <v>3729</v>
      </c>
      <c r="AF181" s="530">
        <v>599</v>
      </c>
      <c r="AG181" s="533">
        <v>166.54944486692733</v>
      </c>
      <c r="AH181" s="534">
        <v>304.39999999999998</v>
      </c>
      <c r="AI181" s="530">
        <v>357.2</v>
      </c>
      <c r="AJ181" s="530">
        <v>52.800000000000011</v>
      </c>
      <c r="AK181" s="533">
        <v>14.680819180256703</v>
      </c>
      <c r="AL181" s="534">
        <v>242.67900900000001</v>
      </c>
      <c r="AM181" s="530">
        <v>285.54884399999997</v>
      </c>
      <c r="AN181" s="530">
        <v>42.869834999999966</v>
      </c>
      <c r="AO181" s="533">
        <v>11.919778331864384</v>
      </c>
      <c r="AP181" s="534">
        <v>0.8</v>
      </c>
      <c r="AQ181" s="530">
        <v>0.9</v>
      </c>
      <c r="AR181" s="530">
        <v>9.9999999999999978E-2</v>
      </c>
      <c r="AS181" s="533">
        <v>2.7804581780789199E-2</v>
      </c>
      <c r="AT181" s="534">
        <v>2.2000000000000002</v>
      </c>
      <c r="AU181" s="530">
        <v>2.6</v>
      </c>
      <c r="AV181" s="530">
        <v>0.39999999999999991</v>
      </c>
      <c r="AW181" s="533">
        <v>0.1112183271231568</v>
      </c>
      <c r="AX181" s="534">
        <v>-8.3000000000000007</v>
      </c>
      <c r="AY181" s="530">
        <v>-8.6300000000000008</v>
      </c>
      <c r="AZ181" s="530">
        <v>-0.33000000000000007</v>
      </c>
      <c r="BA181" s="530">
        <v>-2.4221119999999998</v>
      </c>
      <c r="BB181" s="533">
        <v>-9.1755119876604396E-2</v>
      </c>
      <c r="BC181" s="545"/>
      <c r="BD181" s="545"/>
      <c r="BE181" s="545"/>
      <c r="BF181" s="545"/>
      <c r="BG181" s="545"/>
      <c r="BH181" s="567"/>
      <c r="BI181" s="574" t="s">
        <v>723</v>
      </c>
      <c r="BJ181" s="1">
        <v>2368.4893278499999</v>
      </c>
      <c r="BK181" s="1">
        <v>-0.99868659000000004</v>
      </c>
      <c r="BL181" s="1">
        <v>2028.38671935</v>
      </c>
      <c r="BM181" s="1">
        <v>2048.8482923900001</v>
      </c>
      <c r="BN181" s="1">
        <v>3.0232229500000001</v>
      </c>
      <c r="BO181" s="1">
        <v>3.0320171999999999</v>
      </c>
      <c r="BP181" s="1">
        <v>0.1525948</v>
      </c>
      <c r="BQ181" s="1">
        <v>3.5964602299999999</v>
      </c>
      <c r="BR181" s="1">
        <v>3.5909805800000001</v>
      </c>
      <c r="BS181" s="1">
        <v>-0.44392849000000001</v>
      </c>
      <c r="BT181" s="1">
        <v>-0.29004609999999997</v>
      </c>
      <c r="BU181" s="128">
        <v>0.63450739</v>
      </c>
      <c r="BV181" s="512"/>
    </row>
    <row r="182" spans="1:74" s="519" customFormat="1">
      <c r="A182" s="546">
        <v>62006032</v>
      </c>
      <c r="B182" s="543" t="s">
        <v>239</v>
      </c>
      <c r="C182" s="543" t="s">
        <v>700</v>
      </c>
      <c r="D182" s="513" t="s">
        <v>979</v>
      </c>
      <c r="E182" s="524" t="s">
        <v>980</v>
      </c>
      <c r="F182" s="524" t="s">
        <v>708</v>
      </c>
      <c r="G182" s="531">
        <v>19.987351</v>
      </c>
      <c r="H182" s="531">
        <v>54.470222999999997</v>
      </c>
      <c r="I182" s="531">
        <v>29.565328999999998</v>
      </c>
      <c r="J182" s="531">
        <v>29.219684999999998</v>
      </c>
      <c r="K182" s="578">
        <v>4250</v>
      </c>
      <c r="L182" s="578">
        <v>38.71</v>
      </c>
      <c r="M182" s="578">
        <v>3.0499999999999999E-2</v>
      </c>
      <c r="N182" s="578">
        <v>1.4999999999999999E-2</v>
      </c>
      <c r="O182" s="529">
        <v>3.86216413</v>
      </c>
      <c r="P182" s="544">
        <v>95.1</v>
      </c>
      <c r="Q182" s="544">
        <v>94.3</v>
      </c>
      <c r="R182" s="530">
        <v>4178</v>
      </c>
      <c r="S182" s="530">
        <v>4820</v>
      </c>
      <c r="T182" s="530">
        <v>642</v>
      </c>
      <c r="U182" s="530">
        <v>166.228046864492</v>
      </c>
      <c r="V182" s="534">
        <v>4186</v>
      </c>
      <c r="W182" s="530">
        <v>4830</v>
      </c>
      <c r="X182" s="530">
        <v>644</v>
      </c>
      <c r="Y182" s="533">
        <v>166.74589124724744</v>
      </c>
      <c r="Z182" s="534">
        <v>85</v>
      </c>
      <c r="AA182" s="530">
        <v>103</v>
      </c>
      <c r="AB182" s="530">
        <v>18</v>
      </c>
      <c r="AC182" s="533">
        <v>4.6605994447988417</v>
      </c>
      <c r="AD182" s="534">
        <v>3729</v>
      </c>
      <c r="AE182" s="530">
        <v>4263</v>
      </c>
      <c r="AF182" s="530">
        <v>534</v>
      </c>
      <c r="AG182" s="533">
        <v>138.26445019569897</v>
      </c>
      <c r="AH182" s="534">
        <v>357.28847100000002</v>
      </c>
      <c r="AI182" s="530">
        <v>445.9</v>
      </c>
      <c r="AJ182" s="530">
        <v>88.611528999999962</v>
      </c>
      <c r="AK182" s="533">
        <v>22.94349127000979</v>
      </c>
      <c r="AL182" s="534">
        <v>285.56884700000001</v>
      </c>
      <c r="AM182" s="530">
        <v>357.12830400000001</v>
      </c>
      <c r="AN182" s="530">
        <v>71.559457000000009</v>
      </c>
      <c r="AO182" s="533">
        <v>18.528331420239255</v>
      </c>
      <c r="AP182" s="534">
        <v>0.9</v>
      </c>
      <c r="AQ182" s="530">
        <v>1.2</v>
      </c>
      <c r="AR182" s="530">
        <v>0.29999999999999993</v>
      </c>
      <c r="AS182" s="533">
        <v>7.7676657413314004E-2</v>
      </c>
      <c r="AT182" s="534">
        <v>2.6</v>
      </c>
      <c r="AU182" s="530">
        <v>3.2</v>
      </c>
      <c r="AV182" s="530">
        <v>0.60000000000000009</v>
      </c>
      <c r="AW182" s="533">
        <v>0.15535331482662806</v>
      </c>
      <c r="AX182" s="534">
        <v>-8.6300000000000008</v>
      </c>
      <c r="AY182" s="530">
        <v>-9.1199999999999992</v>
      </c>
      <c r="AZ182" s="530">
        <v>-0.48999999999999844</v>
      </c>
      <c r="BA182" s="530">
        <v>-2.0123120000000001</v>
      </c>
      <c r="BB182" s="533">
        <v>-0.12687187377507916</v>
      </c>
      <c r="BC182" s="545"/>
      <c r="BD182" s="545"/>
      <c r="BE182" s="545"/>
      <c r="BF182" s="545"/>
      <c r="BG182" s="545"/>
      <c r="BH182" s="567"/>
      <c r="BI182" s="574" t="s">
        <v>723</v>
      </c>
      <c r="BJ182" s="1">
        <v>1476.64678908</v>
      </c>
      <c r="BK182" s="1">
        <v>-1.0433643399999999</v>
      </c>
      <c r="BL182" s="1">
        <v>3380.5952232899999</v>
      </c>
      <c r="BM182" s="1">
        <v>3416.2390433199998</v>
      </c>
      <c r="BN182" s="1">
        <v>2.9805997299999998</v>
      </c>
      <c r="BO182" s="1">
        <v>2.9953804700000002</v>
      </c>
      <c r="BP182" s="1">
        <v>5.7116269999999997E-2</v>
      </c>
      <c r="BQ182" s="1">
        <v>3.86203575</v>
      </c>
      <c r="BR182" s="1">
        <v>3.8598311600000001</v>
      </c>
      <c r="BS182" s="1">
        <v>-0.55329773999999998</v>
      </c>
      <c r="BT182" s="1">
        <v>-0.49345120999999997</v>
      </c>
      <c r="BU182" s="128">
        <v>0.72008375999999996</v>
      </c>
      <c r="BV182" s="512"/>
    </row>
    <row r="183" spans="1:74" s="519" customFormat="1">
      <c r="A183" s="546">
        <v>62006032</v>
      </c>
      <c r="B183" s="543" t="s">
        <v>833</v>
      </c>
      <c r="C183" s="543" t="s">
        <v>701</v>
      </c>
      <c r="D183" s="513" t="s">
        <v>979</v>
      </c>
      <c r="E183" s="524" t="s">
        <v>980</v>
      </c>
      <c r="F183" s="524" t="s">
        <v>708</v>
      </c>
      <c r="G183" s="468">
        <v>20.117266499999999</v>
      </c>
      <c r="H183" s="468">
        <v>54.1960865</v>
      </c>
      <c r="I183" s="468">
        <v>29.564945000000002</v>
      </c>
      <c r="J183" s="468">
        <v>29.656764500000001</v>
      </c>
      <c r="K183" s="579"/>
      <c r="L183" s="578"/>
      <c r="M183" s="580"/>
      <c r="N183" s="581"/>
      <c r="O183" s="453">
        <v>7.4586936799999997</v>
      </c>
      <c r="P183" s="493">
        <v>95.8</v>
      </c>
      <c r="Q183" s="493">
        <v>94.3</v>
      </c>
      <c r="R183" s="456">
        <v>3518</v>
      </c>
      <c r="S183" s="456">
        <v>4820</v>
      </c>
      <c r="T183" s="456">
        <v>1302</v>
      </c>
      <c r="U183" s="456">
        <v>174.5613985316528</v>
      </c>
      <c r="V183" s="456">
        <v>3525</v>
      </c>
      <c r="W183" s="456">
        <v>4830</v>
      </c>
      <c r="X183" s="456">
        <v>1305</v>
      </c>
      <c r="Y183" s="454">
        <v>174.96361373564278</v>
      </c>
      <c r="Z183" s="456">
        <v>78</v>
      </c>
      <c r="AA183" s="456">
        <v>103</v>
      </c>
      <c r="AB183" s="456">
        <v>25</v>
      </c>
      <c r="AC183" s="454">
        <v>3.3517933665831952</v>
      </c>
      <c r="AD183" s="456">
        <v>3130</v>
      </c>
      <c r="AE183" s="456">
        <v>4263</v>
      </c>
      <c r="AF183" s="456">
        <v>1133</v>
      </c>
      <c r="AG183" s="454">
        <v>151.9032753735504</v>
      </c>
      <c r="AH183" s="456">
        <v>304.39999999999998</v>
      </c>
      <c r="AI183" s="456">
        <v>445.9</v>
      </c>
      <c r="AJ183" s="456">
        <v>141.41152899999997</v>
      </c>
      <c r="AK183" s="454">
        <v>18.959288994423481</v>
      </c>
      <c r="AL183" s="456">
        <v>242.67900900000001</v>
      </c>
      <c r="AM183" s="456">
        <v>357.12830400000001</v>
      </c>
      <c r="AN183" s="456">
        <v>114.42929199999998</v>
      </c>
      <c r="AO183" s="454">
        <v>15.341733674736457</v>
      </c>
      <c r="AP183" s="456">
        <v>0.8</v>
      </c>
      <c r="AQ183" s="456">
        <v>1.2</v>
      </c>
      <c r="AR183" s="456">
        <v>0.39999999999999991</v>
      </c>
      <c r="AS183" s="454">
        <v>5.362869386533111E-2</v>
      </c>
      <c r="AT183" s="456">
        <v>2.2000000000000002</v>
      </c>
      <c r="AU183" s="456">
        <v>3.2</v>
      </c>
      <c r="AV183" s="456">
        <v>1</v>
      </c>
      <c r="AW183" s="454">
        <v>0.13407173466332781</v>
      </c>
      <c r="AX183" s="456">
        <v>-8.3000000000000007</v>
      </c>
      <c r="AY183" s="456">
        <v>-9.1199999999999992</v>
      </c>
      <c r="AZ183" s="456">
        <v>-0.81999999999999851</v>
      </c>
      <c r="BA183" s="530">
        <v>-2.217212</v>
      </c>
      <c r="BB183" s="454">
        <v>-0.10993882242392861</v>
      </c>
      <c r="BC183" s="496"/>
      <c r="BD183" s="496"/>
      <c r="BE183" s="496"/>
      <c r="BF183" s="496"/>
      <c r="BG183" s="496"/>
      <c r="BH183" s="568"/>
      <c r="BI183" s="574" t="s">
        <v>723</v>
      </c>
      <c r="BJ183" s="1"/>
      <c r="BK183" s="1"/>
      <c r="BL183" s="1"/>
      <c r="BM183" s="1"/>
      <c r="BN183" s="1"/>
      <c r="BO183" s="1"/>
      <c r="BP183" s="1"/>
      <c r="BQ183" s="1"/>
      <c r="BR183" s="1"/>
      <c r="BS183" s="1"/>
      <c r="BT183" s="1"/>
      <c r="BU183" s="128"/>
      <c r="BV183" s="512"/>
    </row>
    <row r="184" spans="1:74" s="519" customFormat="1">
      <c r="A184" s="546">
        <v>62006032</v>
      </c>
      <c r="B184" s="543" t="s">
        <v>836</v>
      </c>
      <c r="C184" s="543" t="s">
        <v>770</v>
      </c>
      <c r="D184" s="513" t="s">
        <v>979</v>
      </c>
      <c r="E184" s="524" t="s">
        <v>980</v>
      </c>
      <c r="F184" s="524" t="s">
        <v>708</v>
      </c>
      <c r="G184" s="531">
        <v>23.124372999999999</v>
      </c>
      <c r="H184" s="531">
        <v>42.511938999999998</v>
      </c>
      <c r="I184" s="531">
        <v>29.564921999999999</v>
      </c>
      <c r="J184" s="531">
        <v>30.993514999999999</v>
      </c>
      <c r="K184" s="578">
        <v>4250</v>
      </c>
      <c r="L184" s="578">
        <v>38.71</v>
      </c>
      <c r="M184" s="578">
        <v>3.0499999999999999E-2</v>
      </c>
      <c r="N184" s="578">
        <v>1.4999999999999999E-2</v>
      </c>
      <c r="O184" s="529">
        <v>1.774627</v>
      </c>
      <c r="P184" s="544">
        <v>94.3</v>
      </c>
      <c r="Q184" s="544">
        <v>92</v>
      </c>
      <c r="R184" s="530">
        <v>4830</v>
      </c>
      <c r="S184" s="530">
        <v>6827</v>
      </c>
      <c r="T184" s="530">
        <v>469</v>
      </c>
      <c r="U184" s="530">
        <v>264.28088832188399</v>
      </c>
      <c r="V184" s="534">
        <v>4839</v>
      </c>
      <c r="W184" s="530">
        <v>6839</v>
      </c>
      <c r="X184" s="530">
        <v>471</v>
      </c>
      <c r="Y184" s="533">
        <v>265.40788571344854</v>
      </c>
      <c r="Z184" s="534">
        <v>103</v>
      </c>
      <c r="AA184" s="530">
        <v>162</v>
      </c>
      <c r="AB184" s="530">
        <v>41</v>
      </c>
      <c r="AC184" s="533">
        <v>23.103446527073014</v>
      </c>
      <c r="AD184" s="534">
        <v>4263</v>
      </c>
      <c r="AE184" s="530">
        <v>6138</v>
      </c>
      <c r="AF184" s="530">
        <v>403</v>
      </c>
      <c r="AG184" s="533">
        <v>227.08997440025425</v>
      </c>
      <c r="AH184" s="534">
        <v>455.2</v>
      </c>
      <c r="AI184" s="530">
        <v>517</v>
      </c>
      <c r="AJ184" s="530">
        <v>24.300000000000011</v>
      </c>
      <c r="AK184" s="533">
        <v>13.693018307509133</v>
      </c>
      <c r="AL184" s="534">
        <v>364.61</v>
      </c>
      <c r="AM184" s="530">
        <v>414.65789699999999</v>
      </c>
      <c r="AN184" s="530">
        <v>19.688040000000001</v>
      </c>
      <c r="AO184" s="533">
        <v>11.094184862509136</v>
      </c>
      <c r="AP184" s="534">
        <v>1.2</v>
      </c>
      <c r="AQ184" s="530">
        <v>1.4</v>
      </c>
      <c r="AR184" s="530">
        <v>0.19999999999999996</v>
      </c>
      <c r="AS184" s="533">
        <v>0.1126997391564537</v>
      </c>
      <c r="AT184" s="534">
        <v>3.3</v>
      </c>
      <c r="AU184" s="530">
        <v>3.7</v>
      </c>
      <c r="AV184" s="530">
        <v>0.20000000000000018</v>
      </c>
      <c r="AW184" s="533">
        <v>0.11269973915645383</v>
      </c>
      <c r="AX184" s="534">
        <v>-9.17</v>
      </c>
      <c r="AY184" s="530">
        <v>-9.4600000000000009</v>
      </c>
      <c r="AZ184" s="530">
        <v>-0.11000000000000121</v>
      </c>
      <c r="BA184" s="530">
        <v>-1.722477</v>
      </c>
      <c r="BB184" s="533">
        <v>-6.198485653605023E-2</v>
      </c>
      <c r="BC184" s="545"/>
      <c r="BD184" s="545"/>
      <c r="BE184" s="545"/>
      <c r="BF184" s="545"/>
      <c r="BG184" s="545"/>
      <c r="BH184" s="567"/>
      <c r="BI184" s="574" t="s">
        <v>723</v>
      </c>
      <c r="BJ184" s="1">
        <v>5478.8906267499997</v>
      </c>
      <c r="BK184" s="1">
        <v>-4.3592580999999999</v>
      </c>
      <c r="BL184" s="1">
        <v>2352.25427313</v>
      </c>
      <c r="BM184" s="1">
        <v>2459.4688689700001</v>
      </c>
      <c r="BN184" s="1">
        <v>3.01193322</v>
      </c>
      <c r="BO184" s="1">
        <v>3.0983900599999998</v>
      </c>
      <c r="BP184" s="1">
        <v>0.13979915000000001</v>
      </c>
      <c r="BQ184" s="1">
        <v>1.77458209</v>
      </c>
      <c r="BR184" s="1">
        <v>1.7721047000000001</v>
      </c>
      <c r="BS184" s="1">
        <v>-3.0142884900000002</v>
      </c>
      <c r="BT184" s="1">
        <v>-2.7903792599999999</v>
      </c>
      <c r="BU184" s="128">
        <v>0.84360495000000002</v>
      </c>
      <c r="BV184" s="512"/>
    </row>
    <row r="185" spans="1:74" s="519" customFormat="1">
      <c r="A185" s="546">
        <v>62006032</v>
      </c>
      <c r="B185" s="543" t="s">
        <v>837</v>
      </c>
      <c r="C185" s="543" t="s">
        <v>705</v>
      </c>
      <c r="D185" s="513" t="s">
        <v>979</v>
      </c>
      <c r="E185" s="524" t="s">
        <v>980</v>
      </c>
      <c r="F185" s="524" t="s">
        <v>708</v>
      </c>
      <c r="G185" s="531">
        <v>26.660357999999999</v>
      </c>
      <c r="H185" s="531">
        <v>34.517378000000001</v>
      </c>
      <c r="I185" s="531">
        <v>29.599519999999998</v>
      </c>
      <c r="J185" s="531">
        <v>31.228816999999999</v>
      </c>
      <c r="K185" s="578">
        <v>4250</v>
      </c>
      <c r="L185" s="578">
        <v>38.71</v>
      </c>
      <c r="M185" s="578">
        <v>3.0499999999999999E-2</v>
      </c>
      <c r="N185" s="578">
        <v>1.4999999999999999E-2</v>
      </c>
      <c r="O185" s="529">
        <v>6.2510756699999996</v>
      </c>
      <c r="P185" s="544">
        <v>93.9</v>
      </c>
      <c r="Q185" s="544">
        <v>92.1</v>
      </c>
      <c r="R185" s="530">
        <v>5148</v>
      </c>
      <c r="S185" s="530">
        <v>6676</v>
      </c>
      <c r="T185" s="530">
        <v>1528</v>
      </c>
      <c r="U185" s="530">
        <v>244.43793047221266</v>
      </c>
      <c r="V185" s="534">
        <v>5158</v>
      </c>
      <c r="W185" s="530">
        <v>6687</v>
      </c>
      <c r="X185" s="530">
        <v>1529</v>
      </c>
      <c r="Y185" s="533">
        <v>244.59790293979918</v>
      </c>
      <c r="Z185" s="534">
        <v>120</v>
      </c>
      <c r="AA185" s="530">
        <v>138</v>
      </c>
      <c r="AB185" s="530">
        <v>18</v>
      </c>
      <c r="AC185" s="533">
        <v>2.879504416557479</v>
      </c>
      <c r="AD185" s="534">
        <v>4550</v>
      </c>
      <c r="AE185" s="530">
        <v>6022</v>
      </c>
      <c r="AF185" s="530">
        <v>1472</v>
      </c>
      <c r="AG185" s="533">
        <v>235.47947228736714</v>
      </c>
      <c r="AH185" s="534">
        <v>468.4</v>
      </c>
      <c r="AI185" s="530">
        <v>505.9</v>
      </c>
      <c r="AJ185" s="530">
        <v>37.5</v>
      </c>
      <c r="AK185" s="533">
        <v>5.9989675344947475</v>
      </c>
      <c r="AL185" s="534">
        <v>375.23824100000002</v>
      </c>
      <c r="AM185" s="530">
        <v>405.59809799999999</v>
      </c>
      <c r="AN185" s="530">
        <v>30.359856999999977</v>
      </c>
      <c r="AO185" s="533">
        <v>4.8567412398640792</v>
      </c>
      <c r="AP185" s="534">
        <v>1.3</v>
      </c>
      <c r="AQ185" s="530">
        <v>1.3</v>
      </c>
      <c r="AR185" s="530">
        <v>0</v>
      </c>
      <c r="AS185" s="533">
        <v>0</v>
      </c>
      <c r="AT185" s="534">
        <v>3.4</v>
      </c>
      <c r="AU185" s="530">
        <v>3.6</v>
      </c>
      <c r="AV185" s="530">
        <v>0.20000000000000018</v>
      </c>
      <c r="AW185" s="533">
        <v>3.199449351730535E-2</v>
      </c>
      <c r="AX185" s="534">
        <v>-9.23</v>
      </c>
      <c r="AY185" s="530">
        <v>-9.41</v>
      </c>
      <c r="AZ185" s="530">
        <v>-0.17999999999999972</v>
      </c>
      <c r="BA185" s="530">
        <v>-1.723449</v>
      </c>
      <c r="BB185" s="533">
        <v>-2.8795044165574744E-2</v>
      </c>
      <c r="BC185" s="545"/>
      <c r="BD185" s="545"/>
      <c r="BE185" s="545"/>
      <c r="BF185" s="545"/>
      <c r="BG185" s="545"/>
      <c r="BH185" s="567"/>
      <c r="BI185" s="574" t="s">
        <v>723</v>
      </c>
      <c r="BJ185" s="1">
        <v>11297.111676820001</v>
      </c>
      <c r="BK185" s="1">
        <v>-1.3380160299999999</v>
      </c>
      <c r="BL185" s="1">
        <v>1123.74982731</v>
      </c>
      <c r="BM185" s="1">
        <v>1138.9896919099999</v>
      </c>
      <c r="BN185" s="1">
        <v>5.8894542100000002</v>
      </c>
      <c r="BO185" s="1">
        <v>5.8930970900000004</v>
      </c>
      <c r="BP185" s="1">
        <v>0.26046717000000003</v>
      </c>
      <c r="BQ185" s="1">
        <v>6.25109739</v>
      </c>
      <c r="BR185" s="1">
        <v>6.2348576299999996</v>
      </c>
      <c r="BS185" s="1">
        <v>-0.32248253999999998</v>
      </c>
      <c r="BT185" s="1">
        <v>-6.1816030000000001E-2</v>
      </c>
      <c r="BU185" s="128">
        <v>0.41977524999999999</v>
      </c>
      <c r="BV185" s="512"/>
    </row>
    <row r="186" spans="1:74" s="519" customFormat="1">
      <c r="A186" s="546">
        <v>62006032</v>
      </c>
      <c r="B186" s="543" t="s">
        <v>835</v>
      </c>
      <c r="C186" s="543" t="s">
        <v>703</v>
      </c>
      <c r="D186" s="513" t="s">
        <v>979</v>
      </c>
      <c r="E186" s="524" t="s">
        <v>980</v>
      </c>
      <c r="F186" s="524" t="s">
        <v>708</v>
      </c>
      <c r="G186" s="468">
        <v>24.892365499999997</v>
      </c>
      <c r="H186" s="468">
        <v>38.514658499999996</v>
      </c>
      <c r="I186" s="468">
        <v>29.582220999999997</v>
      </c>
      <c r="J186" s="468">
        <v>31.111165999999997</v>
      </c>
      <c r="K186" s="579"/>
      <c r="L186" s="578"/>
      <c r="M186" s="580"/>
      <c r="N186" s="581"/>
      <c r="O186" s="453">
        <v>8.0257026699999994</v>
      </c>
      <c r="P186" s="493">
        <v>94.3</v>
      </c>
      <c r="Q186" s="493">
        <v>92.1</v>
      </c>
      <c r="R186" s="456">
        <v>4830</v>
      </c>
      <c r="S186" s="456">
        <v>6676</v>
      </c>
      <c r="T186" s="456">
        <v>1997</v>
      </c>
      <c r="U186" s="456">
        <v>248.82556482745954</v>
      </c>
      <c r="V186" s="456">
        <v>4839</v>
      </c>
      <c r="W186" s="456">
        <v>6687</v>
      </c>
      <c r="X186" s="456">
        <v>2000</v>
      </c>
      <c r="Y186" s="454">
        <v>249.19936387326945</v>
      </c>
      <c r="Z186" s="456">
        <v>103</v>
      </c>
      <c r="AA186" s="456">
        <v>138</v>
      </c>
      <c r="AB186" s="456">
        <v>59</v>
      </c>
      <c r="AC186" s="454">
        <v>7.3513812342614484</v>
      </c>
      <c r="AD186" s="456">
        <v>4263</v>
      </c>
      <c r="AE186" s="456">
        <v>6022</v>
      </c>
      <c r="AF186" s="456">
        <v>1875</v>
      </c>
      <c r="AG186" s="454">
        <v>233.62440363119012</v>
      </c>
      <c r="AH186" s="456">
        <v>455.2</v>
      </c>
      <c r="AI186" s="456">
        <v>505.9</v>
      </c>
      <c r="AJ186" s="456">
        <v>61.800000000000011</v>
      </c>
      <c r="AK186" s="454">
        <v>7.7002603436840271</v>
      </c>
      <c r="AL186" s="456">
        <v>364.61</v>
      </c>
      <c r="AM186" s="456">
        <v>405.59809799999999</v>
      </c>
      <c r="AN186" s="456">
        <v>50.047896999999978</v>
      </c>
      <c r="AO186" s="454">
        <v>6.2359520477974524</v>
      </c>
      <c r="AP186" s="456">
        <v>1.2</v>
      </c>
      <c r="AQ186" s="456">
        <v>1.3</v>
      </c>
      <c r="AR186" s="456">
        <v>0.19999999999999996</v>
      </c>
      <c r="AS186" s="454">
        <v>2.4919936387326938E-2</v>
      </c>
      <c r="AT186" s="456">
        <v>3.3</v>
      </c>
      <c r="AU186" s="456">
        <v>3.6</v>
      </c>
      <c r="AV186" s="456">
        <v>0.40000000000000036</v>
      </c>
      <c r="AW186" s="454">
        <v>4.9839872774653932E-2</v>
      </c>
      <c r="AX186" s="456">
        <v>-9.17</v>
      </c>
      <c r="AY186" s="456">
        <v>-9.41</v>
      </c>
      <c r="AZ186" s="456">
        <v>-0.29000000000000092</v>
      </c>
      <c r="BA186" s="530">
        <v>-1.722963</v>
      </c>
      <c r="BB186" s="454">
        <v>-3.6133907761624187E-2</v>
      </c>
      <c r="BC186" s="496"/>
      <c r="BD186" s="496"/>
      <c r="BE186" s="496"/>
      <c r="BF186" s="496"/>
      <c r="BG186" s="496"/>
      <c r="BH186" s="568"/>
      <c r="BI186" s="574" t="s">
        <v>723</v>
      </c>
      <c r="BJ186" s="1"/>
      <c r="BK186" s="1"/>
      <c r="BL186" s="1"/>
      <c r="BM186" s="1"/>
      <c r="BN186" s="1"/>
      <c r="BO186" s="1"/>
      <c r="BP186" s="1"/>
      <c r="BQ186" s="1"/>
      <c r="BR186" s="1"/>
      <c r="BS186" s="1"/>
      <c r="BT186" s="1"/>
      <c r="BU186" s="128"/>
      <c r="BV186" s="512"/>
    </row>
    <row r="187" spans="1:74" s="519" customFormat="1">
      <c r="A187" s="546">
        <v>62006033</v>
      </c>
      <c r="B187" s="543" t="s">
        <v>838</v>
      </c>
      <c r="C187" s="543" t="s">
        <v>695</v>
      </c>
      <c r="D187" s="513" t="s">
        <v>982</v>
      </c>
      <c r="E187" s="524" t="s">
        <v>983</v>
      </c>
      <c r="F187" s="524" t="s">
        <v>708</v>
      </c>
      <c r="G187" s="531">
        <v>370.60814299999998</v>
      </c>
      <c r="H187" s="531">
        <v>490.26460600000001</v>
      </c>
      <c r="I187" s="531">
        <v>417.654492</v>
      </c>
      <c r="J187" s="531">
        <v>489.417034</v>
      </c>
      <c r="K187" s="578">
        <v>4250</v>
      </c>
      <c r="L187" s="578">
        <v>38.71</v>
      </c>
      <c r="M187" s="578">
        <v>3.0499999999999999E-2</v>
      </c>
      <c r="N187" s="578">
        <v>1.4999999999999999E-2</v>
      </c>
      <c r="O187" s="529">
        <v>254.76946482</v>
      </c>
      <c r="P187" s="544">
        <v>91.9</v>
      </c>
      <c r="Q187" s="544">
        <v>21</v>
      </c>
      <c r="R187" s="530">
        <v>6857</v>
      </c>
      <c r="S187" s="530">
        <v>63703</v>
      </c>
      <c r="T187" s="530">
        <v>56846</v>
      </c>
      <c r="U187" s="530">
        <v>223.12721047698122</v>
      </c>
      <c r="V187" s="534">
        <v>6869</v>
      </c>
      <c r="W187" s="530">
        <v>63773</v>
      </c>
      <c r="X187" s="530">
        <v>56904</v>
      </c>
      <c r="Y187" s="533">
        <v>223.35486727266894</v>
      </c>
      <c r="Z187" s="534">
        <v>162</v>
      </c>
      <c r="AA187" s="530">
        <v>165</v>
      </c>
      <c r="AB187" s="530">
        <v>3</v>
      </c>
      <c r="AC187" s="533">
        <v>1.1775351501089675E-2</v>
      </c>
      <c r="AD187" s="534">
        <v>6139</v>
      </c>
      <c r="AE187" s="530">
        <v>61506</v>
      </c>
      <c r="AF187" s="530">
        <v>55367</v>
      </c>
      <c r="AG187" s="533">
        <v>217.32196218694401</v>
      </c>
      <c r="AH187" s="534">
        <v>545.1</v>
      </c>
      <c r="AI187" s="530">
        <v>1962</v>
      </c>
      <c r="AJ187" s="530">
        <v>1416.9</v>
      </c>
      <c r="AK187" s="533">
        <v>5.5614985139646533</v>
      </c>
      <c r="AL187" s="534">
        <v>435.21836000000002</v>
      </c>
      <c r="AM187" s="530">
        <v>1586.55</v>
      </c>
      <c r="AN187" s="530">
        <v>1151.3316399999999</v>
      </c>
      <c r="AO187" s="533">
        <v>4.5191115851086785</v>
      </c>
      <c r="AP187" s="534">
        <v>1.5</v>
      </c>
      <c r="AQ187" s="530">
        <v>4.2</v>
      </c>
      <c r="AR187" s="530">
        <v>2.7</v>
      </c>
      <c r="AS187" s="533">
        <v>1.0597816350980708E-2</v>
      </c>
      <c r="AT187" s="534">
        <v>4</v>
      </c>
      <c r="AU187" s="530">
        <v>11.2</v>
      </c>
      <c r="AV187" s="530">
        <v>7.1999999999999993</v>
      </c>
      <c r="AW187" s="533">
        <v>2.8260843602615215E-2</v>
      </c>
      <c r="AX187" s="534">
        <v>-9.65</v>
      </c>
      <c r="AY187" s="530">
        <v>-14.57</v>
      </c>
      <c r="AZ187" s="530">
        <v>-4.92</v>
      </c>
      <c r="BA187" s="530">
        <v>-17.833786</v>
      </c>
      <c r="BB187" s="533">
        <v>-1.9311576461787067E-2</v>
      </c>
      <c r="BC187" s="545"/>
      <c r="BD187" s="545"/>
      <c r="BE187" s="545"/>
      <c r="BF187" s="545"/>
      <c r="BG187" s="545"/>
      <c r="BH187" s="567"/>
      <c r="BI187" s="574" t="s">
        <v>723</v>
      </c>
      <c r="BJ187" s="1">
        <v>9.0189991500000009</v>
      </c>
      <c r="BK187" s="1">
        <v>127.17562409999999</v>
      </c>
      <c r="BL187" s="1">
        <v>1320.23568297</v>
      </c>
      <c r="BM187" s="1">
        <v>581.15200000000004</v>
      </c>
      <c r="BN187" s="1">
        <v>191.12411635000001</v>
      </c>
      <c r="BO187" s="1">
        <v>189.90700207</v>
      </c>
      <c r="BP187" s="1">
        <v>0.28654445000000001</v>
      </c>
      <c r="BQ187" s="1">
        <v>254.76984992999999</v>
      </c>
      <c r="BR187" s="1">
        <v>254.04190693999999</v>
      </c>
      <c r="BS187" s="1">
        <v>0.35209910999999999</v>
      </c>
      <c r="BT187" s="1">
        <v>0.64090016000000005</v>
      </c>
      <c r="BU187" s="128">
        <v>4.3498699999999996E-3</v>
      </c>
      <c r="BV187" s="512"/>
    </row>
    <row r="188" spans="1:74" s="519" customFormat="1">
      <c r="A188" s="546">
        <v>62006034</v>
      </c>
      <c r="B188" s="543" t="s">
        <v>839</v>
      </c>
      <c r="C188" s="543" t="s">
        <v>771</v>
      </c>
      <c r="D188" s="513" t="s">
        <v>984</v>
      </c>
      <c r="E188" s="524" t="s">
        <v>985</v>
      </c>
      <c r="F188" s="524" t="s">
        <v>708</v>
      </c>
      <c r="G188" s="531">
        <v>22.384326000000001</v>
      </c>
      <c r="H188" s="531">
        <v>43.811737000000001</v>
      </c>
      <c r="I188" s="531">
        <v>29.507650000000002</v>
      </c>
      <c r="J188" s="531">
        <v>35.653393999999999</v>
      </c>
      <c r="K188" s="578">
        <v>4250</v>
      </c>
      <c r="L188" s="578">
        <v>38.71</v>
      </c>
      <c r="M188" s="578">
        <v>3.0499999999999999E-2</v>
      </c>
      <c r="N188" s="578">
        <v>1.4999999999999999E-2</v>
      </c>
      <c r="O188" s="529">
        <v>1.77490912</v>
      </c>
      <c r="P188" s="544">
        <v>21</v>
      </c>
      <c r="Q188" s="544">
        <v>18.3</v>
      </c>
      <c r="R188" s="530">
        <v>63728</v>
      </c>
      <c r="S188" s="530">
        <v>65639</v>
      </c>
      <c r="T188" s="530">
        <v>441</v>
      </c>
      <c r="U188" s="530">
        <v>248.4634255527404</v>
      </c>
      <c r="V188" s="534">
        <v>63798</v>
      </c>
      <c r="W188" s="530">
        <v>65710</v>
      </c>
      <c r="X188" s="530">
        <v>442</v>
      </c>
      <c r="Y188" s="533">
        <v>249.02683468097791</v>
      </c>
      <c r="Z188" s="534">
        <v>165</v>
      </c>
      <c r="AA188" s="530">
        <v>217</v>
      </c>
      <c r="AB188" s="530">
        <v>36</v>
      </c>
      <c r="AC188" s="533">
        <v>20.282728616550237</v>
      </c>
      <c r="AD188" s="534">
        <v>61506</v>
      </c>
      <c r="AE188" s="530">
        <v>63306</v>
      </c>
      <c r="AF188" s="530">
        <v>383</v>
      </c>
      <c r="AG188" s="533">
        <v>215.78569611496502</v>
      </c>
      <c r="AH188" s="534">
        <v>1986.3</v>
      </c>
      <c r="AI188" s="530">
        <v>2044.9</v>
      </c>
      <c r="AJ188" s="530">
        <v>23.600000000000136</v>
      </c>
      <c r="AK188" s="533">
        <v>13.296455426405233</v>
      </c>
      <c r="AL188" s="534">
        <v>1604.572054</v>
      </c>
      <c r="AM188" s="530">
        <v>1652.701726</v>
      </c>
      <c r="AN188" s="530">
        <v>19.457902999999988</v>
      </c>
      <c r="AO188" s="533">
        <v>10.962760166559958</v>
      </c>
      <c r="AP188" s="534">
        <v>4.2</v>
      </c>
      <c r="AQ188" s="530">
        <v>4.3</v>
      </c>
      <c r="AR188" s="530">
        <v>9.9999999999999645E-2</v>
      </c>
      <c r="AS188" s="533">
        <v>5.6340912823750464E-2</v>
      </c>
      <c r="AT188" s="534">
        <v>11.3</v>
      </c>
      <c r="AU188" s="530">
        <v>11.6</v>
      </c>
      <c r="AV188" s="530">
        <v>0.19999999999999929</v>
      </c>
      <c r="AW188" s="533">
        <v>0.11268182564750093</v>
      </c>
      <c r="AX188" s="534">
        <v>-14.7</v>
      </c>
      <c r="AY188" s="530">
        <v>-14.89</v>
      </c>
      <c r="AZ188" s="530">
        <v>-7.0000000000002061E-2</v>
      </c>
      <c r="BA188" s="530">
        <v>-1.214831</v>
      </c>
      <c r="BB188" s="533">
        <v>-3.9438638976626625E-2</v>
      </c>
      <c r="BC188" s="545"/>
      <c r="BD188" s="545"/>
      <c r="BE188" s="545"/>
      <c r="BF188" s="545"/>
      <c r="BG188" s="545"/>
      <c r="BH188" s="567"/>
      <c r="BI188" s="574" t="s">
        <v>723</v>
      </c>
      <c r="BJ188" s="1">
        <v>5450.0441289800001</v>
      </c>
      <c r="BK188" s="1">
        <v>-4.2327972100000002</v>
      </c>
      <c r="BL188" s="1">
        <v>2355.5870823599998</v>
      </c>
      <c r="BM188" s="1">
        <v>2459.70124807</v>
      </c>
      <c r="BN188" s="1">
        <v>3.0205680099999999</v>
      </c>
      <c r="BO188" s="1">
        <v>3.0989922700000001</v>
      </c>
      <c r="BP188" s="1">
        <v>0.15151197999999999</v>
      </c>
      <c r="BQ188" s="1">
        <v>1.7748843400000001</v>
      </c>
      <c r="BR188" s="1">
        <v>1.7721992499999999</v>
      </c>
      <c r="BS188" s="1">
        <v>-2.7517873900000001</v>
      </c>
      <c r="BT188" s="1">
        <v>-2.5306376500000001</v>
      </c>
      <c r="BU188" s="128">
        <v>0.84361569999999997</v>
      </c>
      <c r="BV188" s="512"/>
    </row>
    <row r="189" spans="1:74" s="519" customFormat="1">
      <c r="A189" s="546">
        <v>62006034</v>
      </c>
      <c r="B189" s="543" t="s">
        <v>840</v>
      </c>
      <c r="C189" s="543" t="s">
        <v>696</v>
      </c>
      <c r="D189" s="513" t="s">
        <v>984</v>
      </c>
      <c r="E189" s="524" t="s">
        <v>985</v>
      </c>
      <c r="F189" s="524" t="s">
        <v>708</v>
      </c>
      <c r="G189" s="531">
        <v>25.733900999999999</v>
      </c>
      <c r="H189" s="531">
        <v>36.711087999999997</v>
      </c>
      <c r="I189" s="531">
        <v>29.517320000000002</v>
      </c>
      <c r="J189" s="531">
        <v>33.819507999999999</v>
      </c>
      <c r="K189" s="578">
        <v>4250</v>
      </c>
      <c r="L189" s="578">
        <v>38.71</v>
      </c>
      <c r="M189" s="578">
        <v>3.0499999999999999E-2</v>
      </c>
      <c r="N189" s="578">
        <v>1.4999999999999999E-2</v>
      </c>
      <c r="O189" s="529">
        <v>6.2507849699999998</v>
      </c>
      <c r="P189" s="544">
        <v>20.6</v>
      </c>
      <c r="Q189" s="544">
        <v>18.5</v>
      </c>
      <c r="R189" s="530">
        <v>64022</v>
      </c>
      <c r="S189" s="530">
        <v>65492</v>
      </c>
      <c r="T189" s="530">
        <v>1470</v>
      </c>
      <c r="U189" s="530" t="s">
        <v>936</v>
      </c>
      <c r="V189" s="534">
        <v>64092</v>
      </c>
      <c r="W189" s="530">
        <v>65562</v>
      </c>
      <c r="X189" s="530">
        <v>1470</v>
      </c>
      <c r="Y189" s="533">
        <v>235.17046371857518</v>
      </c>
      <c r="Z189" s="534">
        <v>178</v>
      </c>
      <c r="AA189" s="530">
        <v>194</v>
      </c>
      <c r="AB189" s="530">
        <v>16</v>
      </c>
      <c r="AC189" s="533">
        <v>2.5596785166647638</v>
      </c>
      <c r="AD189" s="534">
        <v>61775</v>
      </c>
      <c r="AE189" s="530">
        <v>63192</v>
      </c>
      <c r="AF189" s="530">
        <v>1417</v>
      </c>
      <c r="AG189" s="533">
        <v>226.69152863212315</v>
      </c>
      <c r="AH189" s="534">
        <v>1999.1</v>
      </c>
      <c r="AI189" s="530">
        <v>2034.1</v>
      </c>
      <c r="AJ189" s="530">
        <v>35</v>
      </c>
      <c r="AK189" s="533">
        <v>5.599296755204171</v>
      </c>
      <c r="AL189" s="534">
        <v>1615.12</v>
      </c>
      <c r="AM189" s="530">
        <v>1643.7917689999999</v>
      </c>
      <c r="AN189" s="530">
        <v>28.67176900000004</v>
      </c>
      <c r="AO189" s="533">
        <v>4.586906946504679</v>
      </c>
      <c r="AP189" s="534">
        <v>4.3</v>
      </c>
      <c r="AQ189" s="530">
        <v>4.3</v>
      </c>
      <c r="AR189" s="530">
        <v>0</v>
      </c>
      <c r="AS189" s="533">
        <v>0</v>
      </c>
      <c r="AT189" s="534">
        <v>11.4</v>
      </c>
      <c r="AU189" s="530">
        <v>11.5</v>
      </c>
      <c r="AV189" s="530">
        <v>9.9999999999999645E-2</v>
      </c>
      <c r="AW189" s="533">
        <v>1.5997990729154716E-2</v>
      </c>
      <c r="AX189" s="534">
        <v>-14.74</v>
      </c>
      <c r="AY189" s="530">
        <v>-14.86</v>
      </c>
      <c r="AZ189" s="530">
        <v>-0.11999999999999922</v>
      </c>
      <c r="BA189" s="530">
        <v>-1.194113</v>
      </c>
      <c r="BB189" s="533">
        <v>-1.9197588874985603E-2</v>
      </c>
      <c r="BC189" s="545"/>
      <c r="BD189" s="545"/>
      <c r="BE189" s="545"/>
      <c r="BF189" s="545"/>
      <c r="BG189" s="545"/>
      <c r="BH189" s="567"/>
      <c r="BI189" s="574" t="s">
        <v>723</v>
      </c>
      <c r="BJ189" s="1">
        <v>11294.366709759999</v>
      </c>
      <c r="BK189" s="1">
        <v>-4.8148481600000004</v>
      </c>
      <c r="BL189" s="1">
        <v>1084.4201795199999</v>
      </c>
      <c r="BM189" s="1">
        <v>1139.2745176599999</v>
      </c>
      <c r="BN189" s="1">
        <v>5.8355069000000004</v>
      </c>
      <c r="BO189" s="1">
        <v>5.8951447000000003</v>
      </c>
      <c r="BP189" s="1">
        <v>0.24108482000000001</v>
      </c>
      <c r="BQ189" s="1">
        <v>6.2507865599999999</v>
      </c>
      <c r="BR189" s="1">
        <v>6.2357531100000001</v>
      </c>
      <c r="BS189" s="1">
        <v>-1.26553011</v>
      </c>
      <c r="BT189" s="1">
        <v>-1.01164265</v>
      </c>
      <c r="BU189" s="128">
        <v>0.41980052000000001</v>
      </c>
      <c r="BV189" s="512"/>
    </row>
    <row r="190" spans="1:74" s="519" customFormat="1">
      <c r="A190" s="546">
        <v>62006034</v>
      </c>
      <c r="B190" s="543" t="s">
        <v>834</v>
      </c>
      <c r="C190" s="543" t="s">
        <v>698</v>
      </c>
      <c r="D190" s="513" t="s">
        <v>984</v>
      </c>
      <c r="E190" s="524" t="s">
        <v>985</v>
      </c>
      <c r="F190" s="524" t="s">
        <v>708</v>
      </c>
      <c r="G190" s="468">
        <v>24.059113500000002</v>
      </c>
      <c r="H190" s="468">
        <v>40.261412499999999</v>
      </c>
      <c r="I190" s="468">
        <v>29.512485000000002</v>
      </c>
      <c r="J190" s="468">
        <v>34.736451000000002</v>
      </c>
      <c r="K190" s="579"/>
      <c r="L190" s="578"/>
      <c r="M190" s="580"/>
      <c r="N190" s="581"/>
      <c r="O190" s="453">
        <v>8.02569409</v>
      </c>
      <c r="P190" s="493">
        <v>21</v>
      </c>
      <c r="Q190" s="493">
        <v>18.5</v>
      </c>
      <c r="R190" s="456">
        <v>63728</v>
      </c>
      <c r="S190" s="456">
        <v>65492</v>
      </c>
      <c r="T190" s="456">
        <v>1911</v>
      </c>
      <c r="U190" s="456">
        <v>238.11024673630439</v>
      </c>
      <c r="V190" s="456">
        <v>63798</v>
      </c>
      <c r="W190" s="456">
        <v>65562</v>
      </c>
      <c r="X190" s="456">
        <v>1912</v>
      </c>
      <c r="Y190" s="454">
        <v>238.23484655144637</v>
      </c>
      <c r="Z190" s="456">
        <v>165</v>
      </c>
      <c r="AA190" s="456">
        <v>194</v>
      </c>
      <c r="AB190" s="456">
        <v>52</v>
      </c>
      <c r="AC190" s="454">
        <v>6.4791903873824328</v>
      </c>
      <c r="AD190" s="456">
        <v>61506</v>
      </c>
      <c r="AE190" s="456">
        <v>63192</v>
      </c>
      <c r="AF190" s="456">
        <v>1800</v>
      </c>
      <c r="AG190" s="454">
        <v>224.27966725554575</v>
      </c>
      <c r="AH190" s="456">
        <v>1986.3</v>
      </c>
      <c r="AI190" s="456">
        <v>2034.1</v>
      </c>
      <c r="AJ190" s="456">
        <v>58.600000000000136</v>
      </c>
      <c r="AK190" s="454">
        <v>7.3015491673194504</v>
      </c>
      <c r="AL190" s="456">
        <v>1604.572054</v>
      </c>
      <c r="AM190" s="456">
        <v>1643.7917689999999</v>
      </c>
      <c r="AN190" s="456">
        <v>48.129672000000028</v>
      </c>
      <c r="AO190" s="454">
        <v>5.9969482340436464</v>
      </c>
      <c r="AP190" s="456">
        <v>4.2</v>
      </c>
      <c r="AQ190" s="456">
        <v>4.3</v>
      </c>
      <c r="AR190" s="456">
        <v>9.9999999999999645E-2</v>
      </c>
      <c r="AS190" s="454">
        <v>1.2459981514196942E-2</v>
      </c>
      <c r="AT190" s="456">
        <v>11.3</v>
      </c>
      <c r="AU190" s="456">
        <v>11.5</v>
      </c>
      <c r="AV190" s="456">
        <v>0.29999999999999893</v>
      </c>
      <c r="AW190" s="454">
        <v>3.7379944542590825E-2</v>
      </c>
      <c r="AX190" s="456">
        <v>-14.7</v>
      </c>
      <c r="AY190" s="456">
        <v>-14.86</v>
      </c>
      <c r="AZ190" s="456">
        <v>-0.19000000000000128</v>
      </c>
      <c r="BA190" s="530">
        <v>-1.204472</v>
      </c>
      <c r="BB190" s="454">
        <v>-2.3673964876974433E-2</v>
      </c>
      <c r="BC190" s="496"/>
      <c r="BD190" s="496"/>
      <c r="BE190" s="496"/>
      <c r="BF190" s="496"/>
      <c r="BG190" s="496"/>
      <c r="BH190" s="568"/>
      <c r="BI190" s="574" t="s">
        <v>723</v>
      </c>
      <c r="BJ190" s="1"/>
      <c r="BK190" s="1"/>
      <c r="BL190" s="1"/>
      <c r="BM190" s="1"/>
      <c r="BN190" s="1"/>
      <c r="BO190" s="1"/>
      <c r="BP190" s="1"/>
      <c r="BQ190" s="1"/>
      <c r="BR190" s="1"/>
      <c r="BS190" s="1"/>
      <c r="BT190" s="1"/>
      <c r="BU190" s="128"/>
      <c r="BV190" s="512"/>
    </row>
    <row r="191" spans="1:74" s="519" customFormat="1">
      <c r="A191" s="546">
        <v>62006034</v>
      </c>
      <c r="B191" s="543" t="s">
        <v>841</v>
      </c>
      <c r="C191" s="543" t="s">
        <v>697</v>
      </c>
      <c r="D191" s="513" t="s">
        <v>984</v>
      </c>
      <c r="E191" s="524" t="s">
        <v>985</v>
      </c>
      <c r="F191" s="524" t="s">
        <v>708</v>
      </c>
      <c r="G191" s="531">
        <v>20.955423</v>
      </c>
      <c r="H191" s="531">
        <v>52.281374999999997</v>
      </c>
      <c r="I191" s="531">
        <v>29.503202000000002</v>
      </c>
      <c r="J191" s="531">
        <v>32.109026999999998</v>
      </c>
      <c r="K191" s="578">
        <v>4250</v>
      </c>
      <c r="L191" s="578">
        <v>38.71</v>
      </c>
      <c r="M191" s="578">
        <v>3.0499999999999999E-2</v>
      </c>
      <c r="N191" s="578">
        <v>1.4999999999999999E-2</v>
      </c>
      <c r="O191" s="529">
        <v>3.5963044399999999</v>
      </c>
      <c r="P191" s="544">
        <v>18.2</v>
      </c>
      <c r="Q191" s="544">
        <v>17.3</v>
      </c>
      <c r="R191" s="530">
        <v>65678</v>
      </c>
      <c r="S191" s="530">
        <v>66313</v>
      </c>
      <c r="T191" s="530">
        <v>635</v>
      </c>
      <c r="U191" s="530">
        <v>176.57014599131102</v>
      </c>
      <c r="V191" s="534">
        <v>65749</v>
      </c>
      <c r="W191" s="530">
        <v>66384</v>
      </c>
      <c r="X191" s="530">
        <v>635</v>
      </c>
      <c r="Y191" s="533">
        <v>176.57014599131102</v>
      </c>
      <c r="Z191" s="534">
        <v>217</v>
      </c>
      <c r="AA191" s="530">
        <v>223</v>
      </c>
      <c r="AB191" s="530">
        <v>6</v>
      </c>
      <c r="AC191" s="533">
        <v>1.668379332201364</v>
      </c>
      <c r="AD191" s="534">
        <v>63307</v>
      </c>
      <c r="AE191" s="530">
        <v>63886</v>
      </c>
      <c r="AF191" s="530">
        <v>579</v>
      </c>
      <c r="AG191" s="533">
        <v>160.99860555743163</v>
      </c>
      <c r="AH191" s="534">
        <v>2082.6</v>
      </c>
      <c r="AI191" s="530">
        <v>2131.3000000000002</v>
      </c>
      <c r="AJ191" s="530">
        <v>48.700000000000273</v>
      </c>
      <c r="AK191" s="533">
        <v>13.541678913034479</v>
      </c>
      <c r="AL191" s="534">
        <v>1680.91</v>
      </c>
      <c r="AM191" s="530">
        <v>1720.8412189999999</v>
      </c>
      <c r="AN191" s="530">
        <v>39.931218999999828</v>
      </c>
      <c r="AO191" s="533">
        <v>11.103403414867689</v>
      </c>
      <c r="AP191" s="534">
        <v>4.4000000000000004</v>
      </c>
      <c r="AQ191" s="530">
        <v>4.5</v>
      </c>
      <c r="AR191" s="530">
        <v>9.9999999999999645E-2</v>
      </c>
      <c r="AS191" s="533">
        <v>2.7806322203355965E-2</v>
      </c>
      <c r="AT191" s="534">
        <v>11.8</v>
      </c>
      <c r="AU191" s="530">
        <v>12</v>
      </c>
      <c r="AV191" s="530">
        <v>0.19999999999999929</v>
      </c>
      <c r="AW191" s="533">
        <v>5.5612644406711931E-2</v>
      </c>
      <c r="AX191" s="534">
        <v>-15.09</v>
      </c>
      <c r="AY191" s="530">
        <v>-15.25</v>
      </c>
      <c r="AZ191" s="530">
        <v>-0.16000000000000014</v>
      </c>
      <c r="BA191" s="530">
        <v>-1.1815249999999999</v>
      </c>
      <c r="BB191" s="533">
        <v>-4.4490115525369744E-2</v>
      </c>
      <c r="BC191" s="545"/>
      <c r="BD191" s="545"/>
      <c r="BE191" s="545"/>
      <c r="BF191" s="545"/>
      <c r="BG191" s="545"/>
      <c r="BH191" s="567"/>
      <c r="BI191" s="574" t="s">
        <v>723</v>
      </c>
      <c r="BJ191" s="1">
        <v>2368.5236811499999</v>
      </c>
      <c r="BK191" s="1">
        <v>-1.08161427</v>
      </c>
      <c r="BL191" s="1">
        <v>2026.67358932</v>
      </c>
      <c r="BM191" s="1">
        <v>2048.8340710399998</v>
      </c>
      <c r="BN191" s="1">
        <v>3.0234274499999998</v>
      </c>
      <c r="BO191" s="1">
        <v>3.0320003500000001</v>
      </c>
      <c r="BP191" s="1">
        <v>0.14717356000000001</v>
      </c>
      <c r="BQ191" s="1">
        <v>3.5962652799999999</v>
      </c>
      <c r="BR191" s="1">
        <v>3.5909803</v>
      </c>
      <c r="BS191" s="1">
        <v>-0.43113985999999999</v>
      </c>
      <c r="BT191" s="1">
        <v>-0.28274726999999999</v>
      </c>
      <c r="BU191" s="128">
        <v>0.63450395000000004</v>
      </c>
      <c r="BV191" s="512"/>
    </row>
    <row r="192" spans="1:74" s="519" customFormat="1">
      <c r="A192" s="546">
        <v>62006034</v>
      </c>
      <c r="B192" s="543" t="s">
        <v>234</v>
      </c>
      <c r="C192" s="543" t="s">
        <v>699</v>
      </c>
      <c r="D192" s="513" t="s">
        <v>984</v>
      </c>
      <c r="E192" s="524" t="s">
        <v>985</v>
      </c>
      <c r="F192" s="524" t="s">
        <v>708</v>
      </c>
      <c r="G192" s="531">
        <v>20.046855000000001</v>
      </c>
      <c r="H192" s="531">
        <v>52.355321000000004</v>
      </c>
      <c r="I192" s="531">
        <v>29.501839</v>
      </c>
      <c r="J192" s="531">
        <v>30.906621000000001</v>
      </c>
      <c r="K192" s="578">
        <v>4250</v>
      </c>
      <c r="L192" s="578">
        <v>38.71</v>
      </c>
      <c r="M192" s="578">
        <v>3.0499999999999999E-2</v>
      </c>
      <c r="N192" s="578">
        <v>1.4999999999999999E-2</v>
      </c>
      <c r="O192" s="529">
        <v>3.8623510200000002</v>
      </c>
      <c r="P192" s="544">
        <v>17.3</v>
      </c>
      <c r="Q192" s="544">
        <v>16.399999999999999</v>
      </c>
      <c r="R192" s="530">
        <v>66313</v>
      </c>
      <c r="S192" s="530">
        <v>66928</v>
      </c>
      <c r="T192" s="530">
        <v>615</v>
      </c>
      <c r="U192" s="530">
        <v>159.22944258960698</v>
      </c>
      <c r="V192" s="534">
        <v>66384</v>
      </c>
      <c r="W192" s="530">
        <v>67000</v>
      </c>
      <c r="X192" s="530">
        <v>616</v>
      </c>
      <c r="Y192" s="533">
        <v>159.4883522523543</v>
      </c>
      <c r="Z192" s="534">
        <v>223</v>
      </c>
      <c r="AA192" s="530">
        <v>241</v>
      </c>
      <c r="AB192" s="530">
        <v>18</v>
      </c>
      <c r="AC192" s="533">
        <v>4.6603739294519118</v>
      </c>
      <c r="AD192" s="534">
        <v>63886</v>
      </c>
      <c r="AE192" s="530">
        <v>64399</v>
      </c>
      <c r="AF192" s="530">
        <v>513</v>
      </c>
      <c r="AG192" s="533">
        <v>132.82065698937947</v>
      </c>
      <c r="AH192" s="534">
        <v>2131.3000000000002</v>
      </c>
      <c r="AI192" s="530">
        <v>2214.767871</v>
      </c>
      <c r="AJ192" s="530">
        <v>83.467870999999832</v>
      </c>
      <c r="AK192" s="533">
        <v>21.610638330847472</v>
      </c>
      <c r="AL192" s="534">
        <v>1720.861022</v>
      </c>
      <c r="AM192" s="530">
        <v>1789.650361</v>
      </c>
      <c r="AN192" s="530">
        <v>68.789338999999927</v>
      </c>
      <c r="AO192" s="533">
        <v>17.810224561101627</v>
      </c>
      <c r="AP192" s="534">
        <v>4.5</v>
      </c>
      <c r="AQ192" s="530">
        <v>4.7</v>
      </c>
      <c r="AR192" s="530">
        <v>0.20000000000000018</v>
      </c>
      <c r="AS192" s="533">
        <v>5.1781932549465733E-2</v>
      </c>
      <c r="AT192" s="534">
        <v>12</v>
      </c>
      <c r="AU192" s="530">
        <v>12.4</v>
      </c>
      <c r="AV192" s="530">
        <v>0.40000000000000036</v>
      </c>
      <c r="AW192" s="533">
        <v>0.10356386509893147</v>
      </c>
      <c r="AX192" s="534">
        <v>-15.25</v>
      </c>
      <c r="AY192" s="530">
        <v>-15.52</v>
      </c>
      <c r="AZ192" s="530">
        <v>-0.26999999999999957</v>
      </c>
      <c r="BA192" s="530">
        <v>-1.0907230000000001</v>
      </c>
      <c r="BB192" s="533">
        <v>-6.9905608941778566E-2</v>
      </c>
      <c r="BC192" s="545"/>
      <c r="BD192" s="545"/>
      <c r="BE192" s="545"/>
      <c r="BF192" s="545"/>
      <c r="BG192" s="545"/>
      <c r="BH192" s="567"/>
      <c r="BI192" s="574" t="s">
        <v>723</v>
      </c>
      <c r="BJ192" s="1">
        <v>1476.0193784400001</v>
      </c>
      <c r="BK192" s="1">
        <v>-1.0913204999999999</v>
      </c>
      <c r="BL192" s="1">
        <v>3378.9515580299999</v>
      </c>
      <c r="BM192" s="1">
        <v>3416.2336157599998</v>
      </c>
      <c r="BN192" s="1">
        <v>2.9825414000000001</v>
      </c>
      <c r="BO192" s="1">
        <v>2.9953598600000002</v>
      </c>
      <c r="BP192" s="1">
        <v>6.2140090000000002E-2</v>
      </c>
      <c r="BQ192" s="1">
        <v>3.8622292800000002</v>
      </c>
      <c r="BR192" s="1">
        <v>3.8598307799999998</v>
      </c>
      <c r="BS192" s="1">
        <v>-0.49219049999999998</v>
      </c>
      <c r="BT192" s="1">
        <v>-0.42794410999999999</v>
      </c>
      <c r="BU192" s="128">
        <v>0.72008764999999997</v>
      </c>
      <c r="BV192" s="512"/>
    </row>
    <row r="193" spans="1:74" s="519" customFormat="1">
      <c r="A193" s="546">
        <v>62006034</v>
      </c>
      <c r="B193" s="543" t="s">
        <v>842</v>
      </c>
      <c r="C193" s="543" t="s">
        <v>704</v>
      </c>
      <c r="D193" s="513" t="s">
        <v>984</v>
      </c>
      <c r="E193" s="524" t="s">
        <v>985</v>
      </c>
      <c r="F193" s="524" t="s">
        <v>708</v>
      </c>
      <c r="G193" s="468">
        <v>20.501139000000002</v>
      </c>
      <c r="H193" s="468">
        <v>52.318348</v>
      </c>
      <c r="I193" s="468">
        <v>29.502520500000003</v>
      </c>
      <c r="J193" s="468">
        <v>31.507823999999999</v>
      </c>
      <c r="K193" s="579"/>
      <c r="L193" s="578"/>
      <c r="M193" s="580"/>
      <c r="N193" s="581"/>
      <c r="O193" s="453">
        <v>7.4586554600000001</v>
      </c>
      <c r="P193" s="493">
        <v>18.2</v>
      </c>
      <c r="Q193" s="493">
        <v>16.399999999999999</v>
      </c>
      <c r="R193" s="456">
        <v>65678</v>
      </c>
      <c r="S193" s="456">
        <v>66928</v>
      </c>
      <c r="T193" s="456">
        <v>1250</v>
      </c>
      <c r="U193" s="456">
        <v>167.59052710017522</v>
      </c>
      <c r="V193" s="456">
        <v>65749</v>
      </c>
      <c r="W193" s="456">
        <v>67000</v>
      </c>
      <c r="X193" s="456">
        <v>1251</v>
      </c>
      <c r="Y193" s="454">
        <v>167.72459952185537</v>
      </c>
      <c r="Z193" s="456">
        <v>217</v>
      </c>
      <c r="AA193" s="456">
        <v>241</v>
      </c>
      <c r="AB193" s="456">
        <v>24</v>
      </c>
      <c r="AC193" s="454">
        <v>3.2177381203233644</v>
      </c>
      <c r="AD193" s="456">
        <v>63307</v>
      </c>
      <c r="AE193" s="456">
        <v>64399</v>
      </c>
      <c r="AF193" s="456">
        <v>1092</v>
      </c>
      <c r="AG193" s="454">
        <v>146.40708447471309</v>
      </c>
      <c r="AH193" s="456">
        <v>2082.6</v>
      </c>
      <c r="AI193" s="456">
        <v>2214.767871</v>
      </c>
      <c r="AJ193" s="456">
        <v>132.1678710000001</v>
      </c>
      <c r="AK193" s="454">
        <v>17.720066533278384</v>
      </c>
      <c r="AL193" s="456">
        <v>1680.91</v>
      </c>
      <c r="AM193" s="456">
        <v>1789.650361</v>
      </c>
      <c r="AN193" s="456">
        <v>108.72055799999976</v>
      </c>
      <c r="AO193" s="454">
        <v>14.576428497476106</v>
      </c>
      <c r="AP193" s="456">
        <v>4.4000000000000004</v>
      </c>
      <c r="AQ193" s="456">
        <v>4.7</v>
      </c>
      <c r="AR193" s="456">
        <v>0.29999999999999982</v>
      </c>
      <c r="AS193" s="454">
        <v>4.022172650404203E-2</v>
      </c>
      <c r="AT193" s="456">
        <v>11.8</v>
      </c>
      <c r="AU193" s="456">
        <v>12.4</v>
      </c>
      <c r="AV193" s="456">
        <v>0.59999999999999964</v>
      </c>
      <c r="AW193" s="454">
        <v>8.0443453008084059E-2</v>
      </c>
      <c r="AX193" s="456">
        <v>-15.09</v>
      </c>
      <c r="AY193" s="456">
        <v>-15.52</v>
      </c>
      <c r="AZ193" s="456">
        <v>-0.42999999999999972</v>
      </c>
      <c r="BA193" s="530">
        <v>-1.1361240000000001</v>
      </c>
      <c r="BB193" s="454">
        <v>-5.7651141322460242E-2</v>
      </c>
      <c r="BC193" s="496"/>
      <c r="BD193" s="496"/>
      <c r="BE193" s="496"/>
      <c r="BF193" s="496"/>
      <c r="BG193" s="496"/>
      <c r="BH193" s="568"/>
      <c r="BI193" s="574" t="s">
        <v>723</v>
      </c>
      <c r="BJ193" s="1"/>
      <c r="BK193" s="1"/>
      <c r="BL193" s="1"/>
      <c r="BM193" s="1"/>
      <c r="BN193" s="1"/>
      <c r="BO193" s="1"/>
      <c r="BP193" s="1"/>
      <c r="BQ193" s="1"/>
      <c r="BR193" s="1"/>
      <c r="BS193" s="1"/>
      <c r="BT193" s="1"/>
      <c r="BU193" s="128"/>
      <c r="BV193" s="512"/>
    </row>
    <row r="194" spans="1:74" s="519" customFormat="1">
      <c r="A194" s="546">
        <v>62006034</v>
      </c>
      <c r="B194" s="543" t="s">
        <v>56</v>
      </c>
      <c r="C194" s="543" t="s">
        <v>700</v>
      </c>
      <c r="D194" s="513" t="s">
        <v>984</v>
      </c>
      <c r="E194" s="524" t="s">
        <v>985</v>
      </c>
      <c r="F194" s="524" t="s">
        <v>708</v>
      </c>
      <c r="G194" s="531">
        <v>25.32254</v>
      </c>
      <c r="H194" s="531">
        <v>37.673231999999999</v>
      </c>
      <c r="I194" s="531">
        <v>29.505372999999999</v>
      </c>
      <c r="J194" s="531">
        <v>31.917172000000001</v>
      </c>
      <c r="K194" s="578">
        <v>4250</v>
      </c>
      <c r="L194" s="578">
        <v>38.71</v>
      </c>
      <c r="M194" s="578">
        <v>3.0499999999999999E-2</v>
      </c>
      <c r="N194" s="578">
        <v>1.4999999999999999E-2</v>
      </c>
      <c r="O194" s="529">
        <v>10.284345050000001</v>
      </c>
      <c r="P194" s="544">
        <v>16.399999999999999</v>
      </c>
      <c r="Q194" s="544">
        <v>13.8</v>
      </c>
      <c r="R194" s="530">
        <v>66930</v>
      </c>
      <c r="S194" s="530">
        <v>68775</v>
      </c>
      <c r="T194" s="530">
        <v>1845</v>
      </c>
      <c r="U194" s="530">
        <v>179.39888160403564</v>
      </c>
      <c r="V194" s="534">
        <v>67001</v>
      </c>
      <c r="W194" s="530">
        <v>68848</v>
      </c>
      <c r="X194" s="530">
        <v>1847</v>
      </c>
      <c r="Y194" s="533">
        <v>179.59335193639774</v>
      </c>
      <c r="Z194" s="534">
        <v>241</v>
      </c>
      <c r="AA194" s="530">
        <v>242</v>
      </c>
      <c r="AB194" s="530">
        <v>1</v>
      </c>
      <c r="AC194" s="533">
        <v>9.7235166181049118E-2</v>
      </c>
      <c r="AD194" s="534">
        <v>64399</v>
      </c>
      <c r="AE194" s="530">
        <v>66167</v>
      </c>
      <c r="AF194" s="530">
        <v>1768</v>
      </c>
      <c r="AG194" s="533">
        <v>171.91177380809484</v>
      </c>
      <c r="AH194" s="534">
        <v>2216.3067219999998</v>
      </c>
      <c r="AI194" s="530">
        <v>2290.1999999999998</v>
      </c>
      <c r="AJ194" s="530">
        <v>73.893278000000009</v>
      </c>
      <c r="AK194" s="533">
        <v>7.185025165992462</v>
      </c>
      <c r="AL194" s="534">
        <v>1790.9506719999999</v>
      </c>
      <c r="AM194" s="530">
        <v>1852.02</v>
      </c>
      <c r="AN194" s="530">
        <v>61.069328000000041</v>
      </c>
      <c r="AO194" s="533">
        <v>5.9380862566450006</v>
      </c>
      <c r="AP194" s="534">
        <v>4.7</v>
      </c>
      <c r="AQ194" s="530">
        <v>4.7</v>
      </c>
      <c r="AR194" s="530">
        <v>0</v>
      </c>
      <c r="AS194" s="533">
        <v>0</v>
      </c>
      <c r="AT194" s="534">
        <v>12.4</v>
      </c>
      <c r="AU194" s="530">
        <v>12.7</v>
      </c>
      <c r="AV194" s="530">
        <v>0.29999999999999893</v>
      </c>
      <c r="AW194" s="533">
        <v>2.9170549854314633E-2</v>
      </c>
      <c r="AX194" s="534">
        <v>-15.52</v>
      </c>
      <c r="AY194" s="530">
        <v>-15.75</v>
      </c>
      <c r="AZ194" s="530">
        <v>-0.23000000000000043</v>
      </c>
      <c r="BA194" s="530">
        <v>-1.037463</v>
      </c>
      <c r="BB194" s="533">
        <v>-2.2364088221641338E-2</v>
      </c>
      <c r="BC194" s="545"/>
      <c r="BD194" s="545"/>
      <c r="BE194" s="545"/>
      <c r="BF194" s="545"/>
      <c r="BG194" s="545"/>
      <c r="BH194" s="567"/>
      <c r="BI194" s="574" t="s">
        <v>723</v>
      </c>
      <c r="BJ194" s="1">
        <v>1875.3491857700001</v>
      </c>
      <c r="BK194" s="1">
        <v>0.94737481999999995</v>
      </c>
      <c r="BL194" s="1">
        <v>1319.1515590500001</v>
      </c>
      <c r="BM194" s="1">
        <v>1306.7715346</v>
      </c>
      <c r="BN194" s="1">
        <v>6.82025317</v>
      </c>
      <c r="BO194" s="1">
        <v>6.7904236600000001</v>
      </c>
      <c r="BP194" s="1">
        <v>0.26978850999999998</v>
      </c>
      <c r="BQ194" s="1">
        <v>10.284351689999999</v>
      </c>
      <c r="BR194" s="1">
        <v>10.256680340000001</v>
      </c>
      <c r="BS194" s="1">
        <v>0.16875809999999999</v>
      </c>
      <c r="BT194" s="1">
        <v>0.43928794999999998</v>
      </c>
      <c r="BU194" s="128">
        <v>0.33398550999999999</v>
      </c>
      <c r="BV194" s="512"/>
    </row>
    <row r="195" spans="1:74" s="519" customFormat="1">
      <c r="A195" s="546">
        <v>62006034</v>
      </c>
      <c r="B195" s="543" t="s">
        <v>843</v>
      </c>
      <c r="C195" s="543" t="s">
        <v>702</v>
      </c>
      <c r="D195" s="513" t="s">
        <v>984</v>
      </c>
      <c r="E195" s="524" t="s">
        <v>985</v>
      </c>
      <c r="F195" s="524" t="s">
        <v>708</v>
      </c>
      <c r="G195" s="531">
        <v>20.981826000000002</v>
      </c>
      <c r="H195" s="531">
        <v>48.875075000000002</v>
      </c>
      <c r="I195" s="531">
        <v>29.488005999999999</v>
      </c>
      <c r="J195" s="531">
        <v>31.759128</v>
      </c>
      <c r="K195" s="578">
        <v>4250</v>
      </c>
      <c r="L195" s="578">
        <v>38.71</v>
      </c>
      <c r="M195" s="578">
        <v>3.0499999999999999E-2</v>
      </c>
      <c r="N195" s="578">
        <v>1.4999999999999999E-2</v>
      </c>
      <c r="O195" s="529">
        <v>3.5965738599999999</v>
      </c>
      <c r="P195" s="544">
        <v>13.7</v>
      </c>
      <c r="Q195" s="544">
        <v>12.8</v>
      </c>
      <c r="R195" s="530">
        <v>68814</v>
      </c>
      <c r="S195" s="530">
        <v>69447</v>
      </c>
      <c r="T195" s="530">
        <v>633</v>
      </c>
      <c r="U195" s="530">
        <v>176.00083430512393</v>
      </c>
      <c r="V195" s="534">
        <v>68888</v>
      </c>
      <c r="W195" s="530">
        <v>69521</v>
      </c>
      <c r="X195" s="530">
        <v>633</v>
      </c>
      <c r="Y195" s="533">
        <v>176.00083430512393</v>
      </c>
      <c r="Z195" s="534">
        <v>242</v>
      </c>
      <c r="AA195" s="530">
        <v>248</v>
      </c>
      <c r="AB195" s="530">
        <v>6</v>
      </c>
      <c r="AC195" s="533">
        <v>1.6682543536030705</v>
      </c>
      <c r="AD195" s="534">
        <v>66168</v>
      </c>
      <c r="AE195" s="530">
        <v>66745</v>
      </c>
      <c r="AF195" s="530">
        <v>577</v>
      </c>
      <c r="AG195" s="533">
        <v>160.43046033816194</v>
      </c>
      <c r="AH195" s="534">
        <v>2327.8000000000002</v>
      </c>
      <c r="AI195" s="530">
        <v>2375.9</v>
      </c>
      <c r="AJ195" s="530">
        <v>48.099999999999909</v>
      </c>
      <c r="AK195" s="533">
        <v>13.373839068051257</v>
      </c>
      <c r="AL195" s="534">
        <v>1880.4699559999999</v>
      </c>
      <c r="AM195" s="530">
        <v>1920.2397020000001</v>
      </c>
      <c r="AN195" s="530">
        <v>39.769746000000168</v>
      </c>
      <c r="AO195" s="533">
        <v>11.057675317698097</v>
      </c>
      <c r="AP195" s="534">
        <v>4.8</v>
      </c>
      <c r="AQ195" s="530">
        <v>4.9000000000000004</v>
      </c>
      <c r="AR195" s="530">
        <v>0.10000000000000053</v>
      </c>
      <c r="AS195" s="533">
        <v>2.780423922671799E-2</v>
      </c>
      <c r="AT195" s="534">
        <v>13</v>
      </c>
      <c r="AU195" s="530">
        <v>13.2</v>
      </c>
      <c r="AV195" s="530">
        <v>0.19999999999999929</v>
      </c>
      <c r="AW195" s="533">
        <v>5.5608478453435486E-2</v>
      </c>
      <c r="AX195" s="534">
        <v>-15.92</v>
      </c>
      <c r="AY195" s="530">
        <v>-16.079999999999998</v>
      </c>
      <c r="AZ195" s="530">
        <v>-0.15999999999999837</v>
      </c>
      <c r="BA195" s="530">
        <v>-1.036718</v>
      </c>
      <c r="BB195" s="533">
        <v>-4.4486782762748089E-2</v>
      </c>
      <c r="BC195" s="545"/>
      <c r="BD195" s="545"/>
      <c r="BE195" s="545"/>
      <c r="BF195" s="545"/>
      <c r="BG195" s="545"/>
      <c r="BH195" s="567"/>
      <c r="BI195" s="574" t="s">
        <v>723</v>
      </c>
      <c r="BJ195" s="1">
        <v>2367.8847709699999</v>
      </c>
      <c r="BK195" s="1">
        <v>-0.94597796999999995</v>
      </c>
      <c r="BL195" s="1">
        <v>2029.4072752100001</v>
      </c>
      <c r="BM195" s="1">
        <v>2048.7883618199999</v>
      </c>
      <c r="BN195" s="1">
        <v>3.02621992</v>
      </c>
      <c r="BO195" s="1">
        <v>3.0319412099999998</v>
      </c>
      <c r="BP195" s="1">
        <v>0.15516970999999999</v>
      </c>
      <c r="BQ195" s="1">
        <v>3.5965525600000001</v>
      </c>
      <c r="BR195" s="1">
        <v>3.59098045</v>
      </c>
      <c r="BS195" s="1">
        <v>-0.34452044999999998</v>
      </c>
      <c r="BT195" s="1">
        <v>-0.18870063000000001</v>
      </c>
      <c r="BU195" s="128">
        <v>0.63449513999999996</v>
      </c>
      <c r="BV195" s="512"/>
    </row>
    <row r="196" spans="1:74" s="519" customFormat="1">
      <c r="A196" s="546">
        <v>62006034</v>
      </c>
      <c r="B196" s="543" t="s">
        <v>844</v>
      </c>
      <c r="C196" s="543" t="s">
        <v>705</v>
      </c>
      <c r="D196" s="513" t="s">
        <v>984</v>
      </c>
      <c r="E196" s="524" t="s">
        <v>985</v>
      </c>
      <c r="F196" s="524" t="s">
        <v>708</v>
      </c>
      <c r="G196" s="531">
        <v>19.077400999999998</v>
      </c>
      <c r="H196" s="531">
        <v>55.609791999999999</v>
      </c>
      <c r="I196" s="531">
        <v>29.486286</v>
      </c>
      <c r="J196" s="531">
        <v>30.540445999999999</v>
      </c>
      <c r="K196" s="578">
        <v>4250</v>
      </c>
      <c r="L196" s="578">
        <v>38.71</v>
      </c>
      <c r="M196" s="578">
        <v>3.0499999999999999E-2</v>
      </c>
      <c r="N196" s="578">
        <v>1.4999999999999999E-2</v>
      </c>
      <c r="O196" s="529">
        <v>3.8618394899999999</v>
      </c>
      <c r="P196" s="544">
        <v>12.8</v>
      </c>
      <c r="Q196" s="544">
        <v>11.9</v>
      </c>
      <c r="R196" s="530">
        <v>69447</v>
      </c>
      <c r="S196" s="530">
        <v>70058</v>
      </c>
      <c r="T196" s="530">
        <v>611</v>
      </c>
      <c r="U196" s="530">
        <v>158.21475791061425</v>
      </c>
      <c r="V196" s="534">
        <v>69521</v>
      </c>
      <c r="W196" s="530">
        <v>70134</v>
      </c>
      <c r="X196" s="530">
        <v>613</v>
      </c>
      <c r="Y196" s="533">
        <v>158.73264582521529</v>
      </c>
      <c r="Z196" s="534">
        <v>248</v>
      </c>
      <c r="AA196" s="530">
        <v>265</v>
      </c>
      <c r="AB196" s="530">
        <v>17</v>
      </c>
      <c r="AC196" s="533">
        <v>4.4020472741087433</v>
      </c>
      <c r="AD196" s="534">
        <v>66745</v>
      </c>
      <c r="AE196" s="530">
        <v>67255</v>
      </c>
      <c r="AF196" s="530">
        <v>510</v>
      </c>
      <c r="AG196" s="533">
        <v>132.06141822326231</v>
      </c>
      <c r="AH196" s="534">
        <v>2375.9970870000002</v>
      </c>
      <c r="AI196" s="530">
        <v>2458.9</v>
      </c>
      <c r="AJ196" s="530">
        <v>82.902912999999899</v>
      </c>
      <c r="AK196" s="533">
        <v>21.467208363960228</v>
      </c>
      <c r="AL196" s="534">
        <v>1920.2597089999999</v>
      </c>
      <c r="AM196" s="530">
        <v>1988.8192859999999</v>
      </c>
      <c r="AN196" s="530">
        <v>68.55957699999999</v>
      </c>
      <c r="AO196" s="533">
        <v>17.753088179229323</v>
      </c>
      <c r="AP196" s="534">
        <v>4.9000000000000004</v>
      </c>
      <c r="AQ196" s="530">
        <v>5</v>
      </c>
      <c r="AR196" s="530">
        <v>9.9999999999999645E-2</v>
      </c>
      <c r="AS196" s="533">
        <v>2.5894395730051339E-2</v>
      </c>
      <c r="AT196" s="534">
        <v>13.2</v>
      </c>
      <c r="AU196" s="530">
        <v>13.5</v>
      </c>
      <c r="AV196" s="530">
        <v>0.30000000000000071</v>
      </c>
      <c r="AW196" s="533">
        <v>7.7683187190154476E-2</v>
      </c>
      <c r="AX196" s="534">
        <v>-16.079999999999998</v>
      </c>
      <c r="AY196" s="530">
        <v>-16.34</v>
      </c>
      <c r="AZ196" s="530">
        <v>-0.26000000000000156</v>
      </c>
      <c r="BA196" s="530">
        <v>-1.075008</v>
      </c>
      <c r="BB196" s="533">
        <v>-6.7325428898134129E-2</v>
      </c>
      <c r="BC196" s="545"/>
      <c r="BD196" s="545"/>
      <c r="BE196" s="545"/>
      <c r="BF196" s="545"/>
      <c r="BG196" s="545"/>
      <c r="BH196" s="567"/>
      <c r="BI196" s="574" t="s">
        <v>723</v>
      </c>
      <c r="BJ196" s="1">
        <v>1475.70784604</v>
      </c>
      <c r="BK196" s="1">
        <v>-1.18566047</v>
      </c>
      <c r="BL196" s="1">
        <v>3375.6935360500001</v>
      </c>
      <c r="BM196" s="1">
        <v>3416.1980459500001</v>
      </c>
      <c r="BN196" s="1">
        <v>2.9824620999999998</v>
      </c>
      <c r="BO196" s="1">
        <v>2.9953058499999998</v>
      </c>
      <c r="BP196" s="1">
        <v>4.941255E-2</v>
      </c>
      <c r="BQ196" s="1">
        <v>3.8617368399999998</v>
      </c>
      <c r="BR196" s="1">
        <v>3.8598295999999999</v>
      </c>
      <c r="BS196" s="1">
        <v>-0.48026760000000002</v>
      </c>
      <c r="BT196" s="1">
        <v>-0.42879568000000001</v>
      </c>
      <c r="BU196" s="128">
        <v>0.72009193000000005</v>
      </c>
      <c r="BV196" s="512"/>
    </row>
    <row r="197" spans="1:74" s="519" customFormat="1">
      <c r="A197" s="546">
        <v>62006034</v>
      </c>
      <c r="B197" s="543" t="s">
        <v>845</v>
      </c>
      <c r="C197" s="543" t="s">
        <v>703</v>
      </c>
      <c r="D197" s="513" t="s">
        <v>984</v>
      </c>
      <c r="E197" s="524" t="s">
        <v>985</v>
      </c>
      <c r="F197" s="524" t="s">
        <v>708</v>
      </c>
      <c r="G197" s="468">
        <v>20.0296135</v>
      </c>
      <c r="H197" s="468">
        <v>52.242433500000004</v>
      </c>
      <c r="I197" s="468">
        <v>29.487145999999999</v>
      </c>
      <c r="J197" s="468">
        <v>31.149787</v>
      </c>
      <c r="K197" s="579"/>
      <c r="L197" s="578"/>
      <c r="M197" s="580"/>
      <c r="N197" s="581"/>
      <c r="O197" s="453">
        <v>7.4584133499999998</v>
      </c>
      <c r="P197" s="493">
        <v>13.7</v>
      </c>
      <c r="Q197" s="493">
        <v>11.9</v>
      </c>
      <c r="R197" s="456">
        <v>68814</v>
      </c>
      <c r="S197" s="456">
        <v>70058</v>
      </c>
      <c r="T197" s="456">
        <v>1244</v>
      </c>
      <c r="U197" s="456">
        <v>166.79150666810389</v>
      </c>
      <c r="V197" s="456">
        <v>68888</v>
      </c>
      <c r="W197" s="456">
        <v>70134</v>
      </c>
      <c r="X197" s="456">
        <v>1246</v>
      </c>
      <c r="Y197" s="454">
        <v>167.05966021580181</v>
      </c>
      <c r="Z197" s="456">
        <v>242</v>
      </c>
      <c r="AA197" s="456">
        <v>265</v>
      </c>
      <c r="AB197" s="456">
        <v>23</v>
      </c>
      <c r="AC197" s="454">
        <v>3.0837657985260365</v>
      </c>
      <c r="AD197" s="456">
        <v>66168</v>
      </c>
      <c r="AE197" s="456">
        <v>67255</v>
      </c>
      <c r="AF197" s="456">
        <v>1087</v>
      </c>
      <c r="AG197" s="454">
        <v>145.74145317381746</v>
      </c>
      <c r="AH197" s="456">
        <v>2327.8000000000002</v>
      </c>
      <c r="AI197" s="456">
        <v>2458.9</v>
      </c>
      <c r="AJ197" s="456">
        <v>131.00291299999981</v>
      </c>
      <c r="AK197" s="454">
        <v>17.564447939855707</v>
      </c>
      <c r="AL197" s="456">
        <v>1880.4699559999999</v>
      </c>
      <c r="AM197" s="456">
        <v>1988.8192859999999</v>
      </c>
      <c r="AN197" s="456">
        <v>108.32932300000016</v>
      </c>
      <c r="AO197" s="454">
        <v>14.524446141081757</v>
      </c>
      <c r="AP197" s="456">
        <v>4.8</v>
      </c>
      <c r="AQ197" s="456">
        <v>5</v>
      </c>
      <c r="AR197" s="456">
        <v>0.20000000000000018</v>
      </c>
      <c r="AS197" s="454">
        <v>2.6815354769791647E-2</v>
      </c>
      <c r="AT197" s="456">
        <v>13</v>
      </c>
      <c r="AU197" s="456">
        <v>13.5</v>
      </c>
      <c r="AV197" s="456">
        <v>0.5</v>
      </c>
      <c r="AW197" s="454">
        <v>6.7038386924479054E-2</v>
      </c>
      <c r="AX197" s="456">
        <v>-15.92</v>
      </c>
      <c r="AY197" s="456">
        <v>-16.34</v>
      </c>
      <c r="AZ197" s="456">
        <v>-0.41999999999999993</v>
      </c>
      <c r="BA197" s="530">
        <v>-1.055863</v>
      </c>
      <c r="BB197" s="454">
        <v>-5.6312245016562394E-2</v>
      </c>
      <c r="BC197" s="496"/>
      <c r="BD197" s="496"/>
      <c r="BE197" s="496"/>
      <c r="BF197" s="496"/>
      <c r="BG197" s="496"/>
      <c r="BH197" s="568"/>
      <c r="BI197" s="574" t="s">
        <v>723</v>
      </c>
      <c r="BJ197" s="1"/>
      <c r="BK197" s="1"/>
      <c r="BL197" s="1"/>
      <c r="BM197" s="1"/>
      <c r="BN197" s="1"/>
      <c r="BO197" s="1"/>
      <c r="BP197" s="1"/>
      <c r="BQ197" s="1"/>
      <c r="BR197" s="1"/>
      <c r="BS197" s="1"/>
      <c r="BT197" s="1"/>
      <c r="BU197" s="128"/>
      <c r="BV197" s="512"/>
    </row>
    <row r="198" spans="1:74" s="519" customFormat="1" ht="22.5">
      <c r="A198" s="546">
        <v>62006035</v>
      </c>
      <c r="B198" s="543" t="s">
        <v>838</v>
      </c>
      <c r="C198" s="543" t="s">
        <v>695</v>
      </c>
      <c r="D198" s="513" t="s">
        <v>986</v>
      </c>
      <c r="E198" s="524" t="s">
        <v>987</v>
      </c>
      <c r="F198" s="524" t="s">
        <v>708</v>
      </c>
      <c r="G198" s="531">
        <v>26.403262999999999</v>
      </c>
      <c r="H198" s="531">
        <v>35.054687000000001</v>
      </c>
      <c r="I198" s="531">
        <v>29.495369</v>
      </c>
      <c r="J198" s="531">
        <v>33.852080000000001</v>
      </c>
      <c r="K198" s="578">
        <v>4250</v>
      </c>
      <c r="L198" s="578">
        <v>38.71</v>
      </c>
      <c r="M198" s="578">
        <v>3.0499999999999999E-2</v>
      </c>
      <c r="N198" s="578">
        <v>1.4999999999999999E-2</v>
      </c>
      <c r="O198" s="529">
        <v>27.24736764</v>
      </c>
      <c r="P198" s="544">
        <v>11.9</v>
      </c>
      <c r="Q198" s="544">
        <v>2.2999999999999998</v>
      </c>
      <c r="R198" s="530">
        <v>70076</v>
      </c>
      <c r="S198" s="530">
        <v>76123</v>
      </c>
      <c r="T198" s="530">
        <v>6047</v>
      </c>
      <c r="U198" s="530">
        <v>221.92969537074885</v>
      </c>
      <c r="V198" s="534">
        <v>70153</v>
      </c>
      <c r="W198" s="530">
        <v>76203</v>
      </c>
      <c r="X198" s="530">
        <v>6050</v>
      </c>
      <c r="Y198" s="533">
        <v>222.03979774979834</v>
      </c>
      <c r="Z198" s="534">
        <v>265</v>
      </c>
      <c r="AA198" s="530">
        <v>266</v>
      </c>
      <c r="AB198" s="530">
        <v>1</v>
      </c>
      <c r="AC198" s="533">
        <v>3.6700793016495592E-2</v>
      </c>
      <c r="AD198" s="534">
        <v>67256</v>
      </c>
      <c r="AE198" s="530">
        <v>73151</v>
      </c>
      <c r="AF198" s="530">
        <v>5895</v>
      </c>
      <c r="AG198" s="533">
        <v>216.35117483224153</v>
      </c>
      <c r="AH198" s="534">
        <v>2476.4</v>
      </c>
      <c r="AI198" s="530">
        <v>2620.8000000000002</v>
      </c>
      <c r="AJ198" s="530">
        <v>144.40000000000009</v>
      </c>
      <c r="AK198" s="533">
        <v>5.2995945115819669</v>
      </c>
      <c r="AL198" s="534">
        <v>2002.2296160000001</v>
      </c>
      <c r="AM198" s="530">
        <v>2121.34</v>
      </c>
      <c r="AN198" s="530">
        <v>119.11038400000007</v>
      </c>
      <c r="AO198" s="533">
        <v>4.3714455492993105</v>
      </c>
      <c r="AP198" s="534">
        <v>5</v>
      </c>
      <c r="AQ198" s="530">
        <v>5.0999999999999996</v>
      </c>
      <c r="AR198" s="530">
        <v>9.9999999999999645E-2</v>
      </c>
      <c r="AS198" s="533">
        <v>3.6700793016495462E-3</v>
      </c>
      <c r="AT198" s="534">
        <v>13.6</v>
      </c>
      <c r="AU198" s="530">
        <v>14.1</v>
      </c>
      <c r="AV198" s="530">
        <v>0.5</v>
      </c>
      <c r="AW198" s="533">
        <v>1.8350396508247796E-2</v>
      </c>
      <c r="AX198" s="534">
        <v>-16.420000000000002</v>
      </c>
      <c r="AY198" s="530">
        <v>-16.88</v>
      </c>
      <c r="AZ198" s="530">
        <v>-0.4599999999999973</v>
      </c>
      <c r="BA198" s="530">
        <v>-1.055839</v>
      </c>
      <c r="BB198" s="533">
        <v>-1.6882364787587874E-2</v>
      </c>
      <c r="BC198" s="545"/>
      <c r="BD198" s="545"/>
      <c r="BE198" s="545"/>
      <c r="BF198" s="545"/>
      <c r="BG198" s="545"/>
      <c r="BH198" s="567"/>
      <c r="BI198" s="574" t="s">
        <v>723</v>
      </c>
      <c r="BJ198" s="1">
        <v>80.994512610000001</v>
      </c>
      <c r="BK198" s="1">
        <v>10.896052470000001</v>
      </c>
      <c r="BL198" s="1">
        <v>644.47462685999994</v>
      </c>
      <c r="BM198" s="1">
        <v>581.15200000000004</v>
      </c>
      <c r="BN198" s="1">
        <v>20.818271249999999</v>
      </c>
      <c r="BO198" s="1">
        <v>21.597499429999999</v>
      </c>
      <c r="BP198" s="1">
        <v>-2.6050644799999998</v>
      </c>
      <c r="BQ198" s="1">
        <v>27.247381010000002</v>
      </c>
      <c r="BR198" s="1">
        <v>27.9761785</v>
      </c>
      <c r="BS198" s="1">
        <v>-1.0404292900000001</v>
      </c>
      <c r="BT198" s="1">
        <v>-3.6079555399999998</v>
      </c>
      <c r="BU198" s="128">
        <v>3.824847E-2</v>
      </c>
      <c r="BV198" s="512"/>
    </row>
    <row r="199" spans="1:74" s="519" customFormat="1" ht="22.5">
      <c r="A199" s="546">
        <v>62006036</v>
      </c>
      <c r="B199" s="543" t="s">
        <v>907</v>
      </c>
      <c r="C199" s="543" t="s">
        <v>695</v>
      </c>
      <c r="D199" s="513" t="s">
        <v>988</v>
      </c>
      <c r="E199" s="524" t="s">
        <v>989</v>
      </c>
      <c r="F199" s="524" t="s">
        <v>708</v>
      </c>
      <c r="G199" s="531">
        <v>-42.315147000000003</v>
      </c>
      <c r="H199" s="531">
        <v>-89.602777000000003</v>
      </c>
      <c r="I199" s="531">
        <v>-57.067430999999999</v>
      </c>
      <c r="J199" s="531">
        <v>-43.218656000000003</v>
      </c>
      <c r="K199" s="578">
        <v>4250</v>
      </c>
      <c r="L199" s="578">
        <v>38.71</v>
      </c>
      <c r="M199" s="578">
        <v>3.0499999999999999E-2</v>
      </c>
      <c r="N199" s="578">
        <v>1.4999999999999999E-2</v>
      </c>
      <c r="O199" s="529">
        <v>1.483287E-2</v>
      </c>
      <c r="P199" s="544"/>
      <c r="Q199" s="544"/>
      <c r="R199" s="530">
        <v>76125</v>
      </c>
      <c r="S199" s="530">
        <v>-2861</v>
      </c>
      <c r="T199" s="530">
        <v>-78986</v>
      </c>
      <c r="U199" s="530">
        <v>-5325065.2099020621</v>
      </c>
      <c r="V199" s="534">
        <v>76204</v>
      </c>
      <c r="W199" s="530">
        <v>-2797</v>
      </c>
      <c r="X199" s="530">
        <v>-79001</v>
      </c>
      <c r="Y199" s="533">
        <v>-5326076.4774450259</v>
      </c>
      <c r="Z199" s="534">
        <v>266</v>
      </c>
      <c r="AA199" s="530">
        <v>264</v>
      </c>
      <c r="AB199" s="530">
        <v>-2</v>
      </c>
      <c r="AC199" s="533">
        <v>-134.8356723951602</v>
      </c>
      <c r="AD199" s="534">
        <v>73151</v>
      </c>
      <c r="AE199" s="530">
        <v>73178</v>
      </c>
      <c r="AF199" s="530">
        <v>27</v>
      </c>
      <c r="AG199" s="533">
        <v>1820.2815773346629</v>
      </c>
      <c r="AH199" s="534">
        <v>2622.1</v>
      </c>
      <c r="AI199" s="530">
        <v>-76420.2</v>
      </c>
      <c r="AJ199" s="530">
        <v>-79042.3</v>
      </c>
      <c r="AK199" s="533">
        <v>-5328860.8340799864</v>
      </c>
      <c r="AL199" s="534">
        <v>2122.08</v>
      </c>
      <c r="AM199" s="530">
        <v>2725.04</v>
      </c>
      <c r="AN199" s="530">
        <v>602.96</v>
      </c>
      <c r="AO199" s="533">
        <v>40650.258513692905</v>
      </c>
      <c r="AP199" s="534">
        <v>5.0999999999999996</v>
      </c>
      <c r="AQ199" s="530">
        <v>0.6</v>
      </c>
      <c r="AR199" s="530">
        <v>-4.5</v>
      </c>
      <c r="AS199" s="533">
        <v>-303.3802628891105</v>
      </c>
      <c r="AT199" s="534">
        <v>14.2</v>
      </c>
      <c r="AU199" s="530">
        <v>23.1</v>
      </c>
      <c r="AV199" s="530">
        <v>8.9000000000000021</v>
      </c>
      <c r="AW199" s="533">
        <v>600.01874215846306</v>
      </c>
      <c r="AX199" s="534">
        <v>-6.1883520000000001</v>
      </c>
      <c r="AY199" s="530">
        <v>-30.8</v>
      </c>
      <c r="AZ199" s="530">
        <v>-24.611648000000002</v>
      </c>
      <c r="BA199" s="530">
        <v>3.9275899999999999</v>
      </c>
      <c r="BB199" s="533">
        <v>-1659.2640534165002</v>
      </c>
      <c r="BC199" s="545">
        <v>27</v>
      </c>
      <c r="BD199" s="545">
        <v>85781.6</v>
      </c>
      <c r="BE199" s="545">
        <v>85754.6</v>
      </c>
      <c r="BF199" s="545">
        <v>0</v>
      </c>
      <c r="BG199" s="545">
        <v>-85208.6</v>
      </c>
      <c r="BH199" s="567">
        <v>-85208.6</v>
      </c>
      <c r="BI199" s="574"/>
      <c r="BJ199" s="1"/>
      <c r="BK199" s="1"/>
      <c r="BL199" s="1"/>
      <c r="BM199" s="1"/>
      <c r="BN199" s="1"/>
      <c r="BO199" s="1"/>
      <c r="BP199" s="1"/>
      <c r="BQ199" s="1"/>
      <c r="BR199" s="1"/>
      <c r="BS199" s="1"/>
      <c r="BT199" s="1"/>
      <c r="BU199" s="128"/>
      <c r="BV199" s="512"/>
    </row>
    <row r="200" spans="1:74" s="520" customFormat="1" ht="15.75">
      <c r="A200" s="535" t="s">
        <v>1249</v>
      </c>
      <c r="B200" s="537"/>
      <c r="C200" s="537"/>
      <c r="D200" s="537"/>
      <c r="E200" s="538"/>
      <c r="F200" s="538"/>
      <c r="G200" s="538"/>
      <c r="H200" s="538"/>
      <c r="I200" s="538"/>
      <c r="J200" s="538"/>
      <c r="K200" s="537"/>
      <c r="L200" s="537"/>
      <c r="M200" s="576"/>
      <c r="N200" s="577"/>
      <c r="O200" s="537"/>
      <c r="P200" s="537"/>
      <c r="Q200" s="537"/>
      <c r="R200" s="537"/>
      <c r="S200" s="537"/>
      <c r="T200" s="537"/>
      <c r="U200" s="537"/>
      <c r="V200" s="537"/>
      <c r="W200" s="537"/>
      <c r="X200" s="537"/>
      <c r="Y200" s="537"/>
      <c r="Z200" s="537"/>
      <c r="AA200" s="537"/>
      <c r="AB200" s="537"/>
      <c r="AC200" s="537"/>
      <c r="AD200" s="537"/>
      <c r="AE200" s="537"/>
      <c r="AF200" s="537"/>
      <c r="AG200" s="537"/>
      <c r="AH200" s="537"/>
      <c r="AI200" s="537"/>
      <c r="AJ200" s="537"/>
      <c r="AK200" s="537"/>
      <c r="AL200" s="537"/>
      <c r="AM200" s="537"/>
      <c r="AN200" s="537"/>
      <c r="AO200" s="537"/>
      <c r="AP200" s="537"/>
      <c r="AQ200" s="537"/>
      <c r="AR200" s="537"/>
      <c r="AS200" s="537"/>
      <c r="AT200" s="537"/>
      <c r="AU200" s="537"/>
      <c r="AV200" s="537"/>
      <c r="AW200" s="537"/>
      <c r="AX200" s="537"/>
      <c r="AY200" s="537"/>
      <c r="AZ200" s="537"/>
      <c r="BA200" s="537"/>
      <c r="BB200" s="537"/>
      <c r="BC200" s="537"/>
      <c r="BD200" s="537"/>
      <c r="BE200" s="537"/>
      <c r="BF200" s="537"/>
      <c r="BG200" s="537"/>
      <c r="BH200" s="537"/>
      <c r="BI200" s="569"/>
      <c r="BJ200" s="537"/>
      <c r="BK200" s="537"/>
      <c r="BL200" s="537"/>
      <c r="BM200" s="537"/>
      <c r="BN200" s="537"/>
      <c r="BO200" s="537"/>
      <c r="BP200" s="537"/>
      <c r="BQ200" s="537"/>
      <c r="BR200" s="537"/>
      <c r="BS200" s="537"/>
      <c r="BT200" s="537"/>
      <c r="BU200" s="542"/>
      <c r="BV200" s="541"/>
    </row>
    <row r="201" spans="1:74" s="519" customFormat="1">
      <c r="A201" s="546">
        <v>62006039</v>
      </c>
      <c r="B201" s="543" t="s">
        <v>832</v>
      </c>
      <c r="C201" s="543" t="s">
        <v>695</v>
      </c>
      <c r="D201" s="513" t="s">
        <v>1001</v>
      </c>
      <c r="E201" s="524" t="s">
        <v>1002</v>
      </c>
      <c r="F201" s="524" t="s">
        <v>708</v>
      </c>
      <c r="G201" s="531">
        <v>23.075382000000001</v>
      </c>
      <c r="H201" s="531">
        <v>43.079616999999999</v>
      </c>
      <c r="I201" s="531">
        <v>29.636371</v>
      </c>
      <c r="J201" s="531">
        <v>26.700253</v>
      </c>
      <c r="K201" s="578">
        <v>4250</v>
      </c>
      <c r="L201" s="578">
        <v>38.71</v>
      </c>
      <c r="M201" s="578">
        <v>3.0499999999999999E-2</v>
      </c>
      <c r="N201" s="578">
        <v>1.4999999999999999E-2</v>
      </c>
      <c r="O201" s="529">
        <v>3.59734943</v>
      </c>
      <c r="P201" s="544">
        <v>97.3</v>
      </c>
      <c r="Q201" s="544">
        <v>96.5</v>
      </c>
      <c r="R201" s="530">
        <v>1840</v>
      </c>
      <c r="S201" s="530">
        <v>2536</v>
      </c>
      <c r="T201" s="530">
        <v>696</v>
      </c>
      <c r="U201" s="530">
        <v>193.4757836410682</v>
      </c>
      <c r="V201" s="534">
        <v>1837</v>
      </c>
      <c r="W201" s="530">
        <v>2533</v>
      </c>
      <c r="X201" s="530">
        <v>696</v>
      </c>
      <c r="Y201" s="533">
        <v>193.4757836410682</v>
      </c>
      <c r="Z201" s="534">
        <v>71</v>
      </c>
      <c r="AA201" s="530">
        <v>82</v>
      </c>
      <c r="AB201" s="530">
        <v>11</v>
      </c>
      <c r="AC201" s="533">
        <v>3.0578069253617102</v>
      </c>
      <c r="AD201" s="534">
        <v>1343</v>
      </c>
      <c r="AE201" s="530">
        <v>1972</v>
      </c>
      <c r="AF201" s="530">
        <v>629</v>
      </c>
      <c r="AG201" s="533">
        <v>174.85095964113779</v>
      </c>
      <c r="AH201" s="534">
        <v>421</v>
      </c>
      <c r="AI201" s="530">
        <v>475.6</v>
      </c>
      <c r="AJ201" s="530">
        <v>54.600000000000023</v>
      </c>
      <c r="AK201" s="533">
        <v>15.177841647704494</v>
      </c>
      <c r="AL201" s="534">
        <v>331.38365800000003</v>
      </c>
      <c r="AM201" s="530">
        <v>375.12347199999999</v>
      </c>
      <c r="AN201" s="530">
        <v>43.739813999999967</v>
      </c>
      <c r="AO201" s="533">
        <v>12.158900560293906</v>
      </c>
      <c r="AP201" s="534">
        <v>1.3</v>
      </c>
      <c r="AQ201" s="530">
        <v>1.4</v>
      </c>
      <c r="AR201" s="530">
        <v>9.9999999999999867E-2</v>
      </c>
      <c r="AS201" s="533">
        <v>2.7798244776015509E-2</v>
      </c>
      <c r="AT201" s="534">
        <v>2.9</v>
      </c>
      <c r="AU201" s="530">
        <v>3.2</v>
      </c>
      <c r="AV201" s="530">
        <v>0.30000000000000027</v>
      </c>
      <c r="AW201" s="533">
        <v>8.3394734328046713E-2</v>
      </c>
      <c r="AX201" s="534">
        <v>-11.98</v>
      </c>
      <c r="AY201" s="530">
        <v>-12.84</v>
      </c>
      <c r="AZ201" s="530">
        <v>-0.85999999999999943</v>
      </c>
      <c r="BA201" s="530">
        <v>-6.1207900000000004</v>
      </c>
      <c r="BB201" s="533">
        <v>-0.23906490507373354</v>
      </c>
      <c r="BC201" s="545"/>
      <c r="BD201" s="545"/>
      <c r="BE201" s="545"/>
      <c r="BF201" s="545"/>
      <c r="BG201" s="545"/>
      <c r="BH201" s="567"/>
      <c r="BI201" s="574" t="s">
        <v>723</v>
      </c>
      <c r="BJ201" s="1">
        <v>2371.7870424299999</v>
      </c>
      <c r="BK201" s="1">
        <v>-1.03996138</v>
      </c>
      <c r="BL201" s="1">
        <v>2027.5310124</v>
      </c>
      <c r="BM201" s="1">
        <v>2048.8381378499998</v>
      </c>
      <c r="BN201" s="1">
        <v>3.0209068000000001</v>
      </c>
      <c r="BO201" s="1">
        <v>3.0320140000000002</v>
      </c>
      <c r="BP201" s="1">
        <v>0.17695988000000001</v>
      </c>
      <c r="BQ201" s="1">
        <v>3.59733524</v>
      </c>
      <c r="BR201" s="1">
        <v>3.5909806400000002</v>
      </c>
      <c r="BS201" s="1">
        <v>-0.54528829999999995</v>
      </c>
      <c r="BT201" s="1">
        <v>-0.36633085999999998</v>
      </c>
      <c r="BU201" s="128">
        <v>0.63450318000000006</v>
      </c>
      <c r="BV201" s="512"/>
    </row>
    <row r="202" spans="1:74" s="519" customFormat="1">
      <c r="A202" s="546">
        <v>62006039</v>
      </c>
      <c r="B202" s="543" t="s">
        <v>831</v>
      </c>
      <c r="C202" s="543" t="s">
        <v>696</v>
      </c>
      <c r="D202" s="513" t="s">
        <v>1001</v>
      </c>
      <c r="E202" s="524" t="s">
        <v>1002</v>
      </c>
      <c r="F202" s="524" t="s">
        <v>708</v>
      </c>
      <c r="G202" s="531">
        <v>20.765988</v>
      </c>
      <c r="H202" s="531">
        <v>50.891269000000001</v>
      </c>
      <c r="I202" s="531">
        <v>29.634501</v>
      </c>
      <c r="J202" s="531">
        <v>28.258741000000001</v>
      </c>
      <c r="K202" s="578">
        <v>4250</v>
      </c>
      <c r="L202" s="578">
        <v>38.71</v>
      </c>
      <c r="M202" s="578">
        <v>3.0499999999999999E-2</v>
      </c>
      <c r="N202" s="578">
        <v>1.4999999999999999E-2</v>
      </c>
      <c r="O202" s="529">
        <v>3.8622477700000002</v>
      </c>
      <c r="P202" s="544">
        <v>96.5</v>
      </c>
      <c r="Q202" s="544">
        <v>95.7</v>
      </c>
      <c r="R202" s="530">
        <v>2536.4430379999999</v>
      </c>
      <c r="S202" s="530">
        <v>3189</v>
      </c>
      <c r="T202" s="530">
        <v>652.55696200000011</v>
      </c>
      <c r="U202" s="530">
        <v>168.95781960668984</v>
      </c>
      <c r="V202" s="534">
        <v>2533</v>
      </c>
      <c r="W202" s="530">
        <v>3185</v>
      </c>
      <c r="X202" s="530">
        <v>652</v>
      </c>
      <c r="Y202" s="533">
        <v>168.8136129081123</v>
      </c>
      <c r="Z202" s="534">
        <v>82</v>
      </c>
      <c r="AA202" s="530">
        <v>100</v>
      </c>
      <c r="AB202" s="530">
        <v>18</v>
      </c>
      <c r="AC202" s="533">
        <v>4.6604985158681309</v>
      </c>
      <c r="AD202" s="534">
        <v>1972</v>
      </c>
      <c r="AE202" s="530">
        <v>2515</v>
      </c>
      <c r="AF202" s="530">
        <v>543</v>
      </c>
      <c r="AG202" s="533">
        <v>140.59170522868862</v>
      </c>
      <c r="AH202" s="534">
        <v>475.6</v>
      </c>
      <c r="AI202" s="530">
        <v>566.6</v>
      </c>
      <c r="AJ202" s="530">
        <v>91</v>
      </c>
      <c r="AK202" s="533">
        <v>23.561409163555552</v>
      </c>
      <c r="AL202" s="534">
        <v>375.14346899999998</v>
      </c>
      <c r="AM202" s="530">
        <v>447.73288000000002</v>
      </c>
      <c r="AN202" s="530">
        <v>72.589411000000041</v>
      </c>
      <c r="AO202" s="533">
        <v>18.794602346291221</v>
      </c>
      <c r="AP202" s="534">
        <v>1.4</v>
      </c>
      <c r="AQ202" s="530">
        <v>1.6</v>
      </c>
      <c r="AR202" s="530">
        <v>0.20000000000000018</v>
      </c>
      <c r="AS202" s="533">
        <v>5.178331684297928E-2</v>
      </c>
      <c r="AT202" s="534">
        <v>3.2</v>
      </c>
      <c r="AU202" s="530">
        <v>3.8</v>
      </c>
      <c r="AV202" s="530">
        <v>0.59999999999999964</v>
      </c>
      <c r="AW202" s="533">
        <v>0.1553499505289376</v>
      </c>
      <c r="AX202" s="534">
        <v>-12.84</v>
      </c>
      <c r="AY202" s="530">
        <v>-14.12</v>
      </c>
      <c r="AZ202" s="530">
        <v>-1.2799999999999994</v>
      </c>
      <c r="BA202" s="530">
        <v>-5.2960960000000004</v>
      </c>
      <c r="BB202" s="533">
        <v>-0.33141322779506693</v>
      </c>
      <c r="BC202" s="545"/>
      <c r="BD202" s="545"/>
      <c r="BE202" s="545"/>
      <c r="BF202" s="545"/>
      <c r="BG202" s="545"/>
      <c r="BH202" s="567"/>
      <c r="BI202" s="574" t="s">
        <v>723</v>
      </c>
      <c r="BJ202" s="1">
        <v>1474.12989324</v>
      </c>
      <c r="BK202" s="1">
        <v>-1.2632794199999999</v>
      </c>
      <c r="BL202" s="1">
        <v>3372.9930755199998</v>
      </c>
      <c r="BM202" s="1">
        <v>3416.1485776099998</v>
      </c>
      <c r="BN202" s="1">
        <v>2.9797684200000001</v>
      </c>
      <c r="BO202" s="1">
        <v>2.9952472000000001</v>
      </c>
      <c r="BP202" s="1">
        <v>5.9961939999999998E-2</v>
      </c>
      <c r="BQ202" s="1">
        <v>3.8621447199999999</v>
      </c>
      <c r="BR202" s="1">
        <v>3.8598303</v>
      </c>
      <c r="BS202" s="1">
        <v>-0.57973602999999996</v>
      </c>
      <c r="BT202" s="1">
        <v>-0.51677814</v>
      </c>
      <c r="BU202" s="128">
        <v>0.72008899999999998</v>
      </c>
      <c r="BV202" s="512"/>
    </row>
    <row r="203" spans="1:74" s="519" customFormat="1">
      <c r="A203" s="546">
        <v>62006039</v>
      </c>
      <c r="B203" s="543" t="s">
        <v>830</v>
      </c>
      <c r="C203" s="543" t="s">
        <v>698</v>
      </c>
      <c r="D203" s="513" t="s">
        <v>1001</v>
      </c>
      <c r="E203" s="524" t="s">
        <v>1002</v>
      </c>
      <c r="F203" s="524" t="s">
        <v>708</v>
      </c>
      <c r="G203" s="468">
        <v>21.920684999999999</v>
      </c>
      <c r="H203" s="468">
        <v>46.985443000000004</v>
      </c>
      <c r="I203" s="468">
        <v>29.635435999999999</v>
      </c>
      <c r="J203" s="468">
        <v>27.479497000000002</v>
      </c>
      <c r="K203" s="579"/>
      <c r="L203" s="578"/>
      <c r="M203" s="580"/>
      <c r="N203" s="581"/>
      <c r="O203" s="453">
        <v>7.4595972000000002</v>
      </c>
      <c r="P203" s="493">
        <v>97.3</v>
      </c>
      <c r="Q203" s="493">
        <v>95.7</v>
      </c>
      <c r="R203" s="456">
        <v>1840</v>
      </c>
      <c r="S203" s="456">
        <v>3189</v>
      </c>
      <c r="T203" s="456">
        <v>1348.5569620000001</v>
      </c>
      <c r="U203" s="456">
        <v>180.78147195400845</v>
      </c>
      <c r="V203" s="456">
        <v>1837</v>
      </c>
      <c r="W203" s="456">
        <v>3185</v>
      </c>
      <c r="X203" s="456">
        <v>1348</v>
      </c>
      <c r="Y203" s="454">
        <v>180.7068081370399</v>
      </c>
      <c r="Z203" s="456">
        <v>71</v>
      </c>
      <c r="AA203" s="456">
        <v>100</v>
      </c>
      <c r="AB203" s="456">
        <v>29</v>
      </c>
      <c r="AC203" s="454">
        <v>3.8876093738680688</v>
      </c>
      <c r="AD203" s="456">
        <v>1343</v>
      </c>
      <c r="AE203" s="456">
        <v>2515</v>
      </c>
      <c r="AF203" s="456">
        <v>1172</v>
      </c>
      <c r="AG203" s="454">
        <v>157.11304090253023</v>
      </c>
      <c r="AH203" s="456">
        <v>421</v>
      </c>
      <c r="AI203" s="456">
        <v>566.6</v>
      </c>
      <c r="AJ203" s="456">
        <v>145.60000000000002</v>
      </c>
      <c r="AK203" s="454">
        <v>19.518480166730722</v>
      </c>
      <c r="AL203" s="456">
        <v>331.38365800000003</v>
      </c>
      <c r="AM203" s="456">
        <v>447.73288000000002</v>
      </c>
      <c r="AN203" s="456">
        <v>116.32922500000001</v>
      </c>
      <c r="AO203" s="454">
        <v>15.594571916027853</v>
      </c>
      <c r="AP203" s="456">
        <v>1.3</v>
      </c>
      <c r="AQ203" s="456">
        <v>1.6</v>
      </c>
      <c r="AR203" s="456">
        <v>0.30000000000000004</v>
      </c>
      <c r="AS203" s="454">
        <v>4.0216648695186923E-2</v>
      </c>
      <c r="AT203" s="456">
        <v>2.9</v>
      </c>
      <c r="AU203" s="456">
        <v>3.8</v>
      </c>
      <c r="AV203" s="456">
        <v>0.89999999999999991</v>
      </c>
      <c r="AW203" s="454">
        <v>0.12064994608556075</v>
      </c>
      <c r="AX203" s="456">
        <v>-11.98</v>
      </c>
      <c r="AY203" s="456">
        <v>-14.12</v>
      </c>
      <c r="AZ203" s="456">
        <v>-2.1399999999999988</v>
      </c>
      <c r="BA203" s="530">
        <v>-5.7084430000000008</v>
      </c>
      <c r="BB203" s="454">
        <v>-0.2868787606923332</v>
      </c>
      <c r="BC203" s="496"/>
      <c r="BD203" s="496"/>
      <c r="BE203" s="496"/>
      <c r="BF203" s="496"/>
      <c r="BG203" s="496"/>
      <c r="BH203" s="568"/>
      <c r="BI203" s="574" t="s">
        <v>723</v>
      </c>
      <c r="BJ203" s="1"/>
      <c r="BK203" s="1"/>
      <c r="BL203" s="1"/>
      <c r="BM203" s="1"/>
      <c r="BN203" s="1"/>
      <c r="BO203" s="1"/>
      <c r="BP203" s="1"/>
      <c r="BQ203" s="1"/>
      <c r="BR203" s="1"/>
      <c r="BS203" s="1"/>
      <c r="BT203" s="1"/>
      <c r="BU203" s="128"/>
      <c r="BV203" s="512"/>
    </row>
    <row r="204" spans="1:74" s="519" customFormat="1">
      <c r="A204" s="546">
        <v>62006039</v>
      </c>
      <c r="B204" s="543" t="s">
        <v>828</v>
      </c>
      <c r="C204" s="543" t="s">
        <v>697</v>
      </c>
      <c r="D204" s="513" t="s">
        <v>1001</v>
      </c>
      <c r="E204" s="524" t="s">
        <v>1002</v>
      </c>
      <c r="F204" s="524" t="s">
        <v>708</v>
      </c>
      <c r="G204" s="531">
        <v>22.210775000000002</v>
      </c>
      <c r="H204" s="531">
        <v>44.610480000000003</v>
      </c>
      <c r="I204" s="531">
        <v>29.634004000000001</v>
      </c>
      <c r="J204" s="531">
        <v>28.687298999999999</v>
      </c>
      <c r="K204" s="578">
        <v>4250</v>
      </c>
      <c r="L204" s="578">
        <v>38.71</v>
      </c>
      <c r="M204" s="578">
        <v>3.0499999999999999E-2</v>
      </c>
      <c r="N204" s="578">
        <v>1.4999999999999999E-2</v>
      </c>
      <c r="O204" s="529">
        <v>3.59719904</v>
      </c>
      <c r="P204" s="544">
        <v>95.7</v>
      </c>
      <c r="Q204" s="544">
        <v>95</v>
      </c>
      <c r="R204" s="530">
        <v>3189</v>
      </c>
      <c r="S204" s="530">
        <v>3856</v>
      </c>
      <c r="T204" s="530">
        <v>667</v>
      </c>
      <c r="U204" s="530">
        <v>185.42204436927682</v>
      </c>
      <c r="V204" s="534">
        <v>3185</v>
      </c>
      <c r="W204" s="530">
        <v>3852</v>
      </c>
      <c r="X204" s="530">
        <v>667</v>
      </c>
      <c r="Y204" s="533">
        <v>185.42204436927682</v>
      </c>
      <c r="Z204" s="534">
        <v>100</v>
      </c>
      <c r="AA204" s="530">
        <v>107</v>
      </c>
      <c r="AB204" s="530">
        <v>7</v>
      </c>
      <c r="AC204" s="533">
        <v>1.9459584866340895</v>
      </c>
      <c r="AD204" s="534">
        <v>2515</v>
      </c>
      <c r="AE204" s="530">
        <v>3121</v>
      </c>
      <c r="AF204" s="530">
        <v>606</v>
      </c>
      <c r="AG204" s="533">
        <v>168.46440612860832</v>
      </c>
      <c r="AH204" s="534">
        <v>566.79999999999995</v>
      </c>
      <c r="AI204" s="530">
        <v>618.9</v>
      </c>
      <c r="AJ204" s="530">
        <v>52.100000000000023</v>
      </c>
      <c r="AK204" s="533">
        <v>14.483491021948016</v>
      </c>
      <c r="AL204" s="534">
        <v>447.91287499999999</v>
      </c>
      <c r="AM204" s="530">
        <v>490.06260600000002</v>
      </c>
      <c r="AN204" s="530">
        <v>42.149731000000031</v>
      </c>
      <c r="AO204" s="533">
        <v>11.717375249827718</v>
      </c>
      <c r="AP204" s="534">
        <v>1.6</v>
      </c>
      <c r="AQ204" s="530">
        <v>1.7</v>
      </c>
      <c r="AR204" s="530">
        <v>9.9999999999999867E-2</v>
      </c>
      <c r="AS204" s="533">
        <v>2.7799406951915528E-2</v>
      </c>
      <c r="AT204" s="534">
        <v>3.8</v>
      </c>
      <c r="AU204" s="530">
        <v>4.0999999999999996</v>
      </c>
      <c r="AV204" s="530">
        <v>0.29999999999999982</v>
      </c>
      <c r="AW204" s="533">
        <v>8.3398220855746649E-2</v>
      </c>
      <c r="AX204" s="534">
        <v>-14.13</v>
      </c>
      <c r="AY204" s="530">
        <v>-14.7</v>
      </c>
      <c r="AZ204" s="530">
        <v>-0.56999999999999851</v>
      </c>
      <c r="BA204" s="530">
        <v>-4.0638769999999997</v>
      </c>
      <c r="BB204" s="533">
        <v>-0.15845661962591831</v>
      </c>
      <c r="BC204" s="545"/>
      <c r="BD204" s="545"/>
      <c r="BE204" s="545"/>
      <c r="BF204" s="545"/>
      <c r="BG204" s="545"/>
      <c r="BH204" s="567"/>
      <c r="BI204" s="574" t="s">
        <v>723</v>
      </c>
      <c r="BJ204" s="1">
        <v>2367.4310992300002</v>
      </c>
      <c r="BK204" s="1">
        <v>-0.98861591999999998</v>
      </c>
      <c r="BL204" s="1">
        <v>2028.4509931299999</v>
      </c>
      <c r="BM204" s="1">
        <v>2048.7048149799998</v>
      </c>
      <c r="BN204" s="1">
        <v>3.0235910399999999</v>
      </c>
      <c r="BO204" s="1">
        <v>3.0318318500000001</v>
      </c>
      <c r="BP204" s="1">
        <v>0.17302798</v>
      </c>
      <c r="BQ204" s="1">
        <v>3.5971929500000002</v>
      </c>
      <c r="BR204" s="1">
        <v>3.5909795500000001</v>
      </c>
      <c r="BS204" s="1">
        <v>-0.44605001999999999</v>
      </c>
      <c r="BT204" s="1">
        <v>-0.27180964000000002</v>
      </c>
      <c r="BU204" s="128">
        <v>0.63448055999999997</v>
      </c>
      <c r="BV204" s="512"/>
    </row>
    <row r="205" spans="1:74" s="519" customFormat="1">
      <c r="A205" s="546">
        <v>62006039</v>
      </c>
      <c r="B205" s="543" t="s">
        <v>239</v>
      </c>
      <c r="C205" s="543" t="s">
        <v>699</v>
      </c>
      <c r="D205" s="513" t="s">
        <v>1001</v>
      </c>
      <c r="E205" s="524" t="s">
        <v>1002</v>
      </c>
      <c r="F205" s="524" t="s">
        <v>708</v>
      </c>
      <c r="G205" s="531">
        <v>21.598338999999999</v>
      </c>
      <c r="H205" s="531">
        <v>48.025258999999998</v>
      </c>
      <c r="I205" s="531">
        <v>29.630602</v>
      </c>
      <c r="J205" s="531">
        <v>29.310876</v>
      </c>
      <c r="K205" s="578">
        <v>4250</v>
      </c>
      <c r="L205" s="578">
        <v>38.71</v>
      </c>
      <c r="M205" s="578">
        <v>3.0499999999999999E-2</v>
      </c>
      <c r="N205" s="578">
        <v>1.4999999999999999E-2</v>
      </c>
      <c r="O205" s="529">
        <v>3.8637088899999998</v>
      </c>
      <c r="P205" s="544">
        <v>95</v>
      </c>
      <c r="Q205" s="544">
        <v>94.2</v>
      </c>
      <c r="R205" s="530">
        <v>3856</v>
      </c>
      <c r="S205" s="530">
        <v>4499</v>
      </c>
      <c r="T205" s="530">
        <v>643</v>
      </c>
      <c r="U205" s="530">
        <v>166.42040544622915</v>
      </c>
      <c r="V205" s="534">
        <v>3852</v>
      </c>
      <c r="W205" s="530">
        <v>4495</v>
      </c>
      <c r="X205" s="530">
        <v>643</v>
      </c>
      <c r="Y205" s="533">
        <v>166.42040544622915</v>
      </c>
      <c r="Z205" s="534">
        <v>107</v>
      </c>
      <c r="AA205" s="530">
        <v>125</v>
      </c>
      <c r="AB205" s="530">
        <v>18</v>
      </c>
      <c r="AC205" s="533">
        <v>4.6587360778104587</v>
      </c>
      <c r="AD205" s="534">
        <v>3121</v>
      </c>
      <c r="AE205" s="530">
        <v>3656</v>
      </c>
      <c r="AF205" s="530">
        <v>535</v>
      </c>
      <c r="AG205" s="533">
        <v>138.4679889793664</v>
      </c>
      <c r="AH205" s="534">
        <v>618.9</v>
      </c>
      <c r="AI205" s="530">
        <v>708.6</v>
      </c>
      <c r="AJ205" s="530">
        <v>89.700000000000045</v>
      </c>
      <c r="AK205" s="533">
        <v>23.216034787755465</v>
      </c>
      <c r="AL205" s="534">
        <v>490.07260500000001</v>
      </c>
      <c r="AM205" s="530">
        <v>562.69211099999995</v>
      </c>
      <c r="AN205" s="530">
        <v>72.619505999999944</v>
      </c>
      <c r="AO205" s="533">
        <v>18.795284030831823</v>
      </c>
      <c r="AP205" s="534">
        <v>1.7</v>
      </c>
      <c r="AQ205" s="530">
        <v>1.9</v>
      </c>
      <c r="AR205" s="530">
        <v>0.19999999999999996</v>
      </c>
      <c r="AS205" s="533">
        <v>5.1763734197893971E-2</v>
      </c>
      <c r="AT205" s="534">
        <v>4.0999999999999996</v>
      </c>
      <c r="AU205" s="530">
        <v>4.5999999999999996</v>
      </c>
      <c r="AV205" s="530">
        <v>0.5</v>
      </c>
      <c r="AW205" s="533">
        <v>0.12940933549473496</v>
      </c>
      <c r="AX205" s="534">
        <v>-14.7</v>
      </c>
      <c r="AY205" s="530">
        <v>-15.61</v>
      </c>
      <c r="AZ205" s="530">
        <v>-0.91000000000000014</v>
      </c>
      <c r="BA205" s="530">
        <v>-3.7640820000000001</v>
      </c>
      <c r="BB205" s="533">
        <v>-0.23552499060041768</v>
      </c>
      <c r="BC205" s="545"/>
      <c r="BD205" s="545"/>
      <c r="BE205" s="545"/>
      <c r="BF205" s="545"/>
      <c r="BG205" s="545"/>
      <c r="BH205" s="567"/>
      <c r="BI205" s="574" t="s">
        <v>723</v>
      </c>
      <c r="BJ205" s="1">
        <v>1473.64792657</v>
      </c>
      <c r="BK205" s="1">
        <v>-1.3042773000000001</v>
      </c>
      <c r="BL205" s="1">
        <v>3371.4516982800001</v>
      </c>
      <c r="BM205" s="1">
        <v>3416.00588767</v>
      </c>
      <c r="BN205" s="1">
        <v>2.9816304900000001</v>
      </c>
      <c r="BO205" s="1">
        <v>2.99504467</v>
      </c>
      <c r="BP205" s="1">
        <v>9.7441609999999998E-2</v>
      </c>
      <c r="BQ205" s="1">
        <v>3.8635902099999999</v>
      </c>
      <c r="BR205" s="1">
        <v>3.85982914</v>
      </c>
      <c r="BS205" s="1">
        <v>-0.54777403000000002</v>
      </c>
      <c r="BT205" s="1">
        <v>-0.44787905</v>
      </c>
      <c r="BU205" s="128">
        <v>0.72009699999999999</v>
      </c>
      <c r="BV205" s="512"/>
    </row>
    <row r="206" spans="1:74" s="519" customFormat="1">
      <c r="A206" s="546">
        <v>62006039</v>
      </c>
      <c r="B206" s="543" t="s">
        <v>833</v>
      </c>
      <c r="C206" s="543" t="s">
        <v>704</v>
      </c>
      <c r="D206" s="513" t="s">
        <v>1001</v>
      </c>
      <c r="E206" s="524" t="s">
        <v>1002</v>
      </c>
      <c r="F206" s="524" t="s">
        <v>708</v>
      </c>
      <c r="G206" s="468">
        <v>21.904557</v>
      </c>
      <c r="H206" s="468">
        <v>46.3178695</v>
      </c>
      <c r="I206" s="468">
        <v>29.632303</v>
      </c>
      <c r="J206" s="468">
        <v>28.999087500000002</v>
      </c>
      <c r="K206" s="579"/>
      <c r="L206" s="578"/>
      <c r="M206" s="580"/>
      <c r="N206" s="581"/>
      <c r="O206" s="453">
        <v>7.4609079299999994</v>
      </c>
      <c r="P206" s="493">
        <v>95.7</v>
      </c>
      <c r="Q206" s="493">
        <v>94.2</v>
      </c>
      <c r="R206" s="456">
        <v>3189</v>
      </c>
      <c r="S206" s="456">
        <v>4499</v>
      </c>
      <c r="T206" s="456">
        <v>1310</v>
      </c>
      <c r="U206" s="456">
        <v>175.58184771756058</v>
      </c>
      <c r="V206" s="456">
        <v>3185</v>
      </c>
      <c r="W206" s="456">
        <v>4495</v>
      </c>
      <c r="X206" s="456">
        <v>1310</v>
      </c>
      <c r="Y206" s="454">
        <v>175.58184771756058</v>
      </c>
      <c r="Z206" s="456">
        <v>100</v>
      </c>
      <c r="AA206" s="456">
        <v>125</v>
      </c>
      <c r="AB206" s="456">
        <v>25</v>
      </c>
      <c r="AC206" s="454">
        <v>3.3507986205641331</v>
      </c>
      <c r="AD206" s="456">
        <v>2515</v>
      </c>
      <c r="AE206" s="456">
        <v>3656</v>
      </c>
      <c r="AF206" s="456">
        <v>1141</v>
      </c>
      <c r="AG206" s="454">
        <v>152.93044904254702</v>
      </c>
      <c r="AH206" s="456">
        <v>566.79999999999995</v>
      </c>
      <c r="AI206" s="456">
        <v>708.6</v>
      </c>
      <c r="AJ206" s="456">
        <v>141.80000000000007</v>
      </c>
      <c r="AK206" s="454">
        <v>19.005729775839772</v>
      </c>
      <c r="AL206" s="456">
        <v>447.91287499999999</v>
      </c>
      <c r="AM206" s="456">
        <v>562.69211099999995</v>
      </c>
      <c r="AN206" s="456">
        <v>114.76923699999998</v>
      </c>
      <c r="AO206" s="454">
        <v>15.38274404091192</v>
      </c>
      <c r="AP206" s="456">
        <v>1.6</v>
      </c>
      <c r="AQ206" s="456">
        <v>1.9</v>
      </c>
      <c r="AR206" s="456">
        <v>0.29999999999999982</v>
      </c>
      <c r="AS206" s="454">
        <v>4.0209583446769573E-2</v>
      </c>
      <c r="AT206" s="456">
        <v>3.8</v>
      </c>
      <c r="AU206" s="456">
        <v>4.5999999999999996</v>
      </c>
      <c r="AV206" s="456">
        <v>0.79999999999999982</v>
      </c>
      <c r="AW206" s="454">
        <v>0.10722555585805224</v>
      </c>
      <c r="AX206" s="456">
        <v>-14.13</v>
      </c>
      <c r="AY206" s="456">
        <v>-15.61</v>
      </c>
      <c r="AZ206" s="456">
        <v>-1.4799999999999986</v>
      </c>
      <c r="BA206" s="530">
        <v>-3.9139794999999999</v>
      </c>
      <c r="BB206" s="454">
        <v>-0.19836727833739651</v>
      </c>
      <c r="BC206" s="496"/>
      <c r="BD206" s="496"/>
      <c r="BE206" s="496"/>
      <c r="BF206" s="496"/>
      <c r="BG206" s="496"/>
      <c r="BH206" s="568"/>
      <c r="BI206" s="574" t="s">
        <v>723</v>
      </c>
      <c r="BJ206" s="1"/>
      <c r="BK206" s="1"/>
      <c r="BL206" s="1"/>
      <c r="BM206" s="1"/>
      <c r="BN206" s="1"/>
      <c r="BO206" s="1"/>
      <c r="BP206" s="1"/>
      <c r="BQ206" s="1"/>
      <c r="BR206" s="1"/>
      <c r="BS206" s="1"/>
      <c r="BT206" s="1"/>
      <c r="BU206" s="128"/>
      <c r="BV206" s="512"/>
    </row>
    <row r="207" spans="1:74" s="519" customFormat="1">
      <c r="A207" s="546">
        <v>62006039</v>
      </c>
      <c r="B207" s="543" t="s">
        <v>829</v>
      </c>
      <c r="C207" s="543" t="s">
        <v>700</v>
      </c>
      <c r="D207" s="513" t="s">
        <v>1001</v>
      </c>
      <c r="E207" s="524" t="s">
        <v>1002</v>
      </c>
      <c r="F207" s="524" t="s">
        <v>708</v>
      </c>
      <c r="G207" s="531">
        <v>25.133178999999998</v>
      </c>
      <c r="H207" s="531">
        <v>37.668286000000002</v>
      </c>
      <c r="I207" s="531">
        <v>29.638387999999999</v>
      </c>
      <c r="J207" s="531">
        <v>30.821345000000001</v>
      </c>
      <c r="K207" s="578">
        <v>4250</v>
      </c>
      <c r="L207" s="578">
        <v>38.71</v>
      </c>
      <c r="M207" s="578">
        <v>3.0499999999999999E-2</v>
      </c>
      <c r="N207" s="578">
        <v>1.4999999999999999E-2</v>
      </c>
      <c r="O207" s="529">
        <v>10.28323432</v>
      </c>
      <c r="P207" s="544">
        <v>94.2</v>
      </c>
      <c r="Q207" s="544">
        <v>92</v>
      </c>
      <c r="R207" s="530">
        <v>4501</v>
      </c>
      <c r="S207" s="530">
        <v>6405</v>
      </c>
      <c r="T207" s="530">
        <v>1904</v>
      </c>
      <c r="U207" s="530">
        <v>185.1557536034052</v>
      </c>
      <c r="V207" s="534">
        <v>4497</v>
      </c>
      <c r="W207" s="530">
        <v>6402</v>
      </c>
      <c r="X207" s="530">
        <v>1905</v>
      </c>
      <c r="Y207" s="533">
        <v>185.25299927231455</v>
      </c>
      <c r="Z207" s="534">
        <v>125</v>
      </c>
      <c r="AA207" s="530">
        <v>126</v>
      </c>
      <c r="AB207" s="530">
        <v>1</v>
      </c>
      <c r="AC207" s="533">
        <v>9.7245668909351463E-2</v>
      </c>
      <c r="AD207" s="534">
        <v>3656</v>
      </c>
      <c r="AE207" s="530">
        <v>5471</v>
      </c>
      <c r="AF207" s="530">
        <v>1815</v>
      </c>
      <c r="AG207" s="533">
        <v>176.50088907047291</v>
      </c>
      <c r="AH207" s="534">
        <v>710.2</v>
      </c>
      <c r="AI207" s="530">
        <v>797</v>
      </c>
      <c r="AJ207" s="530">
        <v>86.799999999999955</v>
      </c>
      <c r="AK207" s="533">
        <v>8.4409240613317031</v>
      </c>
      <c r="AL207" s="534">
        <v>564.04209000000003</v>
      </c>
      <c r="AM207" s="530">
        <v>635.51166699999999</v>
      </c>
      <c r="AN207" s="530">
        <v>71.469576999999958</v>
      </c>
      <c r="AO207" s="533">
        <v>6.9501068220333968</v>
      </c>
      <c r="AP207" s="534">
        <v>1.9</v>
      </c>
      <c r="AQ207" s="530">
        <v>2</v>
      </c>
      <c r="AR207" s="530">
        <v>0.10000000000000009</v>
      </c>
      <c r="AS207" s="533">
        <v>9.724566890935156E-3</v>
      </c>
      <c r="AT207" s="534">
        <v>4.5999999999999996</v>
      </c>
      <c r="AU207" s="530">
        <v>5.0999999999999996</v>
      </c>
      <c r="AV207" s="530">
        <v>0.5</v>
      </c>
      <c r="AW207" s="533">
        <v>4.8622834454675731E-2</v>
      </c>
      <c r="AX207" s="534">
        <v>-15.622088</v>
      </c>
      <c r="AY207" s="530">
        <v>-16.36</v>
      </c>
      <c r="AZ207" s="530">
        <v>-0.73791199999999968</v>
      </c>
      <c r="BA207" s="530">
        <v>-3.4580880000000001</v>
      </c>
      <c r="BB207" s="533">
        <v>-7.1758746036237331E-2</v>
      </c>
      <c r="BC207" s="545"/>
      <c r="BD207" s="545"/>
      <c r="BE207" s="545"/>
      <c r="BF207" s="545"/>
      <c r="BG207" s="545"/>
      <c r="BH207" s="567"/>
      <c r="BI207" s="574" t="s">
        <v>723</v>
      </c>
      <c r="BJ207" s="1">
        <v>1872.34370326</v>
      </c>
      <c r="BK207" s="1">
        <v>-6.4311859999999998E-2</v>
      </c>
      <c r="BL207" s="1">
        <v>1305.86187081</v>
      </c>
      <c r="BM207" s="1">
        <v>1306.70223532</v>
      </c>
      <c r="BN207" s="1">
        <v>6.8035911999999996</v>
      </c>
      <c r="BO207" s="1">
        <v>6.7902272100000003</v>
      </c>
      <c r="BP207" s="1">
        <v>0.25970792999999998</v>
      </c>
      <c r="BQ207" s="1">
        <v>10.28331788</v>
      </c>
      <c r="BR207" s="1">
        <v>10.256680469999999</v>
      </c>
      <c r="BS207" s="1">
        <v>-6.2772350000000005E-2</v>
      </c>
      <c r="BT207" s="1">
        <v>0.19681203999999999</v>
      </c>
      <c r="BU207" s="128">
        <v>0.33397453999999999</v>
      </c>
      <c r="BV207" s="512"/>
    </row>
    <row r="208" spans="1:74" s="519" customFormat="1">
      <c r="A208" s="546">
        <v>62006039</v>
      </c>
      <c r="B208" s="543" t="s">
        <v>836</v>
      </c>
      <c r="C208" s="543" t="s">
        <v>770</v>
      </c>
      <c r="D208" s="513" t="s">
        <v>1001</v>
      </c>
      <c r="E208" s="524" t="s">
        <v>1002</v>
      </c>
      <c r="F208" s="524" t="s">
        <v>708</v>
      </c>
      <c r="G208" s="531">
        <v>22.955960000000001</v>
      </c>
      <c r="H208" s="531">
        <v>41.209296999999999</v>
      </c>
      <c r="I208" s="531">
        <v>29.623716000000002</v>
      </c>
      <c r="J208" s="531">
        <v>34.070126999999999</v>
      </c>
      <c r="K208" s="578">
        <v>4250</v>
      </c>
      <c r="L208" s="578">
        <v>38.71</v>
      </c>
      <c r="M208" s="578">
        <v>3.0499999999999999E-2</v>
      </c>
      <c r="N208" s="578">
        <v>1.4999999999999999E-2</v>
      </c>
      <c r="O208" s="529">
        <v>1.77445114</v>
      </c>
      <c r="P208" s="544">
        <v>92</v>
      </c>
      <c r="Q208" s="544">
        <v>89.7</v>
      </c>
      <c r="R208" s="530">
        <v>6407</v>
      </c>
      <c r="S208" s="530">
        <v>8360</v>
      </c>
      <c r="T208" s="530">
        <v>453</v>
      </c>
      <c r="U208" s="530">
        <v>255.29020765260407</v>
      </c>
      <c r="V208" s="534">
        <v>6404</v>
      </c>
      <c r="W208" s="530">
        <v>8358</v>
      </c>
      <c r="X208" s="530">
        <v>453</v>
      </c>
      <c r="Y208" s="533">
        <v>255.29020765260407</v>
      </c>
      <c r="Z208" s="534">
        <v>126</v>
      </c>
      <c r="AA208" s="530">
        <v>181</v>
      </c>
      <c r="AB208" s="530">
        <v>38</v>
      </c>
      <c r="AC208" s="533">
        <v>21.415072606620207</v>
      </c>
      <c r="AD208" s="534">
        <v>5471</v>
      </c>
      <c r="AE208" s="530">
        <v>7300</v>
      </c>
      <c r="AF208" s="530">
        <v>387</v>
      </c>
      <c r="AG208" s="533">
        <v>218.09560786215843</v>
      </c>
      <c r="AH208" s="534">
        <v>798.9</v>
      </c>
      <c r="AI208" s="530">
        <v>866.4</v>
      </c>
      <c r="AJ208" s="530">
        <v>26.300000000000068</v>
      </c>
      <c r="AK208" s="533">
        <v>14.821484461950341</v>
      </c>
      <c r="AL208" s="534">
        <v>637.05176100000006</v>
      </c>
      <c r="AM208" s="530">
        <v>692.64141099999995</v>
      </c>
      <c r="AN208" s="530">
        <v>21.659972999999809</v>
      </c>
      <c r="AO208" s="533">
        <v>12.206576169800769</v>
      </c>
      <c r="AP208" s="534">
        <v>2</v>
      </c>
      <c r="AQ208" s="530">
        <v>2.2000000000000002</v>
      </c>
      <c r="AR208" s="530">
        <v>0.20000000000000018</v>
      </c>
      <c r="AS208" s="533">
        <v>0.11271090845589593</v>
      </c>
      <c r="AT208" s="534">
        <v>5.2</v>
      </c>
      <c r="AU208" s="530">
        <v>5.5</v>
      </c>
      <c r="AV208" s="530">
        <v>0</v>
      </c>
      <c r="AW208" s="533">
        <v>0</v>
      </c>
      <c r="AX208" s="534">
        <v>-16.37</v>
      </c>
      <c r="AY208" s="530">
        <v>-16.91</v>
      </c>
      <c r="AZ208" s="530">
        <v>-0.2099999999999973</v>
      </c>
      <c r="BA208" s="530">
        <v>-3.2383989999999998</v>
      </c>
      <c r="BB208" s="533">
        <v>-0.1183464538786891</v>
      </c>
      <c r="BC208" s="545"/>
      <c r="BD208" s="545"/>
      <c r="BE208" s="545"/>
      <c r="BF208" s="545"/>
      <c r="BG208" s="545"/>
      <c r="BH208" s="567"/>
      <c r="BI208" s="574" t="s">
        <v>723</v>
      </c>
      <c r="BJ208" s="1">
        <v>5468.0560689399999</v>
      </c>
      <c r="BK208" s="1">
        <v>-4.3673166600000002</v>
      </c>
      <c r="BL208" s="1">
        <v>2351.8496651400001</v>
      </c>
      <c r="BM208" s="1">
        <v>2459.2530324200002</v>
      </c>
      <c r="BN208" s="1">
        <v>3.0120763699999999</v>
      </c>
      <c r="BO208" s="1">
        <v>3.09814882</v>
      </c>
      <c r="BP208" s="1">
        <v>0.13202785</v>
      </c>
      <c r="BQ208" s="1">
        <v>1.7744441500000001</v>
      </c>
      <c r="BR208" s="1">
        <v>1.7721044699999999</v>
      </c>
      <c r="BS208" s="1">
        <v>-2.99337937</v>
      </c>
      <c r="BT208" s="1">
        <v>-2.77818977</v>
      </c>
      <c r="BU208" s="128">
        <v>0.84358646999999998</v>
      </c>
      <c r="BV208" s="512"/>
    </row>
    <row r="209" spans="1:74" s="519" customFormat="1">
      <c r="A209" s="546">
        <v>62006039</v>
      </c>
      <c r="B209" s="543" t="s">
        <v>837</v>
      </c>
      <c r="C209" s="543" t="s">
        <v>705</v>
      </c>
      <c r="D209" s="513" t="s">
        <v>1001</v>
      </c>
      <c r="E209" s="524" t="s">
        <v>1002</v>
      </c>
      <c r="F209" s="524" t="s">
        <v>708</v>
      </c>
      <c r="G209" s="531">
        <v>25.668281</v>
      </c>
      <c r="H209" s="531">
        <v>35.608561000000002</v>
      </c>
      <c r="I209" s="531">
        <v>29.632539999999999</v>
      </c>
      <c r="J209" s="531">
        <v>32.866582000000001</v>
      </c>
      <c r="K209" s="578">
        <v>4250</v>
      </c>
      <c r="L209" s="578">
        <v>38.71</v>
      </c>
      <c r="M209" s="578">
        <v>3.0499999999999999E-2</v>
      </c>
      <c r="N209" s="578">
        <v>1.4999999999999999E-2</v>
      </c>
      <c r="O209" s="529">
        <v>6.2508731400000004</v>
      </c>
      <c r="P209" s="544">
        <v>91.7</v>
      </c>
      <c r="Q209" s="544">
        <v>89.9</v>
      </c>
      <c r="R209" s="530">
        <v>6709</v>
      </c>
      <c r="S209" s="530">
        <v>8209</v>
      </c>
      <c r="T209" s="530">
        <v>1500</v>
      </c>
      <c r="U209" s="530">
        <v>239.96647610736824</v>
      </c>
      <c r="V209" s="534">
        <v>6706</v>
      </c>
      <c r="W209" s="530">
        <v>8207</v>
      </c>
      <c r="X209" s="530">
        <v>1501</v>
      </c>
      <c r="Y209" s="533">
        <v>240.12645375810649</v>
      </c>
      <c r="Z209" s="534">
        <v>140</v>
      </c>
      <c r="AA209" s="530">
        <v>157</v>
      </c>
      <c r="AB209" s="530">
        <v>17</v>
      </c>
      <c r="AC209" s="533">
        <v>2.7196200625501734</v>
      </c>
      <c r="AD209" s="534">
        <v>5743</v>
      </c>
      <c r="AE209" s="530">
        <v>7185</v>
      </c>
      <c r="AF209" s="530">
        <v>1442</v>
      </c>
      <c r="AG209" s="533">
        <v>230.68777236455</v>
      </c>
      <c r="AH209" s="534">
        <v>813.7</v>
      </c>
      <c r="AI209" s="530">
        <v>854.9</v>
      </c>
      <c r="AJ209" s="530">
        <v>41.199999999999932</v>
      </c>
      <c r="AK209" s="533">
        <v>6.5910792104157032</v>
      </c>
      <c r="AL209" s="534">
        <v>649.24168399999996</v>
      </c>
      <c r="AM209" s="530">
        <v>683.17136100000005</v>
      </c>
      <c r="AN209" s="530">
        <v>33.929677000000083</v>
      </c>
      <c r="AO209" s="533">
        <v>5.4279900167674944</v>
      </c>
      <c r="AP209" s="534">
        <v>2.1</v>
      </c>
      <c r="AQ209" s="530">
        <v>2.1</v>
      </c>
      <c r="AR209" s="530">
        <v>0</v>
      </c>
      <c r="AS209" s="533">
        <v>0</v>
      </c>
      <c r="AT209" s="534">
        <v>5.2</v>
      </c>
      <c r="AU209" s="530">
        <v>5.5</v>
      </c>
      <c r="AV209" s="530">
        <v>0.29999999999999982</v>
      </c>
      <c r="AW209" s="533">
        <v>4.7993295221473622E-2</v>
      </c>
      <c r="AX209" s="534">
        <v>-16.489999999999998</v>
      </c>
      <c r="AY209" s="530">
        <v>-16.82</v>
      </c>
      <c r="AZ209" s="530">
        <v>-0.33000000000000185</v>
      </c>
      <c r="BA209" s="530">
        <v>-3.2323710000000001</v>
      </c>
      <c r="BB209" s="533">
        <v>-5.2792624743621307E-2</v>
      </c>
      <c r="BC209" s="545"/>
      <c r="BD209" s="545"/>
      <c r="BE209" s="545"/>
      <c r="BF209" s="545"/>
      <c r="BG209" s="545"/>
      <c r="BH209" s="567"/>
      <c r="BI209" s="574" t="s">
        <v>723</v>
      </c>
      <c r="BJ209" s="1">
        <v>11259.172535920001</v>
      </c>
      <c r="BK209" s="1">
        <v>-1.082052</v>
      </c>
      <c r="BL209" s="1">
        <v>1125.8512635899999</v>
      </c>
      <c r="BM209" s="1">
        <v>1138.16682049</v>
      </c>
      <c r="BN209" s="1">
        <v>5.8899828999999997</v>
      </c>
      <c r="BO209" s="1">
        <v>5.89167489</v>
      </c>
      <c r="BP209" s="1">
        <v>0.25793263</v>
      </c>
      <c r="BQ209" s="1">
        <v>6.2509397099999999</v>
      </c>
      <c r="BR209" s="1">
        <v>6.2348579800000001</v>
      </c>
      <c r="BS209" s="1">
        <v>-0.28673335999999999</v>
      </c>
      <c r="BT209" s="1">
        <v>-2.8718380000000002E-2</v>
      </c>
      <c r="BU209" s="128">
        <v>0.41947925000000003</v>
      </c>
      <c r="BV209" s="512"/>
    </row>
    <row r="210" spans="1:74" s="519" customFormat="1">
      <c r="A210" s="546">
        <v>62006039</v>
      </c>
      <c r="B210" s="543" t="s">
        <v>835</v>
      </c>
      <c r="C210" s="543" t="s">
        <v>703</v>
      </c>
      <c r="D210" s="513" t="s">
        <v>1001</v>
      </c>
      <c r="E210" s="524" t="s">
        <v>1002</v>
      </c>
      <c r="F210" s="524" t="s">
        <v>708</v>
      </c>
      <c r="G210" s="468">
        <v>24.312120499999999</v>
      </c>
      <c r="H210" s="468">
        <v>38.408929000000001</v>
      </c>
      <c r="I210" s="468">
        <v>29.628128</v>
      </c>
      <c r="J210" s="468">
        <v>33.468354500000004</v>
      </c>
      <c r="K210" s="579"/>
      <c r="L210" s="578"/>
      <c r="M210" s="580"/>
      <c r="N210" s="581"/>
      <c r="O210" s="453">
        <v>8.0253242799999995</v>
      </c>
      <c r="P210" s="493">
        <v>92</v>
      </c>
      <c r="Q210" s="493">
        <v>89.9</v>
      </c>
      <c r="R210" s="456">
        <v>6407</v>
      </c>
      <c r="S210" s="456">
        <v>8209</v>
      </c>
      <c r="T210" s="456">
        <v>1953</v>
      </c>
      <c r="U210" s="456">
        <v>243.35465233063456</v>
      </c>
      <c r="V210" s="456">
        <v>6404</v>
      </c>
      <c r="W210" s="456">
        <v>8207</v>
      </c>
      <c r="X210" s="456">
        <v>1954</v>
      </c>
      <c r="Y210" s="454">
        <v>243.47925788738348</v>
      </c>
      <c r="Z210" s="456">
        <v>126</v>
      </c>
      <c r="AA210" s="456">
        <v>157</v>
      </c>
      <c r="AB210" s="456">
        <v>55</v>
      </c>
      <c r="AC210" s="454">
        <v>6.8533056211904251</v>
      </c>
      <c r="AD210" s="456">
        <v>5471</v>
      </c>
      <c r="AE210" s="456">
        <v>7185</v>
      </c>
      <c r="AF210" s="456">
        <v>1829</v>
      </c>
      <c r="AG210" s="454">
        <v>227.90356329376888</v>
      </c>
      <c r="AH210" s="456">
        <v>798.9</v>
      </c>
      <c r="AI210" s="456">
        <v>854.9</v>
      </c>
      <c r="AJ210" s="456">
        <v>67.5</v>
      </c>
      <c r="AK210" s="454">
        <v>8.4108750805518859</v>
      </c>
      <c r="AL210" s="456">
        <v>637.05176100000006</v>
      </c>
      <c r="AM210" s="456">
        <v>683.17136100000005</v>
      </c>
      <c r="AN210" s="456">
        <v>55.589649999999892</v>
      </c>
      <c r="AO210" s="454">
        <v>6.9267792877274106</v>
      </c>
      <c r="AP210" s="456">
        <v>2</v>
      </c>
      <c r="AQ210" s="456">
        <v>2.1</v>
      </c>
      <c r="AR210" s="456">
        <v>0.20000000000000018</v>
      </c>
      <c r="AS210" s="454">
        <v>2.4921111349783386E-2</v>
      </c>
      <c r="AT210" s="456">
        <v>5.2</v>
      </c>
      <c r="AU210" s="456">
        <v>5.5</v>
      </c>
      <c r="AV210" s="456">
        <v>0.29999999999999982</v>
      </c>
      <c r="AW210" s="454">
        <v>3.7381667024675026E-2</v>
      </c>
      <c r="AX210" s="456">
        <v>-16.37</v>
      </c>
      <c r="AY210" s="456">
        <v>-16.82</v>
      </c>
      <c r="AZ210" s="456">
        <v>-0.53999999999999915</v>
      </c>
      <c r="BA210" s="530">
        <v>-3.235385</v>
      </c>
      <c r="BB210" s="454">
        <v>-6.7287000644414979E-2</v>
      </c>
      <c r="BC210" s="496"/>
      <c r="BD210" s="496"/>
      <c r="BE210" s="496"/>
      <c r="BF210" s="496"/>
      <c r="BG210" s="496"/>
      <c r="BH210" s="568"/>
      <c r="BI210" s="574" t="s">
        <v>723</v>
      </c>
      <c r="BJ210" s="1"/>
      <c r="BK210" s="1"/>
      <c r="BL210" s="1"/>
      <c r="BM210" s="1"/>
      <c r="BN210" s="1"/>
      <c r="BO210" s="1"/>
      <c r="BP210" s="1"/>
      <c r="BQ210" s="1"/>
      <c r="BR210" s="1"/>
      <c r="BS210" s="1"/>
      <c r="BT210" s="1"/>
      <c r="BU210" s="128"/>
      <c r="BV210" s="512"/>
    </row>
    <row r="211" spans="1:74" s="519" customFormat="1">
      <c r="A211" s="546">
        <v>62006039</v>
      </c>
      <c r="B211" s="543" t="s">
        <v>990</v>
      </c>
      <c r="C211" s="543" t="s">
        <v>788</v>
      </c>
      <c r="D211" s="513" t="s">
        <v>1001</v>
      </c>
      <c r="E211" s="524" t="s">
        <v>1002</v>
      </c>
      <c r="F211" s="524" t="s">
        <v>708</v>
      </c>
      <c r="G211" s="531">
        <v>24.221505000000001</v>
      </c>
      <c r="H211" s="531">
        <v>43.275976</v>
      </c>
      <c r="I211" s="531">
        <v>29.621549000000002</v>
      </c>
      <c r="J211" s="531">
        <v>32.410367000000001</v>
      </c>
      <c r="K211" s="578">
        <v>4250</v>
      </c>
      <c r="L211" s="578">
        <v>38.71</v>
      </c>
      <c r="M211" s="578">
        <v>3.0499999999999999E-2</v>
      </c>
      <c r="N211" s="578">
        <v>1.4999999999999999E-2</v>
      </c>
      <c r="O211" s="529">
        <v>10.28330886</v>
      </c>
      <c r="P211" s="544">
        <v>89.7</v>
      </c>
      <c r="Q211" s="544">
        <v>87.6</v>
      </c>
      <c r="R211" s="530">
        <v>8362</v>
      </c>
      <c r="S211" s="530">
        <v>10219</v>
      </c>
      <c r="T211" s="530">
        <v>1857</v>
      </c>
      <c r="U211" s="530">
        <v>180.58389816757872</v>
      </c>
      <c r="V211" s="534">
        <v>8360</v>
      </c>
      <c r="W211" s="530">
        <v>10219</v>
      </c>
      <c r="X211" s="530">
        <v>1859</v>
      </c>
      <c r="Y211" s="533">
        <v>180.77838809559981</v>
      </c>
      <c r="Z211" s="534">
        <v>181</v>
      </c>
      <c r="AA211" s="530">
        <v>183</v>
      </c>
      <c r="AB211" s="530">
        <v>2</v>
      </c>
      <c r="AC211" s="533">
        <v>0.19448992802108639</v>
      </c>
      <c r="AD211" s="534">
        <v>7300</v>
      </c>
      <c r="AE211" s="530">
        <v>9074</v>
      </c>
      <c r="AF211" s="530">
        <v>1774</v>
      </c>
      <c r="AG211" s="533">
        <v>172.51256615470362</v>
      </c>
      <c r="AH211" s="534">
        <v>868.113921</v>
      </c>
      <c r="AI211" s="530">
        <v>947.7</v>
      </c>
      <c r="AJ211" s="530">
        <v>79.586079000000041</v>
      </c>
      <c r="AK211" s="533">
        <v>7.7393453880952521</v>
      </c>
      <c r="AL211" s="534">
        <v>694.05139199999996</v>
      </c>
      <c r="AM211" s="530">
        <v>758.68096600000001</v>
      </c>
      <c r="AN211" s="530">
        <v>64.629574000000048</v>
      </c>
      <c r="AO211" s="533">
        <v>6.2849005976467431</v>
      </c>
      <c r="AP211" s="534">
        <v>2.2000000000000002</v>
      </c>
      <c r="AQ211" s="530">
        <v>2.2999999999999998</v>
      </c>
      <c r="AR211" s="530">
        <v>9.9999999999999645E-2</v>
      </c>
      <c r="AS211" s="533">
        <v>9.7244964010542844E-3</v>
      </c>
      <c r="AT211" s="534">
        <v>5.5</v>
      </c>
      <c r="AU211" s="530">
        <v>6</v>
      </c>
      <c r="AV211" s="530">
        <v>0.5</v>
      </c>
      <c r="AW211" s="533">
        <v>4.8622482005271597E-2</v>
      </c>
      <c r="AX211" s="534">
        <v>-16.920000000000002</v>
      </c>
      <c r="AY211" s="530">
        <v>-17.57</v>
      </c>
      <c r="AZ211" s="530">
        <v>-0.64999999999999858</v>
      </c>
      <c r="BA211" s="530">
        <v>-3.0388269999999999</v>
      </c>
      <c r="BB211" s="533">
        <v>-6.3209226606852936E-2</v>
      </c>
      <c r="BC211" s="545"/>
      <c r="BD211" s="545"/>
      <c r="BE211" s="545"/>
      <c r="BF211" s="545"/>
      <c r="BG211" s="545"/>
      <c r="BH211" s="567"/>
      <c r="BI211" s="574" t="s">
        <v>723</v>
      </c>
      <c r="BJ211" s="1">
        <v>1873.2560036499999</v>
      </c>
      <c r="BK211" s="1">
        <v>-0.60117122999999995</v>
      </c>
      <c r="BL211" s="1">
        <v>1298.8586242700001</v>
      </c>
      <c r="BM211" s="1">
        <v>1306.71421418</v>
      </c>
      <c r="BN211" s="1">
        <v>6.8029935699999999</v>
      </c>
      <c r="BO211" s="1">
        <v>6.79026437</v>
      </c>
      <c r="BP211" s="1">
        <v>0.26027146000000001</v>
      </c>
      <c r="BQ211" s="1">
        <v>10.28337558</v>
      </c>
      <c r="BR211" s="1">
        <v>10.25668037</v>
      </c>
      <c r="BS211" s="1">
        <v>-7.2672609999999999E-2</v>
      </c>
      <c r="BT211" s="1">
        <v>0.18746261</v>
      </c>
      <c r="BU211" s="128">
        <v>0.33397628000000001</v>
      </c>
      <c r="BV211" s="512"/>
    </row>
    <row r="212" spans="1:74" s="519" customFormat="1">
      <c r="A212" s="546">
        <v>62006039</v>
      </c>
      <c r="B212" s="543" t="s">
        <v>841</v>
      </c>
      <c r="C212" s="543" t="s">
        <v>943</v>
      </c>
      <c r="D212" s="513" t="s">
        <v>1001</v>
      </c>
      <c r="E212" s="524" t="s">
        <v>1002</v>
      </c>
      <c r="F212" s="524" t="s">
        <v>708</v>
      </c>
      <c r="G212" s="531">
        <v>21.504238999999998</v>
      </c>
      <c r="H212" s="531">
        <v>45.974305000000001</v>
      </c>
      <c r="I212" s="531">
        <v>29.616243000000001</v>
      </c>
      <c r="J212" s="531">
        <v>32.937361000000003</v>
      </c>
      <c r="K212" s="578">
        <v>4250</v>
      </c>
      <c r="L212" s="578">
        <v>38.71</v>
      </c>
      <c r="M212" s="578">
        <v>3.0499999999999999E-2</v>
      </c>
      <c r="N212" s="578">
        <v>1.4999999999999999E-2</v>
      </c>
      <c r="O212" s="529">
        <v>3.5971307600000002</v>
      </c>
      <c r="P212" s="544">
        <v>87.6</v>
      </c>
      <c r="Q212" s="544">
        <v>86.9</v>
      </c>
      <c r="R212" s="530">
        <v>10220</v>
      </c>
      <c r="S212" s="530">
        <v>10860</v>
      </c>
      <c r="T212" s="530">
        <v>640</v>
      </c>
      <c r="U212" s="530">
        <v>177.91958166124601</v>
      </c>
      <c r="V212" s="534">
        <v>10219</v>
      </c>
      <c r="W212" s="530">
        <v>10860</v>
      </c>
      <c r="X212" s="530">
        <v>641</v>
      </c>
      <c r="Y212" s="533">
        <v>178.19758100759171</v>
      </c>
      <c r="Z212" s="534">
        <v>183</v>
      </c>
      <c r="AA212" s="530">
        <v>190</v>
      </c>
      <c r="AB212" s="530">
        <v>7</v>
      </c>
      <c r="AC212" s="533">
        <v>1.9459954244198783</v>
      </c>
      <c r="AD212" s="534">
        <v>9074</v>
      </c>
      <c r="AE212" s="530">
        <v>9655</v>
      </c>
      <c r="AF212" s="530">
        <v>581</v>
      </c>
      <c r="AG212" s="533">
        <v>161.51762022684991</v>
      </c>
      <c r="AH212" s="534">
        <v>947.8</v>
      </c>
      <c r="AI212" s="530">
        <v>1000.3</v>
      </c>
      <c r="AJ212" s="530">
        <v>52.5</v>
      </c>
      <c r="AK212" s="533">
        <v>14.594965683149088</v>
      </c>
      <c r="AL212" s="534">
        <v>758.8</v>
      </c>
      <c r="AM212" s="530">
        <v>801.42</v>
      </c>
      <c r="AN212" s="530">
        <v>42.620000000000005</v>
      </c>
      <c r="AO212" s="533">
        <v>11.848332141253604</v>
      </c>
      <c r="AP212" s="534">
        <v>2.2999999999999998</v>
      </c>
      <c r="AQ212" s="530">
        <v>2.5</v>
      </c>
      <c r="AR212" s="530">
        <v>0.20000000000000018</v>
      </c>
      <c r="AS212" s="533">
        <v>5.5599869269139429E-2</v>
      </c>
      <c r="AT212" s="534">
        <v>6</v>
      </c>
      <c r="AU212" s="530">
        <v>6.3</v>
      </c>
      <c r="AV212" s="530">
        <v>0.29999999999999982</v>
      </c>
      <c r="AW212" s="533">
        <v>8.3399803903709019E-2</v>
      </c>
      <c r="AX212" s="534">
        <v>-17.57</v>
      </c>
      <c r="AY212" s="530">
        <v>-17.98</v>
      </c>
      <c r="AZ212" s="530">
        <v>-0.41000000000000014</v>
      </c>
      <c r="BA212" s="530">
        <v>-2.9243160000000001</v>
      </c>
      <c r="BB212" s="533">
        <v>-0.11397973200173578</v>
      </c>
      <c r="BC212" s="545"/>
      <c r="BD212" s="545"/>
      <c r="BE212" s="545"/>
      <c r="BF212" s="545"/>
      <c r="BG212" s="545"/>
      <c r="BH212" s="567"/>
      <c r="BI212" s="574" t="s">
        <v>723</v>
      </c>
      <c r="BJ212" s="1">
        <v>2370.6764714699998</v>
      </c>
      <c r="BK212" s="1">
        <v>-1.0172322199999999</v>
      </c>
      <c r="BL212" s="1">
        <v>2027.8790386000001</v>
      </c>
      <c r="BM212" s="1">
        <v>2048.71927117</v>
      </c>
      <c r="BN212" s="1">
        <v>3.0224672699999999</v>
      </c>
      <c r="BO212" s="1">
        <v>3.0318399</v>
      </c>
      <c r="BP212" s="1">
        <v>0.17142861000000001</v>
      </c>
      <c r="BQ212" s="1">
        <v>3.5971356800000001</v>
      </c>
      <c r="BR212" s="1">
        <v>3.59097971</v>
      </c>
      <c r="BS212" s="1">
        <v>-0.48205884999999998</v>
      </c>
      <c r="BT212" s="1">
        <v>-0.30914001000000002</v>
      </c>
      <c r="BU212" s="128">
        <v>0.63448696999999998</v>
      </c>
      <c r="BV212" s="512"/>
    </row>
    <row r="213" spans="1:74" s="519" customFormat="1">
      <c r="A213" s="546">
        <v>62006039</v>
      </c>
      <c r="B213" s="543" t="s">
        <v>234</v>
      </c>
      <c r="C213" s="543" t="s">
        <v>944</v>
      </c>
      <c r="D213" s="513" t="s">
        <v>1001</v>
      </c>
      <c r="E213" s="524" t="s">
        <v>1002</v>
      </c>
      <c r="F213" s="524" t="s">
        <v>708</v>
      </c>
      <c r="G213" s="531">
        <v>18.497786999999999</v>
      </c>
      <c r="H213" s="531">
        <v>61.393383</v>
      </c>
      <c r="I213" s="531">
        <v>29.615148999999999</v>
      </c>
      <c r="J213" s="531">
        <v>30.517862999999998</v>
      </c>
      <c r="K213" s="578">
        <v>4250</v>
      </c>
      <c r="L213" s="578">
        <v>38.71</v>
      </c>
      <c r="M213" s="578">
        <v>3.0499999999999999E-2</v>
      </c>
      <c r="N213" s="578">
        <v>1.4999999999999999E-2</v>
      </c>
      <c r="O213" s="529">
        <v>3.8636914500000001</v>
      </c>
      <c r="P213" s="544">
        <v>86.9</v>
      </c>
      <c r="Q213" s="544">
        <v>86.1</v>
      </c>
      <c r="R213" s="530">
        <v>10860</v>
      </c>
      <c r="S213" s="530">
        <v>11494</v>
      </c>
      <c r="T213" s="530">
        <v>634</v>
      </c>
      <c r="U213" s="530">
        <v>164.09177808440162</v>
      </c>
      <c r="V213" s="534">
        <v>10860</v>
      </c>
      <c r="W213" s="530">
        <v>11495</v>
      </c>
      <c r="X213" s="530">
        <v>635</v>
      </c>
      <c r="Y213" s="533">
        <v>164.35059792365149</v>
      </c>
      <c r="Z213" s="534">
        <v>190</v>
      </c>
      <c r="AA213" s="530">
        <v>208</v>
      </c>
      <c r="AB213" s="530">
        <v>18</v>
      </c>
      <c r="AC213" s="533">
        <v>4.6587571064972071</v>
      </c>
      <c r="AD213" s="534">
        <v>9655</v>
      </c>
      <c r="AE213" s="530">
        <v>10180</v>
      </c>
      <c r="AF213" s="530">
        <v>525</v>
      </c>
      <c r="AG213" s="533">
        <v>135.88041560616855</v>
      </c>
      <c r="AH213" s="534">
        <v>1000.3</v>
      </c>
      <c r="AI213" s="530">
        <v>1088.5</v>
      </c>
      <c r="AJ213" s="530">
        <v>88.200000000000045</v>
      </c>
      <c r="AK213" s="533">
        <v>22.827909821836329</v>
      </c>
      <c r="AL213" s="534">
        <v>801.44</v>
      </c>
      <c r="AM213" s="530">
        <v>872.73</v>
      </c>
      <c r="AN213" s="530">
        <v>71.289999999999964</v>
      </c>
      <c r="AO213" s="533">
        <v>18.451266340121428</v>
      </c>
      <c r="AP213" s="534">
        <v>2.5</v>
      </c>
      <c r="AQ213" s="530">
        <v>2.6</v>
      </c>
      <c r="AR213" s="530">
        <v>0.10000000000000009</v>
      </c>
      <c r="AS213" s="533">
        <v>2.5881983924984506E-2</v>
      </c>
      <c r="AT213" s="534">
        <v>6.3</v>
      </c>
      <c r="AU213" s="530">
        <v>6.8</v>
      </c>
      <c r="AV213" s="530">
        <v>0.5</v>
      </c>
      <c r="AW213" s="533">
        <v>0.12940991962492243</v>
      </c>
      <c r="AX213" s="534">
        <v>-17.98</v>
      </c>
      <c r="AY213" s="530">
        <v>-18.649999999999999</v>
      </c>
      <c r="AZ213" s="530">
        <v>-0.66999999999999815</v>
      </c>
      <c r="BA213" s="530">
        <v>-2.7879119999999999</v>
      </c>
      <c r="BB213" s="533">
        <v>-0.17340929229739557</v>
      </c>
      <c r="BC213" s="545"/>
      <c r="BD213" s="545"/>
      <c r="BE213" s="545"/>
      <c r="BF213" s="545"/>
      <c r="BG213" s="545"/>
      <c r="BH213" s="567"/>
      <c r="BI213" s="574" t="s">
        <v>723</v>
      </c>
      <c r="BJ213" s="1">
        <v>1475.2145315</v>
      </c>
      <c r="BK213" s="1">
        <v>-1.29027414</v>
      </c>
      <c r="BL213" s="1">
        <v>3372.1117028399999</v>
      </c>
      <c r="BM213" s="1">
        <v>3416.1899177800001</v>
      </c>
      <c r="BN213" s="1">
        <v>2.9820116200000002</v>
      </c>
      <c r="BO213" s="1">
        <v>2.9952671300000002</v>
      </c>
      <c r="BP213" s="1">
        <v>9.7933409999999999E-2</v>
      </c>
      <c r="BQ213" s="1">
        <v>3.8636108899999999</v>
      </c>
      <c r="BR213" s="1">
        <v>3.8598308299999999</v>
      </c>
      <c r="BS213" s="1">
        <v>-0.54288444000000002</v>
      </c>
      <c r="BT213" s="1">
        <v>-0.44254850000000001</v>
      </c>
      <c r="BU213" s="128">
        <v>0.72009480000000003</v>
      </c>
      <c r="BV213" s="512"/>
    </row>
    <row r="214" spans="1:74" s="519" customFormat="1">
      <c r="A214" s="546">
        <v>62006039</v>
      </c>
      <c r="B214" s="543" t="s">
        <v>842</v>
      </c>
      <c r="C214" s="543" t="s">
        <v>991</v>
      </c>
      <c r="D214" s="513" t="s">
        <v>1001</v>
      </c>
      <c r="E214" s="524" t="s">
        <v>1002</v>
      </c>
      <c r="F214" s="524" t="s">
        <v>708</v>
      </c>
      <c r="G214" s="468">
        <v>20.001013</v>
      </c>
      <c r="H214" s="468">
        <v>53.683844000000001</v>
      </c>
      <c r="I214" s="468">
        <v>29.615696</v>
      </c>
      <c r="J214" s="468">
        <v>31.727612000000001</v>
      </c>
      <c r="K214" s="579"/>
      <c r="L214" s="578"/>
      <c r="M214" s="580"/>
      <c r="N214" s="581"/>
      <c r="O214" s="453">
        <v>7.4608222099999999</v>
      </c>
      <c r="P214" s="493">
        <v>87.6</v>
      </c>
      <c r="Q214" s="493">
        <v>86.1</v>
      </c>
      <c r="R214" s="456">
        <v>10220</v>
      </c>
      <c r="S214" s="456">
        <v>11494</v>
      </c>
      <c r="T214" s="456">
        <v>1274</v>
      </c>
      <c r="U214" s="456">
        <v>170.75865958746658</v>
      </c>
      <c r="V214" s="456">
        <v>10219</v>
      </c>
      <c r="W214" s="456">
        <v>11495</v>
      </c>
      <c r="X214" s="456">
        <v>1276</v>
      </c>
      <c r="Y214" s="454">
        <v>171.02672655699163</v>
      </c>
      <c r="Z214" s="456">
        <v>183</v>
      </c>
      <c r="AA214" s="456">
        <v>208</v>
      </c>
      <c r="AB214" s="456">
        <v>25</v>
      </c>
      <c r="AC214" s="454">
        <v>3.3508371190633159</v>
      </c>
      <c r="AD214" s="456">
        <v>9074</v>
      </c>
      <c r="AE214" s="456">
        <v>10180</v>
      </c>
      <c r="AF214" s="456">
        <v>1106</v>
      </c>
      <c r="AG214" s="454">
        <v>148.24103414736109</v>
      </c>
      <c r="AH214" s="456">
        <v>947.8</v>
      </c>
      <c r="AI214" s="456">
        <v>1088.5</v>
      </c>
      <c r="AJ214" s="456">
        <v>140.70000000000005</v>
      </c>
      <c r="AK214" s="454">
        <v>18.858511306088346</v>
      </c>
      <c r="AL214" s="456">
        <v>758.8</v>
      </c>
      <c r="AM214" s="456">
        <v>872.73</v>
      </c>
      <c r="AN214" s="456">
        <v>113.90999999999997</v>
      </c>
      <c r="AO214" s="454">
        <v>15.267754249300088</v>
      </c>
      <c r="AP214" s="456">
        <v>2.2999999999999998</v>
      </c>
      <c r="AQ214" s="456">
        <v>2.6</v>
      </c>
      <c r="AR214" s="456">
        <v>0.30000000000000027</v>
      </c>
      <c r="AS214" s="454">
        <v>4.0210045428759826E-2</v>
      </c>
      <c r="AT214" s="456">
        <v>6</v>
      </c>
      <c r="AU214" s="456">
        <v>6.8</v>
      </c>
      <c r="AV214" s="456">
        <v>0.79999999999999982</v>
      </c>
      <c r="AW214" s="454">
        <v>0.10722678781002608</v>
      </c>
      <c r="AX214" s="456">
        <v>-17.57</v>
      </c>
      <c r="AY214" s="456">
        <v>-18.649999999999999</v>
      </c>
      <c r="AZ214" s="456">
        <v>-1.0799999999999983</v>
      </c>
      <c r="BA214" s="530">
        <v>-2.8561139999999998</v>
      </c>
      <c r="BB214" s="454">
        <v>-0.14475616354353502</v>
      </c>
      <c r="BC214" s="496"/>
      <c r="BD214" s="496"/>
      <c r="BE214" s="496"/>
      <c r="BF214" s="496"/>
      <c r="BG214" s="496"/>
      <c r="BH214" s="568"/>
      <c r="BI214" s="574" t="s">
        <v>723</v>
      </c>
      <c r="BJ214" s="1"/>
      <c r="BK214" s="1"/>
      <c r="BL214" s="1"/>
      <c r="BM214" s="1"/>
      <c r="BN214" s="1"/>
      <c r="BO214" s="1"/>
      <c r="BP214" s="1"/>
      <c r="BQ214" s="1"/>
      <c r="BR214" s="1"/>
      <c r="BS214" s="1"/>
      <c r="BT214" s="1"/>
      <c r="BU214" s="128"/>
      <c r="BV214" s="512"/>
    </row>
    <row r="215" spans="1:74" s="519" customFormat="1">
      <c r="A215" s="546">
        <v>62006039</v>
      </c>
      <c r="B215" s="543" t="s">
        <v>843</v>
      </c>
      <c r="C215" s="543" t="s">
        <v>992</v>
      </c>
      <c r="D215" s="513" t="s">
        <v>1001</v>
      </c>
      <c r="E215" s="524" t="s">
        <v>1002</v>
      </c>
      <c r="F215" s="524" t="s">
        <v>708</v>
      </c>
      <c r="G215" s="531">
        <v>22.043887999999999</v>
      </c>
      <c r="H215" s="531">
        <v>47.659841999999998</v>
      </c>
      <c r="I215" s="531">
        <v>29.611785000000001</v>
      </c>
      <c r="J215" s="531">
        <v>29.666011999999998</v>
      </c>
      <c r="K215" s="578">
        <v>4250</v>
      </c>
      <c r="L215" s="578">
        <v>38.71</v>
      </c>
      <c r="M215" s="578">
        <v>3.0499999999999999E-2</v>
      </c>
      <c r="N215" s="578">
        <v>1.4999999999999999E-2</v>
      </c>
      <c r="O215" s="529">
        <v>3.59689411</v>
      </c>
      <c r="P215" s="544">
        <v>86.1</v>
      </c>
      <c r="Q215" s="544">
        <v>85.4</v>
      </c>
      <c r="R215" s="530">
        <v>11494</v>
      </c>
      <c r="S215" s="530">
        <v>12151</v>
      </c>
      <c r="T215" s="530">
        <v>657</v>
      </c>
      <c r="U215" s="530">
        <v>182.65758732608339</v>
      </c>
      <c r="V215" s="534">
        <v>11495</v>
      </c>
      <c r="W215" s="530">
        <v>12153</v>
      </c>
      <c r="X215" s="530">
        <v>658</v>
      </c>
      <c r="Y215" s="533">
        <v>182.93560496280497</v>
      </c>
      <c r="Z215" s="534">
        <v>208</v>
      </c>
      <c r="AA215" s="530">
        <v>215</v>
      </c>
      <c r="AB215" s="530">
        <v>7</v>
      </c>
      <c r="AC215" s="533">
        <v>1.9461234570511168</v>
      </c>
      <c r="AD215" s="534">
        <v>10180</v>
      </c>
      <c r="AE215" s="530">
        <v>10778</v>
      </c>
      <c r="AF215" s="530">
        <v>598</v>
      </c>
      <c r="AG215" s="533">
        <v>166.25454675950968</v>
      </c>
      <c r="AH215" s="534">
        <v>1088.7</v>
      </c>
      <c r="AI215" s="530">
        <v>1139.9000000000001</v>
      </c>
      <c r="AJ215" s="530">
        <v>51.200000000000045</v>
      </c>
      <c r="AK215" s="533">
        <v>14.234503000145324</v>
      </c>
      <c r="AL215" s="534">
        <v>872.88927000000001</v>
      </c>
      <c r="AM215" s="530">
        <v>914.19978000000003</v>
      </c>
      <c r="AN215" s="530">
        <v>41.310510000000022</v>
      </c>
      <c r="AO215" s="533">
        <v>11.485050361963539</v>
      </c>
      <c r="AP215" s="534">
        <v>2.6</v>
      </c>
      <c r="AQ215" s="530">
        <v>2.7</v>
      </c>
      <c r="AR215" s="530">
        <v>0.10000000000000009</v>
      </c>
      <c r="AS215" s="533">
        <v>2.7801763672158836E-2</v>
      </c>
      <c r="AT215" s="534">
        <v>6.8</v>
      </c>
      <c r="AU215" s="530">
        <v>7.1</v>
      </c>
      <c r="AV215" s="530">
        <v>0.29999999999999982</v>
      </c>
      <c r="AW215" s="533">
        <v>8.3405291016476382E-2</v>
      </c>
      <c r="AX215" s="534">
        <v>-18.649999999999999</v>
      </c>
      <c r="AY215" s="530">
        <v>-19.02</v>
      </c>
      <c r="AZ215" s="530">
        <v>-0.37000000000000099</v>
      </c>
      <c r="BA215" s="530">
        <v>-2.6714410000000002</v>
      </c>
      <c r="BB215" s="533">
        <v>-0.10286652558698788</v>
      </c>
      <c r="BC215" s="545"/>
      <c r="BD215" s="545"/>
      <c r="BE215" s="545"/>
      <c r="BF215" s="545"/>
      <c r="BG215" s="545"/>
      <c r="BH215" s="567"/>
      <c r="BI215" s="574" t="s">
        <v>723</v>
      </c>
      <c r="BJ215" s="1">
        <v>2369.75724042</v>
      </c>
      <c r="BK215" s="1">
        <v>-0.99464443000000002</v>
      </c>
      <c r="BL215" s="1">
        <v>2028.47383896</v>
      </c>
      <c r="BM215" s="1">
        <v>2048.8526376999998</v>
      </c>
      <c r="BN215" s="1">
        <v>3.02176271</v>
      </c>
      <c r="BO215" s="1">
        <v>3.03200885</v>
      </c>
      <c r="BP215" s="1">
        <v>0.16423619</v>
      </c>
      <c r="BQ215" s="1">
        <v>3.5968780300000001</v>
      </c>
      <c r="BR215" s="1">
        <v>3.5909803400000002</v>
      </c>
      <c r="BS215" s="1">
        <v>-0.50387119000000002</v>
      </c>
      <c r="BT215" s="1">
        <v>-0.33793225999999998</v>
      </c>
      <c r="BU215" s="128">
        <v>0.63451186000000004</v>
      </c>
      <c r="BV215" s="512"/>
    </row>
    <row r="216" spans="1:74" s="519" customFormat="1">
      <c r="A216" s="546">
        <v>62006039</v>
      </c>
      <c r="B216" s="543" t="s">
        <v>844</v>
      </c>
      <c r="C216" s="543" t="s">
        <v>993</v>
      </c>
      <c r="D216" s="513" t="s">
        <v>1001</v>
      </c>
      <c r="E216" s="524" t="s">
        <v>1002</v>
      </c>
      <c r="F216" s="524" t="s">
        <v>708</v>
      </c>
      <c r="G216" s="531">
        <v>21.617922</v>
      </c>
      <c r="H216" s="531">
        <v>46.301906000000002</v>
      </c>
      <c r="I216" s="531">
        <v>29.609576000000001</v>
      </c>
      <c r="J216" s="531">
        <v>30.018977</v>
      </c>
      <c r="K216" s="578">
        <v>4250</v>
      </c>
      <c r="L216" s="578">
        <v>38.71</v>
      </c>
      <c r="M216" s="578">
        <v>3.0499999999999999E-2</v>
      </c>
      <c r="N216" s="578">
        <v>1.4999999999999999E-2</v>
      </c>
      <c r="O216" s="529">
        <v>3.8635915999999999</v>
      </c>
      <c r="P216" s="544">
        <v>85.4</v>
      </c>
      <c r="Q216" s="544">
        <v>84.6</v>
      </c>
      <c r="R216" s="530">
        <v>12151</v>
      </c>
      <c r="S216" s="530">
        <v>12786</v>
      </c>
      <c r="T216" s="530">
        <v>635</v>
      </c>
      <c r="U216" s="530">
        <v>164.35484537237321</v>
      </c>
      <c r="V216" s="534">
        <v>12153</v>
      </c>
      <c r="W216" s="530">
        <v>12789</v>
      </c>
      <c r="X216" s="530">
        <v>636</v>
      </c>
      <c r="Y216" s="533">
        <v>164.61367190051868</v>
      </c>
      <c r="Z216" s="534">
        <v>215</v>
      </c>
      <c r="AA216" s="530">
        <v>233</v>
      </c>
      <c r="AB216" s="530">
        <v>18</v>
      </c>
      <c r="AC216" s="533">
        <v>4.6588775066184533</v>
      </c>
      <c r="AD216" s="534">
        <v>10778</v>
      </c>
      <c r="AE216" s="530">
        <v>11305</v>
      </c>
      <c r="AF216" s="530">
        <v>527</v>
      </c>
      <c r="AG216" s="533">
        <v>136.40158033266249</v>
      </c>
      <c r="AH216" s="534">
        <v>1139.9000000000001</v>
      </c>
      <c r="AI216" s="530">
        <v>1227.8</v>
      </c>
      <c r="AJ216" s="530">
        <v>87.899999999999864</v>
      </c>
      <c r="AK216" s="533">
        <v>22.750851823986746</v>
      </c>
      <c r="AL216" s="534">
        <v>914.219876</v>
      </c>
      <c r="AM216" s="530">
        <v>985.18941199999995</v>
      </c>
      <c r="AN216" s="530">
        <v>70.969535999999948</v>
      </c>
      <c r="AO216" s="533">
        <v>18.368798606974906</v>
      </c>
      <c r="AP216" s="534">
        <v>2.7</v>
      </c>
      <c r="AQ216" s="530">
        <v>2.9</v>
      </c>
      <c r="AR216" s="530">
        <v>0.19999999999999973</v>
      </c>
      <c r="AS216" s="533">
        <v>5.1765305629093858E-2</v>
      </c>
      <c r="AT216" s="534">
        <v>7.1</v>
      </c>
      <c r="AU216" s="530">
        <v>7.6</v>
      </c>
      <c r="AV216" s="530">
        <v>0.5</v>
      </c>
      <c r="AW216" s="533">
        <v>0.12941326407273482</v>
      </c>
      <c r="AX216" s="534">
        <v>-19.02</v>
      </c>
      <c r="AY216" s="530">
        <v>-19.64</v>
      </c>
      <c r="AZ216" s="530">
        <v>-0.62000000000000099</v>
      </c>
      <c r="BA216" s="530">
        <v>-2.5544769999999999</v>
      </c>
      <c r="BB216" s="533">
        <v>-0.16047244745019143</v>
      </c>
      <c r="BC216" s="545"/>
      <c r="BD216" s="545"/>
      <c r="BE216" s="545"/>
      <c r="BF216" s="545"/>
      <c r="BG216" s="545"/>
      <c r="BH216" s="567"/>
      <c r="BI216" s="574" t="s">
        <v>723</v>
      </c>
      <c r="BJ216" s="1">
        <v>1478.82907348</v>
      </c>
      <c r="BK216" s="1">
        <v>-1.3134984599999999</v>
      </c>
      <c r="BL216" s="1">
        <v>3371.5830887299999</v>
      </c>
      <c r="BM216" s="1">
        <v>3416.45821484</v>
      </c>
      <c r="BN216" s="1">
        <v>2.9825400700000002</v>
      </c>
      <c r="BO216" s="1">
        <v>2.9956480700000001</v>
      </c>
      <c r="BP216" s="1">
        <v>9.4786709999999996E-2</v>
      </c>
      <c r="BQ216" s="1">
        <v>3.8634908299999999</v>
      </c>
      <c r="BR216" s="1">
        <v>3.8598322199999999</v>
      </c>
      <c r="BS216" s="1">
        <v>-0.53469447999999997</v>
      </c>
      <c r="BT216" s="1">
        <v>-0.43756812</v>
      </c>
      <c r="BU216" s="128">
        <v>0.72008234000000004</v>
      </c>
      <c r="BV216" s="512"/>
    </row>
    <row r="217" spans="1:74" s="519" customFormat="1">
      <c r="A217" s="546">
        <v>62006039</v>
      </c>
      <c r="B217" s="543" t="s">
        <v>845</v>
      </c>
      <c r="C217" s="543" t="s">
        <v>994</v>
      </c>
      <c r="D217" s="513" t="s">
        <v>1001</v>
      </c>
      <c r="E217" s="524" t="s">
        <v>1002</v>
      </c>
      <c r="F217" s="524" t="s">
        <v>708</v>
      </c>
      <c r="G217" s="468">
        <v>21.830905000000001</v>
      </c>
      <c r="H217" s="468">
        <v>46.980874</v>
      </c>
      <c r="I217" s="468">
        <v>29.610680500000001</v>
      </c>
      <c r="J217" s="468">
        <v>29.842494500000001</v>
      </c>
      <c r="K217" s="579"/>
      <c r="L217" s="578"/>
      <c r="M217" s="580"/>
      <c r="N217" s="581"/>
      <c r="O217" s="453">
        <v>7.4604857100000004</v>
      </c>
      <c r="P217" s="493">
        <v>86.1</v>
      </c>
      <c r="Q217" s="493">
        <v>84.6</v>
      </c>
      <c r="R217" s="456">
        <v>11494</v>
      </c>
      <c r="S217" s="456">
        <v>12786</v>
      </c>
      <c r="T217" s="456">
        <v>1292</v>
      </c>
      <c r="U217" s="456">
        <v>173.17907308209291</v>
      </c>
      <c r="V217" s="456">
        <v>11495</v>
      </c>
      <c r="W217" s="456">
        <v>12789</v>
      </c>
      <c r="X217" s="456">
        <v>1294</v>
      </c>
      <c r="Y217" s="454">
        <v>173.44715214259153</v>
      </c>
      <c r="Z217" s="456">
        <v>208</v>
      </c>
      <c r="AA217" s="456">
        <v>233</v>
      </c>
      <c r="AB217" s="456">
        <v>25</v>
      </c>
      <c r="AC217" s="454">
        <v>3.3509882562324482</v>
      </c>
      <c r="AD217" s="456">
        <v>10180</v>
      </c>
      <c r="AE217" s="456">
        <v>11305</v>
      </c>
      <c r="AF217" s="456">
        <v>1125</v>
      </c>
      <c r="AG217" s="454">
        <v>150.79447153046019</v>
      </c>
      <c r="AH217" s="456">
        <v>1088.7</v>
      </c>
      <c r="AI217" s="456">
        <v>1227.8</v>
      </c>
      <c r="AJ217" s="456">
        <v>139.09999999999991</v>
      </c>
      <c r="AK217" s="454">
        <v>18.644898657677331</v>
      </c>
      <c r="AL217" s="456">
        <v>872.88927000000001</v>
      </c>
      <c r="AM217" s="456">
        <v>985.18941199999995</v>
      </c>
      <c r="AN217" s="456">
        <v>112.28004599999997</v>
      </c>
      <c r="AO217" s="454">
        <v>15.04996462220956</v>
      </c>
      <c r="AP217" s="456">
        <v>2.6</v>
      </c>
      <c r="AQ217" s="456">
        <v>2.9</v>
      </c>
      <c r="AR217" s="456">
        <v>0.29999999999999982</v>
      </c>
      <c r="AS217" s="454">
        <v>4.0211859074789358E-2</v>
      </c>
      <c r="AT217" s="456">
        <v>6.8</v>
      </c>
      <c r="AU217" s="456">
        <v>7.6</v>
      </c>
      <c r="AV217" s="456">
        <v>0.79999999999999982</v>
      </c>
      <c r="AW217" s="454">
        <v>0.10723162419943832</v>
      </c>
      <c r="AX217" s="456">
        <v>-18.649999999999999</v>
      </c>
      <c r="AY217" s="456">
        <v>-19.64</v>
      </c>
      <c r="AZ217" s="456">
        <v>-0.99000000000000199</v>
      </c>
      <c r="BA217" s="530">
        <v>-2.612959</v>
      </c>
      <c r="BB217" s="454">
        <v>-0.13269913494680521</v>
      </c>
      <c r="BC217" s="496"/>
      <c r="BD217" s="496"/>
      <c r="BE217" s="496"/>
      <c r="BF217" s="496"/>
      <c r="BG217" s="496"/>
      <c r="BH217" s="568"/>
      <c r="BI217" s="574"/>
      <c r="BJ217" s="1"/>
      <c r="BK217" s="1"/>
      <c r="BL217" s="1"/>
      <c r="BM217" s="1"/>
      <c r="BN217" s="1"/>
      <c r="BO217" s="1"/>
      <c r="BP217" s="1"/>
      <c r="BQ217" s="1"/>
      <c r="BR217" s="1"/>
      <c r="BS217" s="1"/>
      <c r="BT217" s="1"/>
      <c r="BU217" s="128"/>
      <c r="BV217" s="512"/>
    </row>
    <row r="218" spans="1:74" s="520" customFormat="1" ht="15.75">
      <c r="A218" s="535" t="s">
        <v>1250</v>
      </c>
      <c r="B218" s="537"/>
      <c r="C218" s="537"/>
      <c r="D218" s="537"/>
      <c r="E218" s="538"/>
      <c r="F218" s="538"/>
      <c r="G218" s="538"/>
      <c r="H218" s="538"/>
      <c r="I218" s="538"/>
      <c r="J218" s="538"/>
      <c r="K218" s="537"/>
      <c r="L218" s="537"/>
      <c r="M218" s="576"/>
      <c r="N218" s="577"/>
      <c r="O218" s="537"/>
      <c r="P218" s="537"/>
      <c r="Q218" s="537"/>
      <c r="R218" s="537"/>
      <c r="S218" s="537"/>
      <c r="T218" s="537"/>
      <c r="U218" s="537"/>
      <c r="V218" s="537"/>
      <c r="W218" s="537"/>
      <c r="X218" s="537"/>
      <c r="Y218" s="537"/>
      <c r="Z218" s="537"/>
      <c r="AA218" s="537"/>
      <c r="AB218" s="537"/>
      <c r="AC218" s="537"/>
      <c r="AD218" s="537"/>
      <c r="AE218" s="537"/>
      <c r="AF218" s="537"/>
      <c r="AG218" s="537"/>
      <c r="AH218" s="537"/>
      <c r="AI218" s="537"/>
      <c r="AJ218" s="537"/>
      <c r="AK218" s="537"/>
      <c r="AL218" s="537"/>
      <c r="AM218" s="537"/>
      <c r="AN218" s="537"/>
      <c r="AO218" s="537"/>
      <c r="AP218" s="537"/>
      <c r="AQ218" s="537"/>
      <c r="AR218" s="537"/>
      <c r="AS218" s="537"/>
      <c r="AT218" s="537"/>
      <c r="AU218" s="537"/>
      <c r="AV218" s="537"/>
      <c r="AW218" s="537"/>
      <c r="AX218" s="537"/>
      <c r="AY218" s="537"/>
      <c r="AZ218" s="537"/>
      <c r="BA218" s="537"/>
      <c r="BB218" s="537"/>
      <c r="BC218" s="537"/>
      <c r="BD218" s="537"/>
      <c r="BE218" s="537"/>
      <c r="BF218" s="537"/>
      <c r="BG218" s="537"/>
      <c r="BH218" s="537"/>
      <c r="BI218" s="569"/>
      <c r="BJ218" s="537"/>
      <c r="BK218" s="537"/>
      <c r="BL218" s="537"/>
      <c r="BM218" s="537"/>
      <c r="BN218" s="537"/>
      <c r="BO218" s="537"/>
      <c r="BP218" s="537"/>
      <c r="BQ218" s="537"/>
      <c r="BR218" s="537"/>
      <c r="BS218" s="537"/>
      <c r="BT218" s="537"/>
      <c r="BU218" s="542"/>
      <c r="BV218" s="541"/>
    </row>
    <row r="219" spans="1:74" s="519" customFormat="1">
      <c r="A219" s="546">
        <v>62006040</v>
      </c>
      <c r="B219" s="543" t="s">
        <v>832</v>
      </c>
      <c r="C219" s="543" t="s">
        <v>695</v>
      </c>
      <c r="D219" s="513" t="s">
        <v>1015</v>
      </c>
      <c r="E219" s="524" t="s">
        <v>1016</v>
      </c>
      <c r="F219" s="524" t="s">
        <v>708</v>
      </c>
      <c r="G219" s="531">
        <v>23.716021999999999</v>
      </c>
      <c r="H219" s="531">
        <v>42.442487</v>
      </c>
      <c r="I219" s="531">
        <v>29.626037</v>
      </c>
      <c r="J219" s="531">
        <v>25.512250999999999</v>
      </c>
      <c r="K219" s="578">
        <v>4250</v>
      </c>
      <c r="L219" s="578">
        <v>38.71</v>
      </c>
      <c r="M219" s="578">
        <v>3.0499999999999999E-2</v>
      </c>
      <c r="N219" s="578">
        <v>1.4999999999999999E-2</v>
      </c>
      <c r="O219" s="529">
        <v>3.59361307</v>
      </c>
      <c r="P219" s="544">
        <v>100</v>
      </c>
      <c r="Q219" s="544">
        <v>99</v>
      </c>
      <c r="R219" s="530">
        <v>-873</v>
      </c>
      <c r="S219" s="530">
        <v>-28</v>
      </c>
      <c r="T219" s="530">
        <v>845</v>
      </c>
      <c r="U219" s="530">
        <v>235.13939412514438</v>
      </c>
      <c r="V219" s="534">
        <v>-874</v>
      </c>
      <c r="W219" s="530">
        <v>-27</v>
      </c>
      <c r="X219" s="530">
        <v>847</v>
      </c>
      <c r="Y219" s="533">
        <v>235.69593706981925</v>
      </c>
      <c r="Z219" s="534">
        <v>234</v>
      </c>
      <c r="AA219" s="530">
        <v>280</v>
      </c>
      <c r="AB219" s="530">
        <v>46</v>
      </c>
      <c r="AC219" s="533">
        <v>12.800487727522652</v>
      </c>
      <c r="AD219" s="534">
        <v>11318</v>
      </c>
      <c r="AE219" s="530">
        <v>12058</v>
      </c>
      <c r="AF219" s="530">
        <v>740</v>
      </c>
      <c r="AG219" s="533">
        <v>205.92088952971221</v>
      </c>
      <c r="AH219" s="534">
        <v>-12456.7</v>
      </c>
      <c r="AI219" s="530">
        <v>-12397.2</v>
      </c>
      <c r="AJ219" s="530">
        <v>59.5</v>
      </c>
      <c r="AK219" s="533">
        <v>16.557152604078212</v>
      </c>
      <c r="AL219" s="534">
        <v>1152.8427139999999</v>
      </c>
      <c r="AM219" s="530">
        <v>1201.1224580000001</v>
      </c>
      <c r="AN219" s="530">
        <v>48.279744000000164</v>
      </c>
      <c r="AO219" s="533">
        <v>13.434875446955163</v>
      </c>
      <c r="AP219" s="534">
        <v>3.7</v>
      </c>
      <c r="AQ219" s="530">
        <v>3.9</v>
      </c>
      <c r="AR219" s="530">
        <v>0.19999999999999973</v>
      </c>
      <c r="AS219" s="533">
        <v>5.5654294467489714E-2</v>
      </c>
      <c r="AT219" s="534">
        <v>10.199999999999999</v>
      </c>
      <c r="AU219" s="530">
        <v>10.6</v>
      </c>
      <c r="AV219" s="530">
        <v>0.40000000000000036</v>
      </c>
      <c r="AW219" s="533">
        <v>0.11130858893497968</v>
      </c>
      <c r="AX219" s="534">
        <v>-32.700000000000003</v>
      </c>
      <c r="AY219" s="530">
        <v>-35.46</v>
      </c>
      <c r="AZ219" s="530">
        <v>-2.759999999999998</v>
      </c>
      <c r="BA219" s="530">
        <v>-19.678512000000001</v>
      </c>
      <c r="BB219" s="533">
        <v>-0.7680292636513586</v>
      </c>
      <c r="BC219" s="545"/>
      <c r="BD219" s="545"/>
      <c r="BE219" s="545"/>
      <c r="BF219" s="545"/>
      <c r="BG219" s="545"/>
      <c r="BH219" s="567"/>
      <c r="BI219" s="574" t="s">
        <v>723</v>
      </c>
      <c r="BJ219" s="1">
        <v>2373.5432676099999</v>
      </c>
      <c r="BK219" s="1">
        <v>1.0112374399999999</v>
      </c>
      <c r="BL219" s="1">
        <v>2069.5760235600001</v>
      </c>
      <c r="BM219" s="1">
        <v>2048.8572122999999</v>
      </c>
      <c r="BN219" s="1">
        <v>3.0463640399999998</v>
      </c>
      <c r="BO219" s="1">
        <v>3.0320428800000001</v>
      </c>
      <c r="BP219" s="1">
        <v>7.1906460000000005E-2</v>
      </c>
      <c r="BQ219" s="1">
        <v>3.5935630299999999</v>
      </c>
      <c r="BR219" s="1">
        <v>3.59098088</v>
      </c>
      <c r="BS219" s="1">
        <v>0.39853810000000001</v>
      </c>
      <c r="BT219" s="1">
        <v>0.47232696000000002</v>
      </c>
      <c r="BU219" s="128">
        <v>0.63450525999999996</v>
      </c>
      <c r="BV219" s="512"/>
    </row>
    <row r="220" spans="1:74" s="519" customFormat="1">
      <c r="A220" s="546">
        <v>62006040</v>
      </c>
      <c r="B220" s="543" t="s">
        <v>831</v>
      </c>
      <c r="C220" s="543" t="s">
        <v>696</v>
      </c>
      <c r="D220" s="513" t="s">
        <v>1015</v>
      </c>
      <c r="E220" s="524" t="s">
        <v>1016</v>
      </c>
      <c r="F220" s="524" t="s">
        <v>708</v>
      </c>
      <c r="G220" s="531">
        <v>21.873868000000002</v>
      </c>
      <c r="H220" s="531">
        <v>46.379882000000002</v>
      </c>
      <c r="I220" s="531">
        <v>29.621728000000001</v>
      </c>
      <c r="J220" s="531">
        <v>28.041312000000001</v>
      </c>
      <c r="K220" s="578">
        <v>4250</v>
      </c>
      <c r="L220" s="578">
        <v>38.71</v>
      </c>
      <c r="M220" s="578">
        <v>3.0499999999999999E-2</v>
      </c>
      <c r="N220" s="578">
        <v>1.4999999999999999E-2</v>
      </c>
      <c r="O220" s="529">
        <v>3.8647933499999998</v>
      </c>
      <c r="P220" s="544">
        <v>99</v>
      </c>
      <c r="Q220" s="544">
        <v>98.2</v>
      </c>
      <c r="R220" s="530">
        <v>-28</v>
      </c>
      <c r="S220" s="530">
        <v>670</v>
      </c>
      <c r="T220" s="530">
        <v>698</v>
      </c>
      <c r="U220" s="530">
        <v>180.60474048373118</v>
      </c>
      <c r="V220" s="534">
        <v>-27</v>
      </c>
      <c r="W220" s="530">
        <v>671</v>
      </c>
      <c r="X220" s="530">
        <v>698</v>
      </c>
      <c r="Y220" s="533">
        <v>180.60474048373118</v>
      </c>
      <c r="Z220" s="534">
        <v>280</v>
      </c>
      <c r="AA220" s="530">
        <v>314</v>
      </c>
      <c r="AB220" s="530">
        <v>34</v>
      </c>
      <c r="AC220" s="533">
        <v>8.797365582302092</v>
      </c>
      <c r="AD220" s="534">
        <v>12058</v>
      </c>
      <c r="AE220" s="530">
        <v>12623</v>
      </c>
      <c r="AF220" s="530">
        <v>565</v>
      </c>
      <c r="AG220" s="533">
        <v>146.1915162941377</v>
      </c>
      <c r="AH220" s="534">
        <v>-12397.177073000001</v>
      </c>
      <c r="AI220" s="530">
        <v>-12298.4</v>
      </c>
      <c r="AJ220" s="530">
        <v>98.77707300000111</v>
      </c>
      <c r="AK220" s="533">
        <v>25.558177127375028</v>
      </c>
      <c r="AL220" s="534">
        <v>1201.1422930000001</v>
      </c>
      <c r="AM220" s="530">
        <v>1280.8519659999999</v>
      </c>
      <c r="AN220" s="530">
        <v>79.709672999999839</v>
      </c>
      <c r="AO220" s="533">
        <v>20.624562759610381</v>
      </c>
      <c r="AP220" s="534">
        <v>3.9</v>
      </c>
      <c r="AQ220" s="530">
        <v>4.0999999999999996</v>
      </c>
      <c r="AR220" s="530">
        <v>0.19999999999999973</v>
      </c>
      <c r="AS220" s="533">
        <v>5.1749209307659291E-2</v>
      </c>
      <c r="AT220" s="534">
        <v>10.6</v>
      </c>
      <c r="AU220" s="530">
        <v>11.1</v>
      </c>
      <c r="AV220" s="530">
        <v>0.5</v>
      </c>
      <c r="AW220" s="533">
        <v>0.1293730232691484</v>
      </c>
      <c r="AX220" s="534">
        <v>-35.46</v>
      </c>
      <c r="AY220" s="530">
        <v>-38.159999999999997</v>
      </c>
      <c r="AZ220" s="530">
        <v>-2.6999999999999957</v>
      </c>
      <c r="BA220" s="530">
        <v>-11.236936</v>
      </c>
      <c r="BB220" s="533">
        <v>-0.69861432565340031</v>
      </c>
      <c r="BC220" s="545"/>
      <c r="BD220" s="545"/>
      <c r="BE220" s="545"/>
      <c r="BF220" s="545"/>
      <c r="BG220" s="545"/>
      <c r="BH220" s="567"/>
      <c r="BI220" s="574" t="s">
        <v>723</v>
      </c>
      <c r="BJ220" s="1">
        <v>1474.25399072</v>
      </c>
      <c r="BK220" s="1">
        <v>-1.4264077500000001</v>
      </c>
      <c r="BL220" s="1">
        <v>3367.4471565099998</v>
      </c>
      <c r="BM220" s="1">
        <v>3416.1757521999998</v>
      </c>
      <c r="BN220" s="1">
        <v>2.98270393</v>
      </c>
      <c r="BO220" s="1">
        <v>2.9952975199999998</v>
      </c>
      <c r="BP220" s="1">
        <v>0.12497951</v>
      </c>
      <c r="BQ220" s="1">
        <v>3.8646546000000002</v>
      </c>
      <c r="BR220" s="1">
        <v>3.8598306099999999</v>
      </c>
      <c r="BS220" s="1">
        <v>-0.54772792000000003</v>
      </c>
      <c r="BT220" s="1">
        <v>-0.42044552000000002</v>
      </c>
      <c r="BU220" s="128">
        <v>0.72008455000000005</v>
      </c>
      <c r="BV220" s="512"/>
    </row>
    <row r="221" spans="1:74" s="519" customFormat="1">
      <c r="A221" s="546">
        <v>62006040</v>
      </c>
      <c r="B221" s="543" t="s">
        <v>830</v>
      </c>
      <c r="C221" s="543" t="s">
        <v>698</v>
      </c>
      <c r="D221" s="513" t="s">
        <v>1015</v>
      </c>
      <c r="E221" s="524" t="s">
        <v>1016</v>
      </c>
      <c r="F221" s="524" t="s">
        <v>708</v>
      </c>
      <c r="G221" s="468">
        <v>22.794944999999998</v>
      </c>
      <c r="H221" s="468">
        <v>44.411184500000005</v>
      </c>
      <c r="I221" s="468">
        <v>29.623882500000001</v>
      </c>
      <c r="J221" s="468">
        <v>26.776781499999998</v>
      </c>
      <c r="K221" s="579"/>
      <c r="L221" s="578"/>
      <c r="M221" s="580"/>
      <c r="N221" s="581"/>
      <c r="O221" s="453">
        <v>7.4584064199999993</v>
      </c>
      <c r="P221" s="493">
        <v>100</v>
      </c>
      <c r="Q221" s="493">
        <v>98.2</v>
      </c>
      <c r="R221" s="456">
        <v>-873</v>
      </c>
      <c r="S221" s="456">
        <v>670</v>
      </c>
      <c r="T221" s="456">
        <v>1543</v>
      </c>
      <c r="U221" s="456">
        <v>206.88065427252491</v>
      </c>
      <c r="V221" s="456">
        <v>-874</v>
      </c>
      <c r="W221" s="456">
        <v>671</v>
      </c>
      <c r="X221" s="456">
        <v>1545</v>
      </c>
      <c r="Y221" s="454">
        <v>207.14880806937848</v>
      </c>
      <c r="Z221" s="456">
        <v>234</v>
      </c>
      <c r="AA221" s="456">
        <v>314</v>
      </c>
      <c r="AB221" s="456">
        <v>80</v>
      </c>
      <c r="AC221" s="454">
        <v>10.726151874142575</v>
      </c>
      <c r="AD221" s="456">
        <v>11318</v>
      </c>
      <c r="AE221" s="456">
        <v>12623</v>
      </c>
      <c r="AF221" s="456">
        <v>1305</v>
      </c>
      <c r="AG221" s="454">
        <v>174.97035244695076</v>
      </c>
      <c r="AH221" s="456">
        <v>-12456.7</v>
      </c>
      <c r="AI221" s="456">
        <v>-12298.4</v>
      </c>
      <c r="AJ221" s="456">
        <v>158.27707300000111</v>
      </c>
      <c r="AK221" s="454">
        <v>21.221299039909535</v>
      </c>
      <c r="AL221" s="456">
        <v>1152.8427139999999</v>
      </c>
      <c r="AM221" s="456">
        <v>1280.8519659999999</v>
      </c>
      <c r="AN221" s="456">
        <v>127.989417</v>
      </c>
      <c r="AO221" s="454">
        <v>17.160424062812069</v>
      </c>
      <c r="AP221" s="456">
        <v>3.7</v>
      </c>
      <c r="AQ221" s="456">
        <v>4.0999999999999996</v>
      </c>
      <c r="AR221" s="456">
        <v>0.39999999999999947</v>
      </c>
      <c r="AS221" s="454">
        <v>5.3630759370712801E-2</v>
      </c>
      <c r="AT221" s="456">
        <v>10.199999999999999</v>
      </c>
      <c r="AU221" s="456">
        <v>11.1</v>
      </c>
      <c r="AV221" s="456">
        <v>0.90000000000000036</v>
      </c>
      <c r="AW221" s="454">
        <v>0.120669208584104</v>
      </c>
      <c r="AX221" s="456">
        <v>-32.700000000000003</v>
      </c>
      <c r="AY221" s="456">
        <v>-38.159999999999997</v>
      </c>
      <c r="AZ221" s="456">
        <v>-5.4599999999999937</v>
      </c>
      <c r="BA221" s="530">
        <v>-15.457724000000001</v>
      </c>
      <c r="BB221" s="454">
        <v>-0.73205986541022983</v>
      </c>
      <c r="BC221" s="496"/>
      <c r="BD221" s="496"/>
      <c r="BE221" s="496"/>
      <c r="BF221" s="496"/>
      <c r="BG221" s="496"/>
      <c r="BH221" s="568"/>
      <c r="BI221" s="574" t="s">
        <v>723</v>
      </c>
      <c r="BJ221" s="1"/>
      <c r="BK221" s="1"/>
      <c r="BL221" s="1"/>
      <c r="BM221" s="1"/>
      <c r="BN221" s="1"/>
      <c r="BO221" s="1"/>
      <c r="BP221" s="1"/>
      <c r="BQ221" s="1"/>
      <c r="BR221" s="1"/>
      <c r="BS221" s="1"/>
      <c r="BT221" s="1"/>
      <c r="BU221" s="128"/>
      <c r="BV221" s="512"/>
    </row>
    <row r="222" spans="1:74" s="519" customFormat="1">
      <c r="A222" s="546">
        <v>62006040</v>
      </c>
      <c r="B222" s="543" t="s">
        <v>828</v>
      </c>
      <c r="C222" s="543" t="s">
        <v>697</v>
      </c>
      <c r="D222" s="513" t="s">
        <v>1015</v>
      </c>
      <c r="E222" s="524" t="s">
        <v>1016</v>
      </c>
      <c r="F222" s="524" t="s">
        <v>708</v>
      </c>
      <c r="G222" s="531">
        <v>22.478467999999999</v>
      </c>
      <c r="H222" s="531">
        <v>45.063780000000001</v>
      </c>
      <c r="I222" s="531">
        <v>29.621454</v>
      </c>
      <c r="J222" s="531">
        <v>28.668875</v>
      </c>
      <c r="K222" s="578">
        <v>4250</v>
      </c>
      <c r="L222" s="578">
        <v>38.71</v>
      </c>
      <c r="M222" s="578">
        <v>3.0499999999999999E-2</v>
      </c>
      <c r="N222" s="578">
        <v>1.4999999999999999E-2</v>
      </c>
      <c r="O222" s="529">
        <v>3.5972733300000002</v>
      </c>
      <c r="P222" s="544">
        <v>98.2</v>
      </c>
      <c r="Q222" s="544">
        <v>97.4</v>
      </c>
      <c r="R222" s="530">
        <v>671</v>
      </c>
      <c r="S222" s="530">
        <v>1360</v>
      </c>
      <c r="T222" s="530">
        <v>689</v>
      </c>
      <c r="U222" s="530">
        <v>191.53395830502544</v>
      </c>
      <c r="V222" s="534">
        <v>672</v>
      </c>
      <c r="W222" s="530">
        <v>1362</v>
      </c>
      <c r="X222" s="530">
        <v>690</v>
      </c>
      <c r="Y222" s="533">
        <v>191.81194663347975</v>
      </c>
      <c r="Z222" s="534">
        <v>314</v>
      </c>
      <c r="AA222" s="530">
        <v>328</v>
      </c>
      <c r="AB222" s="530">
        <v>14</v>
      </c>
      <c r="AC222" s="533">
        <v>3.8918365983604586</v>
      </c>
      <c r="AD222" s="534">
        <v>12623</v>
      </c>
      <c r="AE222" s="530">
        <v>13241</v>
      </c>
      <c r="AF222" s="530">
        <v>618</v>
      </c>
      <c r="AG222" s="533">
        <v>171.7967869847688</v>
      </c>
      <c r="AH222" s="534">
        <v>-12298.1</v>
      </c>
      <c r="AI222" s="530">
        <v>-12242.1</v>
      </c>
      <c r="AJ222" s="530">
        <v>56</v>
      </c>
      <c r="AK222" s="533">
        <v>15.567346393441834</v>
      </c>
      <c r="AL222" s="534">
        <v>1281.06</v>
      </c>
      <c r="AM222" s="530">
        <v>1326.141668</v>
      </c>
      <c r="AN222" s="530">
        <v>45.081668000000036</v>
      </c>
      <c r="AO222" s="533">
        <v>12.532177531252549</v>
      </c>
      <c r="AP222" s="534">
        <v>4.0999999999999996</v>
      </c>
      <c r="AQ222" s="530">
        <v>4.3</v>
      </c>
      <c r="AR222" s="530">
        <v>0.20000000000000018</v>
      </c>
      <c r="AS222" s="533">
        <v>5.5597665690863746E-2</v>
      </c>
      <c r="AT222" s="534">
        <v>11.1</v>
      </c>
      <c r="AU222" s="530">
        <v>11.5</v>
      </c>
      <c r="AV222" s="530">
        <v>0.40000000000000036</v>
      </c>
      <c r="AW222" s="533">
        <v>0.11119533138172749</v>
      </c>
      <c r="AX222" s="534">
        <v>-38.17</v>
      </c>
      <c r="AY222" s="530">
        <v>-39.200000000000003</v>
      </c>
      <c r="AZ222" s="530">
        <v>-1.0300000000000011</v>
      </c>
      <c r="BA222" s="530">
        <v>-7.3232039999999996</v>
      </c>
      <c r="BB222" s="533">
        <v>-0.28632797830794832</v>
      </c>
      <c r="BC222" s="545"/>
      <c r="BD222" s="545"/>
      <c r="BE222" s="545"/>
      <c r="BF222" s="545"/>
      <c r="BG222" s="545"/>
      <c r="BH222" s="567"/>
      <c r="BI222" s="574" t="s">
        <v>723</v>
      </c>
      <c r="BJ222" s="1">
        <v>2367.89518666</v>
      </c>
      <c r="BK222" s="1">
        <v>-0.92177602000000003</v>
      </c>
      <c r="BL222" s="1">
        <v>2029.8333093799999</v>
      </c>
      <c r="BM222" s="1">
        <v>2048.7178996399998</v>
      </c>
      <c r="BN222" s="1">
        <v>3.0231310900000001</v>
      </c>
      <c r="BO222" s="1">
        <v>3.0318481799999999</v>
      </c>
      <c r="BP222" s="1">
        <v>0.17324262000000001</v>
      </c>
      <c r="BQ222" s="1">
        <v>3.5972008400000002</v>
      </c>
      <c r="BR222" s="1">
        <v>3.5909797299999999</v>
      </c>
      <c r="BS222" s="1">
        <v>-0.46208866999999998</v>
      </c>
      <c r="BT222" s="1">
        <v>-0.28751746</v>
      </c>
      <c r="BU222" s="128">
        <v>0.63448316999999999</v>
      </c>
      <c r="BV222" s="512"/>
    </row>
    <row r="223" spans="1:74" s="519" customFormat="1">
      <c r="A223" s="546">
        <v>62006040</v>
      </c>
      <c r="B223" s="543" t="s">
        <v>239</v>
      </c>
      <c r="C223" s="543" t="s">
        <v>699</v>
      </c>
      <c r="D223" s="513" t="s">
        <v>1015</v>
      </c>
      <c r="E223" s="524" t="s">
        <v>1016</v>
      </c>
      <c r="F223" s="524" t="s">
        <v>708</v>
      </c>
      <c r="G223" s="531">
        <v>21.046562000000002</v>
      </c>
      <c r="H223" s="531">
        <v>48.769919999999999</v>
      </c>
      <c r="I223" s="531">
        <v>29.619062</v>
      </c>
      <c r="J223" s="531">
        <v>29.006212999999999</v>
      </c>
      <c r="K223" s="578">
        <v>4250</v>
      </c>
      <c r="L223" s="578">
        <v>38.71</v>
      </c>
      <c r="M223" s="578">
        <v>3.0499999999999999E-2</v>
      </c>
      <c r="N223" s="578">
        <v>1.4999999999999999E-2</v>
      </c>
      <c r="O223" s="529">
        <v>3.8628575600000001</v>
      </c>
      <c r="P223" s="544">
        <v>97.4</v>
      </c>
      <c r="Q223" s="544">
        <v>96.7</v>
      </c>
      <c r="R223" s="530">
        <v>1360</v>
      </c>
      <c r="S223" s="530">
        <v>2006</v>
      </c>
      <c r="T223" s="530">
        <v>646</v>
      </c>
      <c r="U223" s="530">
        <v>167.23370975138931</v>
      </c>
      <c r="V223" s="534">
        <v>1362</v>
      </c>
      <c r="W223" s="530">
        <v>2009</v>
      </c>
      <c r="X223" s="530">
        <v>647</v>
      </c>
      <c r="Y223" s="533">
        <v>167.4925854630788</v>
      </c>
      <c r="Z223" s="534">
        <v>328</v>
      </c>
      <c r="AA223" s="530">
        <v>347</v>
      </c>
      <c r="AB223" s="530">
        <v>19</v>
      </c>
      <c r="AC223" s="533">
        <v>4.9186385220996858</v>
      </c>
      <c r="AD223" s="534">
        <v>13241</v>
      </c>
      <c r="AE223" s="530">
        <v>13777</v>
      </c>
      <c r="AF223" s="530">
        <v>536</v>
      </c>
      <c r="AG223" s="533">
        <v>138.75738146554903</v>
      </c>
      <c r="AH223" s="534">
        <v>-12242</v>
      </c>
      <c r="AI223" s="530">
        <v>-12152</v>
      </c>
      <c r="AJ223" s="530">
        <v>90</v>
      </c>
      <c r="AK223" s="533">
        <v>23.298814052051146</v>
      </c>
      <c r="AL223" s="534">
        <v>1326.151586</v>
      </c>
      <c r="AM223" s="530">
        <v>1398.15</v>
      </c>
      <c r="AN223" s="530">
        <v>71.998414000000139</v>
      </c>
      <c r="AO223" s="533">
        <v>18.638640664762214</v>
      </c>
      <c r="AP223" s="534">
        <v>4.3</v>
      </c>
      <c r="AQ223" s="530">
        <v>4.5</v>
      </c>
      <c r="AR223" s="530">
        <v>0.20000000000000018</v>
      </c>
      <c r="AS223" s="533">
        <v>5.1775142337891475E-2</v>
      </c>
      <c r="AT223" s="534">
        <v>11.5</v>
      </c>
      <c r="AU223" s="530">
        <v>12</v>
      </c>
      <c r="AV223" s="530">
        <v>0.5</v>
      </c>
      <c r="AW223" s="533">
        <v>0.12943785584472858</v>
      </c>
      <c r="AX223" s="534">
        <v>-39.200000000000003</v>
      </c>
      <c r="AY223" s="530">
        <v>-40.4</v>
      </c>
      <c r="AZ223" s="530">
        <v>-1.1999999999999957</v>
      </c>
      <c r="BA223" s="530">
        <v>-4.9501720000000002</v>
      </c>
      <c r="BB223" s="533">
        <v>-0.31065085402734749</v>
      </c>
      <c r="BC223" s="545"/>
      <c r="BD223" s="545"/>
      <c r="BE223" s="545"/>
      <c r="BF223" s="545"/>
      <c r="BG223" s="545"/>
      <c r="BH223" s="567"/>
      <c r="BI223" s="574" t="s">
        <v>723</v>
      </c>
      <c r="BJ223" s="1">
        <v>1473.4818520199999</v>
      </c>
      <c r="BK223" s="1">
        <v>-1.1453784499999999</v>
      </c>
      <c r="BL223" s="1">
        <v>3376.8986128800002</v>
      </c>
      <c r="BM223" s="1">
        <v>3416.0250275399999</v>
      </c>
      <c r="BN223" s="1">
        <v>2.9811612799999998</v>
      </c>
      <c r="BO223" s="1">
        <v>2.9950733899999999</v>
      </c>
      <c r="BP223" s="1">
        <v>7.4148790000000006E-2</v>
      </c>
      <c r="BQ223" s="1">
        <v>3.8626917199999999</v>
      </c>
      <c r="BR223" s="1">
        <v>3.8598297000000001</v>
      </c>
      <c r="BS223" s="1">
        <v>-0.54116233999999996</v>
      </c>
      <c r="BT223" s="1">
        <v>-0.46449984999999999</v>
      </c>
      <c r="BU223" s="128">
        <v>0.72009672000000002</v>
      </c>
      <c r="BV223" s="512"/>
    </row>
    <row r="224" spans="1:74" s="519" customFormat="1">
      <c r="A224" s="546">
        <v>62006040</v>
      </c>
      <c r="B224" s="543" t="s">
        <v>833</v>
      </c>
      <c r="C224" s="543" t="s">
        <v>704</v>
      </c>
      <c r="D224" s="513" t="s">
        <v>1015</v>
      </c>
      <c r="E224" s="524" t="s">
        <v>1016</v>
      </c>
      <c r="F224" s="524" t="s">
        <v>708</v>
      </c>
      <c r="G224" s="468">
        <v>21.762515</v>
      </c>
      <c r="H224" s="468">
        <v>46.916849999999997</v>
      </c>
      <c r="I224" s="468">
        <v>29.620258</v>
      </c>
      <c r="J224" s="468">
        <v>28.837544000000001</v>
      </c>
      <c r="K224" s="579"/>
      <c r="L224" s="578"/>
      <c r="M224" s="580"/>
      <c r="N224" s="581"/>
      <c r="O224" s="453">
        <v>7.4601308900000003</v>
      </c>
      <c r="P224" s="493">
        <v>98.2</v>
      </c>
      <c r="Q224" s="493">
        <v>96.7</v>
      </c>
      <c r="R224" s="456">
        <v>671</v>
      </c>
      <c r="S224" s="456">
        <v>2006</v>
      </c>
      <c r="T224" s="456">
        <v>1335</v>
      </c>
      <c r="U224" s="456">
        <v>178.95128378907035</v>
      </c>
      <c r="V224" s="456">
        <v>672</v>
      </c>
      <c r="W224" s="456">
        <v>2009</v>
      </c>
      <c r="X224" s="456">
        <v>1337</v>
      </c>
      <c r="Y224" s="454">
        <v>179.21937559999031</v>
      </c>
      <c r="Z224" s="456">
        <v>314</v>
      </c>
      <c r="AA224" s="456">
        <v>347</v>
      </c>
      <c r="AB224" s="456">
        <v>33</v>
      </c>
      <c r="AC224" s="454">
        <v>4.4235148801792672</v>
      </c>
      <c r="AD224" s="456">
        <v>12623</v>
      </c>
      <c r="AE224" s="456">
        <v>13777</v>
      </c>
      <c r="AF224" s="456">
        <v>1154</v>
      </c>
      <c r="AG224" s="454">
        <v>154.68897490081437</v>
      </c>
      <c r="AH224" s="456">
        <v>-12298.1</v>
      </c>
      <c r="AI224" s="456">
        <v>-12152</v>
      </c>
      <c r="AJ224" s="456">
        <v>146</v>
      </c>
      <c r="AK224" s="454">
        <v>19.570702197156756</v>
      </c>
      <c r="AL224" s="456">
        <v>1281.06</v>
      </c>
      <c r="AM224" s="456">
        <v>1398.15</v>
      </c>
      <c r="AN224" s="456">
        <v>117.08008200000017</v>
      </c>
      <c r="AO224" s="454">
        <v>15.694105603018471</v>
      </c>
      <c r="AP224" s="456">
        <v>4.0999999999999996</v>
      </c>
      <c r="AQ224" s="456">
        <v>4.5</v>
      </c>
      <c r="AR224" s="456">
        <v>0.40000000000000036</v>
      </c>
      <c r="AS224" s="454">
        <v>5.3618362183991165E-2</v>
      </c>
      <c r="AT224" s="456">
        <v>11.1</v>
      </c>
      <c r="AU224" s="456">
        <v>12</v>
      </c>
      <c r="AV224" s="456">
        <v>0.90000000000000036</v>
      </c>
      <c r="AW224" s="454">
        <v>0.12064131491398006</v>
      </c>
      <c r="AX224" s="456">
        <v>-38.17</v>
      </c>
      <c r="AY224" s="456">
        <v>-40.4</v>
      </c>
      <c r="AZ224" s="456">
        <v>-2.2299999999999969</v>
      </c>
      <c r="BA224" s="530">
        <v>-6.1366879999999995</v>
      </c>
      <c r="BB224" s="454">
        <v>-0.29892236917575005</v>
      </c>
      <c r="BC224" s="496"/>
      <c r="BD224" s="496"/>
      <c r="BE224" s="496"/>
      <c r="BF224" s="496"/>
      <c r="BG224" s="496"/>
      <c r="BH224" s="568"/>
      <c r="BI224" s="574" t="s">
        <v>723</v>
      </c>
      <c r="BJ224" s="1"/>
      <c r="BK224" s="1"/>
      <c r="BL224" s="1"/>
      <c r="BM224" s="1"/>
      <c r="BN224" s="1"/>
      <c r="BO224" s="1"/>
      <c r="BP224" s="1"/>
      <c r="BQ224" s="1"/>
      <c r="BR224" s="1"/>
      <c r="BS224" s="1"/>
      <c r="BT224" s="1"/>
      <c r="BU224" s="128"/>
      <c r="BV224" s="512"/>
    </row>
    <row r="225" spans="1:74" s="519" customFormat="1">
      <c r="A225" s="546">
        <v>62006040</v>
      </c>
      <c r="B225" s="543" t="s">
        <v>829</v>
      </c>
      <c r="C225" s="543" t="s">
        <v>700</v>
      </c>
      <c r="D225" s="513" t="s">
        <v>1015</v>
      </c>
      <c r="E225" s="524" t="s">
        <v>1016</v>
      </c>
      <c r="F225" s="524" t="s">
        <v>708</v>
      </c>
      <c r="G225" s="531">
        <v>25.085394999999998</v>
      </c>
      <c r="H225" s="531">
        <v>38.615451</v>
      </c>
      <c r="I225" s="531">
        <v>29.626147</v>
      </c>
      <c r="J225" s="531">
        <v>30.497488000000001</v>
      </c>
      <c r="K225" s="578">
        <v>4250</v>
      </c>
      <c r="L225" s="578">
        <v>38.71</v>
      </c>
      <c r="M225" s="578">
        <v>3.0499999999999999E-2</v>
      </c>
      <c r="N225" s="578">
        <v>1.4999999999999999E-2</v>
      </c>
      <c r="O225" s="529">
        <v>10.28374228</v>
      </c>
      <c r="P225" s="544">
        <v>96.7</v>
      </c>
      <c r="Q225" s="544">
        <v>94.5</v>
      </c>
      <c r="R225" s="530">
        <v>2008</v>
      </c>
      <c r="S225" s="530">
        <v>3910</v>
      </c>
      <c r="T225" s="530">
        <v>1902</v>
      </c>
      <c r="U225" s="530">
        <v>184.95212620205803</v>
      </c>
      <c r="V225" s="534">
        <v>2011</v>
      </c>
      <c r="W225" s="530">
        <v>3915</v>
      </c>
      <c r="X225" s="530">
        <v>1904</v>
      </c>
      <c r="Y225" s="533">
        <v>185.14660793308016</v>
      </c>
      <c r="Z225" s="534">
        <v>347</v>
      </c>
      <c r="AA225" s="530">
        <v>350</v>
      </c>
      <c r="AB225" s="530">
        <v>3</v>
      </c>
      <c r="AC225" s="533">
        <v>0.29172259653321453</v>
      </c>
      <c r="AD225" s="534">
        <v>13777</v>
      </c>
      <c r="AE225" s="530">
        <v>15595</v>
      </c>
      <c r="AF225" s="530">
        <v>1818</v>
      </c>
      <c r="AG225" s="533">
        <v>176.78389349912803</v>
      </c>
      <c r="AH225" s="534">
        <v>-12150.3</v>
      </c>
      <c r="AI225" s="530">
        <v>-12070.3</v>
      </c>
      <c r="AJ225" s="530">
        <v>80</v>
      </c>
      <c r="AK225" s="533">
        <v>7.7792692408857214</v>
      </c>
      <c r="AL225" s="534">
        <v>1399.4908559999999</v>
      </c>
      <c r="AM225" s="530">
        <v>1464.6106460000001</v>
      </c>
      <c r="AN225" s="530">
        <v>65.119790000000194</v>
      </c>
      <c r="AO225" s="533">
        <v>6.3323047414992386</v>
      </c>
      <c r="AP225" s="534">
        <v>4.5</v>
      </c>
      <c r="AQ225" s="530">
        <v>4.7</v>
      </c>
      <c r="AR225" s="530">
        <v>0.20000000000000018</v>
      </c>
      <c r="AS225" s="533">
        <v>1.9448173102214319E-2</v>
      </c>
      <c r="AT225" s="534">
        <v>12</v>
      </c>
      <c r="AU225" s="530">
        <v>12.6</v>
      </c>
      <c r="AV225" s="530">
        <v>0.59999999999999964</v>
      </c>
      <c r="AW225" s="533">
        <v>5.8344519306642875E-2</v>
      </c>
      <c r="AX225" s="534">
        <v>-40.409999999999997</v>
      </c>
      <c r="AY225" s="530">
        <v>-41.12</v>
      </c>
      <c r="AZ225" s="530">
        <v>-0.71000000000000085</v>
      </c>
      <c r="BA225" s="530">
        <v>-3.3391099999999998</v>
      </c>
      <c r="BB225" s="533">
        <v>-6.9041014512860863E-2</v>
      </c>
      <c r="BC225" s="545"/>
      <c r="BD225" s="545"/>
      <c r="BE225" s="545"/>
      <c r="BF225" s="545"/>
      <c r="BG225" s="545"/>
      <c r="BH225" s="567"/>
      <c r="BI225" s="574" t="s">
        <v>723</v>
      </c>
      <c r="BJ225" s="1">
        <v>1872.89630994</v>
      </c>
      <c r="BK225" s="1">
        <v>-0.52952045999999997</v>
      </c>
      <c r="BL225" s="1">
        <v>1299.7847823300001</v>
      </c>
      <c r="BM225" s="1">
        <v>1306.7040476100001</v>
      </c>
      <c r="BN225" s="1">
        <v>6.8042353799999997</v>
      </c>
      <c r="BO225" s="1">
        <v>6.7902313100000002</v>
      </c>
      <c r="BP225" s="1">
        <v>0.26459391999999998</v>
      </c>
      <c r="BQ225" s="1">
        <v>10.283818979999999</v>
      </c>
      <c r="BR225" s="1">
        <v>10.256680429999999</v>
      </c>
      <c r="BS225" s="1">
        <v>-5.8235299999999997E-2</v>
      </c>
      <c r="BT225" s="1">
        <v>0.20623852000000001</v>
      </c>
      <c r="BU225" s="128">
        <v>0.33397487999999997</v>
      </c>
      <c r="BV225" s="512"/>
    </row>
    <row r="226" spans="1:74" s="519" customFormat="1">
      <c r="A226" s="546">
        <v>62006040</v>
      </c>
      <c r="B226" s="543" t="s">
        <v>836</v>
      </c>
      <c r="C226" s="543" t="s">
        <v>770</v>
      </c>
      <c r="D226" s="513" t="s">
        <v>1015</v>
      </c>
      <c r="E226" s="524" t="s">
        <v>1016</v>
      </c>
      <c r="F226" s="524" t="s">
        <v>708</v>
      </c>
      <c r="G226" s="531">
        <v>22.853017999999999</v>
      </c>
      <c r="H226" s="531">
        <v>42.145282000000002</v>
      </c>
      <c r="I226" s="531">
        <v>29.613773999999999</v>
      </c>
      <c r="J226" s="531">
        <v>33.771217999999998</v>
      </c>
      <c r="K226" s="578">
        <v>4250</v>
      </c>
      <c r="L226" s="578">
        <v>38.71</v>
      </c>
      <c r="M226" s="578">
        <v>3.0499999999999999E-2</v>
      </c>
      <c r="N226" s="578">
        <v>1.4999999999999999E-2</v>
      </c>
      <c r="O226" s="529">
        <v>1.7747570800000001</v>
      </c>
      <c r="P226" s="544">
        <v>94.5</v>
      </c>
      <c r="Q226" s="544">
        <v>92.2</v>
      </c>
      <c r="R226" s="530">
        <v>3912</v>
      </c>
      <c r="S226" s="530">
        <v>5876</v>
      </c>
      <c r="T226" s="530">
        <v>462</v>
      </c>
      <c r="U226" s="530">
        <v>260.3173162154676</v>
      </c>
      <c r="V226" s="534">
        <v>3917</v>
      </c>
      <c r="W226" s="530">
        <v>5883</v>
      </c>
      <c r="X226" s="530">
        <v>462</v>
      </c>
      <c r="Y226" s="533">
        <v>260.3173162154676</v>
      </c>
      <c r="Z226" s="534">
        <v>350</v>
      </c>
      <c r="AA226" s="530">
        <v>406</v>
      </c>
      <c r="AB226" s="530">
        <v>39</v>
      </c>
      <c r="AC226" s="533">
        <v>21.97483838182519</v>
      </c>
      <c r="AD226" s="534">
        <v>15595</v>
      </c>
      <c r="AE226" s="530">
        <v>17438</v>
      </c>
      <c r="AF226" s="530">
        <v>397</v>
      </c>
      <c r="AG226" s="533">
        <v>223.69258557909231</v>
      </c>
      <c r="AH226" s="534">
        <v>-12068.4</v>
      </c>
      <c r="AI226" s="530">
        <v>-12004.1</v>
      </c>
      <c r="AJ226" s="530">
        <v>25.999999999998181</v>
      </c>
      <c r="AK226" s="533">
        <v>14.649892254549101</v>
      </c>
      <c r="AL226" s="534">
        <v>1466.150619</v>
      </c>
      <c r="AM226" s="530">
        <v>1518.6603869999999</v>
      </c>
      <c r="AN226" s="530">
        <v>21.336876999999959</v>
      </c>
      <c r="AO226" s="533">
        <v>12.022421119176466</v>
      </c>
      <c r="AP226" s="534">
        <v>4.7</v>
      </c>
      <c r="AQ226" s="530">
        <v>4.9000000000000004</v>
      </c>
      <c r="AR226" s="530">
        <v>0.20000000000000018</v>
      </c>
      <c r="AS226" s="533">
        <v>0.11269147888115491</v>
      </c>
      <c r="AT226" s="534">
        <v>12.6</v>
      </c>
      <c r="AU226" s="530">
        <v>13</v>
      </c>
      <c r="AV226" s="530">
        <v>0.19999999999999929</v>
      </c>
      <c r="AW226" s="533">
        <v>0.11269147888115441</v>
      </c>
      <c r="AX226" s="534">
        <v>-41.14</v>
      </c>
      <c r="AY226" s="530">
        <v>-41.61</v>
      </c>
      <c r="AZ226" s="530">
        <v>-0.17999999999999972</v>
      </c>
      <c r="BA226" s="530">
        <v>-2.888541</v>
      </c>
      <c r="BB226" s="533">
        <v>-0.10142233099303917</v>
      </c>
      <c r="BC226" s="545"/>
      <c r="BD226" s="545"/>
      <c r="BE226" s="545"/>
      <c r="BF226" s="545"/>
      <c r="BG226" s="545"/>
      <c r="BH226" s="567"/>
      <c r="BI226" s="574" t="s">
        <v>723</v>
      </c>
      <c r="BJ226" s="1">
        <v>5468.1117354600001</v>
      </c>
      <c r="BK226" s="1">
        <v>-4.3748271399999998</v>
      </c>
      <c r="BL226" s="1">
        <v>2351.6680688900001</v>
      </c>
      <c r="BM226" s="1">
        <v>2459.2562801099998</v>
      </c>
      <c r="BN226" s="1">
        <v>3.0122900700000002</v>
      </c>
      <c r="BO226" s="1">
        <v>3.09815642</v>
      </c>
      <c r="BP226" s="1">
        <v>0.1465979</v>
      </c>
      <c r="BQ226" s="1">
        <v>1.7747025999999999</v>
      </c>
      <c r="BR226" s="1">
        <v>1.7721047299999999</v>
      </c>
      <c r="BS226" s="1">
        <v>-3.0013105000000002</v>
      </c>
      <c r="BT226" s="1">
        <v>-2.7715303699999998</v>
      </c>
      <c r="BU226" s="128">
        <v>0.84358606000000003</v>
      </c>
      <c r="BV226" s="512"/>
    </row>
    <row r="227" spans="1:74" s="519" customFormat="1">
      <c r="A227" s="546">
        <v>62006040</v>
      </c>
      <c r="B227" s="543" t="s">
        <v>837</v>
      </c>
      <c r="C227" s="543" t="s">
        <v>705</v>
      </c>
      <c r="D227" s="513" t="s">
        <v>1015</v>
      </c>
      <c r="E227" s="524" t="s">
        <v>1016</v>
      </c>
      <c r="F227" s="524" t="s">
        <v>708</v>
      </c>
      <c r="G227" s="531">
        <v>25.622209000000002</v>
      </c>
      <c r="H227" s="531">
        <v>37.103490000000001</v>
      </c>
      <c r="I227" s="531">
        <v>29.623294999999999</v>
      </c>
      <c r="J227" s="531">
        <v>32.648313999999999</v>
      </c>
      <c r="K227" s="578">
        <v>4250</v>
      </c>
      <c r="L227" s="578">
        <v>38.71</v>
      </c>
      <c r="M227" s="578">
        <v>3.0499999999999999E-2</v>
      </c>
      <c r="N227" s="578">
        <v>1.4999999999999999E-2</v>
      </c>
      <c r="O227" s="529">
        <v>6.2508972500000004</v>
      </c>
      <c r="P227" s="544">
        <v>94.1</v>
      </c>
      <c r="Q227" s="544">
        <v>92.4</v>
      </c>
      <c r="R227" s="530">
        <v>4223</v>
      </c>
      <c r="S227" s="530">
        <v>5725</v>
      </c>
      <c r="T227" s="530">
        <v>1502</v>
      </c>
      <c r="U227" s="530">
        <v>240.28550461295774</v>
      </c>
      <c r="V227" s="534">
        <v>4228</v>
      </c>
      <c r="W227" s="530">
        <v>5732</v>
      </c>
      <c r="X227" s="530">
        <v>1504</v>
      </c>
      <c r="Y227" s="533">
        <v>240.60545868035183</v>
      </c>
      <c r="Z227" s="534">
        <v>364</v>
      </c>
      <c r="AA227" s="530">
        <v>381</v>
      </c>
      <c r="AB227" s="530">
        <v>17</v>
      </c>
      <c r="AC227" s="533">
        <v>2.7196095728497216</v>
      </c>
      <c r="AD227" s="534">
        <v>15877</v>
      </c>
      <c r="AE227" s="530">
        <v>17323</v>
      </c>
      <c r="AF227" s="530">
        <v>1446</v>
      </c>
      <c r="AG227" s="533">
        <v>231.32679072592336</v>
      </c>
      <c r="AH227" s="534">
        <v>-12053.6</v>
      </c>
      <c r="AI227" s="530">
        <v>-12015.3</v>
      </c>
      <c r="AJ227" s="530">
        <v>38.300000000001091</v>
      </c>
      <c r="AK227" s="533">
        <v>6.1271203905969003</v>
      </c>
      <c r="AL227" s="534">
        <v>1478.2969430000001</v>
      </c>
      <c r="AM227" s="530">
        <v>1509.469834</v>
      </c>
      <c r="AN227" s="530">
        <v>31.172890999999936</v>
      </c>
      <c r="AO227" s="533">
        <v>4.986946633941221</v>
      </c>
      <c r="AP227" s="534">
        <v>4.8</v>
      </c>
      <c r="AQ227" s="530">
        <v>4.8</v>
      </c>
      <c r="AR227" s="530">
        <v>0</v>
      </c>
      <c r="AS227" s="533">
        <v>0</v>
      </c>
      <c r="AT227" s="534">
        <v>12.7</v>
      </c>
      <c r="AU227" s="530">
        <v>12.9</v>
      </c>
      <c r="AV227" s="530">
        <v>0.20000000000000107</v>
      </c>
      <c r="AW227" s="533">
        <v>3.1995406739408656E-2</v>
      </c>
      <c r="AX227" s="534">
        <v>-41.25</v>
      </c>
      <c r="AY227" s="530">
        <v>-41.54</v>
      </c>
      <c r="AZ227" s="530">
        <v>-0.28999999999999915</v>
      </c>
      <c r="BA227" s="530">
        <v>-2.87507</v>
      </c>
      <c r="BB227" s="533">
        <v>-4.6393339772142175E-2</v>
      </c>
      <c r="BC227" s="545"/>
      <c r="BD227" s="545"/>
      <c r="BE227" s="545"/>
      <c r="BF227" s="545"/>
      <c r="BG227" s="545"/>
      <c r="BH227" s="567"/>
      <c r="BI227" s="574" t="s">
        <v>723</v>
      </c>
      <c r="BJ227" s="1">
        <v>11258.48371697</v>
      </c>
      <c r="BK227" s="1">
        <v>-0.99929727000000002</v>
      </c>
      <c r="BL227" s="1">
        <v>1126.7738802599999</v>
      </c>
      <c r="BM227" s="1">
        <v>1138.1473556999999</v>
      </c>
      <c r="BN227" s="1">
        <v>5.8896571299999998</v>
      </c>
      <c r="BO227" s="1">
        <v>5.8916275300000001</v>
      </c>
      <c r="BP227" s="1">
        <v>0.25848366</v>
      </c>
      <c r="BQ227" s="1">
        <v>6.2509742700000004</v>
      </c>
      <c r="BR227" s="1">
        <v>6.2348581799999998</v>
      </c>
      <c r="BS227" s="1">
        <v>-0.29202538</v>
      </c>
      <c r="BT227" s="1">
        <v>-3.3444050000000003E-2</v>
      </c>
      <c r="BU227" s="128">
        <v>0.41947275000000001</v>
      </c>
      <c r="BV227" s="512"/>
    </row>
    <row r="228" spans="1:74" s="519" customFormat="1">
      <c r="A228" s="546">
        <v>62006040</v>
      </c>
      <c r="B228" s="543" t="s">
        <v>835</v>
      </c>
      <c r="C228" s="543" t="s">
        <v>703</v>
      </c>
      <c r="D228" s="513" t="s">
        <v>1015</v>
      </c>
      <c r="E228" s="524" t="s">
        <v>1016</v>
      </c>
      <c r="F228" s="524" t="s">
        <v>708</v>
      </c>
      <c r="G228" s="468">
        <v>24.237613500000002</v>
      </c>
      <c r="H228" s="468">
        <v>39.624386000000001</v>
      </c>
      <c r="I228" s="468">
        <v>29.618534499999999</v>
      </c>
      <c r="J228" s="468">
        <v>33.209766000000002</v>
      </c>
      <c r="K228" s="579"/>
      <c r="L228" s="578"/>
      <c r="M228" s="580"/>
      <c r="N228" s="581"/>
      <c r="O228" s="453">
        <v>8.0256543300000001</v>
      </c>
      <c r="P228" s="493">
        <v>94.5</v>
      </c>
      <c r="Q228" s="493">
        <v>92.4</v>
      </c>
      <c r="R228" s="456">
        <v>3912</v>
      </c>
      <c r="S228" s="456">
        <v>5725</v>
      </c>
      <c r="T228" s="456">
        <v>1964</v>
      </c>
      <c r="U228" s="456">
        <v>244.71524927986775</v>
      </c>
      <c r="V228" s="456">
        <v>3917</v>
      </c>
      <c r="W228" s="456">
        <v>5732</v>
      </c>
      <c r="X228" s="456">
        <v>1966</v>
      </c>
      <c r="Y228" s="454">
        <v>244.96445014471487</v>
      </c>
      <c r="Z228" s="456">
        <v>350</v>
      </c>
      <c r="AA228" s="456">
        <v>381</v>
      </c>
      <c r="AB228" s="456">
        <v>56</v>
      </c>
      <c r="AC228" s="454">
        <v>6.977624215719243</v>
      </c>
      <c r="AD228" s="456">
        <v>15595</v>
      </c>
      <c r="AE228" s="456">
        <v>17323</v>
      </c>
      <c r="AF228" s="456">
        <v>1843</v>
      </c>
      <c r="AG228" s="454">
        <v>229.63859695661725</v>
      </c>
      <c r="AH228" s="456">
        <v>-12068.4</v>
      </c>
      <c r="AI228" s="456">
        <v>-12015.3</v>
      </c>
      <c r="AJ228" s="456">
        <v>64.299999999999272</v>
      </c>
      <c r="AK228" s="454">
        <v>8.0118078048346835</v>
      </c>
      <c r="AL228" s="456">
        <v>1466.150619</v>
      </c>
      <c r="AM228" s="456">
        <v>1509.469834</v>
      </c>
      <c r="AN228" s="456">
        <v>52.509767999999895</v>
      </c>
      <c r="AO228" s="454">
        <v>6.5427397992606906</v>
      </c>
      <c r="AP228" s="456">
        <v>4.7</v>
      </c>
      <c r="AQ228" s="456">
        <v>4.8</v>
      </c>
      <c r="AR228" s="456">
        <v>0.20000000000000018</v>
      </c>
      <c r="AS228" s="454">
        <v>2.4920086484711605E-2</v>
      </c>
      <c r="AT228" s="456">
        <v>12.6</v>
      </c>
      <c r="AU228" s="456">
        <v>12.9</v>
      </c>
      <c r="AV228" s="456">
        <v>0.40000000000000036</v>
      </c>
      <c r="AW228" s="454">
        <v>4.984017296942321E-2</v>
      </c>
      <c r="AX228" s="456">
        <v>-41.14</v>
      </c>
      <c r="AY228" s="456">
        <v>-41.54</v>
      </c>
      <c r="AZ228" s="456">
        <v>-0.46999999999999886</v>
      </c>
      <c r="BA228" s="530">
        <v>-2.8818055</v>
      </c>
      <c r="BB228" s="454">
        <v>-5.8562203239072082E-2</v>
      </c>
      <c r="BC228" s="496"/>
      <c r="BD228" s="496"/>
      <c r="BE228" s="496"/>
      <c r="BF228" s="496"/>
      <c r="BG228" s="496"/>
      <c r="BH228" s="568"/>
      <c r="BI228" s="574" t="s">
        <v>723</v>
      </c>
      <c r="BJ228" s="1"/>
      <c r="BK228" s="1"/>
      <c r="BL228" s="1"/>
      <c r="BM228" s="1"/>
      <c r="BN228" s="1"/>
      <c r="BO228" s="1"/>
      <c r="BP228" s="1"/>
      <c r="BQ228" s="1"/>
      <c r="BR228" s="1"/>
      <c r="BS228" s="1"/>
      <c r="BT228" s="1"/>
      <c r="BU228" s="128"/>
      <c r="BV228" s="512"/>
    </row>
    <row r="229" spans="1:74" s="519" customFormat="1">
      <c r="A229" s="546">
        <v>62006040</v>
      </c>
      <c r="B229" s="543" t="s">
        <v>990</v>
      </c>
      <c r="C229" s="543" t="s">
        <v>788</v>
      </c>
      <c r="D229" s="513" t="s">
        <v>1015</v>
      </c>
      <c r="E229" s="524" t="s">
        <v>1016</v>
      </c>
      <c r="F229" s="524" t="s">
        <v>708</v>
      </c>
      <c r="G229" s="531">
        <v>24.039773</v>
      </c>
      <c r="H229" s="531">
        <v>40.789335999999999</v>
      </c>
      <c r="I229" s="531">
        <v>29.616848000000001</v>
      </c>
      <c r="J229" s="531">
        <v>32.212916999999997</v>
      </c>
      <c r="K229" s="578">
        <v>4250</v>
      </c>
      <c r="L229" s="578">
        <v>38.71</v>
      </c>
      <c r="M229" s="578">
        <v>3.0499999999999999E-2</v>
      </c>
      <c r="N229" s="578">
        <v>1.4999999999999999E-2</v>
      </c>
      <c r="O229" s="529">
        <v>10.284252110000001</v>
      </c>
      <c r="P229" s="544">
        <v>92.2</v>
      </c>
      <c r="Q229" s="544">
        <v>90</v>
      </c>
      <c r="R229" s="530">
        <v>5878</v>
      </c>
      <c r="S229" s="530">
        <v>7735</v>
      </c>
      <c r="T229" s="530">
        <v>1857</v>
      </c>
      <c r="U229" s="530">
        <v>180.56733539178086</v>
      </c>
      <c r="V229" s="534">
        <v>5885</v>
      </c>
      <c r="W229" s="530">
        <v>7744</v>
      </c>
      <c r="X229" s="530">
        <v>1859</v>
      </c>
      <c r="Y229" s="533">
        <v>180.7618074815943</v>
      </c>
      <c r="Z229" s="534">
        <v>406</v>
      </c>
      <c r="AA229" s="530">
        <v>408</v>
      </c>
      <c r="AB229" s="530">
        <v>2</v>
      </c>
      <c r="AC229" s="533">
        <v>0.19447208981344194</v>
      </c>
      <c r="AD229" s="534">
        <v>17438</v>
      </c>
      <c r="AE229" s="530">
        <v>19213</v>
      </c>
      <c r="AF229" s="530">
        <v>1775</v>
      </c>
      <c r="AG229" s="533">
        <v>172.59397970942973</v>
      </c>
      <c r="AH229" s="534">
        <v>-12002.399181999999</v>
      </c>
      <c r="AI229" s="530">
        <v>-11923.7</v>
      </c>
      <c r="AJ229" s="530">
        <v>78.699181999998473</v>
      </c>
      <c r="AK229" s="533">
        <v>7.6523971950740588</v>
      </c>
      <c r="AL229" s="534">
        <v>1520.060164</v>
      </c>
      <c r="AM229" s="530">
        <v>1583.88993</v>
      </c>
      <c r="AN229" s="530">
        <v>63.829766000000063</v>
      </c>
      <c r="AO229" s="533">
        <v>6.2065539931614975</v>
      </c>
      <c r="AP229" s="534">
        <v>4.9000000000000004</v>
      </c>
      <c r="AQ229" s="530">
        <v>5</v>
      </c>
      <c r="AR229" s="530">
        <v>9.9999999999999645E-2</v>
      </c>
      <c r="AS229" s="533">
        <v>9.7236044906720623E-3</v>
      </c>
      <c r="AT229" s="534">
        <v>13</v>
      </c>
      <c r="AU229" s="530">
        <v>13.5</v>
      </c>
      <c r="AV229" s="530">
        <v>0.5</v>
      </c>
      <c r="AW229" s="533">
        <v>4.8618022453360485E-2</v>
      </c>
      <c r="AX229" s="534">
        <v>-41.63</v>
      </c>
      <c r="AY229" s="530">
        <v>-42.17</v>
      </c>
      <c r="AZ229" s="530">
        <v>-0.53999999999999915</v>
      </c>
      <c r="BA229" s="530">
        <v>-2.555231</v>
      </c>
      <c r="BB229" s="533">
        <v>-5.2507464249629245E-2</v>
      </c>
      <c r="BC229" s="545"/>
      <c r="BD229" s="545"/>
      <c r="BE229" s="545"/>
      <c r="BF229" s="545"/>
      <c r="BG229" s="545"/>
      <c r="BH229" s="567"/>
      <c r="BI229" s="574" t="s">
        <v>723</v>
      </c>
      <c r="BJ229" s="1">
        <v>1873.12939854</v>
      </c>
      <c r="BK229" s="1">
        <v>-0.50813598000000004</v>
      </c>
      <c r="BL229" s="1">
        <v>1300.0707290600001</v>
      </c>
      <c r="BM229" s="1">
        <v>1306.71059571</v>
      </c>
      <c r="BN229" s="1">
        <v>6.8011252300000002</v>
      </c>
      <c r="BO229" s="1">
        <v>6.7902538000000003</v>
      </c>
      <c r="BP229" s="1">
        <v>0.26928959000000002</v>
      </c>
      <c r="BQ229" s="1">
        <v>10.28430049</v>
      </c>
      <c r="BR229" s="1">
        <v>10.256680319999999</v>
      </c>
      <c r="BS229" s="1">
        <v>-0.10901166</v>
      </c>
      <c r="BT229" s="1">
        <v>0.16010340000000001</v>
      </c>
      <c r="BU229" s="128">
        <v>0.33397575000000002</v>
      </c>
      <c r="BV229" s="512"/>
    </row>
    <row r="230" spans="1:74" s="519" customFormat="1">
      <c r="A230" s="546">
        <v>62006040</v>
      </c>
      <c r="B230" s="543" t="s">
        <v>841</v>
      </c>
      <c r="C230" s="543" t="s">
        <v>943</v>
      </c>
      <c r="D230" s="513" t="s">
        <v>1015</v>
      </c>
      <c r="E230" s="524" t="s">
        <v>1016</v>
      </c>
      <c r="F230" s="524" t="s">
        <v>708</v>
      </c>
      <c r="G230" s="531">
        <v>21.411667999999999</v>
      </c>
      <c r="H230" s="531">
        <v>46.967972000000003</v>
      </c>
      <c r="I230" s="531">
        <v>29.613699</v>
      </c>
      <c r="J230" s="531">
        <v>32.761895000000003</v>
      </c>
      <c r="K230" s="578">
        <v>4250</v>
      </c>
      <c r="L230" s="578">
        <v>38.71</v>
      </c>
      <c r="M230" s="578">
        <v>3.0499999999999999E-2</v>
      </c>
      <c r="N230" s="578">
        <v>1.4999999999999999E-2</v>
      </c>
      <c r="O230" s="529">
        <v>3.59704004</v>
      </c>
      <c r="P230" s="544">
        <v>90</v>
      </c>
      <c r="Q230" s="544">
        <v>89.3</v>
      </c>
      <c r="R230" s="530">
        <v>7736</v>
      </c>
      <c r="S230" s="530">
        <v>8377</v>
      </c>
      <c r="T230" s="530">
        <v>641</v>
      </c>
      <c r="U230" s="530">
        <v>178.20207528187538</v>
      </c>
      <c r="V230" s="534">
        <v>7744</v>
      </c>
      <c r="W230" s="530">
        <v>8386</v>
      </c>
      <c r="X230" s="530">
        <v>642</v>
      </c>
      <c r="Y230" s="533">
        <v>178.48008163956942</v>
      </c>
      <c r="Z230" s="534">
        <v>408</v>
      </c>
      <c r="AA230" s="530">
        <v>414</v>
      </c>
      <c r="AB230" s="530">
        <v>6</v>
      </c>
      <c r="AC230" s="533">
        <v>1.6680381461642</v>
      </c>
      <c r="AD230" s="534">
        <v>19213</v>
      </c>
      <c r="AE230" s="530">
        <v>19794.036995999999</v>
      </c>
      <c r="AF230" s="530">
        <v>581.03699599999891</v>
      </c>
      <c r="AG230" s="533">
        <v>161.53197894344231</v>
      </c>
      <c r="AH230" s="534">
        <v>-11923.5</v>
      </c>
      <c r="AI230" s="530">
        <v>-11871.2</v>
      </c>
      <c r="AJ230" s="530">
        <v>52.299999999999272</v>
      </c>
      <c r="AK230" s="533">
        <v>14.539732507397742</v>
      </c>
      <c r="AL230" s="534">
        <v>1583.989832</v>
      </c>
      <c r="AM230" s="530">
        <v>1626.48</v>
      </c>
      <c r="AN230" s="530">
        <v>42.49016800000004</v>
      </c>
      <c r="AO230" s="533">
        <v>11.81253684348758</v>
      </c>
      <c r="AP230" s="534">
        <v>5</v>
      </c>
      <c r="AQ230" s="530">
        <v>5.0999999999999996</v>
      </c>
      <c r="AR230" s="530">
        <v>9.9999999999999645E-2</v>
      </c>
      <c r="AS230" s="533">
        <v>2.7800635769403236E-2</v>
      </c>
      <c r="AT230" s="534">
        <v>13.5</v>
      </c>
      <c r="AU230" s="530">
        <v>13.8</v>
      </c>
      <c r="AV230" s="530">
        <v>0.30000000000000071</v>
      </c>
      <c r="AW230" s="533">
        <v>8.3401907308210205E-2</v>
      </c>
      <c r="AX230" s="534">
        <v>-42.17</v>
      </c>
      <c r="AY230" s="530">
        <v>-42.5</v>
      </c>
      <c r="AZ230" s="530">
        <v>-0.32999999999999829</v>
      </c>
      <c r="BA230" s="530">
        <v>-2.3483230000000002</v>
      </c>
      <c r="BB230" s="533">
        <v>-9.1742098039030523E-2</v>
      </c>
      <c r="BC230" s="545"/>
      <c r="BD230" s="545"/>
      <c r="BE230" s="545"/>
      <c r="BF230" s="545"/>
      <c r="BG230" s="545"/>
      <c r="BH230" s="567"/>
      <c r="BI230" s="574" t="s">
        <v>723</v>
      </c>
      <c r="BJ230" s="1">
        <v>2370.1068483099998</v>
      </c>
      <c r="BK230" s="1">
        <v>-0.97392224999999999</v>
      </c>
      <c r="BL230" s="1">
        <v>2028.7565734899999</v>
      </c>
      <c r="BM230" s="1">
        <v>2048.7094101900002</v>
      </c>
      <c r="BN230" s="1">
        <v>3.02402294</v>
      </c>
      <c r="BO230" s="1">
        <v>3.0318172200000002</v>
      </c>
      <c r="BP230" s="1">
        <v>0.1676802</v>
      </c>
      <c r="BQ230" s="1">
        <v>3.59700051</v>
      </c>
      <c r="BR230" s="1">
        <v>3.5909791499999999</v>
      </c>
      <c r="BS230" s="1">
        <v>-0.42585780000000001</v>
      </c>
      <c r="BT230" s="1">
        <v>-0.2570828</v>
      </c>
      <c r="BU230" s="128">
        <v>0.63448674999999999</v>
      </c>
      <c r="BV230" s="512"/>
    </row>
    <row r="231" spans="1:74" s="519" customFormat="1">
      <c r="A231" s="546">
        <v>62006040</v>
      </c>
      <c r="B231" s="543" t="s">
        <v>234</v>
      </c>
      <c r="C231" s="543" t="s">
        <v>944</v>
      </c>
      <c r="D231" s="513" t="s">
        <v>1015</v>
      </c>
      <c r="E231" s="524" t="s">
        <v>1016</v>
      </c>
      <c r="F231" s="524" t="s">
        <v>708</v>
      </c>
      <c r="G231" s="531">
        <v>18.307133</v>
      </c>
      <c r="H231" s="531">
        <v>57.483727999999999</v>
      </c>
      <c r="I231" s="531">
        <v>29.611903999999999</v>
      </c>
      <c r="J231" s="531">
        <v>30.325906</v>
      </c>
      <c r="K231" s="578">
        <v>4250</v>
      </c>
      <c r="L231" s="578">
        <v>38.71</v>
      </c>
      <c r="M231" s="578">
        <v>3.0499999999999999E-2</v>
      </c>
      <c r="N231" s="578">
        <v>1.4999999999999999E-2</v>
      </c>
      <c r="O231" s="529">
        <v>3.8637445600000002</v>
      </c>
      <c r="P231" s="544">
        <v>89.3</v>
      </c>
      <c r="Q231" s="544">
        <v>88.6</v>
      </c>
      <c r="R231" s="530">
        <v>8377</v>
      </c>
      <c r="S231" s="530">
        <v>9009</v>
      </c>
      <c r="T231" s="530">
        <v>632</v>
      </c>
      <c r="U231" s="530">
        <v>163.57188995951637</v>
      </c>
      <c r="V231" s="534">
        <v>8386</v>
      </c>
      <c r="W231" s="530">
        <v>9019</v>
      </c>
      <c r="X231" s="530">
        <v>633</v>
      </c>
      <c r="Y231" s="533">
        <v>163.83070624109789</v>
      </c>
      <c r="Z231" s="534">
        <v>414</v>
      </c>
      <c r="AA231" s="530">
        <v>433</v>
      </c>
      <c r="AB231" s="530">
        <v>19</v>
      </c>
      <c r="AC231" s="533">
        <v>4.9175093500487517</v>
      </c>
      <c r="AD231" s="534">
        <v>19794</v>
      </c>
      <c r="AE231" s="530">
        <v>20320</v>
      </c>
      <c r="AF231" s="530">
        <v>526</v>
      </c>
      <c r="AG231" s="533">
        <v>136.13736411187597</v>
      </c>
      <c r="AH231" s="534">
        <v>-11871.2</v>
      </c>
      <c r="AI231" s="530">
        <v>-11783.8</v>
      </c>
      <c r="AJ231" s="530">
        <v>87.400000000001455</v>
      </c>
      <c r="AK231" s="533">
        <v>22.620543010224633</v>
      </c>
      <c r="AL231" s="534">
        <v>1626.499546</v>
      </c>
      <c r="AM231" s="530">
        <v>1697.0191460000001</v>
      </c>
      <c r="AN231" s="530">
        <v>70.519600000000082</v>
      </c>
      <c r="AO231" s="533">
        <v>18.251620650615703</v>
      </c>
      <c r="AP231" s="534">
        <v>5.0999999999999996</v>
      </c>
      <c r="AQ231" s="530">
        <v>5.3</v>
      </c>
      <c r="AR231" s="530">
        <v>0.20000000000000018</v>
      </c>
      <c r="AS231" s="533">
        <v>5.1763256316302693E-2</v>
      </c>
      <c r="AT231" s="534">
        <v>13.8</v>
      </c>
      <c r="AU231" s="530">
        <v>14.3</v>
      </c>
      <c r="AV231" s="530">
        <v>0.5</v>
      </c>
      <c r="AW231" s="533">
        <v>0.1294081407907566</v>
      </c>
      <c r="AX231" s="534">
        <v>-42.5</v>
      </c>
      <c r="AY231" s="530">
        <v>-43.05</v>
      </c>
      <c r="AZ231" s="530">
        <v>-0.54999999999999716</v>
      </c>
      <c r="BA231" s="530">
        <v>-2.2377739999999999</v>
      </c>
      <c r="BB231" s="533">
        <v>-0.14234895486983154</v>
      </c>
      <c r="BC231" s="545"/>
      <c r="BD231" s="545"/>
      <c r="BE231" s="545"/>
      <c r="BF231" s="545"/>
      <c r="BG231" s="545"/>
      <c r="BH231" s="567"/>
      <c r="BI231" s="574" t="s">
        <v>723</v>
      </c>
      <c r="BJ231" s="1">
        <v>1475.0298434700001</v>
      </c>
      <c r="BK231" s="1">
        <v>-1.3305439299999999</v>
      </c>
      <c r="BL231" s="1">
        <v>3370.6956695899999</v>
      </c>
      <c r="BM231" s="1">
        <v>3416.1490330900001</v>
      </c>
      <c r="BN231" s="1">
        <v>2.9815954100000002</v>
      </c>
      <c r="BO231" s="1">
        <v>2.9952188500000001</v>
      </c>
      <c r="BP231" s="1">
        <v>9.8927890000000004E-2</v>
      </c>
      <c r="BQ231" s="1">
        <v>3.8636488400000002</v>
      </c>
      <c r="BR231" s="1">
        <v>3.8598303899999999</v>
      </c>
      <c r="BS231" s="1">
        <v>-0.55629751000000005</v>
      </c>
      <c r="BT231" s="1">
        <v>-0.45483937000000002</v>
      </c>
      <c r="BU231" s="128">
        <v>0.72009604000000005</v>
      </c>
      <c r="BV231" s="512"/>
    </row>
    <row r="232" spans="1:74" s="519" customFormat="1">
      <c r="A232" s="546">
        <v>62006040</v>
      </c>
      <c r="B232" s="543" t="s">
        <v>842</v>
      </c>
      <c r="C232" s="543" t="s">
        <v>991</v>
      </c>
      <c r="D232" s="513" t="s">
        <v>1015</v>
      </c>
      <c r="E232" s="524" t="s">
        <v>1016</v>
      </c>
      <c r="F232" s="524" t="s">
        <v>708</v>
      </c>
      <c r="G232" s="468">
        <v>19.8594005</v>
      </c>
      <c r="H232" s="468">
        <v>52.225850000000001</v>
      </c>
      <c r="I232" s="468">
        <v>29.6128015</v>
      </c>
      <c r="J232" s="468">
        <v>31.543900499999999</v>
      </c>
      <c r="K232" s="579"/>
      <c r="L232" s="578"/>
      <c r="M232" s="580"/>
      <c r="N232" s="581"/>
      <c r="O232" s="453">
        <v>7.4607846000000002</v>
      </c>
      <c r="P232" s="493">
        <v>90</v>
      </c>
      <c r="Q232" s="493">
        <v>88.6</v>
      </c>
      <c r="R232" s="456">
        <v>7736</v>
      </c>
      <c r="S232" s="456">
        <v>9009</v>
      </c>
      <c r="T232" s="456">
        <v>1273</v>
      </c>
      <c r="U232" s="456">
        <v>170.62548622567121</v>
      </c>
      <c r="V232" s="456">
        <v>7744</v>
      </c>
      <c r="W232" s="456">
        <v>9019</v>
      </c>
      <c r="X232" s="456">
        <v>1275</v>
      </c>
      <c r="Y232" s="454">
        <v>170.89355454652852</v>
      </c>
      <c r="Z232" s="456">
        <v>408</v>
      </c>
      <c r="AA232" s="456">
        <v>433</v>
      </c>
      <c r="AB232" s="456">
        <v>25</v>
      </c>
      <c r="AC232" s="454">
        <v>3.3508540107162457</v>
      </c>
      <c r="AD232" s="456">
        <v>19213</v>
      </c>
      <c r="AE232" s="456">
        <v>20320</v>
      </c>
      <c r="AF232" s="456">
        <v>1107.0369959999989</v>
      </c>
      <c r="AG232" s="454">
        <v>148.38077432231441</v>
      </c>
      <c r="AH232" s="456">
        <v>-11923.5</v>
      </c>
      <c r="AI232" s="456">
        <v>-11783.8</v>
      </c>
      <c r="AJ232" s="456">
        <v>139.70000000000073</v>
      </c>
      <c r="AK232" s="454">
        <v>18.724572211882478</v>
      </c>
      <c r="AL232" s="456">
        <v>1583.989832</v>
      </c>
      <c r="AM232" s="456">
        <v>1697.0191460000001</v>
      </c>
      <c r="AN232" s="456">
        <v>113.00976800000012</v>
      </c>
      <c r="AO232" s="454">
        <v>15.147169374116514</v>
      </c>
      <c r="AP232" s="456">
        <v>5</v>
      </c>
      <c r="AQ232" s="456">
        <v>5.3</v>
      </c>
      <c r="AR232" s="456">
        <v>0.29999999999999982</v>
      </c>
      <c r="AS232" s="454">
        <v>4.0210248128594923E-2</v>
      </c>
      <c r="AT232" s="456">
        <v>13.5</v>
      </c>
      <c r="AU232" s="456">
        <v>14.3</v>
      </c>
      <c r="AV232" s="456">
        <v>0.80000000000000071</v>
      </c>
      <c r="AW232" s="454">
        <v>0.10722732834291995</v>
      </c>
      <c r="AX232" s="456">
        <v>-42.17</v>
      </c>
      <c r="AY232" s="456">
        <v>-43.05</v>
      </c>
      <c r="AZ232" s="456">
        <v>-0.87999999999999545</v>
      </c>
      <c r="BA232" s="530">
        <v>-2.2930485000000003</v>
      </c>
      <c r="BB232" s="454">
        <v>-0.11795006117721123</v>
      </c>
      <c r="BC232" s="496"/>
      <c r="BD232" s="496"/>
      <c r="BE232" s="496"/>
      <c r="BF232" s="496"/>
      <c r="BG232" s="496"/>
      <c r="BH232" s="568"/>
      <c r="BI232" s="574" t="s">
        <v>723</v>
      </c>
      <c r="BJ232" s="1"/>
      <c r="BK232" s="1"/>
      <c r="BL232" s="1"/>
      <c r="BM232" s="1"/>
      <c r="BN232" s="1"/>
      <c r="BO232" s="1"/>
      <c r="BP232" s="1"/>
      <c r="BQ232" s="1"/>
      <c r="BR232" s="1"/>
      <c r="BS232" s="1"/>
      <c r="BT232" s="1"/>
      <c r="BU232" s="128"/>
      <c r="BV232" s="512"/>
    </row>
    <row r="233" spans="1:74" s="519" customFormat="1">
      <c r="A233" s="546">
        <v>62006040</v>
      </c>
      <c r="B233" s="543" t="s">
        <v>843</v>
      </c>
      <c r="C233" s="543" t="s">
        <v>992</v>
      </c>
      <c r="D233" s="513" t="s">
        <v>1015</v>
      </c>
      <c r="E233" s="524" t="s">
        <v>1016</v>
      </c>
      <c r="F233" s="524" t="s">
        <v>708</v>
      </c>
      <c r="G233" s="531">
        <v>23.173051999999998</v>
      </c>
      <c r="H233" s="531">
        <v>44.681742999999997</v>
      </c>
      <c r="I233" s="531">
        <v>29.611436000000001</v>
      </c>
      <c r="J233" s="531">
        <v>28.741524999999999</v>
      </c>
      <c r="K233" s="578">
        <v>4250</v>
      </c>
      <c r="L233" s="578">
        <v>38.71</v>
      </c>
      <c r="M233" s="578">
        <v>3.0499999999999999E-2</v>
      </c>
      <c r="N233" s="578">
        <v>1.4999999999999999E-2</v>
      </c>
      <c r="O233" s="529">
        <v>3.59766896</v>
      </c>
      <c r="P233" s="544">
        <v>88.5</v>
      </c>
      <c r="Q233" s="544">
        <v>87.7</v>
      </c>
      <c r="R233" s="530">
        <v>9050</v>
      </c>
      <c r="S233" s="530">
        <v>9714</v>
      </c>
      <c r="T233" s="530">
        <v>664</v>
      </c>
      <c r="U233" s="530">
        <v>184.56395165385089</v>
      </c>
      <c r="V233" s="534">
        <v>9062</v>
      </c>
      <c r="W233" s="530">
        <v>9728</v>
      </c>
      <c r="X233" s="530">
        <v>666</v>
      </c>
      <c r="Y233" s="533">
        <v>185.11986717088055</v>
      </c>
      <c r="Z233" s="534">
        <v>433</v>
      </c>
      <c r="AA233" s="530">
        <v>440</v>
      </c>
      <c r="AB233" s="530">
        <v>7</v>
      </c>
      <c r="AC233" s="533">
        <v>1.9457043096038498</v>
      </c>
      <c r="AD233" s="534">
        <v>20321</v>
      </c>
      <c r="AE233" s="530">
        <v>20927</v>
      </c>
      <c r="AF233" s="530">
        <v>606</v>
      </c>
      <c r="AG233" s="533">
        <v>168.44240165999042</v>
      </c>
      <c r="AH233" s="534">
        <v>-11743.9</v>
      </c>
      <c r="AI233" s="530">
        <v>-11693</v>
      </c>
      <c r="AJ233" s="530">
        <v>50.899999999999636</v>
      </c>
      <c r="AK233" s="533">
        <v>14.148049908405035</v>
      </c>
      <c r="AL233" s="534">
        <v>1726.3188070000001</v>
      </c>
      <c r="AM233" s="530">
        <v>1767.3885419999999</v>
      </c>
      <c r="AN233" s="530">
        <v>41.06973499999981</v>
      </c>
      <c r="AO233" s="533">
        <v>11.415651483398241</v>
      </c>
      <c r="AP233" s="534">
        <v>5.4</v>
      </c>
      <c r="AQ233" s="530">
        <v>5.5</v>
      </c>
      <c r="AR233" s="530">
        <v>9.9999999999999645E-2</v>
      </c>
      <c r="AS233" s="533">
        <v>2.7795775851483469E-2</v>
      </c>
      <c r="AT233" s="534">
        <v>14.6</v>
      </c>
      <c r="AU233" s="530">
        <v>14.9</v>
      </c>
      <c r="AV233" s="530">
        <v>0.30000000000000071</v>
      </c>
      <c r="AW233" s="533">
        <v>8.3387327554450899E-2</v>
      </c>
      <c r="AX233" s="534">
        <v>-43.4</v>
      </c>
      <c r="AY233" s="530">
        <v>-43.7</v>
      </c>
      <c r="AZ233" s="530">
        <v>-0.30000000000000426</v>
      </c>
      <c r="BA233" s="530">
        <v>-2.0695739999999998</v>
      </c>
      <c r="BB233" s="533">
        <v>-8.3387327554451884E-2</v>
      </c>
      <c r="BC233" s="545"/>
      <c r="BD233" s="545"/>
      <c r="BE233" s="545"/>
      <c r="BF233" s="545"/>
      <c r="BG233" s="545"/>
      <c r="BH233" s="567"/>
      <c r="BI233" s="574" t="s">
        <v>723</v>
      </c>
      <c r="BJ233" s="1">
        <v>2370.1664023899998</v>
      </c>
      <c r="BK233" s="1">
        <v>-0.94702900999999995</v>
      </c>
      <c r="BL233" s="1">
        <v>2029.50343828</v>
      </c>
      <c r="BM233" s="1">
        <v>2048.90718376</v>
      </c>
      <c r="BN233" s="1">
        <v>3.0227452700000002</v>
      </c>
      <c r="BO233" s="1">
        <v>3.0320768600000001</v>
      </c>
      <c r="BP233" s="1">
        <v>0.18578855999999999</v>
      </c>
      <c r="BQ233" s="1">
        <v>3.5976526500000001</v>
      </c>
      <c r="BR233" s="1">
        <v>3.5909810100000001</v>
      </c>
      <c r="BS233" s="1">
        <v>-0.49507456999999999</v>
      </c>
      <c r="BT233" s="1">
        <v>-0.30776236000000001</v>
      </c>
      <c r="BU233" s="128">
        <v>0.63452246999999995</v>
      </c>
      <c r="BV233" s="512"/>
    </row>
    <row r="234" spans="1:74" s="519" customFormat="1">
      <c r="A234" s="546">
        <v>62006040</v>
      </c>
      <c r="B234" s="543" t="s">
        <v>844</v>
      </c>
      <c r="C234" s="543" t="s">
        <v>993</v>
      </c>
      <c r="D234" s="513" t="s">
        <v>1015</v>
      </c>
      <c r="E234" s="524" t="s">
        <v>1016</v>
      </c>
      <c r="F234" s="524" t="s">
        <v>708</v>
      </c>
      <c r="G234" s="531">
        <v>21.888480000000001</v>
      </c>
      <c r="H234" s="531">
        <v>47.241518999999997</v>
      </c>
      <c r="I234" s="531">
        <v>29.605132000000001</v>
      </c>
      <c r="J234" s="531">
        <v>29.706690999999999</v>
      </c>
      <c r="K234" s="578">
        <v>4250</v>
      </c>
      <c r="L234" s="578">
        <v>38.71</v>
      </c>
      <c r="M234" s="578">
        <v>3.0499999999999999E-2</v>
      </c>
      <c r="N234" s="578">
        <v>1.4999999999999999E-2</v>
      </c>
      <c r="O234" s="529">
        <v>3.8634460700000002</v>
      </c>
      <c r="P234" s="544">
        <v>87.7</v>
      </c>
      <c r="Q234" s="544">
        <v>87</v>
      </c>
      <c r="R234" s="530">
        <v>9714</v>
      </c>
      <c r="S234" s="530">
        <v>10351</v>
      </c>
      <c r="T234" s="530">
        <v>637</v>
      </c>
      <c r="U234" s="530">
        <v>164.87870891905578</v>
      </c>
      <c r="V234" s="534">
        <v>9728</v>
      </c>
      <c r="W234" s="530">
        <v>10366</v>
      </c>
      <c r="X234" s="530">
        <v>638</v>
      </c>
      <c r="Y234" s="533">
        <v>165.1375451967937</v>
      </c>
      <c r="Z234" s="534">
        <v>440</v>
      </c>
      <c r="AA234" s="530">
        <v>458</v>
      </c>
      <c r="AB234" s="530">
        <v>18</v>
      </c>
      <c r="AC234" s="533">
        <v>4.6590529992825811</v>
      </c>
      <c r="AD234" s="534">
        <v>20927</v>
      </c>
      <c r="AE234" s="530">
        <v>21457</v>
      </c>
      <c r="AF234" s="530">
        <v>530</v>
      </c>
      <c r="AG234" s="533">
        <v>137.18322720109822</v>
      </c>
      <c r="AH234" s="534">
        <v>-11693</v>
      </c>
      <c r="AI234" s="530">
        <v>-11605.720363</v>
      </c>
      <c r="AJ234" s="530">
        <v>87.279636999999639</v>
      </c>
      <c r="AK234" s="533">
        <v>22.591136363396846</v>
      </c>
      <c r="AL234" s="534">
        <v>1767.408422</v>
      </c>
      <c r="AM234" s="530">
        <v>1837.7779640000001</v>
      </c>
      <c r="AN234" s="530">
        <v>70.369542000000138</v>
      </c>
      <c r="AO234" s="533">
        <v>18.214190317402341</v>
      </c>
      <c r="AP234" s="534">
        <v>5.5</v>
      </c>
      <c r="AQ234" s="530">
        <v>5.6</v>
      </c>
      <c r="AR234" s="530">
        <v>9.9999999999999645E-2</v>
      </c>
      <c r="AS234" s="533">
        <v>2.5883627773792023E-2</v>
      </c>
      <c r="AT234" s="534">
        <v>14.9</v>
      </c>
      <c r="AU234" s="530">
        <v>15.5</v>
      </c>
      <c r="AV234" s="530">
        <v>0.59999999999999964</v>
      </c>
      <c r="AW234" s="533">
        <v>0.15530176664275261</v>
      </c>
      <c r="AX234" s="534">
        <v>-43.7</v>
      </c>
      <c r="AY234" s="530">
        <v>-44.19</v>
      </c>
      <c r="AZ234" s="530">
        <v>-0.48999999999999488</v>
      </c>
      <c r="BA234" s="530">
        <v>-2.0213830000000002</v>
      </c>
      <c r="BB234" s="533">
        <v>-0.12682977609158003</v>
      </c>
      <c r="BC234" s="545"/>
      <c r="BD234" s="545"/>
      <c r="BE234" s="545"/>
      <c r="BF234" s="545"/>
      <c r="BG234" s="545"/>
      <c r="BH234" s="567"/>
      <c r="BI234" s="574" t="s">
        <v>723</v>
      </c>
      <c r="BJ234" s="1">
        <v>1479.7615407599999</v>
      </c>
      <c r="BK234" s="1">
        <v>-1.3009892300000001</v>
      </c>
      <c r="BL234" s="1">
        <v>3372.0947345</v>
      </c>
      <c r="BM234" s="1">
        <v>3416.54359892</v>
      </c>
      <c r="BN234" s="1">
        <v>2.98291503</v>
      </c>
      <c r="BO234" s="1">
        <v>2.9957516200000001</v>
      </c>
      <c r="BP234" s="1">
        <v>9.1012090000000004E-2</v>
      </c>
      <c r="BQ234" s="1">
        <v>3.8633458799999998</v>
      </c>
      <c r="BR234" s="1">
        <v>3.8598329699999998</v>
      </c>
      <c r="BS234" s="1">
        <v>-0.52174083000000004</v>
      </c>
      <c r="BT234" s="1">
        <v>-0.42849312000000001</v>
      </c>
      <c r="BU234" s="128">
        <v>0.72008181000000004</v>
      </c>
      <c r="BV234" s="512"/>
    </row>
    <row r="235" spans="1:74" s="519" customFormat="1">
      <c r="A235" s="546">
        <v>62006040</v>
      </c>
      <c r="B235" s="543" t="s">
        <v>845</v>
      </c>
      <c r="C235" s="543" t="s">
        <v>994</v>
      </c>
      <c r="D235" s="513" t="s">
        <v>1015</v>
      </c>
      <c r="E235" s="524" t="s">
        <v>1016</v>
      </c>
      <c r="F235" s="524" t="s">
        <v>708</v>
      </c>
      <c r="G235" s="468">
        <v>22.530766</v>
      </c>
      <c r="H235" s="468">
        <v>45.961630999999997</v>
      </c>
      <c r="I235" s="468">
        <v>29.608284000000001</v>
      </c>
      <c r="J235" s="468">
        <v>29.224108000000001</v>
      </c>
      <c r="K235" s="579"/>
      <c r="L235" s="578"/>
      <c r="M235" s="580"/>
      <c r="N235" s="581"/>
      <c r="O235" s="453">
        <v>7.4611150300000002</v>
      </c>
      <c r="P235" s="493">
        <v>88.5</v>
      </c>
      <c r="Q235" s="493">
        <v>87</v>
      </c>
      <c r="R235" s="456">
        <v>9050</v>
      </c>
      <c r="S235" s="456">
        <v>10351</v>
      </c>
      <c r="T235" s="456">
        <v>1301</v>
      </c>
      <c r="U235" s="456">
        <v>174.37072002896059</v>
      </c>
      <c r="V235" s="456">
        <v>9062</v>
      </c>
      <c r="W235" s="456">
        <v>10366</v>
      </c>
      <c r="X235" s="456">
        <v>1304</v>
      </c>
      <c r="Y235" s="454">
        <v>174.77280470235559</v>
      </c>
      <c r="Z235" s="456">
        <v>433</v>
      </c>
      <c r="AA235" s="456">
        <v>458</v>
      </c>
      <c r="AB235" s="456">
        <v>25</v>
      </c>
      <c r="AC235" s="454">
        <v>3.3507056116249156</v>
      </c>
      <c r="AD235" s="456">
        <v>20321</v>
      </c>
      <c r="AE235" s="456">
        <v>21457</v>
      </c>
      <c r="AF235" s="456">
        <v>1136</v>
      </c>
      <c r="AG235" s="454">
        <v>152.25606299223617</v>
      </c>
      <c r="AH235" s="456">
        <v>-11743.9</v>
      </c>
      <c r="AI235" s="456">
        <v>-11605.720363</v>
      </c>
      <c r="AJ235" s="456">
        <v>138.17963699999927</v>
      </c>
      <c r="AK235" s="454">
        <v>18.519971404327656</v>
      </c>
      <c r="AL235" s="456">
        <v>1726.3188070000001</v>
      </c>
      <c r="AM235" s="456">
        <v>1837.7779640000001</v>
      </c>
      <c r="AN235" s="456">
        <v>111.43927699999995</v>
      </c>
      <c r="AO235" s="454">
        <v>14.936008431972928</v>
      </c>
      <c r="AP235" s="456">
        <v>5.4</v>
      </c>
      <c r="AQ235" s="456">
        <v>5.6</v>
      </c>
      <c r="AR235" s="456">
        <v>0.19999999999999929</v>
      </c>
      <c r="AS235" s="454">
        <v>2.6805644892999227E-2</v>
      </c>
      <c r="AT235" s="456">
        <v>14.6</v>
      </c>
      <c r="AU235" s="456">
        <v>15.5</v>
      </c>
      <c r="AV235" s="456">
        <v>0.90000000000000036</v>
      </c>
      <c r="AW235" s="454">
        <v>0.120625402018497</v>
      </c>
      <c r="AX235" s="456">
        <v>-43.4</v>
      </c>
      <c r="AY235" s="456">
        <v>-44.19</v>
      </c>
      <c r="AZ235" s="456">
        <v>-0.78999999999999915</v>
      </c>
      <c r="BA235" s="530">
        <v>-2.0454784999999998</v>
      </c>
      <c r="BB235" s="454">
        <v>-0.10588229732734722</v>
      </c>
      <c r="BC235" s="496"/>
      <c r="BD235" s="496"/>
      <c r="BE235" s="496"/>
      <c r="BF235" s="496"/>
      <c r="BG235" s="496"/>
      <c r="BH235" s="568"/>
      <c r="BI235" s="574" t="s">
        <v>723</v>
      </c>
      <c r="BJ235" s="1"/>
      <c r="BK235" s="1"/>
      <c r="BL235" s="1"/>
      <c r="BM235" s="1"/>
      <c r="BN235" s="1"/>
      <c r="BO235" s="1"/>
      <c r="BP235" s="1"/>
      <c r="BQ235" s="1"/>
      <c r="BR235" s="1"/>
      <c r="BS235" s="1"/>
      <c r="BT235" s="1"/>
      <c r="BU235" s="128"/>
      <c r="BV235" s="512"/>
    </row>
    <row r="236" spans="1:74" s="519" customFormat="1" ht="22.5">
      <c r="A236" s="546">
        <v>62006041</v>
      </c>
      <c r="B236" s="543" t="s">
        <v>1003</v>
      </c>
      <c r="C236" s="543" t="s">
        <v>695</v>
      </c>
      <c r="D236" s="513" t="s">
        <v>1045</v>
      </c>
      <c r="E236" s="524" t="s">
        <v>1046</v>
      </c>
      <c r="F236" s="524" t="s">
        <v>708</v>
      </c>
      <c r="G236" s="531">
        <v>139.241263</v>
      </c>
      <c r="H236" s="531">
        <v>182.07245499999999</v>
      </c>
      <c r="I236" s="531">
        <v>156.38137800000001</v>
      </c>
      <c r="J236" s="531">
        <v>184.36381700000001</v>
      </c>
      <c r="K236" s="578">
        <v>4250</v>
      </c>
      <c r="L236" s="578">
        <v>38.71</v>
      </c>
      <c r="M236" s="578">
        <v>3.0499999999999999E-2</v>
      </c>
      <c r="N236" s="578">
        <v>1.4999999999999999E-2</v>
      </c>
      <c r="O236" s="529">
        <v>291.59607165</v>
      </c>
      <c r="P236" s="544">
        <v>86.9</v>
      </c>
      <c r="Q236" s="544">
        <v>3</v>
      </c>
      <c r="R236" s="530">
        <v>10394</v>
      </c>
      <c r="S236" s="530">
        <v>75007</v>
      </c>
      <c r="T236" s="530">
        <v>64613</v>
      </c>
      <c r="U236" s="530">
        <v>221.5839178984358</v>
      </c>
      <c r="V236" s="534">
        <v>10411</v>
      </c>
      <c r="W236" s="530">
        <v>75067</v>
      </c>
      <c r="X236" s="530">
        <v>64656</v>
      </c>
      <c r="Y236" s="533">
        <v>221.73138216212317</v>
      </c>
      <c r="Z236" s="534">
        <v>457</v>
      </c>
      <c r="AA236" s="530">
        <v>459</v>
      </c>
      <c r="AB236" s="530">
        <v>2</v>
      </c>
      <c r="AC236" s="533">
        <v>6.8588029622037609E-3</v>
      </c>
      <c r="AD236" s="534">
        <v>21458</v>
      </c>
      <c r="AE236" s="530">
        <v>84422</v>
      </c>
      <c r="AF236" s="530">
        <v>62964</v>
      </c>
      <c r="AG236" s="533">
        <v>215.9288348560988</v>
      </c>
      <c r="AH236" s="534">
        <v>-11564.706416999999</v>
      </c>
      <c r="AI236" s="530">
        <v>-9970.7999999999993</v>
      </c>
      <c r="AJ236" s="530">
        <v>1593.9064170000001</v>
      </c>
      <c r="AK236" s="533">
        <v>5.4661450271975918</v>
      </c>
      <c r="AL236" s="534">
        <v>1867.8387170000001</v>
      </c>
      <c r="AM236" s="530">
        <v>3168.71</v>
      </c>
      <c r="AN236" s="530">
        <v>1300.8712829999999</v>
      </c>
      <c r="AO236" s="533">
        <v>4.4612099046431029</v>
      </c>
      <c r="AP236" s="534">
        <v>5.7</v>
      </c>
      <c r="AQ236" s="530">
        <v>7.4</v>
      </c>
      <c r="AR236" s="530">
        <v>1.7000000000000002</v>
      </c>
      <c r="AS236" s="533">
        <v>5.8299825178731975E-3</v>
      </c>
      <c r="AT236" s="534">
        <v>15.8</v>
      </c>
      <c r="AU236" s="530">
        <v>22.4</v>
      </c>
      <c r="AV236" s="530">
        <v>6.5999999999999979</v>
      </c>
      <c r="AW236" s="533">
        <v>2.2634049775272402E-2</v>
      </c>
      <c r="AX236" s="534">
        <v>-44.53</v>
      </c>
      <c r="AY236" s="530">
        <v>-51.83</v>
      </c>
      <c r="AZ236" s="530">
        <v>-7.2999999999999972</v>
      </c>
      <c r="BA236" s="530">
        <v>-8.6450929999999993</v>
      </c>
      <c r="BB236" s="533">
        <v>-2.5034630812043716E-2</v>
      </c>
      <c r="BC236" s="545"/>
      <c r="BD236" s="545"/>
      <c r="BE236" s="545"/>
      <c r="BF236" s="545"/>
      <c r="BG236" s="545"/>
      <c r="BH236" s="567"/>
      <c r="BI236" s="574" t="s">
        <v>723</v>
      </c>
      <c r="BJ236" s="1">
        <v>7.8689842399999996</v>
      </c>
      <c r="BK236" s="1">
        <v>126.77594007</v>
      </c>
      <c r="BL236" s="1">
        <v>1317.9129112400001</v>
      </c>
      <c r="BM236" s="1">
        <v>581.15200000000004</v>
      </c>
      <c r="BN236" s="1">
        <v>218.49833477999999</v>
      </c>
      <c r="BO236" s="1">
        <v>217.92417911999999</v>
      </c>
      <c r="BP236" s="1">
        <v>4.538201E-2</v>
      </c>
      <c r="BQ236" s="1">
        <v>291.59859061999998</v>
      </c>
      <c r="BR236" s="1">
        <v>291.46631732999998</v>
      </c>
      <c r="BS236" s="1">
        <v>0.21751071</v>
      </c>
      <c r="BT236" s="1">
        <v>0.26346578999999998</v>
      </c>
      <c r="BU236" s="128">
        <v>3.7906400000000001E-3</v>
      </c>
      <c r="BV236" s="512"/>
    </row>
    <row r="237" spans="1:74" s="519" customFormat="1">
      <c r="A237" s="546">
        <v>62006042</v>
      </c>
      <c r="B237" s="543" t="s">
        <v>907</v>
      </c>
      <c r="C237" s="543" t="s">
        <v>695</v>
      </c>
      <c r="D237" s="513" t="s">
        <v>1197</v>
      </c>
      <c r="E237" s="524" t="s">
        <v>1198</v>
      </c>
      <c r="F237" s="524" t="s">
        <v>708</v>
      </c>
      <c r="G237" s="531">
        <v>-42.366683999999999</v>
      </c>
      <c r="H237" s="531">
        <v>-90.012067000000002</v>
      </c>
      <c r="I237" s="531">
        <v>-57.019435999999999</v>
      </c>
      <c r="J237" s="531">
        <v>-43.173597000000001</v>
      </c>
      <c r="K237" s="578">
        <v>4250</v>
      </c>
      <c r="L237" s="578">
        <v>38.71</v>
      </c>
      <c r="M237" s="578">
        <v>3.0499999999999999E-2</v>
      </c>
      <c r="N237" s="578">
        <v>1.4999999999999999E-2</v>
      </c>
      <c r="O237" s="529">
        <v>1.0889039999999999E-2</v>
      </c>
      <c r="P237" s="544">
        <v>3</v>
      </c>
      <c r="Q237" s="544">
        <v>99.9</v>
      </c>
      <c r="R237" s="530">
        <v>75009</v>
      </c>
      <c r="S237" s="530">
        <v>-3621</v>
      </c>
      <c r="T237" s="530">
        <v>-78630</v>
      </c>
      <c r="U237" s="530">
        <v>-7221022.2388750529</v>
      </c>
      <c r="V237" s="534">
        <v>75070</v>
      </c>
      <c r="W237" s="530">
        <v>-3585</v>
      </c>
      <c r="X237" s="530">
        <v>-78655</v>
      </c>
      <c r="Y237" s="533">
        <v>-7223318.1253811177</v>
      </c>
      <c r="Z237" s="534">
        <v>459</v>
      </c>
      <c r="AA237" s="530">
        <v>460</v>
      </c>
      <c r="AB237" s="530">
        <v>1</v>
      </c>
      <c r="AC237" s="533">
        <v>91.835460242592561</v>
      </c>
      <c r="AD237" s="534">
        <v>84422</v>
      </c>
      <c r="AE237" s="530">
        <v>84452</v>
      </c>
      <c r="AF237" s="530">
        <v>30</v>
      </c>
      <c r="AG237" s="533">
        <v>2755.063807277777</v>
      </c>
      <c r="AH237" s="534">
        <v>-9968.4</v>
      </c>
      <c r="AI237" s="530">
        <v>-88650</v>
      </c>
      <c r="AJ237" s="530">
        <v>-78681.600000000006</v>
      </c>
      <c r="AK237" s="533">
        <v>-7225760.9486235715</v>
      </c>
      <c r="AL237" s="534">
        <v>3170.23</v>
      </c>
      <c r="AM237" s="530">
        <v>3777.57</v>
      </c>
      <c r="AN237" s="530">
        <v>607.34000000000015</v>
      </c>
      <c r="AO237" s="533">
        <v>55775.348423736177</v>
      </c>
      <c r="AP237" s="534">
        <v>7.4</v>
      </c>
      <c r="AQ237" s="530">
        <v>1</v>
      </c>
      <c r="AR237" s="530">
        <v>-6.4</v>
      </c>
      <c r="AS237" s="533">
        <v>-587.74694555259236</v>
      </c>
      <c r="AT237" s="534">
        <v>22.5</v>
      </c>
      <c r="AU237" s="530">
        <v>29.2</v>
      </c>
      <c r="AV237" s="530">
        <v>6.6999999999999993</v>
      </c>
      <c r="AW237" s="533">
        <v>615.29758362537007</v>
      </c>
      <c r="AX237" s="534">
        <v>-39.754750999999999</v>
      </c>
      <c r="AY237" s="530">
        <v>-67.48</v>
      </c>
      <c r="AZ237" s="530">
        <v>-27.725249000000005</v>
      </c>
      <c r="BA237" s="530">
        <v>4.4660450000000003</v>
      </c>
      <c r="BB237" s="533">
        <v>-2546.1610022554796</v>
      </c>
      <c r="BC237" s="545">
        <v>15014.5</v>
      </c>
      <c r="BD237" s="545">
        <v>100390</v>
      </c>
      <c r="BE237" s="545">
        <v>85375.5</v>
      </c>
      <c r="BF237" s="545">
        <v>-14826.1</v>
      </c>
      <c r="BG237" s="545">
        <v>-99669.1</v>
      </c>
      <c r="BH237" s="567">
        <v>-84843</v>
      </c>
      <c r="BI237" s="574"/>
      <c r="BJ237" s="1"/>
      <c r="BK237" s="1"/>
      <c r="BL237" s="1"/>
      <c r="BM237" s="1"/>
      <c r="BN237" s="1"/>
      <c r="BO237" s="1"/>
      <c r="BP237" s="1"/>
      <c r="BQ237" s="1"/>
      <c r="BR237" s="1"/>
      <c r="BS237" s="1"/>
      <c r="BT237" s="1"/>
      <c r="BU237" s="128"/>
      <c r="BV237" s="512"/>
    </row>
    <row r="238" spans="1:74" s="520" customFormat="1" ht="15.75">
      <c r="A238" s="535" t="s">
        <v>1255</v>
      </c>
      <c r="B238" s="537"/>
      <c r="C238" s="537"/>
      <c r="D238" s="537"/>
      <c r="E238" s="538"/>
      <c r="F238" s="538"/>
      <c r="G238" s="538"/>
      <c r="H238" s="538"/>
      <c r="I238" s="538"/>
      <c r="J238" s="538"/>
      <c r="K238" s="537"/>
      <c r="L238" s="537"/>
      <c r="M238" s="576"/>
      <c r="N238" s="577"/>
      <c r="O238" s="537"/>
      <c r="P238" s="537"/>
      <c r="Q238" s="537"/>
      <c r="R238" s="537"/>
      <c r="S238" s="537"/>
      <c r="T238" s="537"/>
      <c r="U238" s="537"/>
      <c r="V238" s="537"/>
      <c r="W238" s="537"/>
      <c r="X238" s="537"/>
      <c r="Y238" s="537"/>
      <c r="Z238" s="537"/>
      <c r="AA238" s="537"/>
      <c r="AB238" s="537"/>
      <c r="AC238" s="537"/>
      <c r="AD238" s="537"/>
      <c r="AE238" s="537"/>
      <c r="AF238" s="537"/>
      <c r="AG238" s="537"/>
      <c r="AH238" s="537"/>
      <c r="AI238" s="537"/>
      <c r="AJ238" s="537"/>
      <c r="AK238" s="537"/>
      <c r="AL238" s="537"/>
      <c r="AM238" s="537"/>
      <c r="AN238" s="537"/>
      <c r="AO238" s="537"/>
      <c r="AP238" s="537"/>
      <c r="AQ238" s="537"/>
      <c r="AR238" s="537"/>
      <c r="AS238" s="537"/>
      <c r="AT238" s="537"/>
      <c r="AU238" s="537"/>
      <c r="AV238" s="537"/>
      <c r="AW238" s="537"/>
      <c r="AX238" s="537"/>
      <c r="AY238" s="537"/>
      <c r="AZ238" s="537"/>
      <c r="BA238" s="537"/>
      <c r="BB238" s="537"/>
      <c r="BC238" s="537"/>
      <c r="BD238" s="537"/>
      <c r="BE238" s="537"/>
      <c r="BF238" s="537"/>
      <c r="BG238" s="537"/>
      <c r="BH238" s="537"/>
      <c r="BI238" s="569"/>
      <c r="BJ238" s="537"/>
      <c r="BK238" s="537"/>
      <c r="BL238" s="537"/>
      <c r="BM238" s="537"/>
      <c r="BN238" s="537"/>
      <c r="BO238" s="537"/>
      <c r="BP238" s="537"/>
      <c r="BQ238" s="537"/>
      <c r="BR238" s="537"/>
      <c r="BS238" s="537"/>
      <c r="BT238" s="537"/>
      <c r="BU238" s="542"/>
      <c r="BV238" s="541"/>
    </row>
    <row r="239" spans="1:74" s="519" customFormat="1" ht="22.5">
      <c r="A239" s="546">
        <v>62006043</v>
      </c>
      <c r="B239" s="543" t="s">
        <v>1254</v>
      </c>
      <c r="C239" s="543" t="s">
        <v>695</v>
      </c>
      <c r="D239" s="513" t="s">
        <v>1199</v>
      </c>
      <c r="E239" s="524" t="s">
        <v>1253</v>
      </c>
      <c r="F239" s="524" t="s">
        <v>708</v>
      </c>
      <c r="G239" s="531">
        <v>245.70521400000001</v>
      </c>
      <c r="H239" s="531">
        <v>519.87082699999996</v>
      </c>
      <c r="I239" s="531">
        <v>326.10881599999999</v>
      </c>
      <c r="J239" s="531">
        <v>239.804845</v>
      </c>
      <c r="K239" s="578">
        <v>4250</v>
      </c>
      <c r="L239" s="578">
        <v>38.71</v>
      </c>
      <c r="M239" s="578">
        <v>3.0499999999999999E-2</v>
      </c>
      <c r="N239" s="578">
        <v>1.4999999999999999E-2</v>
      </c>
      <c r="O239" s="529">
        <v>1.1353419999999999E-2</v>
      </c>
      <c r="P239" s="544" t="s">
        <v>1200</v>
      </c>
      <c r="Q239" s="544" t="s">
        <v>1201</v>
      </c>
      <c r="R239" s="530">
        <v>17</v>
      </c>
      <c r="S239" s="530">
        <v>871</v>
      </c>
      <c r="T239" s="530">
        <v>854</v>
      </c>
      <c r="U239" s="530">
        <v>75219.625452066422</v>
      </c>
      <c r="V239" s="534">
        <v>16</v>
      </c>
      <c r="W239" s="530">
        <v>851</v>
      </c>
      <c r="X239" s="530">
        <v>835</v>
      </c>
      <c r="Y239" s="533">
        <v>73546.120904538024</v>
      </c>
      <c r="Z239" s="534">
        <v>0</v>
      </c>
      <c r="AA239" s="530">
        <v>0</v>
      </c>
      <c r="AB239" s="530">
        <v>0</v>
      </c>
      <c r="AC239" s="533">
        <v>0</v>
      </c>
      <c r="AD239" s="534">
        <v>0</v>
      </c>
      <c r="AE239" s="530">
        <v>30</v>
      </c>
      <c r="AF239" s="530">
        <v>30</v>
      </c>
      <c r="AG239" s="533">
        <v>2642.3756013606476</v>
      </c>
      <c r="AH239" s="534">
        <v>15.9</v>
      </c>
      <c r="AI239" s="530">
        <v>825.6</v>
      </c>
      <c r="AJ239" s="530">
        <v>809.7</v>
      </c>
      <c r="AK239" s="533">
        <v>71317.717480723877</v>
      </c>
      <c r="AL239" s="534">
        <v>11.73</v>
      </c>
      <c r="AM239" s="530">
        <v>572.83000000000004</v>
      </c>
      <c r="AN239" s="530">
        <v>561.1</v>
      </c>
      <c r="AO239" s="533">
        <v>49421.231664115308</v>
      </c>
      <c r="AP239" s="534">
        <v>0.1</v>
      </c>
      <c r="AQ239" s="530">
        <v>2.9</v>
      </c>
      <c r="AR239" s="530">
        <v>2.8</v>
      </c>
      <c r="AS239" s="533">
        <v>246.62172279366041</v>
      </c>
      <c r="AT239" s="534">
        <v>0.2</v>
      </c>
      <c r="AU239" s="530">
        <v>9.6</v>
      </c>
      <c r="AV239" s="530">
        <v>9.4</v>
      </c>
      <c r="AW239" s="533">
        <v>827.94435509300286</v>
      </c>
      <c r="AX239" s="534">
        <v>-0.9</v>
      </c>
      <c r="AY239" s="530">
        <v>-21.68</v>
      </c>
      <c r="AZ239" s="530">
        <v>-20.78</v>
      </c>
      <c r="BA239" s="530">
        <v>-58.173437</v>
      </c>
      <c r="BB239" s="533">
        <v>-1830.2854998758085</v>
      </c>
      <c r="BC239" s="545"/>
      <c r="BD239" s="545"/>
      <c r="BE239" s="545"/>
      <c r="BF239" s="545"/>
      <c r="BG239" s="545"/>
      <c r="BH239" s="567"/>
      <c r="BI239" s="574"/>
      <c r="BJ239" s="1"/>
      <c r="BK239" s="1"/>
      <c r="BL239" s="1"/>
      <c r="BM239" s="1"/>
      <c r="BN239" s="1"/>
      <c r="BO239" s="1"/>
      <c r="BP239" s="1"/>
      <c r="BQ239" s="1"/>
      <c r="BR239" s="1"/>
      <c r="BS239" s="1"/>
      <c r="BT239" s="1"/>
      <c r="BU239" s="128"/>
      <c r="BV239" s="512"/>
    </row>
    <row r="240" spans="1:74" s="520" customFormat="1" ht="15.75">
      <c r="A240" s="535" t="s">
        <v>1256</v>
      </c>
      <c r="B240" s="537"/>
      <c r="C240" s="537"/>
      <c r="D240" s="537"/>
      <c r="E240" s="538"/>
      <c r="F240" s="538"/>
      <c r="G240" s="538"/>
      <c r="H240" s="538"/>
      <c r="I240" s="538"/>
      <c r="J240" s="538"/>
      <c r="K240" s="537"/>
      <c r="L240" s="537"/>
      <c r="M240" s="576"/>
      <c r="N240" s="577"/>
      <c r="O240" s="537"/>
      <c r="P240" s="537"/>
      <c r="Q240" s="537"/>
      <c r="R240" s="537"/>
      <c r="S240" s="537"/>
      <c r="T240" s="537"/>
      <c r="U240" s="537"/>
      <c r="V240" s="537"/>
      <c r="W240" s="537"/>
      <c r="X240" s="537"/>
      <c r="Y240" s="537"/>
      <c r="Z240" s="537"/>
      <c r="AA240" s="537"/>
      <c r="AB240" s="537"/>
      <c r="AC240" s="537"/>
      <c r="AD240" s="537"/>
      <c r="AE240" s="537"/>
      <c r="AF240" s="537"/>
      <c r="AG240" s="537"/>
      <c r="AH240" s="537"/>
      <c r="AI240" s="537"/>
      <c r="AJ240" s="537"/>
      <c r="AK240" s="537"/>
      <c r="AL240" s="537"/>
      <c r="AM240" s="537"/>
      <c r="AN240" s="537"/>
      <c r="AO240" s="537"/>
      <c r="AP240" s="537"/>
      <c r="AQ240" s="537"/>
      <c r="AR240" s="537"/>
      <c r="AS240" s="537"/>
      <c r="AT240" s="537"/>
      <c r="AU240" s="537"/>
      <c r="AV240" s="537"/>
      <c r="AW240" s="537"/>
      <c r="AX240" s="537"/>
      <c r="AY240" s="537"/>
      <c r="AZ240" s="537"/>
      <c r="BA240" s="537"/>
      <c r="BB240" s="537"/>
      <c r="BC240" s="537"/>
      <c r="BD240" s="537"/>
      <c r="BE240" s="537"/>
      <c r="BF240" s="537"/>
      <c r="BG240" s="537"/>
      <c r="BH240" s="537"/>
      <c r="BI240" s="569"/>
      <c r="BJ240" s="537"/>
      <c r="BK240" s="537"/>
      <c r="BL240" s="537"/>
      <c r="BM240" s="537"/>
      <c r="BN240" s="537"/>
      <c r="BO240" s="537"/>
      <c r="BP240" s="537"/>
      <c r="BQ240" s="537"/>
      <c r="BR240" s="537"/>
      <c r="BS240" s="537"/>
      <c r="BT240" s="537"/>
      <c r="BU240" s="542"/>
      <c r="BV240" s="541"/>
    </row>
    <row r="241" spans="1:74" s="519" customFormat="1" ht="22.5">
      <c r="A241" s="546">
        <v>62007002</v>
      </c>
      <c r="B241" s="543" t="s">
        <v>832</v>
      </c>
      <c r="C241" s="543" t="s">
        <v>695</v>
      </c>
      <c r="D241" s="513" t="s">
        <v>1208</v>
      </c>
      <c r="E241" s="524" t="s">
        <v>1209</v>
      </c>
      <c r="F241" s="524" t="s">
        <v>708</v>
      </c>
      <c r="G241" s="531">
        <v>36.299714999999999</v>
      </c>
      <c r="H241" s="531">
        <v>37.552376000000002</v>
      </c>
      <c r="I241" s="531">
        <v>29.289248000000001</v>
      </c>
      <c r="J241" s="531">
        <v>39.080013999999998</v>
      </c>
      <c r="K241" s="578">
        <v>4250</v>
      </c>
      <c r="L241" s="578">
        <v>38.71</v>
      </c>
      <c r="M241" s="578">
        <v>3.0499999999999999E-2</v>
      </c>
      <c r="N241" s="578">
        <v>1.4999999999999999E-2</v>
      </c>
      <c r="O241" s="529">
        <v>3.5963170099999999</v>
      </c>
      <c r="P241" s="544">
        <v>99.4</v>
      </c>
      <c r="Q241" s="544">
        <v>98.2</v>
      </c>
      <c r="R241" s="530">
        <v>70</v>
      </c>
      <c r="S241" s="530">
        <v>1116</v>
      </c>
      <c r="T241" s="530">
        <v>1046</v>
      </c>
      <c r="U241" s="530">
        <v>290.8531136413917</v>
      </c>
      <c r="V241" s="534">
        <v>69</v>
      </c>
      <c r="W241" s="530">
        <v>1114</v>
      </c>
      <c r="X241" s="530">
        <v>1045</v>
      </c>
      <c r="Y241" s="533">
        <v>290.57505139125652</v>
      </c>
      <c r="Z241" s="534">
        <v>2</v>
      </c>
      <c r="AA241" s="530">
        <v>24</v>
      </c>
      <c r="AB241" s="530">
        <v>22</v>
      </c>
      <c r="AC241" s="533">
        <v>6.1173695029738218</v>
      </c>
      <c r="AD241" s="534">
        <v>2</v>
      </c>
      <c r="AE241" s="530">
        <v>587</v>
      </c>
      <c r="AF241" s="530">
        <v>585</v>
      </c>
      <c r="AG241" s="533">
        <v>162.66641632907661</v>
      </c>
      <c r="AH241" s="534">
        <v>63.6</v>
      </c>
      <c r="AI241" s="530">
        <v>143.4</v>
      </c>
      <c r="AJ241" s="530">
        <v>79.800000000000011</v>
      </c>
      <c r="AK241" s="533">
        <v>22.189367560786867</v>
      </c>
      <c r="AL241" s="534">
        <v>42.588779000000002</v>
      </c>
      <c r="AM241" s="530">
        <v>111.807014</v>
      </c>
      <c r="AN241" s="530">
        <v>69.218234999999993</v>
      </c>
      <c r="AO241" s="533">
        <v>19.246978174485236</v>
      </c>
      <c r="AP241" s="534">
        <v>0</v>
      </c>
      <c r="AQ241" s="530">
        <v>0</v>
      </c>
      <c r="AR241" s="530">
        <v>0</v>
      </c>
      <c r="AS241" s="533">
        <v>0</v>
      </c>
      <c r="AT241" s="534">
        <v>1</v>
      </c>
      <c r="AU241" s="530">
        <v>359.8</v>
      </c>
      <c r="AV241" s="530">
        <v>358.8</v>
      </c>
      <c r="AW241" s="533">
        <v>99.768735348500329</v>
      </c>
      <c r="AX241" s="534">
        <v>-8.52</v>
      </c>
      <c r="AY241" s="530">
        <v>-9.7899999999999991</v>
      </c>
      <c r="AZ241" s="530">
        <v>-1.2699999999999996</v>
      </c>
      <c r="BA241" s="530">
        <v>-9.1550469999999997</v>
      </c>
      <c r="BB241" s="533">
        <v>-0.35313905767167048</v>
      </c>
      <c r="BC241" s="545"/>
      <c r="BD241" s="545"/>
      <c r="BE241" s="545"/>
      <c r="BF241" s="545"/>
      <c r="BG241" s="545"/>
      <c r="BH241" s="567"/>
      <c r="BI241" s="574" t="s">
        <v>723</v>
      </c>
      <c r="BJ241" s="1">
        <v>2370.7729276</v>
      </c>
      <c r="BK241" s="1">
        <v>-0.76191365</v>
      </c>
      <c r="BL241" s="1">
        <v>2033.1790309600001</v>
      </c>
      <c r="BM241" s="1">
        <v>2048.78903425</v>
      </c>
      <c r="BN241" s="1">
        <v>3.0286518400000002</v>
      </c>
      <c r="BO241" s="1">
        <v>3.0319560999999999</v>
      </c>
      <c r="BP241" s="1">
        <v>0.14776992999999999</v>
      </c>
      <c r="BQ241" s="1">
        <v>3.5962867799999998</v>
      </c>
      <c r="BR241" s="1">
        <v>3.5909803999999999</v>
      </c>
      <c r="BS241" s="1">
        <v>-0.25703118000000003</v>
      </c>
      <c r="BT241" s="1">
        <v>-0.10898114</v>
      </c>
      <c r="BU241" s="128">
        <v>0.63449347</v>
      </c>
      <c r="BV241" s="512"/>
    </row>
    <row r="242" spans="1:74" s="519" customFormat="1" ht="22.5">
      <c r="A242" s="546">
        <v>62007002</v>
      </c>
      <c r="B242" s="543" t="s">
        <v>831</v>
      </c>
      <c r="C242" s="543" t="s">
        <v>696</v>
      </c>
      <c r="D242" s="513" t="s">
        <v>1208</v>
      </c>
      <c r="E242" s="524" t="s">
        <v>1209</v>
      </c>
      <c r="F242" s="524" t="s">
        <v>708</v>
      </c>
      <c r="G242" s="531">
        <v>34.003360000000001</v>
      </c>
      <c r="H242" s="531">
        <v>46.104627000000001</v>
      </c>
      <c r="I242" s="531">
        <v>29.285356</v>
      </c>
      <c r="J242" s="531">
        <v>41.192627000000002</v>
      </c>
      <c r="K242" s="578">
        <v>4250</v>
      </c>
      <c r="L242" s="578">
        <v>38.71</v>
      </c>
      <c r="M242" s="578">
        <v>3.0499999999999999E-2</v>
      </c>
      <c r="N242" s="578">
        <v>1.4999999999999999E-2</v>
      </c>
      <c r="O242" s="529">
        <v>3.86220498</v>
      </c>
      <c r="P242" s="544">
        <v>98.2</v>
      </c>
      <c r="Q242" s="544">
        <v>97.2</v>
      </c>
      <c r="R242" s="530">
        <v>1116</v>
      </c>
      <c r="S242" s="530">
        <v>1982</v>
      </c>
      <c r="T242" s="530">
        <v>866</v>
      </c>
      <c r="U242" s="530">
        <v>224.22424611963501</v>
      </c>
      <c r="V242" s="534">
        <v>1114</v>
      </c>
      <c r="W242" s="530">
        <v>1977</v>
      </c>
      <c r="X242" s="530">
        <v>863</v>
      </c>
      <c r="Y242" s="533">
        <v>223.44748776125289</v>
      </c>
      <c r="Z242" s="534">
        <v>24</v>
      </c>
      <c r="AA242" s="530">
        <v>46</v>
      </c>
      <c r="AB242" s="530">
        <v>22</v>
      </c>
      <c r="AC242" s="533">
        <v>5.6962279614687876</v>
      </c>
      <c r="AD242" s="534">
        <v>587</v>
      </c>
      <c r="AE242" s="530">
        <v>1069</v>
      </c>
      <c r="AF242" s="530">
        <v>482</v>
      </c>
      <c r="AG242" s="533">
        <v>124.79917624672525</v>
      </c>
      <c r="AH242" s="534">
        <v>143.42790299999999</v>
      </c>
      <c r="AI242" s="530">
        <v>255.8</v>
      </c>
      <c r="AJ242" s="530">
        <v>112.37209700000002</v>
      </c>
      <c r="AK242" s="533">
        <v>29.095321864558318</v>
      </c>
      <c r="AL242" s="534">
        <v>111.83116099999999</v>
      </c>
      <c r="AM242" s="530">
        <v>205.94796400000001</v>
      </c>
      <c r="AN242" s="530">
        <v>94.116803000000019</v>
      </c>
      <c r="AO242" s="533">
        <v>24.368671131484071</v>
      </c>
      <c r="AP242" s="534">
        <v>0</v>
      </c>
      <c r="AQ242" s="530">
        <v>-0.1</v>
      </c>
      <c r="AR242" s="530">
        <v>-0.1</v>
      </c>
      <c r="AS242" s="533">
        <v>-2.5891945279403583E-2</v>
      </c>
      <c r="AT242" s="534">
        <v>359.92790300000001</v>
      </c>
      <c r="AU242" s="530">
        <v>608</v>
      </c>
      <c r="AV242" s="530">
        <v>248.07209699999999</v>
      </c>
      <c r="AW242" s="533">
        <v>64.230691608708966</v>
      </c>
      <c r="AX242" s="534">
        <v>-9.7984939999999998</v>
      </c>
      <c r="AY242" s="530">
        <v>-10.97</v>
      </c>
      <c r="AZ242" s="530">
        <v>-1.1715060000000008</v>
      </c>
      <c r="BA242" s="530">
        <v>-4.8404129999999999</v>
      </c>
      <c r="BB242" s="533">
        <v>-0.30332569246492991</v>
      </c>
      <c r="BC242" s="545"/>
      <c r="BD242" s="545"/>
      <c r="BE242" s="545"/>
      <c r="BF242" s="545"/>
      <c r="BG242" s="545"/>
      <c r="BH242" s="567"/>
      <c r="BI242" s="574" t="s">
        <v>723</v>
      </c>
      <c r="BJ242" s="1">
        <v>1474.2056678900001</v>
      </c>
      <c r="BK242" s="1">
        <v>-1.1731752799999999</v>
      </c>
      <c r="BL242" s="1">
        <v>3376.0293465899999</v>
      </c>
      <c r="BM242" s="1">
        <v>3416.1062609000001</v>
      </c>
      <c r="BN242" s="1">
        <v>2.9835159600000001</v>
      </c>
      <c r="BO242" s="1">
        <v>2.9951890900000002</v>
      </c>
      <c r="BP242" s="1">
        <v>5.79946E-2</v>
      </c>
      <c r="BQ242" s="1">
        <v>3.8620686200000001</v>
      </c>
      <c r="BR242" s="1">
        <v>3.8598301300000002</v>
      </c>
      <c r="BS242" s="1">
        <v>-0.44947573000000002</v>
      </c>
      <c r="BT242" s="1">
        <v>-0.38972939000000001</v>
      </c>
      <c r="BU242" s="128">
        <v>0.72009117</v>
      </c>
      <c r="BV242" s="512"/>
    </row>
    <row r="243" spans="1:74" s="519" customFormat="1" ht="22.5">
      <c r="A243" s="546">
        <v>62007002</v>
      </c>
      <c r="B243" s="543" t="s">
        <v>830</v>
      </c>
      <c r="C243" s="543" t="s">
        <v>698</v>
      </c>
      <c r="D243" s="513" t="s">
        <v>1208</v>
      </c>
      <c r="E243" s="524" t="s">
        <v>1209</v>
      </c>
      <c r="F243" s="524" t="s">
        <v>708</v>
      </c>
      <c r="G243" s="468">
        <v>35.151537500000003</v>
      </c>
      <c r="H243" s="468">
        <v>41.828501500000002</v>
      </c>
      <c r="I243" s="468">
        <v>29.287302</v>
      </c>
      <c r="J243" s="468">
        <v>40.136320499999997</v>
      </c>
      <c r="K243" s="579"/>
      <c r="L243" s="578"/>
      <c r="M243" s="580"/>
      <c r="N243" s="581"/>
      <c r="O243" s="453">
        <v>7.4585219899999995</v>
      </c>
      <c r="P243" s="493">
        <v>99.4</v>
      </c>
      <c r="Q243" s="493">
        <v>97.2</v>
      </c>
      <c r="R243" s="456">
        <v>70</v>
      </c>
      <c r="S243" s="456">
        <v>1982</v>
      </c>
      <c r="T243" s="456">
        <v>1912</v>
      </c>
      <c r="U243" s="456">
        <v>256.35105756388606</v>
      </c>
      <c r="V243" s="456">
        <v>69</v>
      </c>
      <c r="W243" s="456">
        <v>1977</v>
      </c>
      <c r="X243" s="456">
        <v>1908</v>
      </c>
      <c r="Y243" s="454">
        <v>255.81475828027962</v>
      </c>
      <c r="Z243" s="456">
        <v>2</v>
      </c>
      <c r="AA243" s="456">
        <v>46</v>
      </c>
      <c r="AB243" s="456">
        <v>44</v>
      </c>
      <c r="AC243" s="454">
        <v>5.8992921196710189</v>
      </c>
      <c r="AD243" s="456">
        <v>2</v>
      </c>
      <c r="AE243" s="456">
        <v>1069</v>
      </c>
      <c r="AF243" s="456">
        <v>1067</v>
      </c>
      <c r="AG243" s="454">
        <v>143.0578339020222</v>
      </c>
      <c r="AH243" s="456">
        <v>63.6</v>
      </c>
      <c r="AI243" s="456">
        <v>255.8</v>
      </c>
      <c r="AJ243" s="456">
        <v>192.17209700000004</v>
      </c>
      <c r="AK243" s="454">
        <v>25.76543948756261</v>
      </c>
      <c r="AL243" s="456">
        <v>42.588779000000002</v>
      </c>
      <c r="AM243" s="456">
        <v>205.94796400000001</v>
      </c>
      <c r="AN243" s="456">
        <v>163.335038</v>
      </c>
      <c r="AO243" s="454">
        <v>21.899115966808324</v>
      </c>
      <c r="AP243" s="456">
        <v>0</v>
      </c>
      <c r="AQ243" s="456">
        <v>-0.1</v>
      </c>
      <c r="AR243" s="456">
        <v>-0.1</v>
      </c>
      <c r="AS243" s="454">
        <v>-1.3407482090161406E-2</v>
      </c>
      <c r="AT243" s="456">
        <v>1</v>
      </c>
      <c r="AU243" s="456">
        <v>608</v>
      </c>
      <c r="AV243" s="456">
        <v>606.87209699999994</v>
      </c>
      <c r="AW243" s="454">
        <v>81.366267715461944</v>
      </c>
      <c r="AX243" s="456">
        <v>-8.52</v>
      </c>
      <c r="AY243" s="456">
        <v>-10.97</v>
      </c>
      <c r="AZ243" s="456">
        <v>-2.4415060000000004</v>
      </c>
      <c r="BA243" s="530">
        <v>-6.9977299999999998</v>
      </c>
      <c r="BB243" s="454">
        <v>-0.32734447968021618</v>
      </c>
      <c r="BC243" s="496"/>
      <c r="BD243" s="496"/>
      <c r="BE243" s="496"/>
      <c r="BF243" s="496"/>
      <c r="BG243" s="496"/>
      <c r="BH243" s="568"/>
      <c r="BI243" s="574" t="s">
        <v>723</v>
      </c>
      <c r="BJ243" s="1"/>
      <c r="BK243" s="1"/>
      <c r="BL243" s="1"/>
      <c r="BM243" s="1"/>
      <c r="BN243" s="1"/>
      <c r="BO243" s="1"/>
      <c r="BP243" s="1"/>
      <c r="BQ243" s="1"/>
      <c r="BR243" s="1"/>
      <c r="BS243" s="1"/>
      <c r="BT243" s="1"/>
      <c r="BU243" s="128"/>
      <c r="BV243" s="512"/>
    </row>
    <row r="244" spans="1:74" s="519" customFormat="1" ht="22.5">
      <c r="A244" s="546">
        <v>62007002</v>
      </c>
      <c r="B244" s="543" t="s">
        <v>829</v>
      </c>
      <c r="C244" s="543" t="s">
        <v>697</v>
      </c>
      <c r="D244" s="513" t="s">
        <v>1208</v>
      </c>
      <c r="E244" s="524" t="s">
        <v>1209</v>
      </c>
      <c r="F244" s="524" t="s">
        <v>708</v>
      </c>
      <c r="G244" s="531">
        <v>37.950699</v>
      </c>
      <c r="H244" s="531">
        <v>34.068098999999997</v>
      </c>
      <c r="I244" s="531">
        <v>29.293837</v>
      </c>
      <c r="J244" s="531">
        <v>43.029350999999998</v>
      </c>
      <c r="K244" s="578">
        <v>4250</v>
      </c>
      <c r="L244" s="578">
        <v>38.71</v>
      </c>
      <c r="M244" s="578">
        <v>3.0499999999999999E-2</v>
      </c>
      <c r="N244" s="578">
        <v>1.4999999999999999E-2</v>
      </c>
      <c r="O244" s="529">
        <v>10.28326779</v>
      </c>
      <c r="P244" s="544">
        <v>97.2</v>
      </c>
      <c r="Q244" s="544">
        <v>95.1</v>
      </c>
      <c r="R244" s="530">
        <v>1989</v>
      </c>
      <c r="S244" s="530">
        <v>3882</v>
      </c>
      <c r="T244" s="530">
        <v>1893</v>
      </c>
      <c r="U244" s="530">
        <v>184.08545208176477</v>
      </c>
      <c r="V244" s="534">
        <v>1984</v>
      </c>
      <c r="W244" s="530">
        <v>3873</v>
      </c>
      <c r="X244" s="530">
        <v>1889</v>
      </c>
      <c r="Y244" s="533">
        <v>183.69647067218892</v>
      </c>
      <c r="Z244" s="534">
        <v>46</v>
      </c>
      <c r="AA244" s="530">
        <v>51</v>
      </c>
      <c r="AB244" s="530">
        <v>5</v>
      </c>
      <c r="AC244" s="533">
        <v>0.48622676196979597</v>
      </c>
      <c r="AD244" s="534">
        <v>1069</v>
      </c>
      <c r="AE244" s="530">
        <v>2706</v>
      </c>
      <c r="AF244" s="530">
        <v>1637</v>
      </c>
      <c r="AG244" s="533">
        <v>159.1906418689112</v>
      </c>
      <c r="AH244" s="534">
        <v>257.89999999999998</v>
      </c>
      <c r="AI244" s="530">
        <v>350.6</v>
      </c>
      <c r="AJ244" s="530">
        <v>92.700000000000045</v>
      </c>
      <c r="AK244" s="533">
        <v>9.0146441669200215</v>
      </c>
      <c r="AL244" s="534">
        <v>207.67796100000001</v>
      </c>
      <c r="AM244" s="530">
        <v>284.77524099999999</v>
      </c>
      <c r="AN244" s="530">
        <v>77.097279999999984</v>
      </c>
      <c r="AO244" s="533">
        <v>7.4973521622157406</v>
      </c>
      <c r="AP244" s="534">
        <v>-0.1</v>
      </c>
      <c r="AQ244" s="530">
        <v>-0.2</v>
      </c>
      <c r="AR244" s="530">
        <v>-0.1</v>
      </c>
      <c r="AS244" s="533">
        <v>-9.7245352393959209E-3</v>
      </c>
      <c r="AT244" s="534">
        <v>612.5</v>
      </c>
      <c r="AU244" s="530">
        <v>769</v>
      </c>
      <c r="AV244" s="530">
        <v>156.5</v>
      </c>
      <c r="AW244" s="533">
        <v>15.218897649654615</v>
      </c>
      <c r="AX244" s="534">
        <v>-10.98</v>
      </c>
      <c r="AY244" s="530">
        <v>-11.57</v>
      </c>
      <c r="AZ244" s="530">
        <v>-0.58999999999999986</v>
      </c>
      <c r="BA244" s="530">
        <v>-2.7547299999999999</v>
      </c>
      <c r="BB244" s="533">
        <v>-5.737475791243591E-2</v>
      </c>
      <c r="BC244" s="545"/>
      <c r="BD244" s="545"/>
      <c r="BE244" s="545"/>
      <c r="BF244" s="545"/>
      <c r="BG244" s="545"/>
      <c r="BH244" s="567"/>
      <c r="BI244" s="574" t="s">
        <v>723</v>
      </c>
      <c r="BJ244" s="1">
        <v>1872.8260999399999</v>
      </c>
      <c r="BK244" s="1">
        <v>-0.15288958</v>
      </c>
      <c r="BL244" s="1">
        <v>1304.71639665</v>
      </c>
      <c r="BM244" s="1">
        <v>1306.71422656</v>
      </c>
      <c r="BN244" s="1">
        <v>6.8051632700000004</v>
      </c>
      <c r="BO244" s="1">
        <v>6.7902643400000002</v>
      </c>
      <c r="BP244" s="1">
        <v>0.26009885999999999</v>
      </c>
      <c r="BQ244" s="1">
        <v>10.28335794</v>
      </c>
      <c r="BR244" s="1">
        <v>10.256680429999999</v>
      </c>
      <c r="BS244" s="1">
        <v>-4.059364E-2</v>
      </c>
      <c r="BT244" s="1">
        <v>0.21941615</v>
      </c>
      <c r="BU244" s="128">
        <v>0.33397608000000001</v>
      </c>
      <c r="BV244" s="512"/>
    </row>
    <row r="245" spans="1:74" s="519" customFormat="1" ht="22.5">
      <c r="A245" s="546">
        <v>62007002</v>
      </c>
      <c r="B245" s="543" t="s">
        <v>828</v>
      </c>
      <c r="C245" s="543" t="s">
        <v>699</v>
      </c>
      <c r="D245" s="513" t="s">
        <v>1208</v>
      </c>
      <c r="E245" s="524" t="s">
        <v>1209</v>
      </c>
      <c r="F245" s="524" t="s">
        <v>708</v>
      </c>
      <c r="G245" s="531">
        <v>35.725670000000001</v>
      </c>
      <c r="H245" s="531">
        <v>40.042155999999999</v>
      </c>
      <c r="I245" s="531">
        <v>29.288661000000001</v>
      </c>
      <c r="J245" s="531">
        <v>43.932948000000003</v>
      </c>
      <c r="K245" s="578">
        <v>4250</v>
      </c>
      <c r="L245" s="578">
        <v>38.71</v>
      </c>
      <c r="M245" s="578">
        <v>3.0499999999999999E-2</v>
      </c>
      <c r="N245" s="578">
        <v>1.4999999999999999E-2</v>
      </c>
      <c r="O245" s="529">
        <v>3.5963880600000002</v>
      </c>
      <c r="P245" s="544">
        <v>95</v>
      </c>
      <c r="Q245" s="544">
        <v>94.1</v>
      </c>
      <c r="R245" s="530">
        <v>3926</v>
      </c>
      <c r="S245" s="530">
        <v>4758</v>
      </c>
      <c r="T245" s="530">
        <v>832</v>
      </c>
      <c r="U245" s="530">
        <v>231.3432216210839</v>
      </c>
      <c r="V245" s="534">
        <v>3915</v>
      </c>
      <c r="W245" s="530">
        <v>4745</v>
      </c>
      <c r="X245" s="530">
        <v>830</v>
      </c>
      <c r="Y245" s="533">
        <v>230.78710810757167</v>
      </c>
      <c r="Z245" s="534">
        <v>52</v>
      </c>
      <c r="AA245" s="530">
        <v>60</v>
      </c>
      <c r="AB245" s="530">
        <v>8</v>
      </c>
      <c r="AC245" s="533">
        <v>2.2244540540488837</v>
      </c>
      <c r="AD245" s="534">
        <v>2707</v>
      </c>
      <c r="AE245" s="530">
        <v>3239</v>
      </c>
      <c r="AF245" s="530">
        <v>532</v>
      </c>
      <c r="AG245" s="533">
        <v>147.92619459425075</v>
      </c>
      <c r="AH245" s="534">
        <v>390.9</v>
      </c>
      <c r="AI245" s="530">
        <v>460.7</v>
      </c>
      <c r="AJ245" s="530">
        <v>69.800000000000011</v>
      </c>
      <c r="AK245" s="533">
        <v>19.408361621576514</v>
      </c>
      <c r="AL245" s="534">
        <v>314.637315</v>
      </c>
      <c r="AM245" s="530">
        <v>374.42412100000001</v>
      </c>
      <c r="AN245" s="530">
        <v>59.786806000000013</v>
      </c>
      <c r="AO245" s="533">
        <v>16.62412537316677</v>
      </c>
      <c r="AP245" s="534">
        <v>-0.2</v>
      </c>
      <c r="AQ245" s="530">
        <v>-0.3</v>
      </c>
      <c r="AR245" s="530">
        <v>-9.9999999999999978E-2</v>
      </c>
      <c r="AS245" s="533">
        <v>-2.7805675675611038E-2</v>
      </c>
      <c r="AT245" s="534">
        <v>770.3</v>
      </c>
      <c r="AU245" s="530">
        <v>991.4</v>
      </c>
      <c r="AV245" s="530">
        <v>221.10000000000002</v>
      </c>
      <c r="AW245" s="533">
        <v>61.478348918776028</v>
      </c>
      <c r="AX245" s="534">
        <v>-11.96</v>
      </c>
      <c r="AY245" s="530">
        <v>-12.26</v>
      </c>
      <c r="AZ245" s="530">
        <v>-0.29999999999999893</v>
      </c>
      <c r="BA245" s="530">
        <v>-2.1267879999999999</v>
      </c>
      <c r="BB245" s="533">
        <v>-8.3417027026832832E-2</v>
      </c>
      <c r="BC245" s="545"/>
      <c r="BD245" s="545"/>
      <c r="BE245" s="545"/>
      <c r="BF245" s="545"/>
      <c r="BG245" s="545"/>
      <c r="BH245" s="567"/>
      <c r="BI245" s="574" t="s">
        <v>723</v>
      </c>
      <c r="BJ245" s="1">
        <v>2363.0671437999999</v>
      </c>
      <c r="BK245" s="1">
        <v>-0.87333777999999995</v>
      </c>
      <c r="BL245" s="1">
        <v>2030.7507745</v>
      </c>
      <c r="BM245" s="1">
        <v>2048.6423420900001</v>
      </c>
      <c r="BN245" s="1">
        <v>3.0230653799999998</v>
      </c>
      <c r="BO245" s="1">
        <v>3.0317459699999998</v>
      </c>
      <c r="BP245" s="1">
        <v>0.15019645000000001</v>
      </c>
      <c r="BQ245" s="1">
        <v>3.5963727799999998</v>
      </c>
      <c r="BR245" s="1">
        <v>3.5909792500000002</v>
      </c>
      <c r="BS245" s="1">
        <v>-0.43777306999999999</v>
      </c>
      <c r="BT245" s="1">
        <v>-0.28632317000000002</v>
      </c>
      <c r="BU245" s="128">
        <v>0.63447023000000002</v>
      </c>
      <c r="BV245" s="512"/>
    </row>
    <row r="246" spans="1:74" s="519" customFormat="1" ht="22.5">
      <c r="A246" s="546">
        <v>62007002</v>
      </c>
      <c r="B246" s="543" t="s">
        <v>239</v>
      </c>
      <c r="C246" s="543" t="s">
        <v>700</v>
      </c>
      <c r="D246" s="513" t="s">
        <v>1208</v>
      </c>
      <c r="E246" s="524" t="s">
        <v>1209</v>
      </c>
      <c r="F246" s="524" t="s">
        <v>708</v>
      </c>
      <c r="G246" s="531">
        <v>33.944397000000002</v>
      </c>
      <c r="H246" s="531">
        <v>44.406931999999998</v>
      </c>
      <c r="I246" s="531">
        <v>29.282617999999999</v>
      </c>
      <c r="J246" s="531">
        <v>43.525196000000001</v>
      </c>
      <c r="K246" s="578">
        <v>4250</v>
      </c>
      <c r="L246" s="578">
        <v>38.71</v>
      </c>
      <c r="M246" s="578">
        <v>3.0499999999999999E-2</v>
      </c>
      <c r="N246" s="578">
        <v>1.4999999999999999E-2</v>
      </c>
      <c r="O246" s="529">
        <v>3.86431652</v>
      </c>
      <c r="P246" s="544">
        <v>94.1</v>
      </c>
      <c r="Q246" s="544">
        <v>93.2</v>
      </c>
      <c r="R246" s="530">
        <v>4758</v>
      </c>
      <c r="S246" s="530">
        <v>5542</v>
      </c>
      <c r="T246" s="530">
        <v>784</v>
      </c>
      <c r="U246" s="530">
        <v>202.88193162810586</v>
      </c>
      <c r="V246" s="534">
        <v>4745</v>
      </c>
      <c r="W246" s="530">
        <v>5526</v>
      </c>
      <c r="X246" s="530">
        <v>781</v>
      </c>
      <c r="Y246" s="533">
        <v>202.10559770605954</v>
      </c>
      <c r="Z246" s="534">
        <v>60</v>
      </c>
      <c r="AA246" s="530">
        <v>80</v>
      </c>
      <c r="AB246" s="530">
        <v>20</v>
      </c>
      <c r="AC246" s="533">
        <v>5.1755594803088227</v>
      </c>
      <c r="AD246" s="534">
        <v>3239</v>
      </c>
      <c r="AE246" s="530">
        <v>3708</v>
      </c>
      <c r="AF246" s="530">
        <v>469</v>
      </c>
      <c r="AG246" s="533">
        <v>121.36686981324191</v>
      </c>
      <c r="AH246" s="534">
        <v>460.8</v>
      </c>
      <c r="AI246" s="530">
        <v>570.20000000000005</v>
      </c>
      <c r="AJ246" s="530">
        <v>109.40000000000003</v>
      </c>
      <c r="AK246" s="533">
        <v>28.310310357289271</v>
      </c>
      <c r="AL246" s="534">
        <v>374.44706500000001</v>
      </c>
      <c r="AM246" s="530">
        <v>466.526589</v>
      </c>
      <c r="AN246" s="530">
        <v>92.079523999999992</v>
      </c>
      <c r="AO246" s="533">
        <v>23.828152669026188</v>
      </c>
      <c r="AP246" s="534">
        <v>-0.3</v>
      </c>
      <c r="AQ246" s="530">
        <v>-0.4</v>
      </c>
      <c r="AR246" s="530">
        <v>-0.10000000000000003</v>
      </c>
      <c r="AS246" s="533">
        <v>-2.5877797401544125E-2</v>
      </c>
      <c r="AT246" s="534">
        <v>991.47064699999999</v>
      </c>
      <c r="AU246" s="530">
        <v>1176.3</v>
      </c>
      <c r="AV246" s="530">
        <v>184.82935299999997</v>
      </c>
      <c r="AW246" s="533">
        <v>47.82976550792479</v>
      </c>
      <c r="AX246" s="534">
        <v>-12.26</v>
      </c>
      <c r="AY246" s="530">
        <v>-12.74</v>
      </c>
      <c r="AZ246" s="530">
        <v>-0.48000000000000043</v>
      </c>
      <c r="BA246" s="530">
        <v>-2.0248789999999999</v>
      </c>
      <c r="BB246" s="533">
        <v>-0.12421342752741187</v>
      </c>
      <c r="BC246" s="545"/>
      <c r="BD246" s="545"/>
      <c r="BE246" s="545"/>
      <c r="BF246" s="545"/>
      <c r="BG246" s="545"/>
      <c r="BH246" s="567"/>
      <c r="BI246" s="574" t="s">
        <v>723</v>
      </c>
      <c r="BJ246" s="1">
        <v>1473.3563428499999</v>
      </c>
      <c r="BK246" s="1">
        <v>-1.51658318</v>
      </c>
      <c r="BL246" s="1">
        <v>3364.19579359</v>
      </c>
      <c r="BM246" s="1">
        <v>3416.0023101400002</v>
      </c>
      <c r="BN246" s="1">
        <v>2.9802606599999999</v>
      </c>
      <c r="BO246" s="1">
        <v>2.9950261399999998</v>
      </c>
      <c r="BP246" s="1">
        <v>0.11262811</v>
      </c>
      <c r="BQ246" s="1">
        <v>3.8641765100000001</v>
      </c>
      <c r="BR246" s="1">
        <v>3.8598292500000002</v>
      </c>
      <c r="BS246" s="1">
        <v>-0.60862839999999996</v>
      </c>
      <c r="BT246" s="1">
        <v>-0.49299976000000001</v>
      </c>
      <c r="BU246" s="128">
        <v>0.72010109</v>
      </c>
      <c r="BV246" s="512"/>
    </row>
    <row r="247" spans="1:74" s="519" customFormat="1" ht="22.5">
      <c r="A247" s="546">
        <v>62007002</v>
      </c>
      <c r="B247" s="543" t="s">
        <v>833</v>
      </c>
      <c r="C247" s="543" t="s">
        <v>701</v>
      </c>
      <c r="D247" s="513" t="s">
        <v>1208</v>
      </c>
      <c r="E247" s="524" t="s">
        <v>1209</v>
      </c>
      <c r="F247" s="524" t="s">
        <v>708</v>
      </c>
      <c r="G247" s="468">
        <v>34.835033500000002</v>
      </c>
      <c r="H247" s="468">
        <v>42.224543999999995</v>
      </c>
      <c r="I247" s="468">
        <v>29.285639500000002</v>
      </c>
      <c r="J247" s="468">
        <v>43.729072000000002</v>
      </c>
      <c r="K247" s="579"/>
      <c r="L247" s="578"/>
      <c r="M247" s="580"/>
      <c r="N247" s="581"/>
      <c r="O247" s="453">
        <v>7.4607045799999998</v>
      </c>
      <c r="P247" s="493">
        <v>95</v>
      </c>
      <c r="Q247" s="493">
        <v>93.2</v>
      </c>
      <c r="R247" s="456">
        <v>3926</v>
      </c>
      <c r="S247" s="456">
        <v>5542</v>
      </c>
      <c r="T247" s="456">
        <v>1616</v>
      </c>
      <c r="U247" s="456">
        <v>216.60152639363722</v>
      </c>
      <c r="V247" s="456">
        <v>3915</v>
      </c>
      <c r="W247" s="456">
        <v>5526</v>
      </c>
      <c r="X247" s="456">
        <v>1611</v>
      </c>
      <c r="Y247" s="454">
        <v>215.93134840355788</v>
      </c>
      <c r="Z247" s="456">
        <v>52</v>
      </c>
      <c r="AA247" s="456">
        <v>80</v>
      </c>
      <c r="AB247" s="456">
        <v>28</v>
      </c>
      <c r="AC247" s="454">
        <v>3.7529967444442089</v>
      </c>
      <c r="AD247" s="456">
        <v>2707</v>
      </c>
      <c r="AE247" s="456">
        <v>3708</v>
      </c>
      <c r="AF247" s="456">
        <v>1001</v>
      </c>
      <c r="AG247" s="454">
        <v>134.16963361388048</v>
      </c>
      <c r="AH247" s="456">
        <v>390.9</v>
      </c>
      <c r="AI247" s="456">
        <v>570.20000000000005</v>
      </c>
      <c r="AJ247" s="456">
        <v>179.20000000000005</v>
      </c>
      <c r="AK247" s="454">
        <v>24.019179164442946</v>
      </c>
      <c r="AL247" s="456">
        <v>314.637315</v>
      </c>
      <c r="AM247" s="456">
        <v>466.526589</v>
      </c>
      <c r="AN247" s="456">
        <v>151.86633</v>
      </c>
      <c r="AO247" s="454">
        <v>20.35549436002464</v>
      </c>
      <c r="AP247" s="456">
        <v>-0.2</v>
      </c>
      <c r="AQ247" s="456">
        <v>-0.4</v>
      </c>
      <c r="AR247" s="456">
        <v>-0.2</v>
      </c>
      <c r="AS247" s="454">
        <v>-2.6807119603172926E-2</v>
      </c>
      <c r="AT247" s="456">
        <v>770.3</v>
      </c>
      <c r="AU247" s="456">
        <v>1176.3</v>
      </c>
      <c r="AV247" s="456">
        <v>405.92935299999999</v>
      </c>
      <c r="AW247" s="454">
        <v>54.408983581548007</v>
      </c>
      <c r="AX247" s="456">
        <v>-11.96</v>
      </c>
      <c r="AY247" s="456">
        <v>-12.74</v>
      </c>
      <c r="AZ247" s="456">
        <v>-0.77999999999999936</v>
      </c>
      <c r="BA247" s="530">
        <v>-2.0758334999999999</v>
      </c>
      <c r="BB247" s="454">
        <v>-0.1045477664523743</v>
      </c>
      <c r="BC247" s="496"/>
      <c r="BD247" s="496"/>
      <c r="BE247" s="496"/>
      <c r="BF247" s="496"/>
      <c r="BG247" s="496"/>
      <c r="BH247" s="568"/>
      <c r="BI247" s="574" t="s">
        <v>723</v>
      </c>
      <c r="BJ247" s="1"/>
      <c r="BK247" s="1"/>
      <c r="BL247" s="1"/>
      <c r="BM247" s="1"/>
      <c r="BN247" s="1"/>
      <c r="BO247" s="1"/>
      <c r="BP247" s="1"/>
      <c r="BQ247" s="1"/>
      <c r="BR247" s="1"/>
      <c r="BS247" s="1"/>
      <c r="BT247" s="1"/>
      <c r="BU247" s="128"/>
      <c r="BV247" s="512"/>
    </row>
    <row r="248" spans="1:74" s="519" customFormat="1" ht="22.5">
      <c r="A248" s="546">
        <v>62007002</v>
      </c>
      <c r="B248" s="543" t="s">
        <v>836</v>
      </c>
      <c r="C248" s="543" t="s">
        <v>770</v>
      </c>
      <c r="D248" s="513" t="s">
        <v>1208</v>
      </c>
      <c r="E248" s="524" t="s">
        <v>1209</v>
      </c>
      <c r="F248" s="524" t="s">
        <v>708</v>
      </c>
      <c r="G248" s="531">
        <v>36.113672999999999</v>
      </c>
      <c r="H248" s="531">
        <v>36.243962000000003</v>
      </c>
      <c r="I248" s="531">
        <v>29.289235999999999</v>
      </c>
      <c r="J248" s="531">
        <v>44.782125999999998</v>
      </c>
      <c r="K248" s="578">
        <v>4250</v>
      </c>
      <c r="L248" s="578">
        <v>38.71</v>
      </c>
      <c r="M248" s="578">
        <v>3.0499999999999999E-2</v>
      </c>
      <c r="N248" s="578">
        <v>1.4999999999999999E-2</v>
      </c>
      <c r="O248" s="529">
        <v>1.77427687</v>
      </c>
      <c r="P248" s="544">
        <v>93.1</v>
      </c>
      <c r="Q248" s="544">
        <v>90.8</v>
      </c>
      <c r="R248" s="530">
        <v>5573</v>
      </c>
      <c r="S248" s="530">
        <v>7529</v>
      </c>
      <c r="T248" s="530">
        <v>481</v>
      </c>
      <c r="U248" s="530">
        <v>271.09635938611996</v>
      </c>
      <c r="V248" s="534">
        <v>5557</v>
      </c>
      <c r="W248" s="530">
        <v>7510</v>
      </c>
      <c r="X248" s="530">
        <v>479</v>
      </c>
      <c r="Y248" s="533">
        <v>269.96913959657263</v>
      </c>
      <c r="Z248" s="534">
        <v>80</v>
      </c>
      <c r="AA248" s="530">
        <v>136</v>
      </c>
      <c r="AB248" s="530">
        <v>39</v>
      </c>
      <c r="AC248" s="533">
        <v>21.980785896171888</v>
      </c>
      <c r="AD248" s="534">
        <v>3708</v>
      </c>
      <c r="AE248" s="530">
        <v>5423</v>
      </c>
      <c r="AF248" s="530">
        <v>368</v>
      </c>
      <c r="AG248" s="533">
        <v>207.40844127669882</v>
      </c>
      <c r="AH248" s="534">
        <v>581.9</v>
      </c>
      <c r="AI248" s="530">
        <v>656.2</v>
      </c>
      <c r="AJ248" s="530">
        <v>29.654345000000035</v>
      </c>
      <c r="AK248" s="533">
        <v>16.713482265031182</v>
      </c>
      <c r="AL248" s="534">
        <v>476.32659000000001</v>
      </c>
      <c r="AM248" s="530">
        <v>538.65621699999997</v>
      </c>
      <c r="AN248" s="530">
        <v>25.055127999999911</v>
      </c>
      <c r="AO248" s="533">
        <v>14.121318055619984</v>
      </c>
      <c r="AP248" s="534">
        <v>-0.4</v>
      </c>
      <c r="AQ248" s="530">
        <v>-0.5</v>
      </c>
      <c r="AR248" s="530">
        <v>-9.9999999999999978E-2</v>
      </c>
      <c r="AS248" s="533">
        <v>-5.6360989477363801E-2</v>
      </c>
      <c r="AT248" s="534">
        <v>1195.0659020000001</v>
      </c>
      <c r="AU248" s="530">
        <v>1304.962172</v>
      </c>
      <c r="AV248" s="530">
        <v>44.350614999999834</v>
      </c>
      <c r="AW248" s="533">
        <v>24.996445453296044</v>
      </c>
      <c r="AX248" s="534">
        <v>-12.79</v>
      </c>
      <c r="AY248" s="530">
        <v>-13.1</v>
      </c>
      <c r="AZ248" s="530">
        <v>-0.11999999999999922</v>
      </c>
      <c r="BA248" s="530">
        <v>-1.87287</v>
      </c>
      <c r="BB248" s="533">
        <v>-6.7633187372836134E-2</v>
      </c>
      <c r="BC248" s="545"/>
      <c r="BD248" s="545"/>
      <c r="BE248" s="545"/>
      <c r="BF248" s="545"/>
      <c r="BG248" s="545"/>
      <c r="BH248" s="567"/>
      <c r="BI248" s="574" t="s">
        <v>723</v>
      </c>
      <c r="BJ248" s="1">
        <v>5470.2974915599998</v>
      </c>
      <c r="BK248" s="1">
        <v>-4.2630120299999996</v>
      </c>
      <c r="BL248" s="1">
        <v>2354.4599456300002</v>
      </c>
      <c r="BM248" s="1">
        <v>2459.3002095100001</v>
      </c>
      <c r="BN248" s="1">
        <v>3.01129772</v>
      </c>
      <c r="BO248" s="1">
        <v>3.0981921400000001</v>
      </c>
      <c r="BP248" s="1">
        <v>0.12086049</v>
      </c>
      <c r="BQ248" s="1">
        <v>1.7742457300000001</v>
      </c>
      <c r="BR248" s="1">
        <v>1.7721039599999999</v>
      </c>
      <c r="BS248" s="1">
        <v>-3.0099618299999999</v>
      </c>
      <c r="BT248" s="1">
        <v>-2.8046815</v>
      </c>
      <c r="BU248" s="128">
        <v>0.84359141999999998</v>
      </c>
      <c r="BV248" s="512"/>
    </row>
    <row r="249" spans="1:74" s="519" customFormat="1" ht="22.5">
      <c r="A249" s="546">
        <v>62007002</v>
      </c>
      <c r="B249" s="543" t="s">
        <v>837</v>
      </c>
      <c r="C249" s="543" t="s">
        <v>705</v>
      </c>
      <c r="D249" s="513" t="s">
        <v>1208</v>
      </c>
      <c r="E249" s="524" t="s">
        <v>1209</v>
      </c>
      <c r="F249" s="524" t="s">
        <v>708</v>
      </c>
      <c r="G249" s="531">
        <v>39.266945999999997</v>
      </c>
      <c r="H249" s="531">
        <v>29.693235000000001</v>
      </c>
      <c r="I249" s="531">
        <v>29.312877</v>
      </c>
      <c r="J249" s="531">
        <v>44.501562999999997</v>
      </c>
      <c r="K249" s="578">
        <v>4250</v>
      </c>
      <c r="L249" s="578">
        <v>38.71</v>
      </c>
      <c r="M249" s="578">
        <v>3.0499999999999999E-2</v>
      </c>
      <c r="N249" s="578">
        <v>1.4999999999999999E-2</v>
      </c>
      <c r="O249" s="529">
        <v>6.2501815199999999</v>
      </c>
      <c r="P249" s="544">
        <v>92.7</v>
      </c>
      <c r="Q249" s="544">
        <v>91</v>
      </c>
      <c r="R249" s="530">
        <v>5886</v>
      </c>
      <c r="S249" s="530">
        <v>7361</v>
      </c>
      <c r="T249" s="530">
        <v>1475</v>
      </c>
      <c r="U249" s="530">
        <v>235.99314600386199</v>
      </c>
      <c r="V249" s="534">
        <v>5868</v>
      </c>
      <c r="W249" s="530">
        <v>7342</v>
      </c>
      <c r="X249" s="530">
        <v>1474</v>
      </c>
      <c r="Y249" s="533">
        <v>235.83315065063903</v>
      </c>
      <c r="Z249" s="534">
        <v>94</v>
      </c>
      <c r="AA249" s="530">
        <v>111</v>
      </c>
      <c r="AB249" s="530">
        <v>17</v>
      </c>
      <c r="AC249" s="533">
        <v>2.7199210047902738</v>
      </c>
      <c r="AD249" s="534">
        <v>3966</v>
      </c>
      <c r="AE249" s="530">
        <v>5313</v>
      </c>
      <c r="AF249" s="530">
        <v>1347</v>
      </c>
      <c r="AG249" s="533">
        <v>215.51374079132344</v>
      </c>
      <c r="AH249" s="534">
        <v>598.05434500000001</v>
      </c>
      <c r="AI249" s="530">
        <v>642.70000000000005</v>
      </c>
      <c r="AJ249" s="530">
        <v>44.645655000000033</v>
      </c>
      <c r="AK249" s="533">
        <v>7.1430973415952943</v>
      </c>
      <c r="AL249" s="534">
        <v>489.89173799999998</v>
      </c>
      <c r="AM249" s="530">
        <v>527.16623700000002</v>
      </c>
      <c r="AN249" s="530">
        <v>37.274499000000048</v>
      </c>
      <c r="AO249" s="533">
        <v>5.9637466337137752</v>
      </c>
      <c r="AP249" s="534">
        <v>-0.4</v>
      </c>
      <c r="AQ249" s="530">
        <v>-0.4</v>
      </c>
      <c r="AR249" s="530">
        <v>0</v>
      </c>
      <c r="AS249" s="533">
        <v>0</v>
      </c>
      <c r="AT249" s="534">
        <v>1219.6543449999999</v>
      </c>
      <c r="AU249" s="530">
        <v>1285.2</v>
      </c>
      <c r="AV249" s="530">
        <v>65.545655000000124</v>
      </c>
      <c r="AW249" s="533">
        <v>10.487000223955116</v>
      </c>
      <c r="AX249" s="534">
        <v>-12.86</v>
      </c>
      <c r="AY249" s="530">
        <v>-13.05</v>
      </c>
      <c r="AZ249" s="530">
        <v>-0.19000000000000128</v>
      </c>
      <c r="BA249" s="530">
        <v>-1.89103</v>
      </c>
      <c r="BB249" s="533">
        <v>-3.0399117112362088E-2</v>
      </c>
      <c r="BC249" s="545"/>
      <c r="BD249" s="545"/>
      <c r="BE249" s="545"/>
      <c r="BF249" s="545"/>
      <c r="BG249" s="545"/>
      <c r="BH249" s="567"/>
      <c r="BI249" s="574" t="s">
        <v>723</v>
      </c>
      <c r="BJ249" s="1">
        <v>11272.19229481</v>
      </c>
      <c r="BK249" s="1">
        <v>-1.0558707899999999</v>
      </c>
      <c r="BL249" s="1">
        <v>1126.3224480599999</v>
      </c>
      <c r="BM249" s="1">
        <v>1138.3418673799999</v>
      </c>
      <c r="BN249" s="1">
        <v>5.8847772799999998</v>
      </c>
      <c r="BO249" s="1">
        <v>5.89193078</v>
      </c>
      <c r="BP249" s="1">
        <v>0.24660348000000001</v>
      </c>
      <c r="BQ249" s="1">
        <v>6.2502333200000004</v>
      </c>
      <c r="BR249" s="1">
        <v>6.2348579500000003</v>
      </c>
      <c r="BS249" s="1">
        <v>-0.36846265</v>
      </c>
      <c r="BT249" s="1">
        <v>-0.12141181</v>
      </c>
      <c r="BU249" s="128">
        <v>0.41954553999999999</v>
      </c>
      <c r="BV249" s="512"/>
    </row>
    <row r="250" spans="1:74" s="519" customFormat="1" ht="22.5">
      <c r="A250" s="546">
        <v>62007002</v>
      </c>
      <c r="B250" s="543" t="s">
        <v>835</v>
      </c>
      <c r="C250" s="543" t="s">
        <v>703</v>
      </c>
      <c r="D250" s="513" t="s">
        <v>1208</v>
      </c>
      <c r="E250" s="524" t="s">
        <v>1209</v>
      </c>
      <c r="F250" s="524" t="s">
        <v>708</v>
      </c>
      <c r="G250" s="468">
        <v>37.690309499999998</v>
      </c>
      <c r="H250" s="468">
        <v>32.968598499999999</v>
      </c>
      <c r="I250" s="468">
        <v>29.301056500000001</v>
      </c>
      <c r="J250" s="468">
        <v>44.641844499999998</v>
      </c>
      <c r="K250" s="579"/>
      <c r="L250" s="578"/>
      <c r="M250" s="580"/>
      <c r="N250" s="581"/>
      <c r="O250" s="453">
        <v>8.0244583899999995</v>
      </c>
      <c r="P250" s="493">
        <v>93.1</v>
      </c>
      <c r="Q250" s="493">
        <v>91</v>
      </c>
      <c r="R250" s="456">
        <v>5573</v>
      </c>
      <c r="S250" s="456">
        <v>7361</v>
      </c>
      <c r="T250" s="456">
        <v>1956</v>
      </c>
      <c r="U250" s="456">
        <v>243.75476884988871</v>
      </c>
      <c r="V250" s="456">
        <v>5557</v>
      </c>
      <c r="W250" s="456">
        <v>7342</v>
      </c>
      <c r="X250" s="456">
        <v>1953</v>
      </c>
      <c r="Y250" s="454">
        <v>243.38091184245025</v>
      </c>
      <c r="Z250" s="456">
        <v>80</v>
      </c>
      <c r="AA250" s="456">
        <v>111</v>
      </c>
      <c r="AB250" s="456">
        <v>56</v>
      </c>
      <c r="AC250" s="454">
        <v>6.9786641388516193</v>
      </c>
      <c r="AD250" s="456">
        <v>3708</v>
      </c>
      <c r="AE250" s="456">
        <v>5313</v>
      </c>
      <c r="AF250" s="456">
        <v>1715</v>
      </c>
      <c r="AG250" s="454">
        <v>213.72158925233086</v>
      </c>
      <c r="AH250" s="456">
        <v>581.9</v>
      </c>
      <c r="AI250" s="456">
        <v>642.70000000000005</v>
      </c>
      <c r="AJ250" s="456">
        <v>74.300000000000068</v>
      </c>
      <c r="AK250" s="454">
        <v>9.2591918842263539</v>
      </c>
      <c r="AL250" s="456">
        <v>476.32659000000001</v>
      </c>
      <c r="AM250" s="456">
        <v>527.16623700000002</v>
      </c>
      <c r="AN250" s="456">
        <v>62.329626999999959</v>
      </c>
      <c r="AO250" s="454">
        <v>7.7674559416588815</v>
      </c>
      <c r="AP250" s="456">
        <v>-0.4</v>
      </c>
      <c r="AQ250" s="456">
        <v>-0.4</v>
      </c>
      <c r="AR250" s="456">
        <v>-9.9999999999999978E-2</v>
      </c>
      <c r="AS250" s="454">
        <v>-1.2461900247949317E-2</v>
      </c>
      <c r="AT250" s="456">
        <v>1195.0659020000001</v>
      </c>
      <c r="AU250" s="456">
        <v>1285.2</v>
      </c>
      <c r="AV250" s="456">
        <v>109.89626999999996</v>
      </c>
      <c r="AW250" s="454">
        <v>13.695163543617049</v>
      </c>
      <c r="AX250" s="456">
        <v>-12.79</v>
      </c>
      <c r="AY250" s="456">
        <v>-13.05</v>
      </c>
      <c r="AZ250" s="456">
        <v>-0.3100000000000005</v>
      </c>
      <c r="BA250" s="530">
        <v>-1.88195</v>
      </c>
      <c r="BB250" s="454">
        <v>-3.8631890768642957E-2</v>
      </c>
      <c r="BC250" s="496"/>
      <c r="BD250" s="496"/>
      <c r="BE250" s="496"/>
      <c r="BF250" s="496"/>
      <c r="BG250" s="496"/>
      <c r="BH250" s="568"/>
      <c r="BI250" s="574" t="s">
        <v>723</v>
      </c>
      <c r="BJ250" s="1"/>
      <c r="BK250" s="1"/>
      <c r="BL250" s="1"/>
      <c r="BM250" s="1"/>
      <c r="BN250" s="1"/>
      <c r="BO250" s="1"/>
      <c r="BP250" s="1"/>
      <c r="BQ250" s="1"/>
      <c r="BR250" s="1"/>
      <c r="BS250" s="1"/>
      <c r="BT250" s="1"/>
      <c r="BU250" s="128"/>
      <c r="BV250" s="512"/>
    </row>
    <row r="251" spans="1:74" s="519" customFormat="1" ht="22.5">
      <c r="A251" s="546">
        <v>62007003</v>
      </c>
      <c r="B251" s="543" t="s">
        <v>838</v>
      </c>
      <c r="C251" s="543" t="s">
        <v>695</v>
      </c>
      <c r="D251" s="513" t="s">
        <v>1222</v>
      </c>
      <c r="E251" s="524" t="s">
        <v>1223</v>
      </c>
      <c r="F251" s="524" t="s">
        <v>708</v>
      </c>
      <c r="G251" s="531">
        <v>2406.1682679999999</v>
      </c>
      <c r="H251" s="531">
        <v>1935.1933019999999</v>
      </c>
      <c r="I251" s="531">
        <v>1799.6053489999999</v>
      </c>
      <c r="J251" s="531">
        <v>2920.1277449999998</v>
      </c>
      <c r="K251" s="578">
        <v>4250</v>
      </c>
      <c r="L251" s="578">
        <v>38.71</v>
      </c>
      <c r="M251" s="578">
        <v>3.0499999999999999E-2</v>
      </c>
      <c r="N251" s="578">
        <v>1.4999999999999999E-2</v>
      </c>
      <c r="O251" s="529">
        <v>240.66058111999999</v>
      </c>
      <c r="P251" s="544">
        <v>90.8</v>
      </c>
      <c r="Q251" s="544">
        <v>24.8</v>
      </c>
      <c r="R251" s="530">
        <v>7570</v>
      </c>
      <c r="S251" s="530">
        <v>60629</v>
      </c>
      <c r="T251" s="530">
        <v>53059</v>
      </c>
      <c r="U251" s="530">
        <v>220.47233391139915</v>
      </c>
      <c r="V251" s="534">
        <v>7548</v>
      </c>
      <c r="W251" s="530">
        <v>60548</v>
      </c>
      <c r="X251" s="530">
        <v>53000</v>
      </c>
      <c r="Y251" s="533">
        <v>220.22717535769908</v>
      </c>
      <c r="Z251" s="534">
        <v>137</v>
      </c>
      <c r="AA251" s="530">
        <v>168</v>
      </c>
      <c r="AB251" s="530">
        <v>31</v>
      </c>
      <c r="AC251" s="533">
        <v>0.12881212143563531</v>
      </c>
      <c r="AD251" s="534">
        <v>5423</v>
      </c>
      <c r="AE251" s="530">
        <v>54197</v>
      </c>
      <c r="AF251" s="530">
        <v>48774</v>
      </c>
      <c r="AG251" s="533">
        <v>202.66717454521537</v>
      </c>
      <c r="AH251" s="534">
        <v>692.6</v>
      </c>
      <c r="AI251" s="530">
        <v>2270.4973319999999</v>
      </c>
      <c r="AJ251" s="530">
        <v>1577.897332</v>
      </c>
      <c r="AK251" s="533">
        <v>6.5565258949209344</v>
      </c>
      <c r="AL251" s="534">
        <v>565.23646599999995</v>
      </c>
      <c r="AM251" s="530">
        <v>1889.46</v>
      </c>
      <c r="AN251" s="530">
        <v>1324.2235340000002</v>
      </c>
      <c r="AO251" s="533">
        <v>5.5024529893398118</v>
      </c>
      <c r="AP251" s="534">
        <v>-0.5</v>
      </c>
      <c r="AQ251" s="530">
        <v>-0.8</v>
      </c>
      <c r="AR251" s="530">
        <v>-0.30000000000000004</v>
      </c>
      <c r="AS251" s="533">
        <v>-1.2465689171190515E-3</v>
      </c>
      <c r="AT251" s="534">
        <v>1307</v>
      </c>
      <c r="AU251" s="530">
        <v>3927.897332</v>
      </c>
      <c r="AV251" s="530">
        <v>2620.897332</v>
      </c>
      <c r="AW251" s="533">
        <v>10.890430496771502</v>
      </c>
      <c r="AX251" s="534">
        <v>-13.39</v>
      </c>
      <c r="AY251" s="530">
        <v>-19.649999999999999</v>
      </c>
      <c r="AZ251" s="530">
        <v>-6.259999999999998</v>
      </c>
      <c r="BA251" s="530">
        <v>-103.420108</v>
      </c>
      <c r="BB251" s="533">
        <v>-2.6011738070550863E-2</v>
      </c>
      <c r="BC251" s="545"/>
      <c r="BD251" s="545"/>
      <c r="BE251" s="545"/>
      <c r="BF251" s="545"/>
      <c r="BG251" s="545"/>
      <c r="BH251" s="567"/>
      <c r="BI251" s="574" t="s">
        <v>723</v>
      </c>
      <c r="BJ251" s="1">
        <v>9.5469114200000007</v>
      </c>
      <c r="BK251" s="1">
        <v>92.470154300000004</v>
      </c>
      <c r="BL251" s="1">
        <v>1118.54415113</v>
      </c>
      <c r="BM251" s="1">
        <v>581.15200000000004</v>
      </c>
      <c r="BN251" s="1">
        <v>180.60685190999999</v>
      </c>
      <c r="BO251" s="1">
        <v>179.40006278000001</v>
      </c>
      <c r="BP251" s="1">
        <v>0.30095861000000002</v>
      </c>
      <c r="BQ251" s="1">
        <v>240.66262422</v>
      </c>
      <c r="BR251" s="1">
        <v>239.94050261999999</v>
      </c>
      <c r="BS251" s="1">
        <v>0.36923802999999999</v>
      </c>
      <c r="BT251" s="1">
        <v>0.67268044000000005</v>
      </c>
      <c r="BU251" s="128">
        <v>4.6046300000000002E-3</v>
      </c>
      <c r="BV251" s="512"/>
    </row>
    <row r="252" spans="1:74" s="519" customFormat="1" ht="22.5">
      <c r="A252" s="546">
        <v>62007004</v>
      </c>
      <c r="B252" s="543" t="s">
        <v>1047</v>
      </c>
      <c r="C252" s="543" t="s">
        <v>695</v>
      </c>
      <c r="D252" s="513" t="s">
        <v>1224</v>
      </c>
      <c r="E252" s="524" t="s">
        <v>1225</v>
      </c>
      <c r="F252" s="524" t="s">
        <v>708</v>
      </c>
      <c r="G252" s="531">
        <v>35.548025000000003</v>
      </c>
      <c r="H252" s="531">
        <v>46.740397000000002</v>
      </c>
      <c r="I252" s="531">
        <v>29.233563</v>
      </c>
      <c r="J252" s="531">
        <v>47.491773999999999</v>
      </c>
      <c r="K252" s="578">
        <v>4250</v>
      </c>
      <c r="L252" s="578">
        <v>38.71</v>
      </c>
      <c r="M252" s="578">
        <v>3.0499999999999999E-2</v>
      </c>
      <c r="N252" s="578">
        <v>1.4999999999999999E-2</v>
      </c>
      <c r="O252" s="529">
        <v>3.58475309</v>
      </c>
      <c r="P252" s="544">
        <v>24.8</v>
      </c>
      <c r="Q252" s="544">
        <v>23.8</v>
      </c>
      <c r="R252" s="530">
        <v>60660</v>
      </c>
      <c r="S252" s="530">
        <v>61401</v>
      </c>
      <c r="T252" s="530">
        <v>741</v>
      </c>
      <c r="U252" s="530">
        <v>206.70879734146487</v>
      </c>
      <c r="V252" s="534">
        <v>60575</v>
      </c>
      <c r="W252" s="530">
        <v>61314</v>
      </c>
      <c r="X252" s="530">
        <v>739</v>
      </c>
      <c r="Y252" s="533">
        <v>206.15087886011139</v>
      </c>
      <c r="Z252" s="534">
        <v>168</v>
      </c>
      <c r="AA252" s="530">
        <v>179</v>
      </c>
      <c r="AB252" s="530">
        <v>11</v>
      </c>
      <c r="AC252" s="533">
        <v>3.0685516474441479</v>
      </c>
      <c r="AD252" s="534">
        <v>54197</v>
      </c>
      <c r="AE252" s="530">
        <v>54684</v>
      </c>
      <c r="AF252" s="530">
        <v>487</v>
      </c>
      <c r="AG252" s="533">
        <v>135.85315020957273</v>
      </c>
      <c r="AH252" s="534">
        <v>2298.1082000000001</v>
      </c>
      <c r="AI252" s="530">
        <v>2374.8000000000002</v>
      </c>
      <c r="AJ252" s="530">
        <v>76.691800000000057</v>
      </c>
      <c r="AK252" s="533">
        <v>21.393886294132482</v>
      </c>
      <c r="AL252" s="534">
        <v>1910.44082</v>
      </c>
      <c r="AM252" s="530">
        <v>1976.3205290000001</v>
      </c>
      <c r="AN252" s="530">
        <v>65.879709000000048</v>
      </c>
      <c r="AO252" s="533">
        <v>18.377753598644656</v>
      </c>
      <c r="AP252" s="534">
        <v>-0.8</v>
      </c>
      <c r="AQ252" s="530">
        <v>-0.8</v>
      </c>
      <c r="AR252" s="530">
        <v>0</v>
      </c>
      <c r="AS252" s="533">
        <v>0</v>
      </c>
      <c r="AT252" s="534">
        <v>3928.8</v>
      </c>
      <c r="AU252" s="530">
        <v>4094.3</v>
      </c>
      <c r="AV252" s="530">
        <v>165.5</v>
      </c>
      <c r="AW252" s="533">
        <v>46.167754332000591</v>
      </c>
      <c r="AX252" s="534">
        <v>-19.84</v>
      </c>
      <c r="AY252" s="530">
        <v>-20.100000000000001</v>
      </c>
      <c r="AZ252" s="530">
        <v>-0.26000000000000156</v>
      </c>
      <c r="BA252" s="530">
        <v>-1.6096429999999999</v>
      </c>
      <c r="BB252" s="533">
        <v>-7.2529402575953028E-2</v>
      </c>
      <c r="BC252" s="545"/>
      <c r="BD252" s="545"/>
      <c r="BE252" s="545"/>
      <c r="BF252" s="545"/>
      <c r="BG252" s="545"/>
      <c r="BH252" s="567"/>
      <c r="BI252" s="574" t="s">
        <v>723</v>
      </c>
      <c r="BJ252" s="1">
        <v>2321.4373020899998</v>
      </c>
      <c r="BK252" s="1">
        <v>-1.9597093699999999</v>
      </c>
      <c r="BL252" s="1">
        <v>2481.9591493299999</v>
      </c>
      <c r="BM252" s="1">
        <v>2531.5705751700002</v>
      </c>
      <c r="BN252" s="1">
        <v>3.1721709300000001</v>
      </c>
      <c r="BO252" s="1">
        <v>3.1996053500000001</v>
      </c>
      <c r="BP252" s="1">
        <v>0.14399302999999999</v>
      </c>
      <c r="BQ252" s="1">
        <v>3.58462864</v>
      </c>
      <c r="BR252" s="1">
        <v>3.5794744500000002</v>
      </c>
      <c r="BS252" s="1">
        <v>-1.0100852</v>
      </c>
      <c r="BT252" s="1">
        <v>-0.85743137000000003</v>
      </c>
      <c r="BU252" s="128">
        <v>0.71689778000000004</v>
      </c>
      <c r="BV252" s="512"/>
    </row>
    <row r="253" spans="1:74" s="519" customFormat="1" ht="22.5">
      <c r="A253" s="546">
        <v>62007004</v>
      </c>
      <c r="B253" s="543" t="s">
        <v>1049</v>
      </c>
      <c r="C253" s="543" t="s">
        <v>696</v>
      </c>
      <c r="D253" s="513" t="s">
        <v>1224</v>
      </c>
      <c r="E253" s="524" t="s">
        <v>1225</v>
      </c>
      <c r="F253" s="524" t="s">
        <v>708</v>
      </c>
      <c r="G253" s="531">
        <v>35.623418000000001</v>
      </c>
      <c r="H253" s="531">
        <v>47.191729000000002</v>
      </c>
      <c r="I253" s="531">
        <v>29.235143999999998</v>
      </c>
      <c r="J253" s="531">
        <v>45.051935</v>
      </c>
      <c r="K253" s="578">
        <v>4250</v>
      </c>
      <c r="L253" s="578">
        <v>38.71</v>
      </c>
      <c r="M253" s="578">
        <v>3.0499999999999999E-2</v>
      </c>
      <c r="N253" s="578">
        <v>1.4999999999999999E-2</v>
      </c>
      <c r="O253" s="529">
        <v>3.58557499</v>
      </c>
      <c r="P253" s="544">
        <v>23.7</v>
      </c>
      <c r="Q253" s="544">
        <v>22.6</v>
      </c>
      <c r="R253" s="530">
        <v>61443</v>
      </c>
      <c r="S253" s="530">
        <v>62246</v>
      </c>
      <c r="T253" s="530">
        <v>803</v>
      </c>
      <c r="U253" s="530">
        <v>223.95292309867435</v>
      </c>
      <c r="V253" s="534">
        <v>61354</v>
      </c>
      <c r="W253" s="530">
        <v>62155</v>
      </c>
      <c r="X253" s="530">
        <v>801</v>
      </c>
      <c r="Y253" s="533">
        <v>223.39513250565147</v>
      </c>
      <c r="Z253" s="534">
        <v>180</v>
      </c>
      <c r="AA253" s="530">
        <v>191</v>
      </c>
      <c r="AB253" s="530">
        <v>11</v>
      </c>
      <c r="AC253" s="533">
        <v>3.0678482616256759</v>
      </c>
      <c r="AD253" s="534">
        <v>54684</v>
      </c>
      <c r="AE253" s="530">
        <v>55177</v>
      </c>
      <c r="AF253" s="530">
        <v>493</v>
      </c>
      <c r="AG253" s="533">
        <v>137.49538118013257</v>
      </c>
      <c r="AH253" s="534">
        <v>2413.6</v>
      </c>
      <c r="AI253" s="530">
        <v>2493.6999999999998</v>
      </c>
      <c r="AJ253" s="530">
        <v>80.099999999999909</v>
      </c>
      <c r="AK253" s="533">
        <v>22.339513250565123</v>
      </c>
      <c r="AL253" s="534">
        <v>2005.4002089999999</v>
      </c>
      <c r="AM253" s="530">
        <v>2074.9998900000001</v>
      </c>
      <c r="AN253" s="530">
        <v>69.599681000000146</v>
      </c>
      <c r="AO253" s="533">
        <v>19.41102366959564</v>
      </c>
      <c r="AP253" s="534">
        <v>-0.8</v>
      </c>
      <c r="AQ253" s="530">
        <v>-0.9</v>
      </c>
      <c r="AR253" s="530">
        <v>-9.9999999999999978E-2</v>
      </c>
      <c r="AS253" s="533">
        <v>-2.7889529651142501E-2</v>
      </c>
      <c r="AT253" s="534">
        <v>4095.3</v>
      </c>
      <c r="AU253" s="530">
        <v>4313.2</v>
      </c>
      <c r="AV253" s="530">
        <v>217.89999999999964</v>
      </c>
      <c r="AW253" s="533">
        <v>60.771285109839425</v>
      </c>
      <c r="AX253" s="534">
        <v>-20.37</v>
      </c>
      <c r="AY253" s="530">
        <v>-20.62</v>
      </c>
      <c r="AZ253" s="530">
        <v>-0.25</v>
      </c>
      <c r="BA253" s="530">
        <v>-1.5008280000000001</v>
      </c>
      <c r="BB253" s="533">
        <v>-6.9723824127856271E-2</v>
      </c>
      <c r="BC253" s="545"/>
      <c r="BD253" s="545"/>
      <c r="BE253" s="545"/>
      <c r="BF253" s="545"/>
      <c r="BG253" s="545"/>
      <c r="BH253" s="567"/>
      <c r="BI253" s="574" t="s">
        <v>723</v>
      </c>
      <c r="BJ253" s="1">
        <v>2318.5647141700001</v>
      </c>
      <c r="BK253" s="1">
        <v>-1.7923425900000001</v>
      </c>
      <c r="BL253" s="1">
        <v>2485.93740088</v>
      </c>
      <c r="BM253" s="1">
        <v>2531.3070960700002</v>
      </c>
      <c r="BN253" s="1">
        <v>3.1745317200000001</v>
      </c>
      <c r="BO253" s="1">
        <v>3.19935378</v>
      </c>
      <c r="BP253" s="1">
        <v>0.16614598999999999</v>
      </c>
      <c r="BQ253" s="1">
        <v>3.5854211899999999</v>
      </c>
      <c r="BR253" s="1">
        <v>3.57947404</v>
      </c>
      <c r="BS253" s="1">
        <v>-0.94935767000000004</v>
      </c>
      <c r="BT253" s="1">
        <v>-0.77584613000000002</v>
      </c>
      <c r="BU253" s="128">
        <v>0.71687752999999999</v>
      </c>
      <c r="BV253" s="512"/>
    </row>
    <row r="254" spans="1:74" s="519" customFormat="1" ht="22.5">
      <c r="A254" s="546">
        <v>62007004</v>
      </c>
      <c r="B254" s="543" t="s">
        <v>829</v>
      </c>
      <c r="C254" s="543" t="s">
        <v>697</v>
      </c>
      <c r="D254" s="513" t="s">
        <v>1224</v>
      </c>
      <c r="E254" s="524" t="s">
        <v>1225</v>
      </c>
      <c r="F254" s="524" t="s">
        <v>708</v>
      </c>
      <c r="G254" s="531">
        <v>37.697535999999999</v>
      </c>
      <c r="H254" s="531">
        <v>35.106133999999997</v>
      </c>
      <c r="I254" s="531">
        <v>29.238916</v>
      </c>
      <c r="J254" s="531">
        <v>45.244244999999999</v>
      </c>
      <c r="K254" s="578">
        <v>4250</v>
      </c>
      <c r="L254" s="578">
        <v>38.71</v>
      </c>
      <c r="M254" s="578">
        <v>3.0499999999999999E-2</v>
      </c>
      <c r="N254" s="578">
        <v>1.4999999999999999E-2</v>
      </c>
      <c r="O254" s="529">
        <v>10.28292987</v>
      </c>
      <c r="P254" s="544">
        <v>22.6</v>
      </c>
      <c r="Q254" s="544">
        <v>20</v>
      </c>
      <c r="R254" s="530">
        <v>62247</v>
      </c>
      <c r="S254" s="530">
        <v>64083</v>
      </c>
      <c r="T254" s="530">
        <v>1836</v>
      </c>
      <c r="U254" s="530">
        <v>178.54833429881205</v>
      </c>
      <c r="V254" s="534">
        <v>62156</v>
      </c>
      <c r="W254" s="530">
        <v>63989</v>
      </c>
      <c r="X254" s="530">
        <v>1833</v>
      </c>
      <c r="Y254" s="533">
        <v>178.25658865453295</v>
      </c>
      <c r="Z254" s="534">
        <v>191</v>
      </c>
      <c r="AA254" s="530">
        <v>194</v>
      </c>
      <c r="AB254" s="530">
        <v>3</v>
      </c>
      <c r="AC254" s="533">
        <v>0.29174564427910465</v>
      </c>
      <c r="AD254" s="534">
        <v>55177</v>
      </c>
      <c r="AE254" s="530">
        <v>56790</v>
      </c>
      <c r="AF254" s="530">
        <v>1613</v>
      </c>
      <c r="AG254" s="533">
        <v>156.86190807406527</v>
      </c>
      <c r="AH254" s="534">
        <v>2494.1</v>
      </c>
      <c r="AI254" s="530">
        <v>2582.9</v>
      </c>
      <c r="AJ254" s="530">
        <v>88.800000000000182</v>
      </c>
      <c r="AK254" s="533">
        <v>8.6356710706615161</v>
      </c>
      <c r="AL254" s="534">
        <v>2075.3398649999999</v>
      </c>
      <c r="AM254" s="530">
        <v>2151.2490210000001</v>
      </c>
      <c r="AN254" s="530">
        <v>75.909156000000166</v>
      </c>
      <c r="AO254" s="533">
        <v>7.3820552079677038</v>
      </c>
      <c r="AP254" s="534">
        <v>-0.9</v>
      </c>
      <c r="AQ254" s="530">
        <v>-1</v>
      </c>
      <c r="AR254" s="530">
        <v>-9.9999999999999978E-2</v>
      </c>
      <c r="AS254" s="533">
        <v>-9.7248548093034869E-3</v>
      </c>
      <c r="AT254" s="534">
        <v>4313.8</v>
      </c>
      <c r="AU254" s="530">
        <v>4443.3999999999996</v>
      </c>
      <c r="AV254" s="530">
        <v>129.59999999999945</v>
      </c>
      <c r="AW254" s="533">
        <v>12.603411832857269</v>
      </c>
      <c r="AX254" s="534">
        <v>-20.62</v>
      </c>
      <c r="AY254" s="530">
        <v>-20.92</v>
      </c>
      <c r="AZ254" s="530">
        <v>-0.30000000000000071</v>
      </c>
      <c r="BA254" s="530">
        <v>-1.447597</v>
      </c>
      <c r="BB254" s="533">
        <v>-2.9174564427910533E-2</v>
      </c>
      <c r="BC254" s="545"/>
      <c r="BD254" s="545"/>
      <c r="BE254" s="545"/>
      <c r="BF254" s="545"/>
      <c r="BG254" s="545"/>
      <c r="BH254" s="567"/>
      <c r="BI254" s="574" t="s">
        <v>723</v>
      </c>
      <c r="BJ254" s="1">
        <v>1873.1227794700001</v>
      </c>
      <c r="BK254" s="1">
        <v>-0.66857949999999999</v>
      </c>
      <c r="BL254" s="1">
        <v>1297.9892292899999</v>
      </c>
      <c r="BM254" s="1">
        <v>1306.7257296099999</v>
      </c>
      <c r="BN254" s="1">
        <v>6.7991890599999998</v>
      </c>
      <c r="BO254" s="1">
        <v>6.7902879</v>
      </c>
      <c r="BP254" s="1">
        <v>0.25656343999999998</v>
      </c>
      <c r="BQ254" s="1">
        <v>10.28299531</v>
      </c>
      <c r="BR254" s="1">
        <v>10.25668042</v>
      </c>
      <c r="BS254" s="1">
        <v>-0.12531266999999999</v>
      </c>
      <c r="BT254" s="1">
        <v>0.13108649999999999</v>
      </c>
      <c r="BU254" s="128">
        <v>0.33397833999999998</v>
      </c>
      <c r="BV254" s="512"/>
    </row>
    <row r="255" spans="1:74" s="519" customFormat="1" ht="22.5">
      <c r="A255" s="546">
        <v>62007004</v>
      </c>
      <c r="B255" s="543" t="s">
        <v>828</v>
      </c>
      <c r="C255" s="543" t="s">
        <v>699</v>
      </c>
      <c r="D255" s="513" t="s">
        <v>1224</v>
      </c>
      <c r="E255" s="524" t="s">
        <v>1225</v>
      </c>
      <c r="F255" s="524" t="s">
        <v>708</v>
      </c>
      <c r="G255" s="531">
        <v>35.345008</v>
      </c>
      <c r="H255" s="531">
        <v>46.314793000000002</v>
      </c>
      <c r="I255" s="531">
        <v>29.23049</v>
      </c>
      <c r="J255" s="531">
        <v>45.626828000000003</v>
      </c>
      <c r="K255" s="578">
        <v>4250</v>
      </c>
      <c r="L255" s="578">
        <v>38.71</v>
      </c>
      <c r="M255" s="578">
        <v>3.0499999999999999E-2</v>
      </c>
      <c r="N255" s="578">
        <v>1.4999999999999999E-2</v>
      </c>
      <c r="O255" s="529">
        <v>3.5963594099999998</v>
      </c>
      <c r="P255" s="544">
        <v>20</v>
      </c>
      <c r="Q255" s="544">
        <v>18.899999999999999</v>
      </c>
      <c r="R255" s="530">
        <v>64125</v>
      </c>
      <c r="S255" s="530">
        <v>64906</v>
      </c>
      <c r="T255" s="530">
        <v>781</v>
      </c>
      <c r="U255" s="530">
        <v>217.16405702621364</v>
      </c>
      <c r="V255" s="534">
        <v>64029</v>
      </c>
      <c r="W255" s="530">
        <v>64809</v>
      </c>
      <c r="X255" s="530">
        <v>780</v>
      </c>
      <c r="Y255" s="533">
        <v>216.8859980543491</v>
      </c>
      <c r="Z255" s="534">
        <v>195</v>
      </c>
      <c r="AA255" s="530">
        <v>202</v>
      </c>
      <c r="AB255" s="530">
        <v>7</v>
      </c>
      <c r="AC255" s="533">
        <v>1.9464128030518508</v>
      </c>
      <c r="AD255" s="534">
        <v>56790</v>
      </c>
      <c r="AE255" s="530">
        <v>57314</v>
      </c>
      <c r="AF255" s="530">
        <v>524</v>
      </c>
      <c r="AG255" s="533">
        <v>145.70290125702425</v>
      </c>
      <c r="AH255" s="534">
        <v>2621.7</v>
      </c>
      <c r="AI255" s="530">
        <v>2688.3</v>
      </c>
      <c r="AJ255" s="530">
        <v>66.600000000000364</v>
      </c>
      <c r="AK255" s="533">
        <v>18.518727526179138</v>
      </c>
      <c r="AL255" s="534">
        <v>2180.7390850000002</v>
      </c>
      <c r="AM255" s="530">
        <v>2238.7178370000001</v>
      </c>
      <c r="AN255" s="530">
        <v>57.978751999999986</v>
      </c>
      <c r="AO255" s="533">
        <v>16.121512171109725</v>
      </c>
      <c r="AP255" s="534">
        <v>-1.1000000000000001</v>
      </c>
      <c r="AQ255" s="530">
        <v>-1.1000000000000001</v>
      </c>
      <c r="AR255" s="530">
        <v>0</v>
      </c>
      <c r="AS255" s="533">
        <v>0</v>
      </c>
      <c r="AT255" s="534">
        <v>4444.2</v>
      </c>
      <c r="AU255" s="530">
        <v>4626.5</v>
      </c>
      <c r="AV255" s="530">
        <v>182.30000000000018</v>
      </c>
      <c r="AW255" s="533">
        <v>50.690150570907534</v>
      </c>
      <c r="AX255" s="534">
        <v>-21.16</v>
      </c>
      <c r="AY255" s="530">
        <v>-21.37</v>
      </c>
      <c r="AZ255" s="530">
        <v>-0.21000000000000085</v>
      </c>
      <c r="BA255" s="530">
        <v>-1.4081999999999999</v>
      </c>
      <c r="BB255" s="533">
        <v>-5.8392384091555762E-2</v>
      </c>
      <c r="BC255" s="545"/>
      <c r="BD255" s="545"/>
      <c r="BE255" s="545"/>
      <c r="BF255" s="545"/>
      <c r="BG255" s="545"/>
      <c r="BH255" s="567"/>
      <c r="BI255" s="574" t="s">
        <v>723</v>
      </c>
      <c r="BJ255" s="1">
        <v>2364.1719929599999</v>
      </c>
      <c r="BK255" s="1">
        <v>-1.0511172600000001</v>
      </c>
      <c r="BL255" s="1">
        <v>2027.1163083599999</v>
      </c>
      <c r="BM255" s="1">
        <v>2048.6500224000001</v>
      </c>
      <c r="BN255" s="1">
        <v>3.0199004399999998</v>
      </c>
      <c r="BO255" s="1">
        <v>3.0317548900000002</v>
      </c>
      <c r="BP255" s="1">
        <v>0.14624306000000001</v>
      </c>
      <c r="BQ255" s="1">
        <v>3.5962312299999999</v>
      </c>
      <c r="BR255" s="1">
        <v>3.5909796799999998</v>
      </c>
      <c r="BS255" s="1">
        <v>-0.53936161000000005</v>
      </c>
      <c r="BT255" s="1">
        <v>-0.39100959000000002</v>
      </c>
      <c r="BU255" s="128">
        <v>0.63447176999999999</v>
      </c>
      <c r="BV255" s="512"/>
    </row>
    <row r="256" spans="1:74" s="519" customFormat="1" ht="22.5">
      <c r="A256" s="546">
        <v>62007004</v>
      </c>
      <c r="B256" s="543" t="s">
        <v>239</v>
      </c>
      <c r="C256" s="543" t="s">
        <v>700</v>
      </c>
      <c r="D256" s="513" t="s">
        <v>1224</v>
      </c>
      <c r="E256" s="524" t="s">
        <v>1225</v>
      </c>
      <c r="F256" s="524" t="s">
        <v>708</v>
      </c>
      <c r="G256" s="531">
        <v>33.075409999999998</v>
      </c>
      <c r="H256" s="531">
        <v>49.746657999999996</v>
      </c>
      <c r="I256" s="531">
        <v>29.225225999999999</v>
      </c>
      <c r="J256" s="531">
        <v>45.038652999999996</v>
      </c>
      <c r="K256" s="578">
        <v>4250</v>
      </c>
      <c r="L256" s="578">
        <v>38.71</v>
      </c>
      <c r="M256" s="578">
        <v>3.0499999999999999E-2</v>
      </c>
      <c r="N256" s="578">
        <v>1.4999999999999999E-2</v>
      </c>
      <c r="O256" s="529">
        <v>3.8631632900000001</v>
      </c>
      <c r="P256" s="544">
        <v>18.899999999999999</v>
      </c>
      <c r="Q256" s="544">
        <v>17.8</v>
      </c>
      <c r="R256" s="530">
        <v>64906</v>
      </c>
      <c r="S256" s="530">
        <v>65650</v>
      </c>
      <c r="T256" s="530">
        <v>744</v>
      </c>
      <c r="U256" s="530">
        <v>192.58828689066362</v>
      </c>
      <c r="V256" s="534">
        <v>64809</v>
      </c>
      <c r="W256" s="530">
        <v>65550</v>
      </c>
      <c r="X256" s="530">
        <v>741</v>
      </c>
      <c r="Y256" s="533">
        <v>191.81172121771741</v>
      </c>
      <c r="Z256" s="534">
        <v>202</v>
      </c>
      <c r="AA256" s="530">
        <v>220</v>
      </c>
      <c r="AB256" s="530">
        <v>18</v>
      </c>
      <c r="AC256" s="533">
        <v>4.6593940376773455</v>
      </c>
      <c r="AD256" s="534">
        <v>57314</v>
      </c>
      <c r="AE256" s="530">
        <v>57771</v>
      </c>
      <c r="AF256" s="530">
        <v>457</v>
      </c>
      <c r="AG256" s="533">
        <v>118.29683751214151</v>
      </c>
      <c r="AH256" s="534">
        <v>2688.3</v>
      </c>
      <c r="AI256" s="530">
        <v>2792.1</v>
      </c>
      <c r="AJ256" s="530">
        <v>103.79999999999973</v>
      </c>
      <c r="AK256" s="533">
        <v>26.869172283939289</v>
      </c>
      <c r="AL256" s="534">
        <v>2238.7289129999999</v>
      </c>
      <c r="AM256" s="530">
        <v>2327.698461</v>
      </c>
      <c r="AN256" s="530">
        <v>88.969548000000032</v>
      </c>
      <c r="AO256" s="533">
        <v>23.030232304780476</v>
      </c>
      <c r="AP256" s="534">
        <v>-1.1000000000000001</v>
      </c>
      <c r="AQ256" s="530">
        <v>-1.2</v>
      </c>
      <c r="AR256" s="530">
        <v>-9.9999999999999867E-2</v>
      </c>
      <c r="AS256" s="533">
        <v>-2.5885522431540776E-2</v>
      </c>
      <c r="AT256" s="534">
        <v>4626.6000000000004</v>
      </c>
      <c r="AU256" s="530">
        <v>4790</v>
      </c>
      <c r="AV256" s="530">
        <v>163.39999999999964</v>
      </c>
      <c r="AW256" s="533">
        <v>42.296943653137589</v>
      </c>
      <c r="AX256" s="534">
        <v>-21.37</v>
      </c>
      <c r="AY256" s="530">
        <v>-21.71</v>
      </c>
      <c r="AZ256" s="530">
        <v>-0.33999999999999986</v>
      </c>
      <c r="BA256" s="530">
        <v>-1.441883</v>
      </c>
      <c r="BB256" s="533">
        <v>-8.8010776267238716E-2</v>
      </c>
      <c r="BC256" s="545"/>
      <c r="BD256" s="545"/>
      <c r="BE256" s="545"/>
      <c r="BF256" s="545"/>
      <c r="BG256" s="545"/>
      <c r="BH256" s="567"/>
      <c r="BI256" s="574" t="s">
        <v>723</v>
      </c>
      <c r="BJ256" s="1">
        <v>1474.96263746</v>
      </c>
      <c r="BK256" s="1">
        <v>-1.4251459799999999</v>
      </c>
      <c r="BL256" s="1">
        <v>3367.3106283799998</v>
      </c>
      <c r="BM256" s="1">
        <v>3415.99352284</v>
      </c>
      <c r="BN256" s="1">
        <v>2.9783218100000002</v>
      </c>
      <c r="BO256" s="1">
        <v>2.9950109299999998</v>
      </c>
      <c r="BP256" s="1">
        <v>8.0021739999999994E-2</v>
      </c>
      <c r="BQ256" s="1">
        <v>3.8629179599999999</v>
      </c>
      <c r="BR256" s="1">
        <v>3.8598292600000002</v>
      </c>
      <c r="BS256" s="1">
        <v>-0.64082333000000002</v>
      </c>
      <c r="BT256" s="1">
        <v>-0.55723073000000001</v>
      </c>
      <c r="BU256" s="128">
        <v>0.72010156999999997</v>
      </c>
      <c r="BV256" s="512"/>
    </row>
    <row r="257" spans="1:74" s="519" customFormat="1" ht="22.5">
      <c r="A257" s="546">
        <v>62007004</v>
      </c>
      <c r="B257" s="543" t="s">
        <v>833</v>
      </c>
      <c r="C257" s="543" t="s">
        <v>701</v>
      </c>
      <c r="D257" s="513" t="s">
        <v>1224</v>
      </c>
      <c r="E257" s="524" t="s">
        <v>1225</v>
      </c>
      <c r="F257" s="524" t="s">
        <v>708</v>
      </c>
      <c r="G257" s="468">
        <v>34.210208999999999</v>
      </c>
      <c r="H257" s="468">
        <v>48.030725500000003</v>
      </c>
      <c r="I257" s="468">
        <v>29.227857999999998</v>
      </c>
      <c r="J257" s="468">
        <v>45.3327405</v>
      </c>
      <c r="K257" s="579"/>
      <c r="L257" s="578"/>
      <c r="M257" s="580"/>
      <c r="N257" s="581"/>
      <c r="O257" s="453">
        <v>7.4595227</v>
      </c>
      <c r="P257" s="493">
        <v>20</v>
      </c>
      <c r="Q257" s="493">
        <v>17.8</v>
      </c>
      <c r="R257" s="456">
        <v>64125</v>
      </c>
      <c r="S257" s="456">
        <v>65650</v>
      </c>
      <c r="T257" s="456">
        <v>1525</v>
      </c>
      <c r="U257" s="456">
        <v>204.43667260373107</v>
      </c>
      <c r="V257" s="456">
        <v>64029</v>
      </c>
      <c r="W257" s="456">
        <v>65550</v>
      </c>
      <c r="X257" s="456">
        <v>1521</v>
      </c>
      <c r="Y257" s="454">
        <v>203.90044526575406</v>
      </c>
      <c r="Z257" s="456">
        <v>195</v>
      </c>
      <c r="AA257" s="456">
        <v>220</v>
      </c>
      <c r="AB257" s="456">
        <v>25</v>
      </c>
      <c r="AC257" s="454">
        <v>3.3514208623562469</v>
      </c>
      <c r="AD257" s="456">
        <v>56790</v>
      </c>
      <c r="AE257" s="456">
        <v>57771</v>
      </c>
      <c r="AF257" s="456">
        <v>981</v>
      </c>
      <c r="AG257" s="454">
        <v>131.50975463885914</v>
      </c>
      <c r="AH257" s="456">
        <v>2621.7</v>
      </c>
      <c r="AI257" s="456">
        <v>2792.1</v>
      </c>
      <c r="AJ257" s="456">
        <v>170.40000000000009</v>
      </c>
      <c r="AK257" s="454">
        <v>22.84328459782019</v>
      </c>
      <c r="AL257" s="456">
        <v>2180.7390850000002</v>
      </c>
      <c r="AM257" s="456">
        <v>2327.698461</v>
      </c>
      <c r="AN257" s="456">
        <v>146.94830000000002</v>
      </c>
      <c r="AO257" s="454">
        <v>19.699423932311383</v>
      </c>
      <c r="AP257" s="456">
        <v>-1.1000000000000001</v>
      </c>
      <c r="AQ257" s="456">
        <v>-1.2</v>
      </c>
      <c r="AR257" s="456">
        <v>-9.9999999999999867E-2</v>
      </c>
      <c r="AS257" s="454">
        <v>-1.3405683449424971E-2</v>
      </c>
      <c r="AT257" s="456">
        <v>4444.2</v>
      </c>
      <c r="AU257" s="456">
        <v>4790</v>
      </c>
      <c r="AV257" s="456">
        <v>345.69999999999982</v>
      </c>
      <c r="AW257" s="454">
        <v>46.343447684662159</v>
      </c>
      <c r="AX257" s="456">
        <v>-21.16</v>
      </c>
      <c r="AY257" s="456">
        <v>-21.71</v>
      </c>
      <c r="AZ257" s="456">
        <v>-0.55000000000000071</v>
      </c>
      <c r="BA257" s="530">
        <v>-1.4250414999999998</v>
      </c>
      <c r="BB257" s="454">
        <v>-7.3731258971837535E-2</v>
      </c>
      <c r="BC257" s="496"/>
      <c r="BD257" s="496"/>
      <c r="BE257" s="496"/>
      <c r="BF257" s="496"/>
      <c r="BG257" s="496"/>
      <c r="BH257" s="568"/>
      <c r="BI257" s="574" t="s">
        <v>723</v>
      </c>
      <c r="BJ257" s="1"/>
      <c r="BK257" s="1"/>
      <c r="BL257" s="1"/>
      <c r="BM257" s="1"/>
      <c r="BN257" s="1"/>
      <c r="BO257" s="1"/>
      <c r="BP257" s="1"/>
      <c r="BQ257" s="1"/>
      <c r="BR257" s="1"/>
      <c r="BS257" s="1"/>
      <c r="BT257" s="1"/>
      <c r="BU257" s="128"/>
      <c r="BV257" s="512"/>
    </row>
    <row r="258" spans="1:74" s="519" customFormat="1" ht="33.75">
      <c r="A258" s="546">
        <v>62007005</v>
      </c>
      <c r="B258" s="543" t="s">
        <v>838</v>
      </c>
      <c r="C258" s="543" t="s">
        <v>695</v>
      </c>
      <c r="D258" s="513" t="s">
        <v>1226</v>
      </c>
      <c r="E258" s="524" t="s">
        <v>1227</v>
      </c>
      <c r="F258" s="524" t="s">
        <v>708</v>
      </c>
      <c r="G258" s="531">
        <v>38.768559000000003</v>
      </c>
      <c r="H258" s="531">
        <v>28.947244000000001</v>
      </c>
      <c r="I258" s="531">
        <v>29.220208</v>
      </c>
      <c r="J258" s="531">
        <v>47.066865</v>
      </c>
      <c r="K258" s="578">
        <v>4250</v>
      </c>
      <c r="L258" s="578">
        <v>38.71</v>
      </c>
      <c r="M258" s="578">
        <v>3.0499999999999999E-2</v>
      </c>
      <c r="N258" s="578">
        <v>1.4999999999999999E-2</v>
      </c>
      <c r="O258" s="529">
        <v>47.531046449999998</v>
      </c>
      <c r="P258" s="544">
        <v>17.8</v>
      </c>
      <c r="Q258" s="544">
        <v>2.1</v>
      </c>
      <c r="R258" s="530">
        <v>65669</v>
      </c>
      <c r="S258" s="530">
        <v>75998</v>
      </c>
      <c r="T258" s="530">
        <v>10329</v>
      </c>
      <c r="U258" s="530">
        <v>217.31059531511747</v>
      </c>
      <c r="V258" s="534">
        <v>65568</v>
      </c>
      <c r="W258" s="530">
        <v>75880</v>
      </c>
      <c r="X258" s="530">
        <v>10312</v>
      </c>
      <c r="Y258" s="533">
        <v>216.95293434887125</v>
      </c>
      <c r="Z258" s="534">
        <v>220</v>
      </c>
      <c r="AA258" s="530">
        <v>225</v>
      </c>
      <c r="AB258" s="530">
        <v>5</v>
      </c>
      <c r="AC258" s="533">
        <v>0.10519440183711756</v>
      </c>
      <c r="AD258" s="534">
        <v>57771</v>
      </c>
      <c r="AE258" s="530">
        <v>67326</v>
      </c>
      <c r="AF258" s="530">
        <v>9555</v>
      </c>
      <c r="AG258" s="533">
        <v>201.02650191073167</v>
      </c>
      <c r="AH258" s="534">
        <v>2808.7</v>
      </c>
      <c r="AI258" s="530">
        <v>3106.4</v>
      </c>
      <c r="AJ258" s="530">
        <v>297.70000000000027</v>
      </c>
      <c r="AK258" s="533">
        <v>6.2632746853819858</v>
      </c>
      <c r="AL258" s="534">
        <v>2340.6888450000001</v>
      </c>
      <c r="AM258" s="530">
        <v>2595.0300000000002</v>
      </c>
      <c r="AN258" s="530">
        <v>254.34115500000007</v>
      </c>
      <c r="AO258" s="533">
        <v>5.3510531325573218</v>
      </c>
      <c r="AP258" s="534">
        <v>-1.3</v>
      </c>
      <c r="AQ258" s="530">
        <v>-1.5</v>
      </c>
      <c r="AR258" s="530">
        <v>-0.19999999999999996</v>
      </c>
      <c r="AS258" s="533">
        <v>-4.2077760734847017E-3</v>
      </c>
      <c r="AT258" s="534">
        <v>4790.9884519999996</v>
      </c>
      <c r="AU258" s="530">
        <v>5254.3</v>
      </c>
      <c r="AV258" s="530">
        <v>463.31154800000058</v>
      </c>
      <c r="AW258" s="533">
        <v>9.7475562312178088</v>
      </c>
      <c r="AX258" s="534">
        <v>-21.8</v>
      </c>
      <c r="AY258" s="530">
        <v>-20.39</v>
      </c>
      <c r="AZ258" s="530">
        <v>1.4100000000000001</v>
      </c>
      <c r="BA258" s="530">
        <v>3.8609870000000002</v>
      </c>
      <c r="BB258" s="533">
        <v>2.9664821318067157E-2</v>
      </c>
      <c r="BC258" s="545"/>
      <c r="BD258" s="545"/>
      <c r="BE258" s="545"/>
      <c r="BF258" s="545"/>
      <c r="BG258" s="545"/>
      <c r="BH258" s="567"/>
      <c r="BI258" s="574" t="s">
        <v>723</v>
      </c>
      <c r="BJ258" s="1">
        <v>46.648055849999999</v>
      </c>
      <c r="BK258" s="1">
        <v>15.008322100000001</v>
      </c>
      <c r="BL258" s="1">
        <v>668.37316406000002</v>
      </c>
      <c r="BM258" s="1">
        <v>581.15200000000004</v>
      </c>
      <c r="BN258" s="1">
        <v>35.888485770000003</v>
      </c>
      <c r="BO258" s="1">
        <v>37.16016905</v>
      </c>
      <c r="BP258" s="1">
        <v>-2.7248089000000002</v>
      </c>
      <c r="BQ258" s="1">
        <v>47.531426019999998</v>
      </c>
      <c r="BR258" s="1">
        <v>48.86284517</v>
      </c>
      <c r="BS258" s="1">
        <v>-0.72206914</v>
      </c>
      <c r="BT258" s="1">
        <v>-3.4221676300000001</v>
      </c>
      <c r="BU258" s="128">
        <v>2.223002E-2</v>
      </c>
      <c r="BV258" s="512"/>
    </row>
    <row r="259" spans="1:74" s="519" customFormat="1">
      <c r="A259" s="546">
        <v>62007006</v>
      </c>
      <c r="B259" s="543" t="s">
        <v>907</v>
      </c>
      <c r="C259" s="543" t="s">
        <v>695</v>
      </c>
      <c r="D259" s="513" t="s">
        <v>1228</v>
      </c>
      <c r="E259" s="524" t="s">
        <v>1229</v>
      </c>
      <c r="F259" s="524" t="s">
        <v>708</v>
      </c>
      <c r="G259" s="531">
        <v>-41.124222000000003</v>
      </c>
      <c r="H259" s="531">
        <v>-55.86645</v>
      </c>
      <c r="I259" s="531">
        <v>-35.619380999999997</v>
      </c>
      <c r="J259" s="531">
        <v>-42.829694000000003</v>
      </c>
      <c r="K259" s="578">
        <v>4250</v>
      </c>
      <c r="L259" s="578">
        <v>38.71</v>
      </c>
      <c r="M259" s="578">
        <v>3.0499999999999999E-2</v>
      </c>
      <c r="N259" s="578">
        <v>1.4999999999999999E-2</v>
      </c>
      <c r="O259" s="529">
        <v>8.7576400000000006E-3</v>
      </c>
      <c r="P259" s="544">
        <v>2.1</v>
      </c>
      <c r="Q259" s="544">
        <v>99.6</v>
      </c>
      <c r="R259" s="530">
        <v>75998</v>
      </c>
      <c r="S259" s="530">
        <v>-2584</v>
      </c>
      <c r="T259" s="530">
        <v>-78582</v>
      </c>
      <c r="U259" s="530">
        <v>-8972965.3194239531</v>
      </c>
      <c r="V259" s="534">
        <v>75880</v>
      </c>
      <c r="W259" s="530">
        <v>-2690</v>
      </c>
      <c r="X259" s="530">
        <v>-78570</v>
      </c>
      <c r="Y259" s="533">
        <v>-8971595.0872609504</v>
      </c>
      <c r="Z259" s="534">
        <v>225</v>
      </c>
      <c r="AA259" s="530">
        <v>252</v>
      </c>
      <c r="AB259" s="530">
        <v>27</v>
      </c>
      <c r="AC259" s="533">
        <v>3083.0223667563405</v>
      </c>
      <c r="AD259" s="534">
        <v>67326</v>
      </c>
      <c r="AE259" s="530">
        <v>67342</v>
      </c>
      <c r="AF259" s="530">
        <v>16</v>
      </c>
      <c r="AG259" s="533">
        <v>1826.9762173370907</v>
      </c>
      <c r="AH259" s="534">
        <v>3106.4</v>
      </c>
      <c r="AI259" s="530">
        <v>-75591.399999999994</v>
      </c>
      <c r="AJ259" s="530">
        <v>-78697.799999999988</v>
      </c>
      <c r="AK259" s="533">
        <v>-8986188.0597969294</v>
      </c>
      <c r="AL259" s="534">
        <v>2594.38</v>
      </c>
      <c r="AM259" s="530">
        <v>3382.55</v>
      </c>
      <c r="AN259" s="530">
        <v>788.17000000000007</v>
      </c>
      <c r="AO259" s="533">
        <v>89997.990326160929</v>
      </c>
      <c r="AP259" s="534">
        <v>-1.5</v>
      </c>
      <c r="AQ259" s="530">
        <v>-14</v>
      </c>
      <c r="AR259" s="530">
        <v>-12.5</v>
      </c>
      <c r="AS259" s="533">
        <v>-1427.3251697946021</v>
      </c>
      <c r="AT259" s="534">
        <v>5254.3</v>
      </c>
      <c r="AU259" s="530">
        <v>5270.9</v>
      </c>
      <c r="AV259" s="530">
        <v>16.599999999999454</v>
      </c>
      <c r="AW259" s="533">
        <v>1895.4878254871692</v>
      </c>
      <c r="AX259" s="534">
        <v>-1.3463179999999999</v>
      </c>
      <c r="AY259" s="530">
        <v>-41.67</v>
      </c>
      <c r="AZ259" s="530">
        <v>-40.323682000000005</v>
      </c>
      <c r="BA259" s="530">
        <v>4.9429699999999999</v>
      </c>
      <c r="BB259" s="533">
        <v>-4604.4005005914842</v>
      </c>
      <c r="BC259" s="545">
        <v>28.8</v>
      </c>
      <c r="BD259" s="545">
        <v>86126.9</v>
      </c>
      <c r="BE259" s="545">
        <v>86098.099999999991</v>
      </c>
      <c r="BF259" s="545">
        <v>0</v>
      </c>
      <c r="BG259" s="545">
        <v>-85185.1</v>
      </c>
      <c r="BH259" s="567">
        <v>-85185.1</v>
      </c>
      <c r="BI259" s="574"/>
      <c r="BJ259" s="1"/>
      <c r="BK259" s="1"/>
      <c r="BL259" s="1"/>
      <c r="BM259" s="1"/>
      <c r="BN259" s="1"/>
      <c r="BO259" s="1"/>
      <c r="BP259" s="1"/>
      <c r="BQ259" s="1"/>
      <c r="BR259" s="1"/>
      <c r="BS259" s="1"/>
      <c r="BT259" s="1"/>
      <c r="BU259" s="128"/>
      <c r="BV259" s="512"/>
    </row>
    <row r="260" spans="1:74" s="520" customFormat="1" ht="15.75">
      <c r="A260" s="535" t="s">
        <v>1252</v>
      </c>
      <c r="B260" s="537"/>
      <c r="C260" s="537"/>
      <c r="D260" s="537"/>
      <c r="E260" s="538"/>
      <c r="F260" s="538"/>
      <c r="G260" s="538"/>
      <c r="H260" s="538"/>
      <c r="I260" s="538"/>
      <c r="J260" s="538"/>
      <c r="K260" s="537"/>
      <c r="L260" s="537"/>
      <c r="M260" s="576"/>
      <c r="N260" s="577"/>
      <c r="O260" s="537"/>
      <c r="P260" s="537"/>
      <c r="Q260" s="537"/>
      <c r="R260" s="537"/>
      <c r="S260" s="537"/>
      <c r="T260" s="537"/>
      <c r="U260" s="537"/>
      <c r="V260" s="537"/>
      <c r="W260" s="537"/>
      <c r="X260" s="537"/>
      <c r="Y260" s="537"/>
      <c r="Z260" s="537"/>
      <c r="AA260" s="537"/>
      <c r="AB260" s="537"/>
      <c r="AC260" s="537"/>
      <c r="AD260" s="537"/>
      <c r="AE260" s="537"/>
      <c r="AF260" s="537"/>
      <c r="AG260" s="537"/>
      <c r="AH260" s="537"/>
      <c r="AI260" s="537"/>
      <c r="AJ260" s="537"/>
      <c r="AK260" s="537"/>
      <c r="AL260" s="537"/>
      <c r="AM260" s="537"/>
      <c r="AN260" s="537"/>
      <c r="AO260" s="537"/>
      <c r="AP260" s="537"/>
      <c r="AQ260" s="537"/>
      <c r="AR260" s="537"/>
      <c r="AS260" s="537"/>
      <c r="AT260" s="537"/>
      <c r="AU260" s="537"/>
      <c r="AV260" s="537"/>
      <c r="AW260" s="537"/>
      <c r="AX260" s="537"/>
      <c r="AY260" s="537"/>
      <c r="AZ260" s="537"/>
      <c r="BA260" s="537"/>
      <c r="BB260" s="537"/>
      <c r="BC260" s="537"/>
      <c r="BD260" s="537"/>
      <c r="BE260" s="537"/>
      <c r="BF260" s="537"/>
      <c r="BG260" s="537"/>
      <c r="BH260" s="537"/>
      <c r="BI260" s="569"/>
      <c r="BJ260" s="537"/>
      <c r="BK260" s="537"/>
      <c r="BL260" s="537"/>
      <c r="BM260" s="537"/>
      <c r="BN260" s="537"/>
      <c r="BO260" s="537"/>
      <c r="BP260" s="537"/>
      <c r="BQ260" s="537"/>
      <c r="BR260" s="537"/>
      <c r="BS260" s="537"/>
      <c r="BT260" s="537"/>
      <c r="BU260" s="542"/>
      <c r="BV260" s="541"/>
    </row>
    <row r="261" spans="1:74" s="519" customFormat="1">
      <c r="A261" s="546">
        <v>62007007</v>
      </c>
      <c r="B261" s="543" t="s">
        <v>1050</v>
      </c>
      <c r="C261" s="543" t="s">
        <v>695</v>
      </c>
      <c r="D261" s="513" t="s">
        <v>1231</v>
      </c>
      <c r="E261" s="524" t="s">
        <v>1232</v>
      </c>
      <c r="F261" s="524" t="s">
        <v>708</v>
      </c>
      <c r="G261" s="531">
        <v>23.401595</v>
      </c>
      <c r="H261" s="531">
        <v>41.567543000000001</v>
      </c>
      <c r="I261" s="531">
        <v>29.247769999999999</v>
      </c>
      <c r="J261" s="531">
        <v>30.789470999999999</v>
      </c>
      <c r="K261" s="578">
        <v>4250</v>
      </c>
      <c r="L261" s="578">
        <v>38.71</v>
      </c>
      <c r="M261" s="578">
        <v>3.0499999999999999E-2</v>
      </c>
      <c r="N261" s="578">
        <v>1.4999999999999999E-2</v>
      </c>
      <c r="O261" s="529">
        <v>9.8331093700000007</v>
      </c>
      <c r="P261" s="544">
        <v>99.4</v>
      </c>
      <c r="Q261" s="544">
        <v>96.7</v>
      </c>
      <c r="R261" s="530">
        <v>14.917552000000001</v>
      </c>
      <c r="S261" s="530">
        <v>2420</v>
      </c>
      <c r="T261" s="530">
        <v>2405.0824480000001</v>
      </c>
      <c r="U261" s="530">
        <v>244.59022649922991</v>
      </c>
      <c r="V261" s="534">
        <v>15.917552000000001</v>
      </c>
      <c r="W261" s="530">
        <v>2434</v>
      </c>
      <c r="X261" s="530">
        <v>2418.0824480000001</v>
      </c>
      <c r="Y261" s="533">
        <v>245.91229050877524</v>
      </c>
      <c r="Z261" s="534">
        <v>0</v>
      </c>
      <c r="AA261" s="530">
        <v>44</v>
      </c>
      <c r="AB261" s="530">
        <v>44</v>
      </c>
      <c r="AC261" s="533">
        <v>4.4746781861534402</v>
      </c>
      <c r="AD261" s="534">
        <v>0</v>
      </c>
      <c r="AE261" s="530">
        <v>2193</v>
      </c>
      <c r="AF261" s="530">
        <v>2193</v>
      </c>
      <c r="AG261" s="533">
        <v>223.02202868714761</v>
      </c>
      <c r="AH261" s="534">
        <v>14</v>
      </c>
      <c r="AI261" s="530">
        <v>179.7</v>
      </c>
      <c r="AJ261" s="530">
        <v>165.7</v>
      </c>
      <c r="AK261" s="533">
        <v>16.85123126012784</v>
      </c>
      <c r="AL261" s="534">
        <v>11.067822</v>
      </c>
      <c r="AM261" s="530">
        <v>145.33708899999999</v>
      </c>
      <c r="AN261" s="530">
        <v>134.26926699999999</v>
      </c>
      <c r="AO261" s="533">
        <v>13.654812729902543</v>
      </c>
      <c r="AP261" s="534">
        <v>-0.1</v>
      </c>
      <c r="AQ261" s="530">
        <v>-0.7</v>
      </c>
      <c r="AR261" s="530">
        <v>-0.6</v>
      </c>
      <c r="AS261" s="533">
        <v>-6.1018338902092364E-2</v>
      </c>
      <c r="AT261" s="534">
        <v>0.2</v>
      </c>
      <c r="AU261" s="530">
        <v>1.8</v>
      </c>
      <c r="AV261" s="530">
        <v>1.6</v>
      </c>
      <c r="AW261" s="533">
        <v>0.16271557040557966</v>
      </c>
      <c r="AX261" s="534">
        <v>-0.52</v>
      </c>
      <c r="AY261" s="530">
        <v>-4.54</v>
      </c>
      <c r="AZ261" s="530">
        <v>-4.0199999999999996</v>
      </c>
      <c r="BA261" s="530">
        <v>-10.126628999999999</v>
      </c>
      <c r="BB261" s="533">
        <v>-0.40882287064401879</v>
      </c>
      <c r="BC261" s="545"/>
      <c r="BD261" s="545"/>
      <c r="BE261" s="545"/>
      <c r="BF261" s="545"/>
      <c r="BG261" s="545"/>
      <c r="BH261" s="567"/>
      <c r="BI261" s="574" t="s">
        <v>723</v>
      </c>
      <c r="BJ261" s="1">
        <v>3590.8068287000001</v>
      </c>
      <c r="BK261" s="1">
        <v>-0.88108931000000001</v>
      </c>
      <c r="BL261" s="1">
        <v>7216.5150075600004</v>
      </c>
      <c r="BM261" s="1">
        <v>7280.6641608899999</v>
      </c>
      <c r="BN261" s="1">
        <v>10.018354929999999</v>
      </c>
      <c r="BO261" s="1">
        <v>10.03850293</v>
      </c>
      <c r="BP261" s="1">
        <v>0.17297013</v>
      </c>
      <c r="BQ261" s="1">
        <v>9.8329681999999998</v>
      </c>
      <c r="BR261" s="1">
        <v>9.8159894699999999</v>
      </c>
      <c r="BS261" s="1">
        <v>-0.37442887000000002</v>
      </c>
      <c r="BT261" s="1">
        <v>-0.20070722999999999</v>
      </c>
      <c r="BU261" s="128">
        <v>0.68622114999999995</v>
      </c>
      <c r="BV261" s="512"/>
    </row>
    <row r="262" spans="1:74" s="519" customFormat="1">
      <c r="A262" s="546">
        <v>62007007</v>
      </c>
      <c r="B262" s="543" t="s">
        <v>1051</v>
      </c>
      <c r="C262" s="543" t="s">
        <v>696</v>
      </c>
      <c r="D262" s="513" t="s">
        <v>1231</v>
      </c>
      <c r="E262" s="524" t="s">
        <v>1232</v>
      </c>
      <c r="F262" s="524" t="s">
        <v>708</v>
      </c>
      <c r="G262" s="531">
        <v>21.232724999999999</v>
      </c>
      <c r="H262" s="531">
        <v>47.128667999999998</v>
      </c>
      <c r="I262" s="531">
        <v>29.238427000000001</v>
      </c>
      <c r="J262" s="531">
        <v>32.456435999999997</v>
      </c>
      <c r="K262" s="578">
        <v>4250</v>
      </c>
      <c r="L262" s="578">
        <v>38.71</v>
      </c>
      <c r="M262" s="578">
        <v>3.0499999999999999E-2</v>
      </c>
      <c r="N262" s="578">
        <v>1.4999999999999999E-2</v>
      </c>
      <c r="O262" s="529">
        <v>9.8403884000000001</v>
      </c>
      <c r="P262" s="544">
        <v>96.7</v>
      </c>
      <c r="Q262" s="544">
        <v>94.2</v>
      </c>
      <c r="R262" s="530">
        <v>2422</v>
      </c>
      <c r="S262" s="530">
        <v>4530</v>
      </c>
      <c r="T262" s="530">
        <v>2108</v>
      </c>
      <c r="U262" s="530">
        <v>214.21918671421545</v>
      </c>
      <c r="V262" s="534">
        <v>2436</v>
      </c>
      <c r="W262" s="530">
        <v>4555</v>
      </c>
      <c r="X262" s="530">
        <v>2119</v>
      </c>
      <c r="Y262" s="533">
        <v>215.33702877012456</v>
      </c>
      <c r="Z262" s="534">
        <v>44</v>
      </c>
      <c r="AA262" s="530">
        <v>74</v>
      </c>
      <c r="AB262" s="530">
        <v>30</v>
      </c>
      <c r="AC262" s="533">
        <v>3.0486601524793473</v>
      </c>
      <c r="AD262" s="534">
        <v>2193</v>
      </c>
      <c r="AE262" s="530">
        <v>4113</v>
      </c>
      <c r="AF262" s="530">
        <v>1920</v>
      </c>
      <c r="AG262" s="533">
        <v>195.11424975867823</v>
      </c>
      <c r="AH262" s="534">
        <v>181.7</v>
      </c>
      <c r="AI262" s="530">
        <v>336.1</v>
      </c>
      <c r="AJ262" s="530">
        <v>154.40000000000003</v>
      </c>
      <c r="AK262" s="533">
        <v>15.690437584760376</v>
      </c>
      <c r="AL262" s="534">
        <v>146.92697899999999</v>
      </c>
      <c r="AM262" s="530">
        <v>271.146275</v>
      </c>
      <c r="AN262" s="530">
        <v>124.21929600000001</v>
      </c>
      <c r="AO262" s="533">
        <v>12.623413929474573</v>
      </c>
      <c r="AP262" s="534">
        <v>-0.7</v>
      </c>
      <c r="AQ262" s="530">
        <v>-1.3</v>
      </c>
      <c r="AR262" s="530">
        <v>-0.60000000000000009</v>
      </c>
      <c r="AS262" s="533">
        <v>-6.0973203049586956E-2</v>
      </c>
      <c r="AT262" s="534">
        <v>1.8</v>
      </c>
      <c r="AU262" s="530">
        <v>3.3</v>
      </c>
      <c r="AV262" s="530">
        <v>1.4999999999999998</v>
      </c>
      <c r="AW262" s="533">
        <v>0.15243300762396733</v>
      </c>
      <c r="AX262" s="534">
        <v>-4.58</v>
      </c>
      <c r="AY262" s="530">
        <v>-6.73</v>
      </c>
      <c r="AZ262" s="530">
        <v>-2.1500000000000004</v>
      </c>
      <c r="BA262" s="530">
        <v>-5.3591870000000004</v>
      </c>
      <c r="BB262" s="533">
        <v>-0.21848731092768658</v>
      </c>
      <c r="BC262" s="545"/>
      <c r="BD262" s="545"/>
      <c r="BE262" s="545"/>
      <c r="BF262" s="545"/>
      <c r="BG262" s="545"/>
      <c r="BH262" s="567"/>
      <c r="BI262" s="574" t="s">
        <v>723</v>
      </c>
      <c r="BJ262" s="1">
        <v>3535.0678357299998</v>
      </c>
      <c r="BK262" s="1">
        <v>-2.09357719</v>
      </c>
      <c r="BL262" s="1">
        <v>7127.2670623499998</v>
      </c>
      <c r="BM262" s="1">
        <v>7279.6726278799997</v>
      </c>
      <c r="BN262" s="1">
        <v>9.9871699399999994</v>
      </c>
      <c r="BO262" s="1">
        <v>10.03726546</v>
      </c>
      <c r="BP262" s="1">
        <v>0.24731860999999999</v>
      </c>
      <c r="BQ262" s="1">
        <v>9.84027064</v>
      </c>
      <c r="BR262" s="1">
        <v>9.8159938600000007</v>
      </c>
      <c r="BS262" s="1">
        <v>-0.75015794999999996</v>
      </c>
      <c r="BT262" s="1">
        <v>-0.49909533</v>
      </c>
      <c r="BU262" s="128">
        <v>0.68619516999999997</v>
      </c>
      <c r="BV262" s="512"/>
    </row>
    <row r="263" spans="1:74" s="519" customFormat="1" ht="22.5">
      <c r="A263" s="546">
        <v>62007008</v>
      </c>
      <c r="B263" s="543" t="s">
        <v>1052</v>
      </c>
      <c r="C263" s="543" t="s">
        <v>695</v>
      </c>
      <c r="D263" s="513" t="s">
        <v>1233</v>
      </c>
      <c r="E263" s="524" t="s">
        <v>1234</v>
      </c>
      <c r="F263" s="524" t="s">
        <v>708</v>
      </c>
      <c r="G263" s="531">
        <v>24.811001000000001</v>
      </c>
      <c r="H263" s="531">
        <v>38.514206999999999</v>
      </c>
      <c r="I263" s="531">
        <v>29.254875999999999</v>
      </c>
      <c r="J263" s="531">
        <v>32.388550000000002</v>
      </c>
      <c r="K263" s="578">
        <v>4250</v>
      </c>
      <c r="L263" s="578">
        <v>38.71</v>
      </c>
      <c r="M263" s="578">
        <v>3.0499999999999999E-2</v>
      </c>
      <c r="N263" s="578">
        <v>1.4999999999999999E-2</v>
      </c>
      <c r="O263" s="529">
        <v>10.27446834</v>
      </c>
      <c r="P263" s="544">
        <v>94.2</v>
      </c>
      <c r="Q263" s="544">
        <v>92</v>
      </c>
      <c r="R263" s="530">
        <v>4564</v>
      </c>
      <c r="S263" s="530">
        <v>6455</v>
      </c>
      <c r="T263" s="530">
        <v>1891</v>
      </c>
      <c r="U263" s="530">
        <v>184.04845267156665</v>
      </c>
      <c r="V263" s="534">
        <v>4593</v>
      </c>
      <c r="W263" s="530">
        <v>6491</v>
      </c>
      <c r="X263" s="530">
        <v>1898</v>
      </c>
      <c r="Y263" s="533">
        <v>184.72975313095372</v>
      </c>
      <c r="Z263" s="534">
        <v>74</v>
      </c>
      <c r="AA263" s="530">
        <v>76</v>
      </c>
      <c r="AB263" s="530">
        <v>2</v>
      </c>
      <c r="AC263" s="533">
        <v>0.19465727411059403</v>
      </c>
      <c r="AD263" s="534">
        <v>4113</v>
      </c>
      <c r="AE263" s="530">
        <v>5907</v>
      </c>
      <c r="AF263" s="530">
        <v>1794</v>
      </c>
      <c r="AG263" s="533">
        <v>174.60757487720284</v>
      </c>
      <c r="AH263" s="534">
        <v>368.764139</v>
      </c>
      <c r="AI263" s="530">
        <v>462.4</v>
      </c>
      <c r="AJ263" s="530">
        <v>93.635860999999977</v>
      </c>
      <c r="AK263" s="533">
        <v>9.1134507306292374</v>
      </c>
      <c r="AL263" s="534">
        <v>295.15641399999998</v>
      </c>
      <c r="AM263" s="530">
        <v>372.44596300000001</v>
      </c>
      <c r="AN263" s="530">
        <v>77.289549000000022</v>
      </c>
      <c r="AO263" s="533">
        <v>7.5224864627885966</v>
      </c>
      <c r="AP263" s="534">
        <v>-1.4</v>
      </c>
      <c r="AQ263" s="530">
        <v>-1.8</v>
      </c>
      <c r="AR263" s="530">
        <v>-0.40000000000000013</v>
      </c>
      <c r="AS263" s="533">
        <v>-3.8931454822118815E-2</v>
      </c>
      <c r="AT263" s="534">
        <v>3.8</v>
      </c>
      <c r="AU263" s="530">
        <v>4.5999999999999996</v>
      </c>
      <c r="AV263" s="530">
        <v>0.79999999999999982</v>
      </c>
      <c r="AW263" s="533">
        <v>7.7862909644237588E-2</v>
      </c>
      <c r="AX263" s="534">
        <v>-7.17</v>
      </c>
      <c r="AY263" s="530">
        <v>-7.79</v>
      </c>
      <c r="AZ263" s="530">
        <v>-0.62000000000000011</v>
      </c>
      <c r="BA263" s="530">
        <v>-2.89601</v>
      </c>
      <c r="BB263" s="533">
        <v>-6.034375497428416E-2</v>
      </c>
      <c r="BC263" s="545"/>
      <c r="BD263" s="545"/>
      <c r="BE263" s="545"/>
      <c r="BF263" s="545"/>
      <c r="BG263" s="545"/>
      <c r="BH263" s="567"/>
      <c r="BI263" s="574" t="s">
        <v>723</v>
      </c>
      <c r="BJ263" s="1">
        <v>1883.3169500399999</v>
      </c>
      <c r="BK263" s="1">
        <v>-0.39699082000000002</v>
      </c>
      <c r="BL263" s="1">
        <v>1301.5910181700001</v>
      </c>
      <c r="BM263" s="1">
        <v>1306.7788100499999</v>
      </c>
      <c r="BN263" s="1">
        <v>6.8067537500000004</v>
      </c>
      <c r="BO263" s="1">
        <v>6.7835034600000004</v>
      </c>
      <c r="BP263" s="1">
        <v>0.34657294999999999</v>
      </c>
      <c r="BQ263" s="1">
        <v>10.274546920000001</v>
      </c>
      <c r="BR263" s="1">
        <v>10.23906111</v>
      </c>
      <c r="BS263" s="1">
        <v>-3.81241E-3</v>
      </c>
      <c r="BT263" s="1">
        <v>0.34274747</v>
      </c>
      <c r="BU263" s="128">
        <v>0.33432783999999999</v>
      </c>
      <c r="BV263" s="512"/>
    </row>
    <row r="264" spans="1:74" s="519" customFormat="1" ht="22.5">
      <c r="A264" s="546">
        <v>62007008</v>
      </c>
      <c r="B264" s="543" t="s">
        <v>1053</v>
      </c>
      <c r="C264" s="543" t="s">
        <v>696</v>
      </c>
      <c r="D264" s="513" t="s">
        <v>1233</v>
      </c>
      <c r="E264" s="524" t="s">
        <v>1234</v>
      </c>
      <c r="F264" s="524" t="s">
        <v>708</v>
      </c>
      <c r="G264" s="531">
        <v>24.803372</v>
      </c>
      <c r="H264" s="531">
        <v>38.478025000000002</v>
      </c>
      <c r="I264" s="531">
        <v>29.228414000000001</v>
      </c>
      <c r="J264" s="531">
        <v>33.970429000000003</v>
      </c>
      <c r="K264" s="578">
        <v>4250</v>
      </c>
      <c r="L264" s="578">
        <v>38.71</v>
      </c>
      <c r="M264" s="578">
        <v>3.0499999999999999E-2</v>
      </c>
      <c r="N264" s="578">
        <v>1.4999999999999999E-2</v>
      </c>
      <c r="O264" s="529">
        <v>10.267234459999999</v>
      </c>
      <c r="P264" s="544">
        <v>92</v>
      </c>
      <c r="Q264" s="544">
        <v>89.8</v>
      </c>
      <c r="R264" s="530">
        <v>6455</v>
      </c>
      <c r="S264" s="530">
        <v>8311</v>
      </c>
      <c r="T264" s="530">
        <v>1856</v>
      </c>
      <c r="U264" s="530">
        <v>180.76922341948742</v>
      </c>
      <c r="V264" s="534">
        <v>6491</v>
      </c>
      <c r="W264" s="530">
        <v>8354</v>
      </c>
      <c r="X264" s="530">
        <v>1863</v>
      </c>
      <c r="Y264" s="533">
        <v>181.45100389574625</v>
      </c>
      <c r="Z264" s="534">
        <v>76</v>
      </c>
      <c r="AA264" s="530">
        <v>78</v>
      </c>
      <c r="AB264" s="530">
        <v>2</v>
      </c>
      <c r="AC264" s="533">
        <v>0.19479442178824075</v>
      </c>
      <c r="AD264" s="534">
        <v>5907</v>
      </c>
      <c r="AE264" s="530">
        <v>7665</v>
      </c>
      <c r="AF264" s="530">
        <v>1758</v>
      </c>
      <c r="AG264" s="533">
        <v>171.22429675186362</v>
      </c>
      <c r="AH264" s="534">
        <v>462.4</v>
      </c>
      <c r="AI264" s="530">
        <v>556.6</v>
      </c>
      <c r="AJ264" s="530">
        <v>94.200000000000045</v>
      </c>
      <c r="AK264" s="533">
        <v>9.1748172662261425</v>
      </c>
      <c r="AL264" s="534">
        <v>372.46600599999999</v>
      </c>
      <c r="AM264" s="530">
        <v>450.22556900000001</v>
      </c>
      <c r="AN264" s="530">
        <v>77.759563000000014</v>
      </c>
      <c r="AO264" s="533">
        <v>7.5735645565456409</v>
      </c>
      <c r="AP264" s="534">
        <v>-1.8</v>
      </c>
      <c r="AQ264" s="530">
        <v>-2.1</v>
      </c>
      <c r="AR264" s="530">
        <v>-0.30000000000000004</v>
      </c>
      <c r="AS264" s="533">
        <v>-2.9219163268236117E-2</v>
      </c>
      <c r="AT264" s="534">
        <v>4.5999999999999996</v>
      </c>
      <c r="AU264" s="530">
        <v>5.5</v>
      </c>
      <c r="AV264" s="530">
        <v>0.90000000000000036</v>
      </c>
      <c r="AW264" s="533">
        <v>8.7657489804708374E-2</v>
      </c>
      <c r="AX264" s="534">
        <v>-7.79</v>
      </c>
      <c r="AY264" s="530">
        <v>-8.33</v>
      </c>
      <c r="AZ264" s="530">
        <v>-0.54</v>
      </c>
      <c r="BA264" s="530">
        <v>-2.513509</v>
      </c>
      <c r="BB264" s="533">
        <v>-5.2594493882825007E-2</v>
      </c>
      <c r="BC264" s="545"/>
      <c r="BD264" s="545"/>
      <c r="BE264" s="545"/>
      <c r="BF264" s="545"/>
      <c r="BG264" s="545"/>
      <c r="BH264" s="567"/>
      <c r="BI264" s="574" t="s">
        <v>723</v>
      </c>
      <c r="BJ264" s="1">
        <v>1880.22818297</v>
      </c>
      <c r="BK264" s="1">
        <v>-0.44671263</v>
      </c>
      <c r="BL264" s="1">
        <v>1300.9096754699999</v>
      </c>
      <c r="BM264" s="1">
        <v>1306.7470797200001</v>
      </c>
      <c r="BN264" s="1">
        <v>6.8005542300000004</v>
      </c>
      <c r="BO264" s="1">
        <v>6.7834108500000001</v>
      </c>
      <c r="BP264" s="1">
        <v>0.27589327000000002</v>
      </c>
      <c r="BQ264" s="1">
        <v>10.267309770000001</v>
      </c>
      <c r="BR264" s="1">
        <v>10.239060889999999</v>
      </c>
      <c r="BS264" s="1">
        <v>-2.3109709999999999E-2</v>
      </c>
      <c r="BT264" s="1">
        <v>0.25272516</v>
      </c>
      <c r="BU264" s="128">
        <v>0.33432300999999998</v>
      </c>
      <c r="BV264" s="512"/>
    </row>
    <row r="265" spans="1:74" s="519" customFormat="1" ht="22.5">
      <c r="A265" s="546">
        <v>62007008</v>
      </c>
      <c r="B265" s="543" t="s">
        <v>1054</v>
      </c>
      <c r="C265" s="543" t="s">
        <v>697</v>
      </c>
      <c r="D265" s="513" t="s">
        <v>1233</v>
      </c>
      <c r="E265" s="524" t="s">
        <v>1234</v>
      </c>
      <c r="F265" s="524" t="s">
        <v>708</v>
      </c>
      <c r="G265" s="531">
        <v>24.654156</v>
      </c>
      <c r="H265" s="531">
        <v>39.480080000000001</v>
      </c>
      <c r="I265" s="531">
        <v>29.226417999999999</v>
      </c>
      <c r="J265" s="531">
        <v>34.021065999999998</v>
      </c>
      <c r="K265" s="578">
        <v>4250</v>
      </c>
      <c r="L265" s="578">
        <v>38.71</v>
      </c>
      <c r="M265" s="578">
        <v>3.0499999999999999E-2</v>
      </c>
      <c r="N265" s="578">
        <v>1.4999999999999999E-2</v>
      </c>
      <c r="O265" s="529">
        <v>10.265042619999999</v>
      </c>
      <c r="P265" s="544">
        <v>89.8</v>
      </c>
      <c r="Q265" s="544">
        <v>87.7</v>
      </c>
      <c r="R265" s="530">
        <v>8311</v>
      </c>
      <c r="S265" s="530">
        <v>10161</v>
      </c>
      <c r="T265" s="530">
        <v>1850</v>
      </c>
      <c r="U265" s="530">
        <v>180.22331406549972</v>
      </c>
      <c r="V265" s="534">
        <v>8354</v>
      </c>
      <c r="W265" s="530">
        <v>10211</v>
      </c>
      <c r="X265" s="530">
        <v>1857</v>
      </c>
      <c r="Y265" s="533">
        <v>180.90524011872054</v>
      </c>
      <c r="Z265" s="534">
        <v>78</v>
      </c>
      <c r="AA265" s="530">
        <v>80</v>
      </c>
      <c r="AB265" s="530">
        <v>2</v>
      </c>
      <c r="AC265" s="533">
        <v>0.19483601520594565</v>
      </c>
      <c r="AD265" s="534">
        <v>7665</v>
      </c>
      <c r="AE265" s="530">
        <v>9417</v>
      </c>
      <c r="AF265" s="530">
        <v>1752</v>
      </c>
      <c r="AG265" s="533">
        <v>170.67634932040838</v>
      </c>
      <c r="AH265" s="534">
        <v>556.6</v>
      </c>
      <c r="AI265" s="530">
        <v>650.951504</v>
      </c>
      <c r="AJ265" s="530">
        <v>94.351503999999977</v>
      </c>
      <c r="AK265" s="533">
        <v>9.1915355340239184</v>
      </c>
      <c r="AL265" s="534">
        <v>450.24558100000002</v>
      </c>
      <c r="AM265" s="530">
        <v>528.24514999999997</v>
      </c>
      <c r="AN265" s="530">
        <v>77.999568999999951</v>
      </c>
      <c r="AO265" s="533">
        <v>7.5985626058705984</v>
      </c>
      <c r="AP265" s="534">
        <v>-2.1</v>
      </c>
      <c r="AQ265" s="530">
        <v>-2.5</v>
      </c>
      <c r="AR265" s="530">
        <v>-0.39999999999999991</v>
      </c>
      <c r="AS265" s="533">
        <v>-3.896720304118912E-2</v>
      </c>
      <c r="AT265" s="534">
        <v>5.5</v>
      </c>
      <c r="AU265" s="530">
        <v>6.3</v>
      </c>
      <c r="AV265" s="530">
        <v>0.79999999999999982</v>
      </c>
      <c r="AW265" s="533">
        <v>7.7934406082378241E-2</v>
      </c>
      <c r="AX265" s="534">
        <v>-8.33</v>
      </c>
      <c r="AY265" s="530">
        <v>-8.82</v>
      </c>
      <c r="AZ265" s="530">
        <v>-0.49000000000000021</v>
      </c>
      <c r="BA265" s="530">
        <v>-2.2712159999999999</v>
      </c>
      <c r="BB265" s="533">
        <v>-4.7734823725456704E-2</v>
      </c>
      <c r="BC265" s="545"/>
      <c r="BD265" s="545"/>
      <c r="BE265" s="545"/>
      <c r="BF265" s="545"/>
      <c r="BG265" s="545"/>
      <c r="BH265" s="567"/>
      <c r="BI265" s="574" t="s">
        <v>723</v>
      </c>
      <c r="BJ265" s="1">
        <v>1877.19841352</v>
      </c>
      <c r="BK265" s="1">
        <v>-0.30029533000000003</v>
      </c>
      <c r="BL265" s="1">
        <v>1302.79937182</v>
      </c>
      <c r="BM265" s="1">
        <v>1306.72340121</v>
      </c>
      <c r="BN265" s="1">
        <v>6.7961617700000003</v>
      </c>
      <c r="BO265" s="1">
        <v>6.7833416900000003</v>
      </c>
      <c r="BP265" s="1">
        <v>0.25451827999999999</v>
      </c>
      <c r="BQ265" s="1">
        <v>10.265121239999999</v>
      </c>
      <c r="BR265" s="1">
        <v>10.23906096</v>
      </c>
      <c r="BS265" s="1">
        <v>-6.5401200000000007E-2</v>
      </c>
      <c r="BT265" s="1">
        <v>0.18899347</v>
      </c>
      <c r="BU265" s="128">
        <v>0.33431973999999998</v>
      </c>
      <c r="BV265" s="512"/>
    </row>
    <row r="266" spans="1:74" s="519" customFormat="1">
      <c r="A266" s="546">
        <v>62007009</v>
      </c>
      <c r="B266" s="543" t="s">
        <v>1055</v>
      </c>
      <c r="C266" s="543" t="s">
        <v>695</v>
      </c>
      <c r="D266" s="513" t="s">
        <v>1236</v>
      </c>
      <c r="E266" s="524" t="s">
        <v>1237</v>
      </c>
      <c r="F266" s="524" t="s">
        <v>708</v>
      </c>
      <c r="G266" s="531">
        <v>22.450612</v>
      </c>
      <c r="H266" s="531">
        <v>45.330666999999998</v>
      </c>
      <c r="I266" s="531">
        <v>29.340952999999999</v>
      </c>
      <c r="J266" s="531">
        <v>22.137080000000001</v>
      </c>
      <c r="K266" s="578">
        <v>4250</v>
      </c>
      <c r="L266" s="578">
        <v>38.71</v>
      </c>
      <c r="M266" s="578">
        <v>3.0499999999999999E-2</v>
      </c>
      <c r="N266" s="578">
        <v>1.4999999999999999E-2</v>
      </c>
      <c r="O266" s="529">
        <v>1.9039899999999999E-3</v>
      </c>
      <c r="P266" s="544">
        <v>86.6</v>
      </c>
      <c r="Q266" s="544">
        <v>85.7</v>
      </c>
      <c r="R266" s="530">
        <v>182</v>
      </c>
      <c r="S266" s="530">
        <v>909</v>
      </c>
      <c r="T266" s="530">
        <v>727</v>
      </c>
      <c r="U266" s="530">
        <v>381829.73650071694</v>
      </c>
      <c r="V266" s="534">
        <v>178</v>
      </c>
      <c r="W266" s="530">
        <v>910</v>
      </c>
      <c r="X266" s="530">
        <v>732</v>
      </c>
      <c r="Y266" s="533">
        <v>384455.80071323906</v>
      </c>
      <c r="Z266" s="534">
        <v>0</v>
      </c>
      <c r="AA266" s="530">
        <v>0</v>
      </c>
      <c r="AB266" s="530">
        <v>0</v>
      </c>
      <c r="AC266" s="533">
        <v>0</v>
      </c>
      <c r="AD266" s="534">
        <v>4</v>
      </c>
      <c r="AE266" s="530">
        <v>7</v>
      </c>
      <c r="AF266" s="530">
        <v>3</v>
      </c>
      <c r="AG266" s="533">
        <v>1575.6385275132748</v>
      </c>
      <c r="AH266" s="534">
        <v>172.1</v>
      </c>
      <c r="AI266" s="530">
        <v>406.8</v>
      </c>
      <c r="AJ266" s="530">
        <v>234.70000000000002</v>
      </c>
      <c r="AK266" s="533">
        <v>123267.45413578855</v>
      </c>
      <c r="AL266" s="534">
        <v>113.29</v>
      </c>
      <c r="AM266" s="530">
        <v>300.85000000000002</v>
      </c>
      <c r="AN266" s="530">
        <v>187.56</v>
      </c>
      <c r="AO266" s="533">
        <v>98508.920740129935</v>
      </c>
      <c r="AP266" s="534">
        <v>1</v>
      </c>
      <c r="AQ266" s="530">
        <v>353.2</v>
      </c>
      <c r="AR266" s="530">
        <v>352.2</v>
      </c>
      <c r="AS266" s="533">
        <v>184979.96313005846</v>
      </c>
      <c r="AT266" s="534">
        <v>2.2999999999999998</v>
      </c>
      <c r="AU266" s="530">
        <v>138.5</v>
      </c>
      <c r="AV266" s="530">
        <v>136.19999999999999</v>
      </c>
      <c r="AW266" s="533">
        <v>71533.989149102665</v>
      </c>
      <c r="AX266" s="534">
        <v>-23.65</v>
      </c>
      <c r="AY266" s="530">
        <v>-31.21</v>
      </c>
      <c r="AZ266" s="530">
        <v>-7.5600000000000023</v>
      </c>
      <c r="BA266" s="530">
        <v>-11.878424000000001</v>
      </c>
      <c r="BB266" s="533">
        <v>-3970.6090893334535</v>
      </c>
      <c r="BC266" s="545"/>
      <c r="BD266" s="545"/>
      <c r="BE266" s="545"/>
      <c r="BF266" s="545"/>
      <c r="BG266" s="545"/>
      <c r="BH266" s="567"/>
      <c r="BI266" s="574"/>
      <c r="BJ266" s="1"/>
      <c r="BK266" s="1"/>
      <c r="BL266" s="1"/>
      <c r="BM266" s="1"/>
      <c r="BN266" s="1"/>
      <c r="BO266" s="1"/>
      <c r="BP266" s="1"/>
      <c r="BQ266" s="1"/>
      <c r="BR266" s="1"/>
      <c r="BS266" s="1"/>
      <c r="BT266" s="1"/>
      <c r="BU266" s="128"/>
      <c r="BV266" s="512"/>
    </row>
    <row r="267" spans="1:74" s="520" customFormat="1" ht="16.5" thickBot="1">
      <c r="A267" s="535" t="s">
        <v>1056</v>
      </c>
      <c r="B267" s="537"/>
      <c r="C267" s="537"/>
      <c r="D267" s="537"/>
      <c r="E267" s="538"/>
      <c r="F267" s="538"/>
      <c r="G267" s="538"/>
      <c r="H267" s="538"/>
      <c r="I267" s="538"/>
      <c r="J267" s="538"/>
      <c r="K267" s="537"/>
      <c r="L267" s="537"/>
      <c r="M267" s="576"/>
      <c r="N267" s="577"/>
      <c r="O267" s="537"/>
      <c r="P267" s="537"/>
      <c r="Q267" s="537"/>
      <c r="R267" s="537"/>
      <c r="S267" s="537"/>
      <c r="T267" s="537"/>
      <c r="U267" s="537"/>
      <c r="V267" s="537"/>
      <c r="W267" s="537"/>
      <c r="X267" s="537"/>
      <c r="Y267" s="537"/>
      <c r="Z267" s="537"/>
      <c r="AA267" s="537"/>
      <c r="AB267" s="537"/>
      <c r="AC267" s="537"/>
      <c r="AD267" s="537"/>
      <c r="AE267" s="537"/>
      <c r="AF267" s="537"/>
      <c r="AG267" s="537"/>
      <c r="AH267" s="537"/>
      <c r="AI267" s="537"/>
      <c r="AJ267" s="537"/>
      <c r="AK267" s="537"/>
      <c r="AL267" s="537"/>
      <c r="AM267" s="537"/>
      <c r="AN267" s="537"/>
      <c r="AO267" s="537"/>
      <c r="AP267" s="537"/>
      <c r="AQ267" s="537"/>
      <c r="AR267" s="537"/>
      <c r="AS267" s="537"/>
      <c r="AT267" s="537"/>
      <c r="AU267" s="537"/>
      <c r="AV267" s="537"/>
      <c r="AW267" s="537"/>
      <c r="AX267" s="537"/>
      <c r="AY267" s="537"/>
      <c r="AZ267" s="537"/>
      <c r="BA267" s="537"/>
      <c r="BB267" s="537"/>
      <c r="BC267" s="537"/>
      <c r="BD267" s="537"/>
      <c r="BE267" s="537"/>
      <c r="BF267" s="537"/>
      <c r="BG267" s="537"/>
      <c r="BH267" s="537"/>
      <c r="BI267" s="570"/>
      <c r="BJ267" s="571"/>
      <c r="BK267" s="571"/>
      <c r="BL267" s="571"/>
      <c r="BM267" s="571"/>
      <c r="BN267" s="571"/>
      <c r="BO267" s="571"/>
      <c r="BP267" s="571"/>
      <c r="BQ267" s="571"/>
      <c r="BR267" s="571"/>
      <c r="BS267" s="571"/>
      <c r="BT267" s="571"/>
      <c r="BU267" s="572"/>
      <c r="BV267" s="541"/>
    </row>
  </sheetData>
  <mergeCells count="3">
    <mergeCell ref="BC6:BH6"/>
    <mergeCell ref="R6:BB6"/>
    <mergeCell ref="BJ6:BU6"/>
  </mergeCells>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1D0DE-6628-4822-84CF-B25C90250FD2}">
  <sheetPr codeName="Sheet12"/>
  <dimension ref="A1:AK267"/>
  <sheetViews>
    <sheetView zoomScale="40" zoomScaleNormal="40" workbookViewId="0">
      <pane xSplit="3" ySplit="8" topLeftCell="D9" activePane="bottomRight" state="frozen"/>
      <selection pane="topRight" activeCell="G1" sqref="G1"/>
      <selection pane="bottomLeft" activeCell="A9" sqref="A9"/>
      <selection pane="bottomRight" activeCell="AQ21" sqref="AQ21"/>
    </sheetView>
  </sheetViews>
  <sheetFormatPr defaultColWidth="9.140625" defaultRowHeight="15"/>
  <cols>
    <col min="1" max="1" width="29.7109375" style="520" customWidth="1"/>
    <col min="2" max="2" width="30.140625" style="9" customWidth="1"/>
    <col min="3" max="3" width="14.42578125" style="644" customWidth="1"/>
    <col min="4" max="4" width="16.42578125" style="655" customWidth="1"/>
    <col min="5" max="5" width="39.42578125" style="644" customWidth="1"/>
    <col min="6" max="6" width="28.140625" style="520" customWidth="1"/>
    <col min="7" max="7" width="14.140625" style="520" customWidth="1"/>
    <col min="8" max="8" width="12.7109375" style="520" customWidth="1"/>
    <col min="9" max="9" width="10" style="118" customWidth="1"/>
    <col min="10" max="10" width="10.42578125" style="118" customWidth="1"/>
    <col min="11" max="11" width="15.42578125" style="118" bestFit="1" customWidth="1"/>
    <col min="12" max="12" width="19.7109375" style="118" customWidth="1"/>
    <col min="13" max="14" width="12.7109375" style="520" bestFit="1" customWidth="1"/>
    <col min="15" max="18" width="14.7109375" style="520" customWidth="1"/>
    <col min="19" max="19" width="16" style="520" customWidth="1"/>
    <col min="20" max="20" width="14.7109375" style="520" customWidth="1"/>
    <col min="21" max="21" width="16.5703125" style="520" bestFit="1" customWidth="1"/>
    <col min="22" max="22" width="13.42578125" style="520" customWidth="1"/>
    <col min="23" max="23" width="15" style="520" bestFit="1" customWidth="1"/>
    <col min="24" max="24" width="10.7109375" style="644" customWidth="1"/>
    <col min="25" max="25" width="13.28515625" style="512" customWidth="1"/>
    <col min="26" max="36" width="9.140625" style="512"/>
    <col min="37" max="16384" width="9.140625" style="1"/>
  </cols>
  <sheetData>
    <row r="1" spans="1:37">
      <c r="I1" s="520"/>
      <c r="J1" s="644"/>
      <c r="K1" s="520"/>
      <c r="L1" s="644"/>
      <c r="U1" s="644"/>
      <c r="V1" s="512"/>
      <c r="W1" s="512"/>
    </row>
    <row r="2" spans="1:37" ht="48.75" customHeight="1">
      <c r="A2" s="693" t="s">
        <v>5</v>
      </c>
      <c r="B2" s="736" t="s">
        <v>483</v>
      </c>
      <c r="C2" s="736"/>
      <c r="D2" s="736"/>
      <c r="E2" s="694"/>
      <c r="F2" s="700" t="s">
        <v>1378</v>
      </c>
      <c r="G2" s="695" t="s">
        <v>1376</v>
      </c>
      <c r="H2" s="696"/>
      <c r="I2" s="696"/>
      <c r="J2" s="696"/>
      <c r="K2" s="520"/>
      <c r="L2" s="520"/>
      <c r="Q2" s="512"/>
      <c r="R2" s="512"/>
      <c r="S2" s="512"/>
      <c r="T2" s="512"/>
      <c r="U2" s="512"/>
      <c r="V2" s="512"/>
      <c r="W2" s="512"/>
    </row>
    <row r="3" spans="1:37" ht="45" customHeight="1">
      <c r="A3" s="693" t="s">
        <v>7</v>
      </c>
      <c r="B3" s="736" t="s">
        <v>480</v>
      </c>
      <c r="C3" s="736"/>
      <c r="D3" s="736"/>
      <c r="E3" s="694"/>
      <c r="F3" s="697"/>
      <c r="G3" s="697"/>
      <c r="H3" s="696"/>
      <c r="I3" s="698"/>
      <c r="J3" s="698"/>
      <c r="K3" s="520"/>
      <c r="L3" s="520"/>
      <c r="Q3" s="512"/>
      <c r="R3" s="512"/>
      <c r="S3" s="512"/>
      <c r="T3" s="512"/>
      <c r="U3" s="512"/>
      <c r="V3" s="512"/>
      <c r="W3" s="512"/>
    </row>
    <row r="4" spans="1:37" ht="46.5">
      <c r="A4" s="693" t="s">
        <v>8</v>
      </c>
      <c r="B4" s="736" t="s">
        <v>320</v>
      </c>
      <c r="C4" s="736"/>
      <c r="D4" s="699"/>
      <c r="E4" s="694"/>
      <c r="F4" s="696"/>
      <c r="G4" s="696"/>
      <c r="H4" s="696"/>
      <c r="I4" s="696"/>
      <c r="J4" s="696"/>
      <c r="K4" s="520"/>
      <c r="L4" s="520"/>
      <c r="Q4" s="512"/>
      <c r="R4" s="512"/>
      <c r="S4" s="512"/>
      <c r="T4" s="512"/>
      <c r="U4" s="512"/>
      <c r="V4" s="512"/>
      <c r="W4" s="512"/>
    </row>
    <row r="5" spans="1:37" ht="47.25" customHeight="1" thickBot="1">
      <c r="A5" s="693" t="s">
        <v>1289</v>
      </c>
      <c r="B5" s="736" t="s">
        <v>1290</v>
      </c>
      <c r="C5" s="736"/>
      <c r="D5" s="699"/>
      <c r="E5" s="694"/>
      <c r="F5" s="696"/>
      <c r="G5" s="696"/>
      <c r="H5" s="701"/>
      <c r="I5" s="702"/>
      <c r="J5" s="702"/>
    </row>
    <row r="6" spans="1:37" s="541" customFormat="1" ht="19.5" thickBot="1">
      <c r="A6" s="120"/>
      <c r="B6" s="653"/>
      <c r="C6" s="645"/>
      <c r="D6" s="656"/>
      <c r="E6" s="645"/>
      <c r="F6" s="120"/>
      <c r="G6" s="120"/>
      <c r="H6" s="121"/>
      <c r="I6" s="121"/>
      <c r="J6" s="121"/>
      <c r="K6" s="740" t="s">
        <v>1377</v>
      </c>
      <c r="L6" s="741"/>
      <c r="M6" s="741"/>
      <c r="N6" s="741"/>
      <c r="O6" s="741"/>
      <c r="P6" s="741"/>
      <c r="Q6" s="741"/>
      <c r="R6" s="741"/>
      <c r="S6" s="741"/>
      <c r="T6" s="741"/>
      <c r="U6" s="741"/>
      <c r="V6" s="741"/>
      <c r="W6" s="742"/>
      <c r="X6" s="685"/>
      <c r="Y6" s="737" t="s">
        <v>1292</v>
      </c>
      <c r="Z6" s="738"/>
      <c r="AA6" s="738"/>
      <c r="AB6" s="738"/>
      <c r="AC6" s="738"/>
      <c r="AD6" s="738"/>
      <c r="AE6" s="738"/>
      <c r="AF6" s="738"/>
      <c r="AG6" s="738"/>
      <c r="AH6" s="738"/>
      <c r="AI6" s="738"/>
      <c r="AJ6" s="739"/>
    </row>
    <row r="7" spans="1:37" s="676" customFormat="1" ht="100.5" customHeight="1" thickBot="1">
      <c r="A7" s="703" t="s">
        <v>391</v>
      </c>
      <c r="B7" s="704" t="s">
        <v>1</v>
      </c>
      <c r="C7" s="704" t="s">
        <v>632</v>
      </c>
      <c r="D7" s="705" t="s">
        <v>633</v>
      </c>
      <c r="E7" s="705" t="s">
        <v>2</v>
      </c>
      <c r="F7" s="705" t="s">
        <v>3</v>
      </c>
      <c r="G7" s="706" t="s">
        <v>390</v>
      </c>
      <c r="H7" s="707" t="s">
        <v>319</v>
      </c>
      <c r="I7" s="708" t="s">
        <v>635</v>
      </c>
      <c r="J7" s="708" t="s">
        <v>1375</v>
      </c>
      <c r="K7" s="709" t="s">
        <v>639</v>
      </c>
      <c r="L7" s="709" t="s">
        <v>1379</v>
      </c>
      <c r="M7" s="709" t="s">
        <v>659</v>
      </c>
      <c r="N7" s="709" t="s">
        <v>663</v>
      </c>
      <c r="O7" s="709" t="s">
        <v>667</v>
      </c>
      <c r="P7" s="709" t="s">
        <v>679</v>
      </c>
      <c r="Q7" s="709" t="s">
        <v>683</v>
      </c>
      <c r="R7" s="709" t="s">
        <v>671</v>
      </c>
      <c r="S7" s="709" t="s">
        <v>675</v>
      </c>
      <c r="T7" s="709" t="s">
        <v>641</v>
      </c>
      <c r="U7" s="709" t="s">
        <v>687</v>
      </c>
      <c r="V7" s="710" t="s">
        <v>689</v>
      </c>
      <c r="W7" s="711" t="s">
        <v>690</v>
      </c>
      <c r="X7" s="712" t="s">
        <v>643</v>
      </c>
      <c r="Y7" s="713" t="s">
        <v>644</v>
      </c>
      <c r="Z7" s="713" t="s">
        <v>645</v>
      </c>
      <c r="AA7" s="713" t="s">
        <v>646</v>
      </c>
      <c r="AB7" s="713" t="s">
        <v>647</v>
      </c>
      <c r="AC7" s="713" t="s">
        <v>648</v>
      </c>
      <c r="AD7" s="713" t="s">
        <v>649</v>
      </c>
      <c r="AE7" s="713" t="s">
        <v>650</v>
      </c>
      <c r="AF7" s="713" t="s">
        <v>651</v>
      </c>
      <c r="AG7" s="713" t="s">
        <v>652</v>
      </c>
      <c r="AH7" s="713" t="s">
        <v>653</v>
      </c>
      <c r="AI7" s="713" t="s">
        <v>654</v>
      </c>
      <c r="AJ7" s="714" t="s">
        <v>655</v>
      </c>
    </row>
    <row r="8" spans="1:37" s="671" customFormat="1" ht="18.75">
      <c r="A8" s="686" t="s">
        <v>1368</v>
      </c>
      <c r="B8" s="687"/>
      <c r="C8" s="688"/>
      <c r="D8" s="689"/>
      <c r="E8" s="690"/>
      <c r="F8" s="690"/>
      <c r="G8" s="690"/>
      <c r="H8" s="688"/>
      <c r="I8" s="688"/>
      <c r="J8" s="688"/>
      <c r="K8" s="688"/>
      <c r="L8" s="688"/>
      <c r="M8" s="688"/>
      <c r="N8" s="688"/>
      <c r="O8" s="688"/>
      <c r="P8" s="688"/>
      <c r="Q8" s="688"/>
      <c r="R8" s="688"/>
      <c r="S8" s="688"/>
      <c r="T8" s="688"/>
      <c r="U8" s="688"/>
      <c r="V8" s="688"/>
      <c r="W8" s="691"/>
      <c r="X8" s="692"/>
      <c r="Y8" s="688"/>
      <c r="Z8" s="688"/>
      <c r="AA8" s="688"/>
      <c r="AB8" s="688"/>
      <c r="AC8" s="688"/>
      <c r="AD8" s="688"/>
      <c r="AE8" s="688"/>
      <c r="AF8" s="688"/>
      <c r="AG8" s="688"/>
      <c r="AH8" s="688"/>
      <c r="AI8" s="688"/>
      <c r="AJ8" s="691"/>
    </row>
    <row r="9" spans="1:37" s="519" customFormat="1" ht="25.5">
      <c r="A9" s="677">
        <v>62005005</v>
      </c>
      <c r="B9" s="662" t="s">
        <v>818</v>
      </c>
      <c r="C9" s="646">
        <v>1</v>
      </c>
      <c r="D9" s="654" t="s">
        <v>725</v>
      </c>
      <c r="E9" s="647" t="s">
        <v>726</v>
      </c>
      <c r="F9" s="647" t="s">
        <v>708</v>
      </c>
      <c r="G9" s="648">
        <v>25.635573000000001</v>
      </c>
      <c r="H9" s="649">
        <v>10.29349865</v>
      </c>
      <c r="I9" s="650">
        <v>52.4</v>
      </c>
      <c r="J9" s="650">
        <v>49.9</v>
      </c>
      <c r="K9" s="651">
        <v>1959</v>
      </c>
      <c r="L9" s="651">
        <v>190.31430095927587</v>
      </c>
      <c r="M9" s="651">
        <v>1954</v>
      </c>
      <c r="N9" s="651">
        <v>4</v>
      </c>
      <c r="O9" s="651">
        <v>1857</v>
      </c>
      <c r="P9" s="651">
        <v>101.29999999999995</v>
      </c>
      <c r="Q9" s="651">
        <v>84.869705000000067</v>
      </c>
      <c r="R9" s="651">
        <v>0.10000000000002274</v>
      </c>
      <c r="S9" s="651">
        <v>0.5</v>
      </c>
      <c r="T9" s="651">
        <v>-1.4099999999999966</v>
      </c>
      <c r="U9" s="651">
        <v>-6.6987459999999999</v>
      </c>
      <c r="V9" s="652"/>
      <c r="W9" s="678"/>
      <c r="X9" s="657" t="s">
        <v>723</v>
      </c>
      <c r="Y9" s="658">
        <v>1865.68720695</v>
      </c>
      <c r="Z9" s="658">
        <v>-0.65690289999999996</v>
      </c>
      <c r="AA9" s="658">
        <v>1298.18952769</v>
      </c>
      <c r="AB9" s="658">
        <v>1306.77376239</v>
      </c>
      <c r="AC9" s="658">
        <v>6.8074094599999997</v>
      </c>
      <c r="AD9" s="658">
        <v>6.7904396900000004</v>
      </c>
      <c r="AE9" s="658">
        <v>0.35901311000000002</v>
      </c>
      <c r="AF9" s="658">
        <v>10.29352285</v>
      </c>
      <c r="AG9" s="658">
        <v>10.256699960000001</v>
      </c>
      <c r="AH9" s="658">
        <v>-0.10883431</v>
      </c>
      <c r="AI9" s="658">
        <v>0.24990681000000001</v>
      </c>
      <c r="AJ9" s="659">
        <v>0.33398489999999997</v>
      </c>
      <c r="AK9" s="1"/>
    </row>
    <row r="10" spans="1:37" s="519" customFormat="1" ht="25.5">
      <c r="A10" s="677">
        <v>62005005</v>
      </c>
      <c r="B10" s="662" t="s">
        <v>818</v>
      </c>
      <c r="C10" s="646">
        <v>2</v>
      </c>
      <c r="D10" s="654" t="s">
        <v>725</v>
      </c>
      <c r="E10" s="647" t="s">
        <v>726</v>
      </c>
      <c r="F10" s="647" t="s">
        <v>708</v>
      </c>
      <c r="G10" s="648">
        <v>24.647652000000001</v>
      </c>
      <c r="H10" s="649">
        <v>10.292716009999999</v>
      </c>
      <c r="I10" s="650">
        <v>49.9</v>
      </c>
      <c r="J10" s="650">
        <v>47.5</v>
      </c>
      <c r="K10" s="651">
        <v>1900</v>
      </c>
      <c r="L10" s="651">
        <v>184.59656306013247</v>
      </c>
      <c r="M10" s="651">
        <v>1893</v>
      </c>
      <c r="N10" s="651">
        <v>4</v>
      </c>
      <c r="O10" s="651">
        <v>1797</v>
      </c>
      <c r="P10" s="651">
        <v>101.79999999999995</v>
      </c>
      <c r="Q10" s="651">
        <v>85.313981999999896</v>
      </c>
      <c r="R10" s="651">
        <v>0.10000000000002274</v>
      </c>
      <c r="S10" s="651">
        <v>0.5</v>
      </c>
      <c r="T10" s="651">
        <v>-1.0599999999999881</v>
      </c>
      <c r="U10" s="651">
        <v>-4.9841150000000001</v>
      </c>
      <c r="V10" s="652"/>
      <c r="W10" s="678"/>
      <c r="X10" s="657" t="s">
        <v>723</v>
      </c>
      <c r="Y10" s="658">
        <v>1865.5795744</v>
      </c>
      <c r="Z10" s="658">
        <v>-0.36702633000000001</v>
      </c>
      <c r="AA10" s="658">
        <v>1301.9781995400001</v>
      </c>
      <c r="AB10" s="658">
        <v>1306.7744056500001</v>
      </c>
      <c r="AC10" s="658">
        <v>6.8088342400000004</v>
      </c>
      <c r="AD10" s="658">
        <v>6.7904306800000001</v>
      </c>
      <c r="AE10" s="658">
        <v>0.35109728000000001</v>
      </c>
      <c r="AF10" s="658">
        <v>10.292710939999999</v>
      </c>
      <c r="AG10" s="658">
        <v>10.25669995</v>
      </c>
      <c r="AH10" s="658">
        <v>-7.9858810000000002E-2</v>
      </c>
      <c r="AI10" s="658">
        <v>0.27102203000000002</v>
      </c>
      <c r="AJ10" s="659">
        <v>0.33398591</v>
      </c>
      <c r="AK10" s="1"/>
    </row>
    <row r="11" spans="1:37" s="519" customFormat="1" ht="25.5">
      <c r="A11" s="677">
        <v>62005005</v>
      </c>
      <c r="B11" s="662" t="s">
        <v>818</v>
      </c>
      <c r="C11" s="646">
        <v>3</v>
      </c>
      <c r="D11" s="654" t="s">
        <v>725</v>
      </c>
      <c r="E11" s="647" t="s">
        <v>726</v>
      </c>
      <c r="F11" s="647" t="s">
        <v>708</v>
      </c>
      <c r="G11" s="648">
        <v>24.328399999999998</v>
      </c>
      <c r="H11" s="649">
        <v>10.29337078</v>
      </c>
      <c r="I11" s="650">
        <v>47.5</v>
      </c>
      <c r="J11" s="650">
        <v>45.1</v>
      </c>
      <c r="K11" s="651">
        <v>1887</v>
      </c>
      <c r="L11" s="651">
        <v>183.3218719436822</v>
      </c>
      <c r="M11" s="651">
        <v>1881</v>
      </c>
      <c r="N11" s="651">
        <v>3</v>
      </c>
      <c r="O11" s="651">
        <v>1786</v>
      </c>
      <c r="P11" s="651">
        <v>98.400000000000091</v>
      </c>
      <c r="Q11" s="651">
        <v>82.079375999999911</v>
      </c>
      <c r="R11" s="651">
        <v>0.19999999999998863</v>
      </c>
      <c r="S11" s="651">
        <v>0.40000000000003411</v>
      </c>
      <c r="T11" s="651">
        <v>-1</v>
      </c>
      <c r="U11" s="651">
        <v>-4.7143540000000002</v>
      </c>
      <c r="V11" s="652"/>
      <c r="W11" s="678"/>
      <c r="X11" s="657" t="s">
        <v>723</v>
      </c>
      <c r="Y11" s="658">
        <v>1865.8973701</v>
      </c>
      <c r="Z11" s="658">
        <v>-0.45506867000000001</v>
      </c>
      <c r="AA11" s="658">
        <v>1300.81838066</v>
      </c>
      <c r="AB11" s="658">
        <v>1306.7650589899999</v>
      </c>
      <c r="AC11" s="658">
        <v>6.8105344600000004</v>
      </c>
      <c r="AD11" s="658">
        <v>6.7904241699999996</v>
      </c>
      <c r="AE11" s="658">
        <v>0.35750559999999998</v>
      </c>
      <c r="AF11" s="658">
        <v>10.293368149999999</v>
      </c>
      <c r="AG11" s="658">
        <v>10.25669987</v>
      </c>
      <c r="AH11" s="658">
        <v>-6.116775E-2</v>
      </c>
      <c r="AI11" s="658">
        <v>0.29615669999999999</v>
      </c>
      <c r="AJ11" s="659">
        <v>0.33398327999999999</v>
      </c>
      <c r="AK11" s="1"/>
    </row>
    <row r="12" spans="1:37" s="519" customFormat="1" ht="25.5">
      <c r="A12" s="677">
        <v>62005011</v>
      </c>
      <c r="B12" s="662" t="s">
        <v>824</v>
      </c>
      <c r="C12" s="646">
        <v>1</v>
      </c>
      <c r="D12" s="654" t="s">
        <v>740</v>
      </c>
      <c r="E12" s="647" t="s">
        <v>741</v>
      </c>
      <c r="F12" s="647" t="s">
        <v>708</v>
      </c>
      <c r="G12" s="648">
        <v>22.009419000000001</v>
      </c>
      <c r="H12" s="649">
        <v>7.7596448799999997</v>
      </c>
      <c r="I12" s="650">
        <v>29.9</v>
      </c>
      <c r="J12" s="650">
        <v>27.6</v>
      </c>
      <c r="K12" s="651">
        <v>1702</v>
      </c>
      <c r="L12" s="651">
        <v>219.33993453576707</v>
      </c>
      <c r="M12" s="651">
        <v>1693</v>
      </c>
      <c r="N12" s="651">
        <v>71</v>
      </c>
      <c r="O12" s="651">
        <v>1535</v>
      </c>
      <c r="P12" s="651">
        <v>98.099999999999909</v>
      </c>
      <c r="Q12" s="651">
        <v>82.769696000000295</v>
      </c>
      <c r="R12" s="651">
        <v>0</v>
      </c>
      <c r="S12" s="651">
        <v>0.30000000000001137</v>
      </c>
      <c r="T12" s="651">
        <v>-0.60000000000000853</v>
      </c>
      <c r="U12" s="651">
        <v>-2.5451079999999999</v>
      </c>
      <c r="V12" s="652"/>
      <c r="W12" s="678"/>
      <c r="X12" s="657" t="s">
        <v>723</v>
      </c>
      <c r="Y12" s="658">
        <v>1658.90970255</v>
      </c>
      <c r="Z12" s="658">
        <v>-2.1939682999999999</v>
      </c>
      <c r="AA12" s="658">
        <v>5105.2182983700004</v>
      </c>
      <c r="AB12" s="658">
        <v>5219.73768836</v>
      </c>
      <c r="AC12" s="658">
        <v>8.8504133199999995</v>
      </c>
      <c r="AD12" s="658">
        <v>9.0321147199999992</v>
      </c>
      <c r="AE12" s="658">
        <v>0.35232437</v>
      </c>
      <c r="AF12" s="658">
        <v>7.7595809899999999</v>
      </c>
      <c r="AG12" s="658">
        <v>7.7323380799999999</v>
      </c>
      <c r="AH12" s="658">
        <v>-2.4125849800000001</v>
      </c>
      <c r="AI12" s="658">
        <v>-2.0117260099999998</v>
      </c>
      <c r="AJ12" s="659">
        <v>0.73999466999999997</v>
      </c>
      <c r="AK12" s="1"/>
    </row>
    <row r="13" spans="1:37" s="519" customFormat="1" ht="25.5">
      <c r="A13" s="677">
        <v>62005012</v>
      </c>
      <c r="B13" s="662" t="s">
        <v>826</v>
      </c>
      <c r="C13" s="646">
        <v>1</v>
      </c>
      <c r="D13" s="654" t="s">
        <v>742</v>
      </c>
      <c r="E13" s="647" t="s">
        <v>743</v>
      </c>
      <c r="F13" s="647" t="s">
        <v>708</v>
      </c>
      <c r="G13" s="648">
        <v>20.547162</v>
      </c>
      <c r="H13" s="649">
        <v>2.6985839199999999</v>
      </c>
      <c r="I13" s="650">
        <v>27.5</v>
      </c>
      <c r="J13" s="650">
        <v>24.9</v>
      </c>
      <c r="K13" s="651">
        <v>1502</v>
      </c>
      <c r="L13" s="651">
        <v>556.5882123836268</v>
      </c>
      <c r="M13" s="651">
        <v>1497</v>
      </c>
      <c r="N13" s="651">
        <v>1359</v>
      </c>
      <c r="O13" s="651">
        <v>-242</v>
      </c>
      <c r="P13" s="651">
        <v>80.8</v>
      </c>
      <c r="Q13" s="651">
        <v>68.58051300000001</v>
      </c>
      <c r="R13" s="651">
        <v>0</v>
      </c>
      <c r="S13" s="651">
        <v>0.19999999999999998</v>
      </c>
      <c r="T13" s="651">
        <v>-0.47</v>
      </c>
      <c r="U13" s="651">
        <v>-2.5353189999999999</v>
      </c>
      <c r="V13" s="652"/>
      <c r="W13" s="678"/>
      <c r="X13" s="657" t="s">
        <v>723</v>
      </c>
      <c r="Y13" s="658"/>
      <c r="Z13" s="658"/>
      <c r="AA13" s="658"/>
      <c r="AB13" s="658"/>
      <c r="AC13" s="658"/>
      <c r="AD13" s="658"/>
      <c r="AE13" s="658"/>
      <c r="AF13" s="658"/>
      <c r="AG13" s="658"/>
      <c r="AH13" s="658"/>
      <c r="AI13" s="658"/>
      <c r="AJ13" s="659"/>
      <c r="AK13" s="1"/>
    </row>
    <row r="14" spans="1:37" s="519" customFormat="1" ht="25.5">
      <c r="A14" s="677">
        <v>62005015</v>
      </c>
      <c r="B14" s="662" t="s">
        <v>907</v>
      </c>
      <c r="C14" s="646">
        <v>1</v>
      </c>
      <c r="D14" s="654" t="s">
        <v>750</v>
      </c>
      <c r="E14" s="647" t="s">
        <v>748</v>
      </c>
      <c r="F14" s="647" t="s">
        <v>751</v>
      </c>
      <c r="G14" s="648">
        <v>244.26084399999999</v>
      </c>
      <c r="H14" s="649">
        <v>4.47585E-3</v>
      </c>
      <c r="I14" s="650">
        <v>26.1</v>
      </c>
      <c r="J14" s="650">
        <v>99.7</v>
      </c>
      <c r="K14" s="651">
        <v>-61320</v>
      </c>
      <c r="L14" s="651"/>
      <c r="M14" s="651">
        <v>-61613</v>
      </c>
      <c r="N14" s="651">
        <v>86</v>
      </c>
      <c r="O14" s="651">
        <v>72</v>
      </c>
      <c r="P14" s="651">
        <v>-61407.1</v>
      </c>
      <c r="Q14" s="651">
        <v>463.64000000000004</v>
      </c>
      <c r="R14" s="651">
        <v>-5.4</v>
      </c>
      <c r="S14" s="651">
        <v>2.9</v>
      </c>
      <c r="T14" s="651">
        <v>-16.18</v>
      </c>
      <c r="U14" s="651">
        <v>-22.512236000000001</v>
      </c>
      <c r="V14" s="652">
        <v>65763.200000000012</v>
      </c>
      <c r="W14" s="678">
        <v>-66160.800000000003</v>
      </c>
      <c r="X14" s="657" t="s">
        <v>723</v>
      </c>
      <c r="Y14" s="658"/>
      <c r="Z14" s="658"/>
      <c r="AA14" s="658"/>
      <c r="AB14" s="658"/>
      <c r="AC14" s="658"/>
      <c r="AD14" s="658"/>
      <c r="AE14" s="658"/>
      <c r="AF14" s="658"/>
      <c r="AG14" s="658"/>
      <c r="AH14" s="658"/>
      <c r="AI14" s="658"/>
      <c r="AJ14" s="659"/>
      <c r="AK14" s="1"/>
    </row>
    <row r="15" spans="1:37" s="671" customFormat="1" ht="18.75">
      <c r="A15" s="664" t="s">
        <v>1238</v>
      </c>
      <c r="B15" s="675"/>
      <c r="C15" s="665"/>
      <c r="D15" s="666"/>
      <c r="E15" s="667"/>
      <c r="F15" s="667"/>
      <c r="G15" s="667"/>
      <c r="H15" s="665"/>
      <c r="I15" s="670"/>
      <c r="J15" s="670"/>
      <c r="K15" s="670"/>
      <c r="L15" s="670"/>
      <c r="M15" s="670"/>
      <c r="N15" s="670"/>
      <c r="O15" s="670"/>
      <c r="P15" s="670"/>
      <c r="Q15" s="670"/>
      <c r="R15" s="670"/>
      <c r="S15" s="670"/>
      <c r="T15" s="670"/>
      <c r="U15" s="670"/>
      <c r="V15" s="670"/>
      <c r="W15" s="679"/>
      <c r="X15" s="668"/>
      <c r="Y15" s="665"/>
      <c r="Z15" s="665"/>
      <c r="AA15" s="665"/>
      <c r="AB15" s="665"/>
      <c r="AC15" s="665"/>
      <c r="AD15" s="665"/>
      <c r="AE15" s="665"/>
      <c r="AF15" s="665"/>
      <c r="AG15" s="665"/>
      <c r="AH15" s="665"/>
      <c r="AI15" s="665"/>
      <c r="AJ15" s="669"/>
    </row>
    <row r="16" spans="1:37" s="519" customFormat="1" ht="38.25">
      <c r="A16" s="677">
        <v>62005016</v>
      </c>
      <c r="B16" s="662" t="s">
        <v>832</v>
      </c>
      <c r="C16" s="646">
        <v>1</v>
      </c>
      <c r="D16" s="654" t="s">
        <v>753</v>
      </c>
      <c r="E16" s="647" t="s">
        <v>754</v>
      </c>
      <c r="F16" s="647" t="s">
        <v>755</v>
      </c>
      <c r="G16" s="648">
        <v>22.485567</v>
      </c>
      <c r="H16" s="649">
        <v>3.5986426699999998</v>
      </c>
      <c r="I16" s="650">
        <v>99.6</v>
      </c>
      <c r="J16" s="650">
        <v>98.7</v>
      </c>
      <c r="K16" s="651">
        <v>803</v>
      </c>
      <c r="L16" s="651">
        <v>223.13968727548047</v>
      </c>
      <c r="M16" s="651">
        <v>800</v>
      </c>
      <c r="N16" s="651">
        <v>34</v>
      </c>
      <c r="O16" s="651">
        <v>709</v>
      </c>
      <c r="P16" s="651">
        <v>57.999999999999993</v>
      </c>
      <c r="Q16" s="651">
        <v>46.969830999999999</v>
      </c>
      <c r="R16" s="651">
        <v>0.1</v>
      </c>
      <c r="S16" s="651">
        <v>0.30000000000000004</v>
      </c>
      <c r="T16" s="651">
        <v>-1.17</v>
      </c>
      <c r="U16" s="651">
        <v>-8.3814910000000005</v>
      </c>
      <c r="V16" s="652"/>
      <c r="W16" s="678"/>
      <c r="X16" s="657" t="s">
        <v>723</v>
      </c>
      <c r="Y16" s="658">
        <v>2372.8138598099999</v>
      </c>
      <c r="Z16" s="658">
        <v>-0.65211501000000005</v>
      </c>
      <c r="AA16" s="658">
        <v>2035.5091644199999</v>
      </c>
      <c r="AB16" s="658">
        <v>2048.8701541599999</v>
      </c>
      <c r="AC16" s="658">
        <v>3.0256276999999998</v>
      </c>
      <c r="AD16" s="658">
        <v>3.0320580100000001</v>
      </c>
      <c r="AE16" s="658">
        <v>0.21172957000000001</v>
      </c>
      <c r="AF16" s="658">
        <v>3.5985833600000001</v>
      </c>
      <c r="AG16" s="658">
        <v>3.5909801899999998</v>
      </c>
      <c r="AH16" s="658">
        <v>-0.42470785999999999</v>
      </c>
      <c r="AI16" s="658">
        <v>-0.21207757999999999</v>
      </c>
      <c r="AJ16" s="659">
        <v>0.63450921999999998</v>
      </c>
      <c r="AK16" s="1"/>
    </row>
    <row r="17" spans="1:37" s="519" customFormat="1" ht="38.25">
      <c r="A17" s="677">
        <v>62005016</v>
      </c>
      <c r="B17" s="662" t="s">
        <v>831</v>
      </c>
      <c r="C17" s="646">
        <v>2</v>
      </c>
      <c r="D17" s="654" t="s">
        <v>753</v>
      </c>
      <c r="E17" s="647" t="s">
        <v>754</v>
      </c>
      <c r="F17" s="647" t="s">
        <v>755</v>
      </c>
      <c r="G17" s="648">
        <v>21.29439</v>
      </c>
      <c r="H17" s="649">
        <v>3.8662682799999999</v>
      </c>
      <c r="I17" s="650">
        <v>98.7</v>
      </c>
      <c r="J17" s="650">
        <v>97.9</v>
      </c>
      <c r="K17" s="651">
        <v>688</v>
      </c>
      <c r="L17" s="651">
        <v>177.94936879031064</v>
      </c>
      <c r="M17" s="651">
        <v>685</v>
      </c>
      <c r="N17" s="651">
        <v>25</v>
      </c>
      <c r="O17" s="651">
        <v>565</v>
      </c>
      <c r="P17" s="651">
        <v>96.300000000000011</v>
      </c>
      <c r="Q17" s="651">
        <v>77.399301000000008</v>
      </c>
      <c r="R17" s="651">
        <v>0.3</v>
      </c>
      <c r="S17" s="651">
        <v>0.5</v>
      </c>
      <c r="T17" s="651">
        <v>-1.35</v>
      </c>
      <c r="U17" s="651">
        <v>-5.5818380000000003</v>
      </c>
      <c r="V17" s="652"/>
      <c r="W17" s="678"/>
      <c r="X17" s="657" t="s">
        <v>723</v>
      </c>
      <c r="Y17" s="658">
        <v>1476.5272395899999</v>
      </c>
      <c r="Z17" s="658">
        <v>-0.87317464</v>
      </c>
      <c r="AA17" s="658">
        <v>3386.47350194</v>
      </c>
      <c r="AB17" s="658">
        <v>3416.3038005100002</v>
      </c>
      <c r="AC17" s="658">
        <v>3.0066013900000002</v>
      </c>
      <c r="AD17" s="658">
        <v>2.9954536900000002</v>
      </c>
      <c r="AE17" s="658">
        <v>0.14835259000000001</v>
      </c>
      <c r="AF17" s="658">
        <v>3.86555728</v>
      </c>
      <c r="AG17" s="658">
        <v>3.8598311199999999</v>
      </c>
      <c r="AH17" s="658">
        <v>0.22297157000000001</v>
      </c>
      <c r="AI17" s="658">
        <v>0.37215396000000001</v>
      </c>
      <c r="AJ17" s="659">
        <v>0.72008276999999998</v>
      </c>
      <c r="AK17" s="1"/>
    </row>
    <row r="18" spans="1:37" s="519" customFormat="1" ht="38.25">
      <c r="A18" s="677">
        <v>62005016</v>
      </c>
      <c r="B18" s="662" t="s">
        <v>830</v>
      </c>
      <c r="C18" s="646" t="s">
        <v>1362</v>
      </c>
      <c r="D18" s="654" t="s">
        <v>753</v>
      </c>
      <c r="E18" s="647" t="s">
        <v>754</v>
      </c>
      <c r="F18" s="647" t="s">
        <v>755</v>
      </c>
      <c r="G18" s="648">
        <v>21.889978499999998</v>
      </c>
      <c r="H18" s="649">
        <v>7.4649109500000002</v>
      </c>
      <c r="I18" s="650">
        <v>99.6</v>
      </c>
      <c r="J18" s="650">
        <v>97.9</v>
      </c>
      <c r="K18" s="651">
        <v>1491</v>
      </c>
      <c r="L18" s="651">
        <v>199.73446568709571</v>
      </c>
      <c r="M18" s="651">
        <v>1485</v>
      </c>
      <c r="N18" s="651">
        <v>59</v>
      </c>
      <c r="O18" s="651">
        <v>1274</v>
      </c>
      <c r="P18" s="651">
        <v>154.30000000000001</v>
      </c>
      <c r="Q18" s="651">
        <v>124.36913200000001</v>
      </c>
      <c r="R18" s="651">
        <v>0.4</v>
      </c>
      <c r="S18" s="651">
        <v>0.8</v>
      </c>
      <c r="T18" s="651">
        <v>-2.52</v>
      </c>
      <c r="U18" s="651">
        <v>-6.9816645000000008</v>
      </c>
      <c r="V18" s="652"/>
      <c r="W18" s="678"/>
      <c r="X18" s="657" t="s">
        <v>723</v>
      </c>
      <c r="Y18" s="658"/>
      <c r="Z18" s="658"/>
      <c r="AA18" s="658"/>
      <c r="AB18" s="658"/>
      <c r="AC18" s="658"/>
      <c r="AD18" s="658"/>
      <c r="AE18" s="658"/>
      <c r="AF18" s="658"/>
      <c r="AG18" s="658"/>
      <c r="AH18" s="658"/>
      <c r="AI18" s="658"/>
      <c r="AJ18" s="659"/>
      <c r="AK18" s="1"/>
    </row>
    <row r="19" spans="1:37" s="519" customFormat="1" ht="38.25">
      <c r="A19" s="677">
        <v>62005016</v>
      </c>
      <c r="B19" s="662" t="s">
        <v>829</v>
      </c>
      <c r="C19" s="646">
        <v>3</v>
      </c>
      <c r="D19" s="654" t="s">
        <v>753</v>
      </c>
      <c r="E19" s="647" t="s">
        <v>754</v>
      </c>
      <c r="F19" s="647" t="s">
        <v>755</v>
      </c>
      <c r="G19" s="648">
        <v>25.225954000000002</v>
      </c>
      <c r="H19" s="649">
        <v>10.293208849999999</v>
      </c>
      <c r="I19" s="650">
        <v>97.9</v>
      </c>
      <c r="J19" s="650">
        <v>95.6</v>
      </c>
      <c r="K19" s="651">
        <v>1956</v>
      </c>
      <c r="L19" s="651">
        <v>190.02820485858501</v>
      </c>
      <c r="M19" s="651">
        <v>1955</v>
      </c>
      <c r="N19" s="651">
        <v>4</v>
      </c>
      <c r="O19" s="651">
        <v>1866</v>
      </c>
      <c r="P19" s="651">
        <v>83.900000000000034</v>
      </c>
      <c r="Q19" s="651">
        <v>67.395864999999986</v>
      </c>
      <c r="R19" s="651">
        <v>0.30000000000000004</v>
      </c>
      <c r="S19" s="651">
        <v>0.49999999999999989</v>
      </c>
      <c r="T19" s="651">
        <v>-0.92999999999999972</v>
      </c>
      <c r="U19" s="651">
        <v>-4.3660909999999999</v>
      </c>
      <c r="V19" s="652"/>
      <c r="W19" s="678"/>
      <c r="X19" s="657" t="s">
        <v>723</v>
      </c>
      <c r="Y19" s="658">
        <v>1876.0350796600001</v>
      </c>
      <c r="Z19" s="658">
        <v>-0.45221851000000002</v>
      </c>
      <c r="AA19" s="658">
        <v>1300.8768129499999</v>
      </c>
      <c r="AB19" s="658">
        <v>1306.7863426399999</v>
      </c>
      <c r="AC19" s="658">
        <v>6.81402281</v>
      </c>
      <c r="AD19" s="658">
        <v>6.7904697599999997</v>
      </c>
      <c r="AE19" s="658">
        <v>0.35626727000000002</v>
      </c>
      <c r="AF19" s="658">
        <v>10.293221559999999</v>
      </c>
      <c r="AG19" s="658">
        <v>10.25668037</v>
      </c>
      <c r="AH19" s="658">
        <v>-9.3803399999999992E-3</v>
      </c>
      <c r="AI19" s="658">
        <v>0.34685439000000001</v>
      </c>
      <c r="AJ19" s="659">
        <v>0.33398765000000002</v>
      </c>
      <c r="AK19" s="1"/>
    </row>
    <row r="20" spans="1:37" s="519" customFormat="1" ht="38.25">
      <c r="A20" s="677">
        <v>62005016</v>
      </c>
      <c r="B20" s="662" t="s">
        <v>828</v>
      </c>
      <c r="C20" s="646">
        <v>4</v>
      </c>
      <c r="D20" s="654" t="s">
        <v>753</v>
      </c>
      <c r="E20" s="647" t="s">
        <v>754</v>
      </c>
      <c r="F20" s="647" t="s">
        <v>755</v>
      </c>
      <c r="G20" s="648">
        <v>20.472801</v>
      </c>
      <c r="H20" s="649">
        <v>3.59853501</v>
      </c>
      <c r="I20" s="650">
        <v>95.6</v>
      </c>
      <c r="J20" s="650">
        <v>94.8</v>
      </c>
      <c r="K20" s="651">
        <v>678</v>
      </c>
      <c r="L20" s="651">
        <v>188.41000521487214</v>
      </c>
      <c r="M20" s="651">
        <v>677</v>
      </c>
      <c r="N20" s="651">
        <v>6.5296639999999968</v>
      </c>
      <c r="O20" s="651">
        <v>609</v>
      </c>
      <c r="P20" s="651">
        <v>61.952930999999978</v>
      </c>
      <c r="Q20" s="651">
        <v>51.335376999999994</v>
      </c>
      <c r="R20" s="651">
        <v>0.19999999999999996</v>
      </c>
      <c r="S20" s="651">
        <v>0.30000000000000004</v>
      </c>
      <c r="T20" s="651">
        <v>-0.41000000000000014</v>
      </c>
      <c r="U20" s="651">
        <v>-2.898517</v>
      </c>
      <c r="V20" s="652"/>
      <c r="W20" s="678"/>
      <c r="X20" s="657" t="s">
        <v>723</v>
      </c>
      <c r="Y20" s="658">
        <v>2368.1532292400002</v>
      </c>
      <c r="Z20" s="658">
        <v>-1.09751435</v>
      </c>
      <c r="AA20" s="658">
        <v>2026.34586752</v>
      </c>
      <c r="AB20" s="658">
        <v>2048.8320937499998</v>
      </c>
      <c r="AC20" s="658">
        <v>3.0229995500000002</v>
      </c>
      <c r="AD20" s="658">
        <v>3.03199818</v>
      </c>
      <c r="AE20" s="658">
        <v>0.20940249</v>
      </c>
      <c r="AF20" s="658">
        <v>3.5984997600000002</v>
      </c>
      <c r="AG20" s="658">
        <v>3.59098016</v>
      </c>
      <c r="AH20" s="658">
        <v>-0.50769797000000005</v>
      </c>
      <c r="AI20" s="658">
        <v>-0.29678869000000002</v>
      </c>
      <c r="AJ20" s="659">
        <v>0.63450430000000002</v>
      </c>
      <c r="AK20" s="1"/>
    </row>
    <row r="21" spans="1:37" s="519" customFormat="1" ht="38.25">
      <c r="A21" s="677">
        <v>62005016</v>
      </c>
      <c r="B21" s="662" t="s">
        <v>239</v>
      </c>
      <c r="C21" s="646">
        <v>5</v>
      </c>
      <c r="D21" s="654" t="s">
        <v>753</v>
      </c>
      <c r="E21" s="647" t="s">
        <v>754</v>
      </c>
      <c r="F21" s="647" t="s">
        <v>755</v>
      </c>
      <c r="G21" s="648">
        <v>19.521735</v>
      </c>
      <c r="H21" s="649">
        <v>3.8700821699999999</v>
      </c>
      <c r="I21" s="650">
        <v>94.8</v>
      </c>
      <c r="J21" s="650">
        <v>94</v>
      </c>
      <c r="K21" s="651">
        <v>674</v>
      </c>
      <c r="L21" s="651">
        <v>174.15650893014501</v>
      </c>
      <c r="M21" s="651">
        <v>673</v>
      </c>
      <c r="N21" s="651">
        <v>17</v>
      </c>
      <c r="O21" s="651">
        <v>547</v>
      </c>
      <c r="P21" s="651">
        <v>107.19999999999999</v>
      </c>
      <c r="Q21" s="651">
        <v>88.999626999999975</v>
      </c>
      <c r="R21" s="651">
        <v>0.19999999999999996</v>
      </c>
      <c r="S21" s="651">
        <v>0.5</v>
      </c>
      <c r="T21" s="651">
        <v>-0.66000000000000014</v>
      </c>
      <c r="U21" s="651">
        <v>-2.7248899999999998</v>
      </c>
      <c r="V21" s="652"/>
      <c r="W21" s="678"/>
      <c r="X21" s="657" t="s">
        <v>723</v>
      </c>
      <c r="Y21" s="658">
        <v>1476.36668962</v>
      </c>
      <c r="Z21" s="658">
        <v>-1.30534935</v>
      </c>
      <c r="AA21" s="658">
        <v>3371.6532563000001</v>
      </c>
      <c r="AB21" s="658">
        <v>3416.24721731</v>
      </c>
      <c r="AC21" s="658">
        <v>2.9865086299999999</v>
      </c>
      <c r="AD21" s="658">
        <v>2.9953616799999998</v>
      </c>
      <c r="AE21" s="658">
        <v>0.26068671999999998</v>
      </c>
      <c r="AF21" s="658">
        <v>3.8698926600000001</v>
      </c>
      <c r="AG21" s="658">
        <v>3.8598305900000001</v>
      </c>
      <c r="AH21" s="658">
        <v>-0.55789407000000002</v>
      </c>
      <c r="AI21" s="658">
        <v>-0.29555844999999997</v>
      </c>
      <c r="AJ21" s="659">
        <v>0.72008974000000003</v>
      </c>
      <c r="AK21" s="1"/>
    </row>
    <row r="22" spans="1:37" s="519" customFormat="1" ht="38.25">
      <c r="A22" s="677">
        <v>62005016</v>
      </c>
      <c r="B22" s="662" t="s">
        <v>833</v>
      </c>
      <c r="C22" s="646" t="s">
        <v>1363</v>
      </c>
      <c r="D22" s="654" t="s">
        <v>753</v>
      </c>
      <c r="E22" s="647" t="s">
        <v>754</v>
      </c>
      <c r="F22" s="647" t="s">
        <v>755</v>
      </c>
      <c r="G22" s="648">
        <v>19.997267999999998</v>
      </c>
      <c r="H22" s="649">
        <v>7.4686171799999999</v>
      </c>
      <c r="I22" s="650">
        <v>95.6</v>
      </c>
      <c r="J22" s="650">
        <v>94</v>
      </c>
      <c r="K22" s="651">
        <v>1352</v>
      </c>
      <c r="L22" s="651">
        <v>181.0241397323835</v>
      </c>
      <c r="M22" s="651">
        <v>1350</v>
      </c>
      <c r="N22" s="651">
        <v>23.529663999999997</v>
      </c>
      <c r="O22" s="651">
        <v>1156</v>
      </c>
      <c r="P22" s="651">
        <v>169.15293099999997</v>
      </c>
      <c r="Q22" s="651">
        <v>140.33500399999997</v>
      </c>
      <c r="R22" s="651">
        <v>0.39999999999999991</v>
      </c>
      <c r="S22" s="651">
        <v>0.8</v>
      </c>
      <c r="T22" s="651">
        <v>-1.0700000000000003</v>
      </c>
      <c r="U22" s="651">
        <v>-2.8117035000000001</v>
      </c>
      <c r="V22" s="652"/>
      <c r="W22" s="678"/>
      <c r="X22" s="657" t="s">
        <v>723</v>
      </c>
      <c r="Y22" s="658"/>
      <c r="Z22" s="658"/>
      <c r="AA22" s="658"/>
      <c r="AB22" s="658"/>
      <c r="AC22" s="658"/>
      <c r="AD22" s="658"/>
      <c r="AE22" s="658"/>
      <c r="AF22" s="658"/>
      <c r="AG22" s="658"/>
      <c r="AH22" s="658"/>
      <c r="AI22" s="658"/>
      <c r="AJ22" s="659"/>
      <c r="AK22" s="1"/>
    </row>
    <row r="23" spans="1:37" s="519" customFormat="1" ht="38.25">
      <c r="A23" s="677">
        <v>62005016</v>
      </c>
      <c r="B23" s="662" t="s">
        <v>836</v>
      </c>
      <c r="C23" s="646">
        <v>6</v>
      </c>
      <c r="D23" s="654" t="s">
        <v>753</v>
      </c>
      <c r="E23" s="647" t="s">
        <v>754</v>
      </c>
      <c r="F23" s="647" t="s">
        <v>755</v>
      </c>
      <c r="G23" s="648">
        <v>23.040631000000001</v>
      </c>
      <c r="H23" s="649">
        <v>1.7745031099999999</v>
      </c>
      <c r="I23" s="650">
        <v>94</v>
      </c>
      <c r="J23" s="650">
        <v>91.6</v>
      </c>
      <c r="K23" s="651">
        <v>482</v>
      </c>
      <c r="L23" s="651">
        <v>271.62533403505842</v>
      </c>
      <c r="M23" s="651">
        <v>482</v>
      </c>
      <c r="N23" s="651">
        <v>39</v>
      </c>
      <c r="O23" s="651">
        <v>412</v>
      </c>
      <c r="P23" s="651">
        <v>29.469988999999941</v>
      </c>
      <c r="Q23" s="651">
        <v>24.569325000000049</v>
      </c>
      <c r="R23" s="651">
        <v>0</v>
      </c>
      <c r="S23" s="651">
        <v>0.19999999999999973</v>
      </c>
      <c r="T23" s="651">
        <v>-0.1800000000000006</v>
      </c>
      <c r="U23" s="651">
        <v>-2.5938819999999998</v>
      </c>
      <c r="V23" s="652"/>
      <c r="W23" s="678"/>
      <c r="X23" s="657" t="s">
        <v>723</v>
      </c>
      <c r="Y23" s="658">
        <v>5478.2786310000001</v>
      </c>
      <c r="Z23" s="658">
        <v>-4.3948000900000004</v>
      </c>
      <c r="AA23" s="658">
        <v>2351.3761221599998</v>
      </c>
      <c r="AB23" s="658">
        <v>2459.46467807</v>
      </c>
      <c r="AC23" s="658">
        <v>3.0077957899999999</v>
      </c>
      <c r="AD23" s="658">
        <v>3.09838602</v>
      </c>
      <c r="AE23" s="658">
        <v>0.13453082999999999</v>
      </c>
      <c r="AF23" s="658">
        <v>1.77448874</v>
      </c>
      <c r="AG23" s="658">
        <v>1.77210471</v>
      </c>
      <c r="AH23" s="658">
        <v>-3.1504302599999998</v>
      </c>
      <c r="AI23" s="658">
        <v>-2.9237875400000002</v>
      </c>
      <c r="AJ23" s="659">
        <v>0.84360427999999998</v>
      </c>
      <c r="AK23" s="1"/>
    </row>
    <row r="24" spans="1:37" s="519" customFormat="1" ht="38.25">
      <c r="A24" s="677">
        <v>62005016</v>
      </c>
      <c r="B24" s="662" t="s">
        <v>837</v>
      </c>
      <c r="C24" s="646">
        <v>7</v>
      </c>
      <c r="D24" s="654" t="s">
        <v>753</v>
      </c>
      <c r="E24" s="647" t="s">
        <v>754</v>
      </c>
      <c r="F24" s="647" t="s">
        <v>755</v>
      </c>
      <c r="G24" s="648">
        <v>26.863195999999999</v>
      </c>
      <c r="H24" s="649">
        <v>6.2546746899999999</v>
      </c>
      <c r="I24" s="650">
        <v>93.6</v>
      </c>
      <c r="J24" s="650">
        <v>91.8</v>
      </c>
      <c r="K24" s="651">
        <v>1549</v>
      </c>
      <c r="L24" s="651">
        <v>247.65476651832071</v>
      </c>
      <c r="M24" s="651">
        <v>1549</v>
      </c>
      <c r="N24" s="651">
        <v>18</v>
      </c>
      <c r="O24" s="651">
        <v>1485</v>
      </c>
      <c r="P24" s="651">
        <v>45.130011000000025</v>
      </c>
      <c r="Q24" s="651">
        <v>37.451474999999959</v>
      </c>
      <c r="R24" s="651">
        <v>0.10000000000000009</v>
      </c>
      <c r="S24" s="651">
        <v>0.20000000000000018</v>
      </c>
      <c r="T24" s="651">
        <v>-0.25999999999999979</v>
      </c>
      <c r="U24" s="651">
        <v>-2.5739420000000002</v>
      </c>
      <c r="V24" s="652"/>
      <c r="W24" s="678"/>
      <c r="X24" s="657" t="s">
        <v>723</v>
      </c>
      <c r="Y24" s="658">
        <v>11297.01850835</v>
      </c>
      <c r="Z24" s="658">
        <v>0.13722248000000001</v>
      </c>
      <c r="AA24" s="658">
        <v>1140.5304155399999</v>
      </c>
      <c r="AB24" s="658">
        <v>1138.9674960899999</v>
      </c>
      <c r="AC24" s="658">
        <v>5.9015723199999996</v>
      </c>
      <c r="AD24" s="658">
        <v>5.8930404899999997</v>
      </c>
      <c r="AE24" s="658">
        <v>0.31749767000000001</v>
      </c>
      <c r="AF24" s="658">
        <v>6.2546536899999996</v>
      </c>
      <c r="AG24" s="658">
        <v>6.2348581599999999</v>
      </c>
      <c r="AH24" s="658">
        <v>-0.17247000000000001</v>
      </c>
      <c r="AI24" s="658">
        <v>0.14477796000000001</v>
      </c>
      <c r="AJ24" s="659">
        <v>0.419769</v>
      </c>
      <c r="AK24" s="1"/>
    </row>
    <row r="25" spans="1:37" s="519" customFormat="1" ht="38.25">
      <c r="A25" s="677">
        <v>62005016</v>
      </c>
      <c r="B25" s="662" t="s">
        <v>835</v>
      </c>
      <c r="C25" s="646" t="s">
        <v>1364</v>
      </c>
      <c r="D25" s="654" t="s">
        <v>753</v>
      </c>
      <c r="E25" s="647" t="s">
        <v>754</v>
      </c>
      <c r="F25" s="647" t="s">
        <v>755</v>
      </c>
      <c r="G25" s="648">
        <v>24.9519135</v>
      </c>
      <c r="H25" s="649">
        <v>8.0291777999999994</v>
      </c>
      <c r="I25" s="650">
        <v>94</v>
      </c>
      <c r="J25" s="650">
        <v>91.8</v>
      </c>
      <c r="K25" s="651">
        <v>2031</v>
      </c>
      <c r="L25" s="651">
        <v>252.95242558957906</v>
      </c>
      <c r="M25" s="651">
        <v>2031</v>
      </c>
      <c r="N25" s="651">
        <v>57</v>
      </c>
      <c r="O25" s="651">
        <v>1897</v>
      </c>
      <c r="P25" s="651">
        <v>74.599999999999966</v>
      </c>
      <c r="Q25" s="651">
        <v>62.020800000000008</v>
      </c>
      <c r="R25" s="651">
        <v>0.10000000000000009</v>
      </c>
      <c r="S25" s="651">
        <v>0.39999999999999991</v>
      </c>
      <c r="T25" s="651">
        <v>-0.44000000000000039</v>
      </c>
      <c r="U25" s="651">
        <v>-2.5839119999999998</v>
      </c>
      <c r="V25" s="652"/>
      <c r="W25" s="678"/>
      <c r="X25" s="657" t="s">
        <v>723</v>
      </c>
      <c r="Y25" s="658"/>
      <c r="Z25" s="658"/>
      <c r="AA25" s="658"/>
      <c r="AB25" s="658"/>
      <c r="AC25" s="658"/>
      <c r="AD25" s="658"/>
      <c r="AE25" s="658"/>
      <c r="AF25" s="658"/>
      <c r="AG25" s="658"/>
      <c r="AH25" s="658"/>
      <c r="AI25" s="658"/>
      <c r="AJ25" s="659"/>
      <c r="AK25" s="1"/>
    </row>
    <row r="26" spans="1:37" s="519" customFormat="1" ht="38.25">
      <c r="A26" s="677">
        <v>62005017</v>
      </c>
      <c r="B26" s="662" t="s">
        <v>838</v>
      </c>
      <c r="C26" s="646">
        <v>1</v>
      </c>
      <c r="D26" s="654" t="s">
        <v>757</v>
      </c>
      <c r="E26" s="647" t="s">
        <v>758</v>
      </c>
      <c r="F26" s="647" t="s">
        <v>759</v>
      </c>
      <c r="G26" s="648">
        <v>321.85344099999998</v>
      </c>
      <c r="H26" s="649">
        <v>257.30084962000001</v>
      </c>
      <c r="I26" s="650">
        <v>91.5</v>
      </c>
      <c r="J26" s="650">
        <v>18.899999999999999</v>
      </c>
      <c r="K26" s="651">
        <v>57969</v>
      </c>
      <c r="L26" s="651">
        <v>225.29657436270691</v>
      </c>
      <c r="M26" s="651">
        <v>57982</v>
      </c>
      <c r="N26" s="651">
        <v>1</v>
      </c>
      <c r="O26" s="651">
        <v>56350</v>
      </c>
      <c r="P26" s="651">
        <v>1557.9529180000002</v>
      </c>
      <c r="Q26" s="651">
        <v>1287.115875</v>
      </c>
      <c r="R26" s="651">
        <v>3.2</v>
      </c>
      <c r="S26" s="651">
        <v>7.1999999999999993</v>
      </c>
      <c r="T26" s="651">
        <v>-8.43</v>
      </c>
      <c r="U26" s="651">
        <v>-26.006053000000001</v>
      </c>
      <c r="V26" s="652"/>
      <c r="W26" s="678"/>
      <c r="X26" s="657" t="s">
        <v>723</v>
      </c>
      <c r="Y26" s="658">
        <v>8.9098933599999999</v>
      </c>
      <c r="Z26" s="658">
        <v>123.93749763</v>
      </c>
      <c r="AA26" s="658">
        <v>1301.41724621</v>
      </c>
      <c r="AB26" s="658">
        <v>581.15200000000004</v>
      </c>
      <c r="AC26" s="658">
        <v>193.12529481000001</v>
      </c>
      <c r="AD26" s="658">
        <v>192.55546766000001</v>
      </c>
      <c r="AE26" s="658">
        <v>-4.5715930000000002E-2</v>
      </c>
      <c r="AF26" s="658">
        <v>257.30127479999999</v>
      </c>
      <c r="AG26" s="658">
        <v>257.41895626000002</v>
      </c>
      <c r="AH26" s="658">
        <v>0.34063672</v>
      </c>
      <c r="AI26" s="658">
        <v>0.29592884000000003</v>
      </c>
      <c r="AJ26" s="659">
        <v>4.2900400000000002E-3</v>
      </c>
      <c r="AK26" s="1"/>
    </row>
    <row r="27" spans="1:37" s="519" customFormat="1" ht="25.5">
      <c r="A27" s="677">
        <v>62005018</v>
      </c>
      <c r="B27" s="662" t="s">
        <v>839</v>
      </c>
      <c r="C27" s="646">
        <v>1</v>
      </c>
      <c r="D27" s="654" t="s">
        <v>761</v>
      </c>
      <c r="E27" s="647" t="s">
        <v>762</v>
      </c>
      <c r="F27" s="647" t="s">
        <v>708</v>
      </c>
      <c r="G27" s="648">
        <v>21.746403999999998</v>
      </c>
      <c r="H27" s="649">
        <v>1.7759390900000001</v>
      </c>
      <c r="I27" s="650"/>
      <c r="J27" s="650"/>
      <c r="K27" s="651">
        <v>453</v>
      </c>
      <c r="L27" s="651">
        <v>255.07631570855281</v>
      </c>
      <c r="M27" s="651">
        <v>453</v>
      </c>
      <c r="N27" s="651">
        <v>36</v>
      </c>
      <c r="O27" s="651">
        <v>391</v>
      </c>
      <c r="P27" s="651">
        <v>24.885529000000133</v>
      </c>
      <c r="Q27" s="651">
        <v>20.668387999999823</v>
      </c>
      <c r="R27" s="651">
        <v>0</v>
      </c>
      <c r="S27" s="651">
        <v>0</v>
      </c>
      <c r="T27" s="651">
        <v>-0.12999999999999901</v>
      </c>
      <c r="U27" s="651">
        <v>-1.97458</v>
      </c>
      <c r="V27" s="652"/>
      <c r="W27" s="678"/>
      <c r="X27" s="657" t="s">
        <v>723</v>
      </c>
      <c r="Y27" s="658">
        <v>5451.5393356900004</v>
      </c>
      <c r="Z27" s="658">
        <v>-4.2624649200000002</v>
      </c>
      <c r="AA27" s="658">
        <v>2354.8705188700001</v>
      </c>
      <c r="AB27" s="658">
        <v>2459.7150082500002</v>
      </c>
      <c r="AC27" s="658">
        <v>3.02312322</v>
      </c>
      <c r="AD27" s="658">
        <v>3.0990129799999999</v>
      </c>
      <c r="AE27" s="658">
        <v>0.21089746000000001</v>
      </c>
      <c r="AF27" s="658">
        <v>1.7759369</v>
      </c>
      <c r="AG27" s="658">
        <v>1.77219938</v>
      </c>
      <c r="AH27" s="658">
        <v>-2.7265012899999999</v>
      </c>
      <c r="AI27" s="658">
        <v>-2.4488362800000001</v>
      </c>
      <c r="AJ27" s="659">
        <v>0.84361602999999996</v>
      </c>
      <c r="AK27" s="1"/>
    </row>
    <row r="28" spans="1:37" s="519" customFormat="1" ht="25.5">
      <c r="A28" s="677">
        <v>62005018</v>
      </c>
      <c r="B28" s="662" t="s">
        <v>840</v>
      </c>
      <c r="C28" s="646">
        <v>2</v>
      </c>
      <c r="D28" s="654" t="s">
        <v>761</v>
      </c>
      <c r="E28" s="647" t="s">
        <v>762</v>
      </c>
      <c r="F28" s="647" t="s">
        <v>708</v>
      </c>
      <c r="G28" s="648">
        <v>25.540348999999999</v>
      </c>
      <c r="H28" s="649">
        <v>6.2513118600000004</v>
      </c>
      <c r="I28" s="650">
        <v>18.399999999999999</v>
      </c>
      <c r="J28" s="650">
        <v>16.2</v>
      </c>
      <c r="K28" s="651">
        <v>1496</v>
      </c>
      <c r="L28" s="651">
        <v>239.3097694537351</v>
      </c>
      <c r="M28" s="651">
        <v>1496</v>
      </c>
      <c r="N28" s="651">
        <v>14</v>
      </c>
      <c r="O28" s="651">
        <v>1445</v>
      </c>
      <c r="P28" s="651">
        <v>36.5</v>
      </c>
      <c r="Q28" s="651">
        <v>30.151239000000032</v>
      </c>
      <c r="R28" s="651">
        <v>9.9999999999999645E-2</v>
      </c>
      <c r="S28" s="651">
        <v>0.19999999999999929</v>
      </c>
      <c r="T28" s="651">
        <v>-0.21000000000000085</v>
      </c>
      <c r="U28" s="651">
        <v>-1.9551449999999999</v>
      </c>
      <c r="V28" s="652"/>
      <c r="W28" s="678"/>
      <c r="X28" s="657" t="s">
        <v>723</v>
      </c>
      <c r="Y28" s="658">
        <v>11296.255486509999</v>
      </c>
      <c r="Z28" s="658">
        <v>-5.4972999099999997</v>
      </c>
      <c r="AA28" s="658">
        <v>1076.70275636</v>
      </c>
      <c r="AB28" s="658">
        <v>1139.3354426200001</v>
      </c>
      <c r="AC28" s="658">
        <v>5.8248879899999997</v>
      </c>
      <c r="AD28" s="658">
        <v>5.89529528</v>
      </c>
      <c r="AE28" s="658">
        <v>0.24939075999999999</v>
      </c>
      <c r="AF28" s="658">
        <v>6.2513038400000003</v>
      </c>
      <c r="AG28" s="658">
        <v>6.2357524499999997</v>
      </c>
      <c r="AH28" s="658">
        <v>-1.46113732</v>
      </c>
      <c r="AI28" s="658">
        <v>-1.1942962500000001</v>
      </c>
      <c r="AJ28" s="659">
        <v>0.41982085000000002</v>
      </c>
      <c r="AK28" s="1"/>
    </row>
    <row r="29" spans="1:37" s="519" customFormat="1" ht="25.5">
      <c r="A29" s="677">
        <v>62005018</v>
      </c>
      <c r="B29" s="662" t="s">
        <v>834</v>
      </c>
      <c r="C29" s="646" t="s">
        <v>1362</v>
      </c>
      <c r="D29" s="654" t="s">
        <v>761</v>
      </c>
      <c r="E29" s="647" t="s">
        <v>762</v>
      </c>
      <c r="F29" s="647" t="s">
        <v>708</v>
      </c>
      <c r="G29" s="648">
        <v>23.643376499999999</v>
      </c>
      <c r="H29" s="649">
        <v>8.0272509500000009</v>
      </c>
      <c r="I29" s="650">
        <v>0</v>
      </c>
      <c r="J29" s="650">
        <v>16.2</v>
      </c>
      <c r="K29" s="651">
        <v>1949</v>
      </c>
      <c r="L29" s="651">
        <v>242.79794068229546</v>
      </c>
      <c r="M29" s="651">
        <v>1949</v>
      </c>
      <c r="N29" s="651">
        <v>50</v>
      </c>
      <c r="O29" s="651">
        <v>1836</v>
      </c>
      <c r="P29" s="651">
        <v>61.385529000000133</v>
      </c>
      <c r="Q29" s="651">
        <v>50.819626999999855</v>
      </c>
      <c r="R29" s="651">
        <v>9.9999999999999645E-2</v>
      </c>
      <c r="S29" s="651">
        <v>0.19999999999999929</v>
      </c>
      <c r="T29" s="651">
        <v>-0.33999999999999986</v>
      </c>
      <c r="U29" s="651">
        <v>-1.9648625</v>
      </c>
      <c r="V29" s="652"/>
      <c r="W29" s="678"/>
      <c r="X29" s="657" t="s">
        <v>723</v>
      </c>
      <c r="Y29" s="658"/>
      <c r="Z29" s="658"/>
      <c r="AA29" s="658"/>
      <c r="AB29" s="658"/>
      <c r="AC29" s="658"/>
      <c r="AD29" s="658"/>
      <c r="AE29" s="658"/>
      <c r="AF29" s="658"/>
      <c r="AG29" s="658"/>
      <c r="AH29" s="658"/>
      <c r="AI29" s="658"/>
      <c r="AJ29" s="659"/>
      <c r="AK29" s="1"/>
    </row>
    <row r="30" spans="1:37" s="519" customFormat="1" ht="25.5">
      <c r="A30" s="677">
        <v>62005018</v>
      </c>
      <c r="B30" s="662" t="s">
        <v>841</v>
      </c>
      <c r="C30" s="646">
        <v>3</v>
      </c>
      <c r="D30" s="654" t="s">
        <v>761</v>
      </c>
      <c r="E30" s="647" t="s">
        <v>762</v>
      </c>
      <c r="F30" s="647" t="s">
        <v>708</v>
      </c>
      <c r="G30" s="648">
        <v>20.787917</v>
      </c>
      <c r="H30" s="649">
        <v>3.5968798199999998</v>
      </c>
      <c r="I30" s="650">
        <v>15.9</v>
      </c>
      <c r="J30" s="650">
        <v>15</v>
      </c>
      <c r="K30" s="651">
        <v>648</v>
      </c>
      <c r="L30" s="651">
        <v>180.15614433289574</v>
      </c>
      <c r="M30" s="651">
        <v>647</v>
      </c>
      <c r="N30" s="651">
        <v>6</v>
      </c>
      <c r="O30" s="651">
        <v>589</v>
      </c>
      <c r="P30" s="651">
        <v>50.900000000000091</v>
      </c>
      <c r="Q30" s="651">
        <v>42.039888000000019</v>
      </c>
      <c r="R30" s="651">
        <v>0.10000000000000053</v>
      </c>
      <c r="S30" s="651">
        <v>0.19999999999999929</v>
      </c>
      <c r="T30" s="651">
        <v>-0.27999999999999758</v>
      </c>
      <c r="U30" s="651">
        <v>-2.0161359999999999</v>
      </c>
      <c r="V30" s="652"/>
      <c r="W30" s="678"/>
      <c r="X30" s="657" t="s">
        <v>723</v>
      </c>
      <c r="Y30" s="658">
        <v>2368.9175235900002</v>
      </c>
      <c r="Z30" s="658">
        <v>-1.21134184</v>
      </c>
      <c r="AA30" s="658">
        <v>2024.0009098200001</v>
      </c>
      <c r="AB30" s="658">
        <v>2048.8191130300002</v>
      </c>
      <c r="AC30" s="658">
        <v>3.02315684</v>
      </c>
      <c r="AD30" s="658">
        <v>3.03200593</v>
      </c>
      <c r="AE30" s="658">
        <v>0.16263602999999999</v>
      </c>
      <c r="AF30" s="658">
        <v>3.5968208700000002</v>
      </c>
      <c r="AG30" s="658">
        <v>3.5909806400000002</v>
      </c>
      <c r="AH30" s="658">
        <v>-0.45582241000000001</v>
      </c>
      <c r="AI30" s="658">
        <v>-0.29185603999999998</v>
      </c>
      <c r="AJ30" s="659">
        <v>0.63449948</v>
      </c>
      <c r="AK30" s="1"/>
    </row>
    <row r="31" spans="1:37" s="519" customFormat="1" ht="25.5">
      <c r="A31" s="677">
        <v>62005018</v>
      </c>
      <c r="B31" s="662" t="s">
        <v>234</v>
      </c>
      <c r="C31" s="646">
        <v>4</v>
      </c>
      <c r="D31" s="654" t="s">
        <v>761</v>
      </c>
      <c r="E31" s="647" t="s">
        <v>762</v>
      </c>
      <c r="F31" s="647" t="s">
        <v>708</v>
      </c>
      <c r="G31" s="648">
        <v>20.788806999999998</v>
      </c>
      <c r="H31" s="649">
        <v>3.8647289499999999</v>
      </c>
      <c r="I31" s="650">
        <v>15</v>
      </c>
      <c r="J31" s="650">
        <v>14.1</v>
      </c>
      <c r="K31" s="651">
        <v>625</v>
      </c>
      <c r="L31" s="651">
        <v>161.71897384938211</v>
      </c>
      <c r="M31" s="651">
        <v>626</v>
      </c>
      <c r="N31" s="651">
        <v>16</v>
      </c>
      <c r="O31" s="651">
        <v>525</v>
      </c>
      <c r="P31" s="651">
        <v>84.099999999999909</v>
      </c>
      <c r="Q31" s="651">
        <v>69.359609000000091</v>
      </c>
      <c r="R31" s="651">
        <v>9.9999999999999645E-2</v>
      </c>
      <c r="S31" s="651">
        <v>0.30000000000000071</v>
      </c>
      <c r="T31" s="651">
        <v>-0.49000000000000199</v>
      </c>
      <c r="U31" s="651">
        <v>-2.0093329999999998</v>
      </c>
      <c r="V31" s="652"/>
      <c r="W31" s="678"/>
      <c r="X31" s="657" t="s">
        <v>723</v>
      </c>
      <c r="Y31" s="658">
        <v>1476.4696037399999</v>
      </c>
      <c r="Z31" s="658">
        <v>-1.4184444599999999</v>
      </c>
      <c r="AA31" s="658">
        <v>3367.7537650700001</v>
      </c>
      <c r="AB31" s="658">
        <v>3416.21081826</v>
      </c>
      <c r="AC31" s="658">
        <v>2.97960979</v>
      </c>
      <c r="AD31" s="658">
        <v>2.9953240299999999</v>
      </c>
      <c r="AE31" s="658">
        <v>0.1240362</v>
      </c>
      <c r="AF31" s="658">
        <v>3.86461728</v>
      </c>
      <c r="AG31" s="658">
        <v>3.8598296900000002</v>
      </c>
      <c r="AH31" s="658">
        <v>-0.65208290999999996</v>
      </c>
      <c r="AI31" s="658">
        <v>-0.52462571999999996</v>
      </c>
      <c r="AJ31" s="659">
        <v>0.72008406000000003</v>
      </c>
      <c r="AK31" s="1"/>
    </row>
    <row r="32" spans="1:37" s="519" customFormat="1" ht="25.5">
      <c r="A32" s="677">
        <v>62005018</v>
      </c>
      <c r="B32" s="662" t="s">
        <v>842</v>
      </c>
      <c r="C32" s="646" t="s">
        <v>1365</v>
      </c>
      <c r="D32" s="654" t="s">
        <v>761</v>
      </c>
      <c r="E32" s="647" t="s">
        <v>762</v>
      </c>
      <c r="F32" s="647" t="s">
        <v>708</v>
      </c>
      <c r="G32" s="648">
        <v>20.788361999999999</v>
      </c>
      <c r="H32" s="649">
        <v>7.4616087699999998</v>
      </c>
      <c r="I32" s="650">
        <v>15.9</v>
      </c>
      <c r="J32" s="650">
        <v>14.1</v>
      </c>
      <c r="K32" s="651">
        <v>1273</v>
      </c>
      <c r="L32" s="651">
        <v>170.60663983324872</v>
      </c>
      <c r="M32" s="651">
        <v>1273</v>
      </c>
      <c r="N32" s="651">
        <v>22</v>
      </c>
      <c r="O32" s="651">
        <v>1114</v>
      </c>
      <c r="P32" s="651">
        <v>135</v>
      </c>
      <c r="Q32" s="651">
        <v>111.39949700000011</v>
      </c>
      <c r="R32" s="651">
        <v>0.20000000000000018</v>
      </c>
      <c r="S32" s="651">
        <v>0.5</v>
      </c>
      <c r="T32" s="651">
        <v>-0.76999999999999957</v>
      </c>
      <c r="U32" s="651">
        <v>-2.0127344999999996</v>
      </c>
      <c r="V32" s="652"/>
      <c r="W32" s="678"/>
      <c r="X32" s="657" t="s">
        <v>723</v>
      </c>
      <c r="Y32" s="658"/>
      <c r="Z32" s="658"/>
      <c r="AA32" s="658"/>
      <c r="AB32" s="658"/>
      <c r="AC32" s="658"/>
      <c r="AD32" s="658"/>
      <c r="AE32" s="658"/>
      <c r="AF32" s="658"/>
      <c r="AG32" s="658"/>
      <c r="AH32" s="658"/>
      <c r="AI32" s="658"/>
      <c r="AJ32" s="659"/>
      <c r="AK32" s="1"/>
    </row>
    <row r="33" spans="1:37" s="519" customFormat="1" ht="25.5">
      <c r="A33" s="677">
        <v>62005018</v>
      </c>
      <c r="B33" s="662" t="s">
        <v>56</v>
      </c>
      <c r="C33" s="646">
        <v>5</v>
      </c>
      <c r="D33" s="654" t="s">
        <v>761</v>
      </c>
      <c r="E33" s="647" t="s">
        <v>762</v>
      </c>
      <c r="F33" s="647" t="s">
        <v>708</v>
      </c>
      <c r="G33" s="648">
        <v>25.581983000000001</v>
      </c>
      <c r="H33" s="649">
        <v>10.28383032</v>
      </c>
      <c r="I33" s="650">
        <v>14.1</v>
      </c>
      <c r="J33" s="650">
        <v>11.3</v>
      </c>
      <c r="K33" s="651">
        <v>1865</v>
      </c>
      <c r="L33" s="651">
        <v>181.35266160245243</v>
      </c>
      <c r="M33" s="651">
        <v>1865</v>
      </c>
      <c r="N33" s="651">
        <v>2</v>
      </c>
      <c r="O33" s="651">
        <v>1788</v>
      </c>
      <c r="P33" s="651">
        <v>73.274218999999903</v>
      </c>
      <c r="Q33" s="651">
        <v>60.412323000000015</v>
      </c>
      <c r="R33" s="651">
        <v>0.10000000000000053</v>
      </c>
      <c r="S33" s="651">
        <v>0.30000000000000071</v>
      </c>
      <c r="T33" s="651">
        <v>-0.42000000000000171</v>
      </c>
      <c r="U33" s="651">
        <v>-1.980189</v>
      </c>
      <c r="V33" s="652"/>
      <c r="W33" s="678"/>
      <c r="X33" s="657" t="s">
        <v>723</v>
      </c>
      <c r="Y33" s="658">
        <v>1875.6821073599999</v>
      </c>
      <c r="Z33" s="658">
        <v>1.0214951299999999</v>
      </c>
      <c r="AA33" s="658">
        <v>1320.1279903899999</v>
      </c>
      <c r="AB33" s="658">
        <v>1306.77930339</v>
      </c>
      <c r="AC33" s="658">
        <v>6.8209455300000004</v>
      </c>
      <c r="AD33" s="658">
        <v>6.7904460599999998</v>
      </c>
      <c r="AE33" s="658">
        <v>0.26476577000000001</v>
      </c>
      <c r="AF33" s="658">
        <v>10.28383659</v>
      </c>
      <c r="AG33" s="658">
        <v>10.25668041</v>
      </c>
      <c r="AH33" s="658">
        <v>0.18356233</v>
      </c>
      <c r="AI33" s="658">
        <v>0.44915258000000002</v>
      </c>
      <c r="AJ33" s="659">
        <v>0.33398661000000002</v>
      </c>
      <c r="AK33" s="1"/>
    </row>
    <row r="34" spans="1:37" s="519" customFormat="1" ht="25.5">
      <c r="A34" s="677">
        <v>62005018</v>
      </c>
      <c r="B34" s="662" t="s">
        <v>843</v>
      </c>
      <c r="C34" s="646">
        <v>6</v>
      </c>
      <c r="D34" s="654" t="s">
        <v>761</v>
      </c>
      <c r="E34" s="647" t="s">
        <v>762</v>
      </c>
      <c r="F34" s="647" t="s">
        <v>708</v>
      </c>
      <c r="G34" s="648">
        <v>20.978929999999998</v>
      </c>
      <c r="H34" s="649">
        <v>3.59684173</v>
      </c>
      <c r="I34" s="650">
        <v>11.3</v>
      </c>
      <c r="J34" s="650">
        <v>10.3</v>
      </c>
      <c r="K34" s="651">
        <v>641</v>
      </c>
      <c r="L34" s="651">
        <v>178.21190036070894</v>
      </c>
      <c r="M34" s="651">
        <v>640</v>
      </c>
      <c r="N34" s="651">
        <v>6</v>
      </c>
      <c r="O34" s="651">
        <v>585</v>
      </c>
      <c r="P34" s="651">
        <v>48.299999999999727</v>
      </c>
      <c r="Q34" s="651">
        <v>39.859776000000238</v>
      </c>
      <c r="R34" s="651">
        <v>0</v>
      </c>
      <c r="S34" s="651">
        <v>0.20000000000000107</v>
      </c>
      <c r="T34" s="651">
        <v>-0.28999999999999915</v>
      </c>
      <c r="U34" s="651">
        <v>-2.0196700000000001</v>
      </c>
      <c r="V34" s="652"/>
      <c r="W34" s="678"/>
      <c r="X34" s="657" t="s">
        <v>723</v>
      </c>
      <c r="Y34" s="658">
        <v>2368.5142655599998</v>
      </c>
      <c r="Z34" s="658">
        <v>-1.0514036200000001</v>
      </c>
      <c r="AA34" s="658">
        <v>2027.2710301100001</v>
      </c>
      <c r="AB34" s="658">
        <v>2048.8123169300002</v>
      </c>
      <c r="AC34" s="658">
        <v>3.02707696</v>
      </c>
      <c r="AD34" s="658">
        <v>3.0319679499999999</v>
      </c>
      <c r="AE34" s="658">
        <v>0.16142474000000001</v>
      </c>
      <c r="AF34" s="658">
        <v>3.5967771800000001</v>
      </c>
      <c r="AG34" s="658">
        <v>3.59098045</v>
      </c>
      <c r="AH34" s="658">
        <v>-0.32326023999999998</v>
      </c>
      <c r="AI34" s="658">
        <v>-0.16131403999999999</v>
      </c>
      <c r="AJ34" s="659">
        <v>0.63450097999999999</v>
      </c>
      <c r="AK34" s="1"/>
    </row>
    <row r="35" spans="1:37" s="519" customFormat="1" ht="25.5">
      <c r="A35" s="677">
        <v>62005018</v>
      </c>
      <c r="B35" s="662" t="s">
        <v>844</v>
      </c>
      <c r="C35" s="646">
        <v>7</v>
      </c>
      <c r="D35" s="654" t="s">
        <v>761</v>
      </c>
      <c r="E35" s="647" t="s">
        <v>762</v>
      </c>
      <c r="F35" s="647" t="s">
        <v>708</v>
      </c>
      <c r="G35" s="648">
        <v>18.864477999999998</v>
      </c>
      <c r="H35" s="649">
        <v>3.86323712</v>
      </c>
      <c r="I35" s="650">
        <v>10.3</v>
      </c>
      <c r="J35" s="650">
        <v>9.3000000000000007</v>
      </c>
      <c r="K35" s="651">
        <v>619</v>
      </c>
      <c r="L35" s="651">
        <v>160.22832168272396</v>
      </c>
      <c r="M35" s="651">
        <v>620</v>
      </c>
      <c r="N35" s="651">
        <v>16</v>
      </c>
      <c r="O35" s="651">
        <v>519</v>
      </c>
      <c r="P35" s="651">
        <v>83.800000000000182</v>
      </c>
      <c r="Q35" s="651">
        <v>69.263090999999804</v>
      </c>
      <c r="R35" s="651">
        <v>9.9999999999999645E-2</v>
      </c>
      <c r="S35" s="651">
        <v>0.29999999999999893</v>
      </c>
      <c r="T35" s="651">
        <v>-0.48999999999999844</v>
      </c>
      <c r="U35" s="651">
        <v>-2.0073219999999998</v>
      </c>
      <c r="V35" s="652"/>
      <c r="W35" s="678"/>
      <c r="X35" s="657" t="s">
        <v>723</v>
      </c>
      <c r="Y35" s="658">
        <v>1476.0113835</v>
      </c>
      <c r="Z35" s="658">
        <v>-1.2279642200000001</v>
      </c>
      <c r="AA35" s="658">
        <v>3374.2650773800001</v>
      </c>
      <c r="AB35" s="658">
        <v>3416.2149750799999</v>
      </c>
      <c r="AC35" s="658">
        <v>2.97965693</v>
      </c>
      <c r="AD35" s="658">
        <v>2.99531254</v>
      </c>
      <c r="AE35" s="658">
        <v>8.3697560000000004E-2</v>
      </c>
      <c r="AF35" s="658">
        <v>3.8630609800000002</v>
      </c>
      <c r="AG35" s="658">
        <v>3.8598303999999999</v>
      </c>
      <c r="AH35" s="658">
        <v>-0.60955408</v>
      </c>
      <c r="AI35" s="658">
        <v>-0.52267056000000001</v>
      </c>
      <c r="AJ35" s="659">
        <v>0.72009285999999995</v>
      </c>
      <c r="AK35" s="1"/>
    </row>
    <row r="36" spans="1:37" s="519" customFormat="1" ht="25.5">
      <c r="A36" s="677">
        <v>62005018</v>
      </c>
      <c r="B36" s="662" t="s">
        <v>845</v>
      </c>
      <c r="C36" s="646" t="s">
        <v>1364</v>
      </c>
      <c r="D36" s="654" t="s">
        <v>761</v>
      </c>
      <c r="E36" s="647" t="s">
        <v>762</v>
      </c>
      <c r="F36" s="647" t="s">
        <v>708</v>
      </c>
      <c r="G36" s="648">
        <v>19.921703999999998</v>
      </c>
      <c r="H36" s="649">
        <v>7.4600788500000004</v>
      </c>
      <c r="I36" s="650">
        <v>11.3</v>
      </c>
      <c r="J36" s="650">
        <v>9.3000000000000007</v>
      </c>
      <c r="K36" s="651">
        <v>1260</v>
      </c>
      <c r="L36" s="651">
        <v>168.89901907672194</v>
      </c>
      <c r="M36" s="651">
        <v>1260</v>
      </c>
      <c r="N36" s="651">
        <v>22</v>
      </c>
      <c r="O36" s="651">
        <v>1104</v>
      </c>
      <c r="P36" s="651">
        <v>132.09999999999991</v>
      </c>
      <c r="Q36" s="651">
        <v>109.12286700000004</v>
      </c>
      <c r="R36" s="651">
        <v>9.9999999999999645E-2</v>
      </c>
      <c r="S36" s="651">
        <v>0.5</v>
      </c>
      <c r="T36" s="651">
        <v>-0.77999999999999758</v>
      </c>
      <c r="U36" s="651">
        <v>-2.013496</v>
      </c>
      <c r="V36" s="652"/>
      <c r="W36" s="678"/>
      <c r="X36" s="657" t="s">
        <v>723</v>
      </c>
      <c r="Y36" s="658"/>
      <c r="Z36" s="658"/>
      <c r="AA36" s="658"/>
      <c r="AB36" s="658"/>
      <c r="AC36" s="658"/>
      <c r="AD36" s="658"/>
      <c r="AE36" s="658"/>
      <c r="AF36" s="658"/>
      <c r="AG36" s="658"/>
      <c r="AH36" s="658"/>
      <c r="AI36" s="658"/>
      <c r="AJ36" s="659"/>
      <c r="AK36" s="1"/>
    </row>
    <row r="37" spans="1:37" s="519" customFormat="1" ht="25.5">
      <c r="A37" s="677">
        <v>62005019</v>
      </c>
      <c r="B37" s="662" t="s">
        <v>838</v>
      </c>
      <c r="C37" s="646">
        <v>1</v>
      </c>
      <c r="D37" s="654" t="s">
        <v>764</v>
      </c>
      <c r="E37" s="647" t="s">
        <v>765</v>
      </c>
      <c r="F37" s="647" t="s">
        <v>708</v>
      </c>
      <c r="G37" s="648">
        <v>26.580352000000001</v>
      </c>
      <c r="H37" s="649">
        <v>22.00681968</v>
      </c>
      <c r="I37" s="650">
        <v>9.3000000000000007</v>
      </c>
      <c r="J37" s="650">
        <v>1.4</v>
      </c>
      <c r="K37" s="651">
        <v>4920</v>
      </c>
      <c r="L37" s="651">
        <v>223.56706109930738</v>
      </c>
      <c r="M37" s="651">
        <v>4921</v>
      </c>
      <c r="N37" s="651">
        <v>1</v>
      </c>
      <c r="O37" s="651">
        <v>4796</v>
      </c>
      <c r="P37" s="651">
        <v>118.40000000000009</v>
      </c>
      <c r="Q37" s="651">
        <v>97.843215999999757</v>
      </c>
      <c r="R37" s="651">
        <v>0</v>
      </c>
      <c r="S37" s="651">
        <v>0.40000000000000036</v>
      </c>
      <c r="T37" s="651">
        <v>-1.0000000000001563E-2</v>
      </c>
      <c r="U37" s="651">
        <v>2.1502029999999999</v>
      </c>
      <c r="V37" s="652"/>
      <c r="W37" s="678"/>
      <c r="X37" s="657" t="s">
        <v>723</v>
      </c>
      <c r="Y37" s="658">
        <v>97.496457640000003</v>
      </c>
      <c r="Z37" s="658">
        <v>6.5967857900000002</v>
      </c>
      <c r="AA37" s="658">
        <v>619.48935255000004</v>
      </c>
      <c r="AB37" s="658">
        <v>581.15200000000004</v>
      </c>
      <c r="AC37" s="658">
        <v>17.012434339999999</v>
      </c>
      <c r="AD37" s="658">
        <v>18.024327889999999</v>
      </c>
      <c r="AE37" s="658">
        <v>-5.0636677399999996</v>
      </c>
      <c r="AF37" s="658">
        <v>22.006833239999999</v>
      </c>
      <c r="AG37" s="658">
        <v>23.180622960000001</v>
      </c>
      <c r="AH37" s="658">
        <v>-0.58311157999999996</v>
      </c>
      <c r="AI37" s="658">
        <v>-5.6140431800000004</v>
      </c>
      <c r="AJ37" s="659">
        <v>4.5830900000000001E-2</v>
      </c>
      <c r="AK37" s="1"/>
    </row>
    <row r="38" spans="1:37" s="671" customFormat="1" ht="18.75">
      <c r="A38" s="664" t="s">
        <v>1239</v>
      </c>
      <c r="B38" s="675"/>
      <c r="C38" s="665"/>
      <c r="D38" s="666"/>
      <c r="E38" s="667"/>
      <c r="F38" s="667"/>
      <c r="G38" s="667"/>
      <c r="H38" s="665"/>
      <c r="I38" s="670"/>
      <c r="J38" s="670"/>
      <c r="K38" s="670"/>
      <c r="L38" s="670"/>
      <c r="M38" s="670"/>
      <c r="N38" s="670"/>
      <c r="O38" s="670"/>
      <c r="P38" s="670"/>
      <c r="Q38" s="670"/>
      <c r="R38" s="670"/>
      <c r="S38" s="670"/>
      <c r="T38" s="670"/>
      <c r="U38" s="670"/>
      <c r="V38" s="670"/>
      <c r="W38" s="679"/>
      <c r="X38" s="668"/>
      <c r="Y38" s="665"/>
      <c r="Z38" s="665"/>
      <c r="AA38" s="665"/>
      <c r="AB38" s="665"/>
      <c r="AC38" s="665"/>
      <c r="AD38" s="665"/>
      <c r="AE38" s="665"/>
      <c r="AF38" s="665"/>
      <c r="AG38" s="665"/>
      <c r="AH38" s="665"/>
      <c r="AI38" s="665"/>
      <c r="AJ38" s="669"/>
    </row>
    <row r="39" spans="1:37" s="519" customFormat="1" ht="25.5">
      <c r="A39" s="677">
        <v>62005021</v>
      </c>
      <c r="B39" s="662" t="s">
        <v>846</v>
      </c>
      <c r="C39" s="646">
        <v>1</v>
      </c>
      <c r="D39" s="654" t="s">
        <v>775</v>
      </c>
      <c r="E39" s="647" t="s">
        <v>776</v>
      </c>
      <c r="F39" s="647" t="s">
        <v>708</v>
      </c>
      <c r="G39" s="648">
        <v>23.444148999999999</v>
      </c>
      <c r="H39" s="649">
        <v>17.847092239999998</v>
      </c>
      <c r="I39" s="650">
        <v>99.4</v>
      </c>
      <c r="J39" s="650">
        <v>100</v>
      </c>
      <c r="K39" s="651">
        <v>-735</v>
      </c>
      <c r="L39" s="651">
        <v>-41.183179316610065</v>
      </c>
      <c r="M39" s="651">
        <v>-739</v>
      </c>
      <c r="N39" s="651">
        <v>-41</v>
      </c>
      <c r="O39" s="651">
        <v>-963</v>
      </c>
      <c r="P39" s="651">
        <v>267.3</v>
      </c>
      <c r="Q39" s="651">
        <v>222.85042399999998</v>
      </c>
      <c r="R39" s="651">
        <v>0.39999999999999997</v>
      </c>
      <c r="S39" s="651">
        <v>1.4000000000000001</v>
      </c>
      <c r="T39" s="651">
        <v>-5.48</v>
      </c>
      <c r="U39" s="651">
        <v>-10.119084000000001</v>
      </c>
      <c r="V39" s="652"/>
      <c r="W39" s="678"/>
      <c r="X39" s="657" t="s">
        <v>723</v>
      </c>
      <c r="Y39" s="658"/>
      <c r="Z39" s="658"/>
      <c r="AA39" s="658"/>
      <c r="AB39" s="658"/>
      <c r="AC39" s="658"/>
      <c r="AD39" s="658"/>
      <c r="AE39" s="658"/>
      <c r="AF39" s="658"/>
      <c r="AG39" s="658"/>
      <c r="AH39" s="658"/>
      <c r="AI39" s="658"/>
      <c r="AJ39" s="659"/>
      <c r="AK39" s="1"/>
    </row>
    <row r="40" spans="1:37" s="519" customFormat="1" ht="63.75">
      <c r="A40" s="680">
        <v>62005022</v>
      </c>
      <c r="B40" s="662" t="s">
        <v>847</v>
      </c>
      <c r="C40" s="660">
        <v>1</v>
      </c>
      <c r="D40" s="654" t="s">
        <v>778</v>
      </c>
      <c r="E40" s="647" t="s">
        <v>779</v>
      </c>
      <c r="F40" s="647" t="s">
        <v>1294</v>
      </c>
      <c r="G40" s="648">
        <v>25.954089</v>
      </c>
      <c r="H40" s="649">
        <v>9.5986445299999996</v>
      </c>
      <c r="I40" s="650">
        <v>99.9</v>
      </c>
      <c r="J40" s="650">
        <v>97.8</v>
      </c>
      <c r="K40" s="651">
        <v>1914</v>
      </c>
      <c r="L40" s="651">
        <v>199.40315468688371</v>
      </c>
      <c r="M40" s="651">
        <v>1916</v>
      </c>
      <c r="N40" s="651">
        <v>8</v>
      </c>
      <c r="O40" s="651">
        <v>1828</v>
      </c>
      <c r="P40" s="651">
        <v>76.199999999999989</v>
      </c>
      <c r="Q40" s="651">
        <v>61.809602999999981</v>
      </c>
      <c r="R40" s="651">
        <v>0</v>
      </c>
      <c r="S40" s="651">
        <v>0.5</v>
      </c>
      <c r="T40" s="651">
        <v>-1.3200000000000003</v>
      </c>
      <c r="U40" s="651">
        <v>-7.2461330000000004</v>
      </c>
      <c r="V40" s="652"/>
      <c r="W40" s="678"/>
      <c r="X40" s="657" t="s">
        <v>723</v>
      </c>
      <c r="Y40" s="658">
        <v>157.49774891000001</v>
      </c>
      <c r="Z40" s="658">
        <v>8.8028604999999995</v>
      </c>
      <c r="AA40" s="658">
        <v>535.03153830999997</v>
      </c>
      <c r="AB40" s="658">
        <v>491.74400000000003</v>
      </c>
      <c r="AC40" s="658">
        <v>6.3553100699999998</v>
      </c>
      <c r="AD40" s="658">
        <v>6.3098098399999998</v>
      </c>
      <c r="AE40" s="658">
        <v>0.36383186000000001</v>
      </c>
      <c r="AF40" s="658">
        <v>9.5986916799999999</v>
      </c>
      <c r="AG40" s="658">
        <v>9.5638951799999994</v>
      </c>
      <c r="AH40" s="658">
        <v>0.35471332999999999</v>
      </c>
      <c r="AI40" s="658">
        <v>0.72110304999999997</v>
      </c>
      <c r="AJ40" s="659">
        <v>9.3734590000000007E-2</v>
      </c>
      <c r="AK40" s="1"/>
    </row>
    <row r="41" spans="1:37" s="519" customFormat="1" ht="25.5">
      <c r="A41" s="680">
        <v>62005023</v>
      </c>
      <c r="B41" s="662" t="s">
        <v>848</v>
      </c>
      <c r="C41" s="660">
        <v>1</v>
      </c>
      <c r="D41" s="654" t="s">
        <v>782</v>
      </c>
      <c r="E41" s="647" t="s">
        <v>783</v>
      </c>
      <c r="F41" s="647" t="s">
        <v>708</v>
      </c>
      <c r="G41" s="648">
        <v>25.433150999999999</v>
      </c>
      <c r="H41" s="649">
        <v>5.0215593800000002</v>
      </c>
      <c r="I41" s="650">
        <v>79</v>
      </c>
      <c r="J41" s="650">
        <v>77.8</v>
      </c>
      <c r="K41" s="651">
        <v>1025</v>
      </c>
      <c r="L41" s="651">
        <v>204.11986047250525</v>
      </c>
      <c r="M41" s="651">
        <v>1025</v>
      </c>
      <c r="N41" s="651">
        <v>2</v>
      </c>
      <c r="O41" s="651">
        <v>978</v>
      </c>
      <c r="P41" s="651">
        <v>43.359442999999942</v>
      </c>
      <c r="Q41" s="651">
        <v>35.530600000000049</v>
      </c>
      <c r="R41" s="651">
        <v>-0.10000000000000009</v>
      </c>
      <c r="S41" s="651">
        <v>0.20000000000000018</v>
      </c>
      <c r="T41" s="651">
        <v>-1.1300000000000026</v>
      </c>
      <c r="U41" s="651">
        <v>-11.345499</v>
      </c>
      <c r="V41" s="652"/>
      <c r="W41" s="678"/>
      <c r="X41" s="657" t="s">
        <v>723</v>
      </c>
      <c r="Y41" s="658">
        <v>366.39049557999999</v>
      </c>
      <c r="Z41" s="658">
        <v>4.3408764499999997</v>
      </c>
      <c r="AA41" s="658">
        <v>513.08999946999995</v>
      </c>
      <c r="AB41" s="658">
        <v>491.74400000000003</v>
      </c>
      <c r="AC41" s="658">
        <v>3.4953988499999999</v>
      </c>
      <c r="AD41" s="658">
        <v>3.4718269400000001</v>
      </c>
      <c r="AE41" s="658">
        <v>0.36154090999999999</v>
      </c>
      <c r="AF41" s="658">
        <v>5.0215637800000001</v>
      </c>
      <c r="AG41" s="658">
        <v>5.0034741699999996</v>
      </c>
      <c r="AH41" s="658">
        <v>0.31526663999999999</v>
      </c>
      <c r="AI41" s="658">
        <v>0.67894805000000003</v>
      </c>
      <c r="AJ41" s="659">
        <v>0.17035626000000001</v>
      </c>
      <c r="AK41" s="1"/>
    </row>
    <row r="42" spans="1:37" s="519" customFormat="1" ht="25.5">
      <c r="A42" s="680">
        <v>62005024</v>
      </c>
      <c r="B42" s="662" t="s">
        <v>849</v>
      </c>
      <c r="C42" s="660">
        <v>1</v>
      </c>
      <c r="D42" s="654" t="s">
        <v>784</v>
      </c>
      <c r="E42" s="647" t="s">
        <v>785</v>
      </c>
      <c r="F42" s="647" t="s">
        <v>708</v>
      </c>
      <c r="G42" s="648">
        <v>21.943166999999999</v>
      </c>
      <c r="H42" s="649">
        <v>7.7510637600000001</v>
      </c>
      <c r="I42" s="650">
        <v>70.8</v>
      </c>
      <c r="J42" s="650">
        <v>68.7</v>
      </c>
      <c r="K42" s="651">
        <v>1700</v>
      </c>
      <c r="L42" s="651">
        <v>219.32473433814198</v>
      </c>
      <c r="M42" s="651">
        <v>1700</v>
      </c>
      <c r="N42" s="651">
        <v>70</v>
      </c>
      <c r="O42" s="651">
        <v>1545</v>
      </c>
      <c r="P42" s="651">
        <v>87.199999999999932</v>
      </c>
      <c r="Q42" s="651">
        <v>70.749463999999989</v>
      </c>
      <c r="R42" s="651">
        <v>0</v>
      </c>
      <c r="S42" s="651">
        <v>0.39999999999999947</v>
      </c>
      <c r="T42" s="651">
        <v>-0.78999999999999915</v>
      </c>
      <c r="U42" s="651">
        <v>-3.4025780000000001</v>
      </c>
      <c r="V42" s="652"/>
      <c r="W42" s="678"/>
      <c r="X42" s="657" t="s">
        <v>723</v>
      </c>
      <c r="Y42" s="658">
        <v>1658.9137670499999</v>
      </c>
      <c r="Z42" s="658">
        <v>-2.1826188900000001</v>
      </c>
      <c r="AA42" s="658">
        <v>5105.8120970099999</v>
      </c>
      <c r="AB42" s="658">
        <v>5219.7391089800003</v>
      </c>
      <c r="AC42" s="658">
        <v>8.8396238100000009</v>
      </c>
      <c r="AD42" s="658">
        <v>9.03211765</v>
      </c>
      <c r="AE42" s="658">
        <v>0.24125822</v>
      </c>
      <c r="AF42" s="658">
        <v>7.7509927200000002</v>
      </c>
      <c r="AG42" s="658">
        <v>7.7323378199999997</v>
      </c>
      <c r="AH42" s="658">
        <v>-2.4241367600000001</v>
      </c>
      <c r="AI42" s="658">
        <v>-2.1312149800000002</v>
      </c>
      <c r="AJ42" s="659">
        <v>0.73999477999999996</v>
      </c>
      <c r="AK42" s="1"/>
    </row>
    <row r="43" spans="1:37" s="519" customFormat="1" ht="25.5">
      <c r="A43" s="680">
        <v>62005025</v>
      </c>
      <c r="B43" s="662" t="s">
        <v>826</v>
      </c>
      <c r="C43" s="660">
        <v>1</v>
      </c>
      <c r="D43" s="654" t="s">
        <v>789</v>
      </c>
      <c r="E43" s="647" t="s">
        <v>790</v>
      </c>
      <c r="F43" s="647" t="s">
        <v>708</v>
      </c>
      <c r="G43" s="648">
        <v>20.007359999999998</v>
      </c>
      <c r="H43" s="649">
        <v>5.2986867499999999</v>
      </c>
      <c r="I43" s="650">
        <v>68.7</v>
      </c>
      <c r="J43" s="650">
        <v>64.7</v>
      </c>
      <c r="K43" s="651">
        <v>2609</v>
      </c>
      <c r="L43" s="651">
        <v>492.38615587154686</v>
      </c>
      <c r="M43" s="651">
        <v>2615</v>
      </c>
      <c r="N43" s="651">
        <v>2717</v>
      </c>
      <c r="O43" s="651">
        <v>-1777</v>
      </c>
      <c r="P43" s="651">
        <v>123</v>
      </c>
      <c r="Q43" s="651">
        <v>103.07832300000007</v>
      </c>
      <c r="R43" s="651">
        <v>0</v>
      </c>
      <c r="S43" s="651">
        <v>0.39999999999999947</v>
      </c>
      <c r="T43" s="651">
        <v>-0.82999999999999829</v>
      </c>
      <c r="U43" s="651">
        <v>-3.0698500000000002</v>
      </c>
      <c r="V43" s="652"/>
      <c r="W43" s="678"/>
      <c r="X43" s="657" t="s">
        <v>723</v>
      </c>
      <c r="Y43" s="658"/>
      <c r="Z43" s="658"/>
      <c r="AA43" s="658"/>
      <c r="AB43" s="658"/>
      <c r="AC43" s="658"/>
      <c r="AD43" s="658"/>
      <c r="AE43" s="658"/>
      <c r="AF43" s="658"/>
      <c r="AG43" s="658"/>
      <c r="AH43" s="658"/>
      <c r="AI43" s="658"/>
      <c r="AJ43" s="659"/>
      <c r="AK43" s="1"/>
    </row>
    <row r="44" spans="1:37" s="519" customFormat="1" ht="25.5">
      <c r="A44" s="680">
        <v>62005026</v>
      </c>
      <c r="B44" s="662" t="s">
        <v>850</v>
      </c>
      <c r="C44" s="660">
        <v>1</v>
      </c>
      <c r="D44" s="654" t="s">
        <v>791</v>
      </c>
      <c r="E44" s="647" t="s">
        <v>792</v>
      </c>
      <c r="F44" s="647" t="s">
        <v>793</v>
      </c>
      <c r="G44" s="648">
        <v>-123.43070299999999</v>
      </c>
      <c r="H44" s="649">
        <v>96.601136580000002</v>
      </c>
      <c r="I44" s="650">
        <v>64.599999999999994</v>
      </c>
      <c r="J44" s="650">
        <v>2</v>
      </c>
      <c r="K44" s="651">
        <v>45799</v>
      </c>
      <c r="L44" s="651">
        <v>474.10415261596501</v>
      </c>
      <c r="M44" s="651">
        <v>45806</v>
      </c>
      <c r="N44" s="651">
        <v>9</v>
      </c>
      <c r="O44" s="651">
        <v>45137</v>
      </c>
      <c r="P44" s="651">
        <v>631.29999999999995</v>
      </c>
      <c r="Q44" s="651">
        <v>532.81911999999988</v>
      </c>
      <c r="R44" s="651">
        <v>-1.1000000000000001</v>
      </c>
      <c r="S44" s="651">
        <v>1.7999999999999989</v>
      </c>
      <c r="T44" s="651">
        <v>-2.9699999999999989</v>
      </c>
      <c r="U44" s="651">
        <v>4.1660820000000003</v>
      </c>
      <c r="V44" s="652"/>
      <c r="W44" s="678"/>
      <c r="X44" s="657" t="s">
        <v>723</v>
      </c>
      <c r="Y44" s="658">
        <v>23.555344219999999</v>
      </c>
      <c r="Z44" s="658">
        <v>49.134953439999997</v>
      </c>
      <c r="AA44" s="658">
        <v>866.70076458999995</v>
      </c>
      <c r="AB44" s="658">
        <v>581.15200000000004</v>
      </c>
      <c r="AC44" s="658">
        <v>72.687418210000004</v>
      </c>
      <c r="AD44" s="658">
        <v>73.127316859999993</v>
      </c>
      <c r="AE44" s="658">
        <v>-0.54882671000000005</v>
      </c>
      <c r="AF44" s="658">
        <v>96.601273590000005</v>
      </c>
      <c r="AG44" s="658">
        <v>97.134372970000001</v>
      </c>
      <c r="AH44" s="658">
        <v>-5.304412E-2</v>
      </c>
      <c r="AI44" s="658">
        <v>-0.60155174</v>
      </c>
      <c r="AJ44" s="659">
        <v>1.129634E-2</v>
      </c>
      <c r="AK44" s="1"/>
    </row>
    <row r="45" spans="1:37" s="519" customFormat="1" ht="25.5">
      <c r="A45" s="680">
        <v>62005027</v>
      </c>
      <c r="B45" s="662" t="s">
        <v>915</v>
      </c>
      <c r="C45" s="660">
        <v>1</v>
      </c>
      <c r="D45" s="654" t="s">
        <v>795</v>
      </c>
      <c r="E45" s="647" t="s">
        <v>796</v>
      </c>
      <c r="F45" s="647" t="s">
        <v>708</v>
      </c>
      <c r="G45" s="648">
        <v>-220.45034899999999</v>
      </c>
      <c r="H45" s="649">
        <v>0.11110056</v>
      </c>
      <c r="I45" s="650">
        <v>2</v>
      </c>
      <c r="J45" s="650">
        <v>91.3</v>
      </c>
      <c r="K45" s="651">
        <v>-67789</v>
      </c>
      <c r="L45" s="651"/>
      <c r="M45" s="651">
        <v>-68542</v>
      </c>
      <c r="N45" s="651">
        <v>280</v>
      </c>
      <c r="O45" s="651">
        <v>717</v>
      </c>
      <c r="P45" s="651">
        <v>-72276.599999999991</v>
      </c>
      <c r="Q45" s="651">
        <v>4729.4383539999999</v>
      </c>
      <c r="R45" s="651">
        <v>-11.3</v>
      </c>
      <c r="S45" s="651">
        <v>92</v>
      </c>
      <c r="T45" s="651">
        <v>-126.31</v>
      </c>
      <c r="U45" s="651">
        <v>20.735361999999999</v>
      </c>
      <c r="V45" s="652">
        <v>83741.900000000009</v>
      </c>
      <c r="W45" s="678">
        <v>-82263.199999999997</v>
      </c>
      <c r="X45" s="657" t="s">
        <v>719</v>
      </c>
      <c r="Y45" s="658"/>
      <c r="Z45" s="658"/>
      <c r="AA45" s="658"/>
      <c r="AB45" s="658"/>
      <c r="AC45" s="658"/>
      <c r="AD45" s="658"/>
      <c r="AE45" s="658"/>
      <c r="AF45" s="658"/>
      <c r="AG45" s="658"/>
      <c r="AH45" s="658"/>
      <c r="AI45" s="658"/>
      <c r="AJ45" s="659"/>
      <c r="AK45" s="1"/>
    </row>
    <row r="46" spans="1:37" s="671" customFormat="1" ht="18.75">
      <c r="A46" s="664" t="s">
        <v>1241</v>
      </c>
      <c r="B46" s="675"/>
      <c r="C46" s="665"/>
      <c r="D46" s="666"/>
      <c r="E46" s="667"/>
      <c r="F46" s="667"/>
      <c r="G46" s="667"/>
      <c r="H46" s="665"/>
      <c r="I46" s="670"/>
      <c r="J46" s="670"/>
      <c r="K46" s="670"/>
      <c r="L46" s="670"/>
      <c r="M46" s="670"/>
      <c r="N46" s="670"/>
      <c r="O46" s="670"/>
      <c r="P46" s="670"/>
      <c r="Q46" s="670"/>
      <c r="R46" s="670"/>
      <c r="S46" s="670"/>
      <c r="T46" s="670"/>
      <c r="U46" s="670"/>
      <c r="V46" s="670"/>
      <c r="W46" s="679"/>
      <c r="X46" s="668"/>
      <c r="Y46" s="665"/>
      <c r="Z46" s="665"/>
      <c r="AA46" s="665"/>
      <c r="AB46" s="665"/>
      <c r="AC46" s="665"/>
      <c r="AD46" s="665"/>
      <c r="AE46" s="665"/>
      <c r="AF46" s="665"/>
      <c r="AG46" s="665"/>
      <c r="AH46" s="665"/>
      <c r="AI46" s="665"/>
      <c r="AJ46" s="669"/>
    </row>
    <row r="47" spans="1:37" s="519" customFormat="1" ht="25.5">
      <c r="A47" s="680">
        <v>62006001</v>
      </c>
      <c r="B47" s="662" t="s">
        <v>832</v>
      </c>
      <c r="C47" s="646">
        <v>1</v>
      </c>
      <c r="D47" s="654" t="s">
        <v>797</v>
      </c>
      <c r="E47" s="647" t="s">
        <v>798</v>
      </c>
      <c r="F47" s="647" t="s">
        <v>708</v>
      </c>
      <c r="G47" s="648">
        <v>24.227556</v>
      </c>
      <c r="H47" s="649">
        <v>3.5979848099999998</v>
      </c>
      <c r="I47" s="650">
        <v>91.2</v>
      </c>
      <c r="J47" s="650">
        <v>90.4</v>
      </c>
      <c r="K47" s="651">
        <v>703</v>
      </c>
      <c r="L47" s="651">
        <v>195.38715062001611</v>
      </c>
      <c r="M47" s="651">
        <v>702</v>
      </c>
      <c r="N47" s="651">
        <v>7</v>
      </c>
      <c r="O47" s="651">
        <v>638</v>
      </c>
      <c r="P47" s="651">
        <v>56.699999999999996</v>
      </c>
      <c r="Q47" s="651">
        <v>45.919635</v>
      </c>
      <c r="R47" s="651">
        <v>0.2</v>
      </c>
      <c r="S47" s="651">
        <v>0.30000000000000004</v>
      </c>
      <c r="T47" s="651">
        <v>-1.0599999999999998</v>
      </c>
      <c r="U47" s="651">
        <v>-7.4836770000000001</v>
      </c>
      <c r="V47" s="652"/>
      <c r="W47" s="678"/>
      <c r="X47" s="657" t="s">
        <v>723</v>
      </c>
      <c r="Y47" s="658">
        <v>2372.4150533400002</v>
      </c>
      <c r="Z47" s="658">
        <v>-1.38253219</v>
      </c>
      <c r="AA47" s="658">
        <v>2020.5326384299999</v>
      </c>
      <c r="AB47" s="658">
        <v>2048.8587703600001</v>
      </c>
      <c r="AC47" s="658">
        <v>3.01503517</v>
      </c>
      <c r="AD47" s="658">
        <v>3.0320365900000001</v>
      </c>
      <c r="AE47" s="658">
        <v>0.19212475000000001</v>
      </c>
      <c r="AF47" s="658">
        <v>3.59787948</v>
      </c>
      <c r="AG47" s="658">
        <v>3.5909803199999999</v>
      </c>
      <c r="AH47" s="658">
        <v>-0.75709607000000001</v>
      </c>
      <c r="AI47" s="658">
        <v>-0.56072608000000002</v>
      </c>
      <c r="AJ47" s="659">
        <v>0.63450872999999997</v>
      </c>
      <c r="AK47" s="1"/>
    </row>
    <row r="48" spans="1:37" s="519" customFormat="1" ht="25.5">
      <c r="A48" s="680">
        <v>62006001</v>
      </c>
      <c r="B48" s="662" t="s">
        <v>831</v>
      </c>
      <c r="C48" s="646">
        <v>2</v>
      </c>
      <c r="D48" s="654" t="s">
        <v>797</v>
      </c>
      <c r="E48" s="647" t="s">
        <v>798</v>
      </c>
      <c r="F48" s="647" t="s">
        <v>708</v>
      </c>
      <c r="G48" s="648">
        <v>20.739069000000001</v>
      </c>
      <c r="H48" s="649">
        <v>3.8651089500000002</v>
      </c>
      <c r="I48" s="650">
        <v>90.4</v>
      </c>
      <c r="J48" s="650">
        <v>89.6</v>
      </c>
      <c r="K48" s="651">
        <v>658</v>
      </c>
      <c r="L48" s="651">
        <v>170.24099669945915</v>
      </c>
      <c r="M48" s="651">
        <v>658</v>
      </c>
      <c r="N48" s="651">
        <v>18</v>
      </c>
      <c r="O48" s="651">
        <v>547</v>
      </c>
      <c r="P48" s="651">
        <v>91.800000000000011</v>
      </c>
      <c r="Q48" s="651">
        <v>74.589443000000017</v>
      </c>
      <c r="R48" s="651">
        <v>0.3</v>
      </c>
      <c r="S48" s="651">
        <v>0.6</v>
      </c>
      <c r="T48" s="651">
        <v>-0.54</v>
      </c>
      <c r="U48" s="651">
        <v>-2.2808600000000001</v>
      </c>
      <c r="V48" s="652"/>
      <c r="W48" s="678"/>
      <c r="X48" s="657" t="s">
        <v>723</v>
      </c>
      <c r="Y48" s="658">
        <v>1476.240153</v>
      </c>
      <c r="Z48" s="658">
        <v>-1.5119721699999999</v>
      </c>
      <c r="AA48" s="658">
        <v>3364.6205778399999</v>
      </c>
      <c r="AB48" s="658">
        <v>3416.2736851499999</v>
      </c>
      <c r="AC48" s="658">
        <v>2.9777031300000001</v>
      </c>
      <c r="AD48" s="658">
        <v>2.99541382</v>
      </c>
      <c r="AE48" s="658">
        <v>0.13232461000000001</v>
      </c>
      <c r="AF48" s="658">
        <v>3.8649383300000002</v>
      </c>
      <c r="AG48" s="658">
        <v>3.8598308299999999</v>
      </c>
      <c r="AH48" s="658">
        <v>-0.72788865000000003</v>
      </c>
      <c r="AI48" s="658">
        <v>-0.59126031999999995</v>
      </c>
      <c r="AJ48" s="659">
        <v>0.72008327999999999</v>
      </c>
      <c r="AK48" s="1"/>
    </row>
    <row r="49" spans="1:37" s="519" customFormat="1" ht="25.5">
      <c r="A49" s="680">
        <v>62006001</v>
      </c>
      <c r="B49" s="662" t="s">
        <v>830</v>
      </c>
      <c r="C49" s="646" t="s">
        <v>1362</v>
      </c>
      <c r="D49" s="654" t="s">
        <v>797</v>
      </c>
      <c r="E49" s="647" t="s">
        <v>798</v>
      </c>
      <c r="F49" s="647" t="s">
        <v>708</v>
      </c>
      <c r="G49" s="648">
        <v>22.4833125</v>
      </c>
      <c r="H49" s="649">
        <v>7.4630937599999996</v>
      </c>
      <c r="I49" s="650">
        <v>91.2</v>
      </c>
      <c r="J49" s="650">
        <v>89.6</v>
      </c>
      <c r="K49" s="651">
        <v>1361</v>
      </c>
      <c r="L49" s="651">
        <v>182.3640495171804</v>
      </c>
      <c r="M49" s="651">
        <v>1360</v>
      </c>
      <c r="N49" s="651">
        <v>25</v>
      </c>
      <c r="O49" s="651">
        <v>1185</v>
      </c>
      <c r="P49" s="651">
        <v>148.5</v>
      </c>
      <c r="Q49" s="651">
        <v>120.50907800000002</v>
      </c>
      <c r="R49" s="651">
        <v>0.5</v>
      </c>
      <c r="S49" s="651">
        <v>0.9</v>
      </c>
      <c r="T49" s="651">
        <v>-1.5999999999999999</v>
      </c>
      <c r="U49" s="651">
        <v>-4.8822685000000003</v>
      </c>
      <c r="V49" s="652"/>
      <c r="W49" s="678"/>
      <c r="X49" s="657" t="s">
        <v>723</v>
      </c>
      <c r="Y49" s="658"/>
      <c r="Z49" s="658"/>
      <c r="AA49" s="658"/>
      <c r="AB49" s="658"/>
      <c r="AC49" s="658"/>
      <c r="AD49" s="658"/>
      <c r="AE49" s="658"/>
      <c r="AF49" s="658"/>
      <c r="AG49" s="658"/>
      <c r="AH49" s="658"/>
      <c r="AI49" s="658"/>
      <c r="AJ49" s="659"/>
      <c r="AK49" s="1"/>
    </row>
    <row r="50" spans="1:37" s="519" customFormat="1" ht="25.5">
      <c r="A50" s="680">
        <v>62006001</v>
      </c>
      <c r="B50" s="662" t="s">
        <v>829</v>
      </c>
      <c r="C50" s="646">
        <v>3</v>
      </c>
      <c r="D50" s="654" t="s">
        <v>797</v>
      </c>
      <c r="E50" s="647" t="s">
        <v>798</v>
      </c>
      <c r="F50" s="647" t="s">
        <v>708</v>
      </c>
      <c r="G50" s="648">
        <v>24.588822</v>
      </c>
      <c r="H50" s="649">
        <v>10.28512394</v>
      </c>
      <c r="I50" s="650">
        <v>89.6</v>
      </c>
      <c r="J50" s="650">
        <v>87.4</v>
      </c>
      <c r="K50" s="651">
        <v>1914</v>
      </c>
      <c r="L50" s="651">
        <v>186.09401414758256</v>
      </c>
      <c r="M50" s="651">
        <v>1914</v>
      </c>
      <c r="N50" s="651">
        <v>1</v>
      </c>
      <c r="O50" s="651">
        <v>1830</v>
      </c>
      <c r="P50" s="651">
        <v>80.900000000000006</v>
      </c>
      <c r="Q50" s="651">
        <v>65.900846000000001</v>
      </c>
      <c r="R50" s="651">
        <v>0.30000000000000004</v>
      </c>
      <c r="S50" s="651">
        <v>0.5</v>
      </c>
      <c r="T50" s="651">
        <v>-0.35008999999999979</v>
      </c>
      <c r="U50" s="651">
        <v>-1.67489</v>
      </c>
      <c r="V50" s="652"/>
      <c r="W50" s="678"/>
      <c r="X50" s="657" t="s">
        <v>723</v>
      </c>
      <c r="Y50" s="658">
        <v>1875.62922239</v>
      </c>
      <c r="Z50" s="658">
        <v>-0.82037110000000002</v>
      </c>
      <c r="AA50" s="658">
        <v>1296.0545450300001</v>
      </c>
      <c r="AB50" s="658">
        <v>1306.77494907</v>
      </c>
      <c r="AC50" s="658">
        <v>6.7991210400000002</v>
      </c>
      <c r="AD50" s="658">
        <v>6.79044823</v>
      </c>
      <c r="AE50" s="658">
        <v>0.27741124</v>
      </c>
      <c r="AF50" s="658">
        <v>10.285133549999999</v>
      </c>
      <c r="AG50" s="658">
        <v>10.256680360000001</v>
      </c>
      <c r="AH50" s="658">
        <v>-0.14949952</v>
      </c>
      <c r="AI50" s="658">
        <v>0.12772078000000001</v>
      </c>
      <c r="AJ50" s="659">
        <v>0.33398509999999998</v>
      </c>
      <c r="AK50" s="1"/>
    </row>
    <row r="51" spans="1:37" s="519" customFormat="1" ht="25.5">
      <c r="A51" s="680">
        <v>62006001</v>
      </c>
      <c r="B51" s="662" t="s">
        <v>828</v>
      </c>
      <c r="C51" s="646">
        <v>4</v>
      </c>
      <c r="D51" s="654" t="s">
        <v>797</v>
      </c>
      <c r="E51" s="647" t="s">
        <v>798</v>
      </c>
      <c r="F51" s="647" t="s">
        <v>708</v>
      </c>
      <c r="G51" s="648">
        <v>20.325669999999999</v>
      </c>
      <c r="H51" s="649">
        <v>3.59829584</v>
      </c>
      <c r="I51" s="650">
        <v>87.4</v>
      </c>
      <c r="J51" s="650">
        <v>86.6</v>
      </c>
      <c r="K51" s="651">
        <v>657</v>
      </c>
      <c r="L51" s="651">
        <v>182.58643235960275</v>
      </c>
      <c r="M51" s="651">
        <v>658</v>
      </c>
      <c r="N51" s="651">
        <v>7</v>
      </c>
      <c r="O51" s="651">
        <v>598</v>
      </c>
      <c r="P51" s="651">
        <v>51.593898999999965</v>
      </c>
      <c r="Q51" s="651">
        <v>41.66974300000004</v>
      </c>
      <c r="R51" s="651">
        <v>0.19999999999999996</v>
      </c>
      <c r="S51" s="651">
        <v>0.39999999999999991</v>
      </c>
      <c r="T51" s="651">
        <v>-0.20999999999999996</v>
      </c>
      <c r="U51" s="651">
        <v>-1.53098</v>
      </c>
      <c r="V51" s="652"/>
      <c r="W51" s="678"/>
      <c r="X51" s="657" t="s">
        <v>723</v>
      </c>
      <c r="Y51" s="658">
        <v>2367.6364135099998</v>
      </c>
      <c r="Z51" s="658">
        <v>-1.2011729900000001</v>
      </c>
      <c r="AA51" s="658">
        <v>2024.2004322</v>
      </c>
      <c r="AB51" s="658">
        <v>2048.8101868099998</v>
      </c>
      <c r="AC51" s="658">
        <v>3.0196136999999998</v>
      </c>
      <c r="AD51" s="658">
        <v>3.0319737999999998</v>
      </c>
      <c r="AE51" s="658">
        <v>0.20142778</v>
      </c>
      <c r="AF51" s="658">
        <v>3.5982134100000001</v>
      </c>
      <c r="AG51" s="658">
        <v>3.5909801799999999</v>
      </c>
      <c r="AH51" s="658">
        <v>-0.61157943000000003</v>
      </c>
      <c r="AI51" s="658">
        <v>-0.40765848999999998</v>
      </c>
      <c r="AJ51" s="659">
        <v>0.63449862000000001</v>
      </c>
      <c r="AK51" s="1"/>
    </row>
    <row r="52" spans="1:37" s="519" customFormat="1" ht="25.5">
      <c r="A52" s="680">
        <v>62006001</v>
      </c>
      <c r="B52" s="662" t="s">
        <v>239</v>
      </c>
      <c r="C52" s="646">
        <v>5</v>
      </c>
      <c r="D52" s="654" t="s">
        <v>797</v>
      </c>
      <c r="E52" s="647" t="s">
        <v>798</v>
      </c>
      <c r="F52" s="647" t="s">
        <v>708</v>
      </c>
      <c r="G52" s="648">
        <v>20.081025</v>
      </c>
      <c r="H52" s="649">
        <v>3.8650448100000001</v>
      </c>
      <c r="I52" s="650">
        <v>86.6</v>
      </c>
      <c r="J52" s="650">
        <v>85.9</v>
      </c>
      <c r="K52" s="651">
        <v>644</v>
      </c>
      <c r="L52" s="651">
        <v>166.62161285524655</v>
      </c>
      <c r="M52" s="651">
        <v>645</v>
      </c>
      <c r="N52" s="651">
        <v>18</v>
      </c>
      <c r="O52" s="651">
        <v>535</v>
      </c>
      <c r="P52" s="651">
        <v>90.598814000000004</v>
      </c>
      <c r="Q52" s="651">
        <v>73.460000000000036</v>
      </c>
      <c r="R52" s="651">
        <v>0.30000000000000004</v>
      </c>
      <c r="S52" s="651">
        <v>0.60000000000000009</v>
      </c>
      <c r="T52" s="651">
        <v>-0.37000000000000011</v>
      </c>
      <c r="U52" s="651">
        <v>-1.484977</v>
      </c>
      <c r="V52" s="652"/>
      <c r="W52" s="678"/>
      <c r="X52" s="657" t="s">
        <v>723</v>
      </c>
      <c r="Y52" s="658">
        <v>1476.2593440000001</v>
      </c>
      <c r="Z52" s="658">
        <v>-1.39221705</v>
      </c>
      <c r="AA52" s="658">
        <v>3368.6610510700002</v>
      </c>
      <c r="AB52" s="658">
        <v>3416.2222799699998</v>
      </c>
      <c r="AC52" s="658">
        <v>2.9817099200000001</v>
      </c>
      <c r="AD52" s="658">
        <v>2.9953370000000001</v>
      </c>
      <c r="AE52" s="658">
        <v>0.13046316999999999</v>
      </c>
      <c r="AF52" s="658">
        <v>3.86486638</v>
      </c>
      <c r="AG52" s="658">
        <v>3.8598307200000002</v>
      </c>
      <c r="AH52" s="658">
        <v>-0.58808181999999998</v>
      </c>
      <c r="AI52" s="658">
        <v>-0.45494320999999999</v>
      </c>
      <c r="AJ52" s="659">
        <v>0.72008883000000001</v>
      </c>
      <c r="AK52" s="1"/>
    </row>
    <row r="53" spans="1:37" s="519" customFormat="1" ht="25.5">
      <c r="A53" s="680">
        <v>62006001</v>
      </c>
      <c r="B53" s="662" t="s">
        <v>833</v>
      </c>
      <c r="C53" s="646" t="s">
        <v>1363</v>
      </c>
      <c r="D53" s="654" t="s">
        <v>797</v>
      </c>
      <c r="E53" s="647" t="s">
        <v>798</v>
      </c>
      <c r="F53" s="647" t="s">
        <v>708</v>
      </c>
      <c r="G53" s="648">
        <v>20.2033475</v>
      </c>
      <c r="H53" s="649">
        <v>7.4633406500000001</v>
      </c>
      <c r="I53" s="650">
        <v>87.4</v>
      </c>
      <c r="J53" s="650">
        <v>85.9</v>
      </c>
      <c r="K53" s="651">
        <v>1301</v>
      </c>
      <c r="L53" s="651">
        <v>174.31872146958747</v>
      </c>
      <c r="M53" s="651">
        <v>1303</v>
      </c>
      <c r="N53" s="651">
        <v>25</v>
      </c>
      <c r="O53" s="651">
        <v>1133</v>
      </c>
      <c r="P53" s="651">
        <v>142.19271299999997</v>
      </c>
      <c r="Q53" s="651">
        <v>115.12974300000008</v>
      </c>
      <c r="R53" s="651">
        <v>0.5</v>
      </c>
      <c r="S53" s="651">
        <v>1</v>
      </c>
      <c r="T53" s="651">
        <v>-0.58000000000000007</v>
      </c>
      <c r="U53" s="651">
        <v>-1.5079785000000001</v>
      </c>
      <c r="V53" s="652"/>
      <c r="W53" s="678"/>
      <c r="X53" s="657" t="s">
        <v>723</v>
      </c>
      <c r="Y53" s="658"/>
      <c r="Z53" s="658"/>
      <c r="AA53" s="658"/>
      <c r="AB53" s="658"/>
      <c r="AC53" s="658"/>
      <c r="AD53" s="658"/>
      <c r="AE53" s="658"/>
      <c r="AF53" s="658"/>
      <c r="AG53" s="658"/>
      <c r="AH53" s="658"/>
      <c r="AI53" s="658"/>
      <c r="AJ53" s="659"/>
      <c r="AK53" s="1"/>
    </row>
    <row r="54" spans="1:37" s="519" customFormat="1" ht="25.5">
      <c r="A54" s="680">
        <v>62006001</v>
      </c>
      <c r="B54" s="662" t="s">
        <v>836</v>
      </c>
      <c r="C54" s="646">
        <v>6</v>
      </c>
      <c r="D54" s="654" t="s">
        <v>797</v>
      </c>
      <c r="E54" s="647" t="s">
        <v>798</v>
      </c>
      <c r="F54" s="647" t="s">
        <v>708</v>
      </c>
      <c r="G54" s="648">
        <v>23.104863999999999</v>
      </c>
      <c r="H54" s="649">
        <v>1.77487931</v>
      </c>
      <c r="I54" s="650">
        <v>85.9</v>
      </c>
      <c r="J54" s="650">
        <v>83.5</v>
      </c>
      <c r="K54" s="651">
        <v>463</v>
      </c>
      <c r="L54" s="651">
        <v>260.86280762380403</v>
      </c>
      <c r="M54" s="651">
        <v>464</v>
      </c>
      <c r="N54" s="651">
        <v>39</v>
      </c>
      <c r="O54" s="651">
        <v>398</v>
      </c>
      <c r="P54" s="651">
        <v>25.199999999999989</v>
      </c>
      <c r="Q54" s="651">
        <v>20.599951999999973</v>
      </c>
      <c r="R54" s="651">
        <v>0.10000000000000009</v>
      </c>
      <c r="S54" s="651">
        <v>0.20000000000000018</v>
      </c>
      <c r="T54" s="651">
        <v>-9.9999999999999645E-2</v>
      </c>
      <c r="U54" s="651">
        <v>-1.5134540000000001</v>
      </c>
      <c r="V54" s="652"/>
      <c r="W54" s="678"/>
      <c r="X54" s="657" t="s">
        <v>723</v>
      </c>
      <c r="Y54" s="658">
        <v>5477.2511669799997</v>
      </c>
      <c r="Z54" s="658">
        <v>-4.5513525499999998</v>
      </c>
      <c r="AA54" s="658">
        <v>2347.5014961500001</v>
      </c>
      <c r="AB54" s="658">
        <v>2459.4392471599999</v>
      </c>
      <c r="AC54" s="658">
        <v>3.0082371600000002</v>
      </c>
      <c r="AD54" s="658">
        <v>3.0983550800000002</v>
      </c>
      <c r="AE54" s="658">
        <v>0.1544026</v>
      </c>
      <c r="AF54" s="658">
        <v>1.77484194</v>
      </c>
      <c r="AG54" s="658">
        <v>1.7721057600000001</v>
      </c>
      <c r="AH54" s="658">
        <v>-3.1547333000000002</v>
      </c>
      <c r="AI54" s="658">
        <v>-2.9085729800000002</v>
      </c>
      <c r="AJ54" s="659">
        <v>0.84360579999999996</v>
      </c>
      <c r="AK54" s="1"/>
    </row>
    <row r="55" spans="1:37" s="519" customFormat="1" ht="25.5">
      <c r="A55" s="680">
        <v>62006001</v>
      </c>
      <c r="B55" s="662" t="s">
        <v>837</v>
      </c>
      <c r="C55" s="646">
        <v>7</v>
      </c>
      <c r="D55" s="654" t="s">
        <v>797</v>
      </c>
      <c r="E55" s="647" t="s">
        <v>798</v>
      </c>
      <c r="F55" s="647" t="s">
        <v>708</v>
      </c>
      <c r="G55" s="648">
        <v>26.762892000000001</v>
      </c>
      <c r="H55" s="649">
        <v>6.2509066500000001</v>
      </c>
      <c r="I55" s="650">
        <v>85.5</v>
      </c>
      <c r="J55" s="650">
        <v>83.7</v>
      </c>
      <c r="K55" s="651">
        <v>1522</v>
      </c>
      <c r="L55" s="651">
        <v>243.48467913850544</v>
      </c>
      <c r="M55" s="651">
        <v>1522</v>
      </c>
      <c r="N55" s="651">
        <v>16</v>
      </c>
      <c r="O55" s="651">
        <v>1464</v>
      </c>
      <c r="P55" s="651">
        <v>40.800000000000011</v>
      </c>
      <c r="Q55" s="651">
        <v>33.559730999999999</v>
      </c>
      <c r="R55" s="651">
        <v>9.9999999999999867E-2</v>
      </c>
      <c r="S55" s="651">
        <v>0.19999999999999973</v>
      </c>
      <c r="T55" s="651">
        <v>-0.15000000000000036</v>
      </c>
      <c r="U55" s="651">
        <v>-1.483776</v>
      </c>
      <c r="V55" s="652"/>
      <c r="W55" s="678"/>
      <c r="X55" s="657" t="s">
        <v>723</v>
      </c>
      <c r="Y55" s="658">
        <v>11292.75501006</v>
      </c>
      <c r="Z55" s="658">
        <v>-1.01967867</v>
      </c>
      <c r="AA55" s="658">
        <v>1127.25786137</v>
      </c>
      <c r="AB55" s="658">
        <v>1138.87068279</v>
      </c>
      <c r="AC55" s="658">
        <v>5.8861502200000002</v>
      </c>
      <c r="AD55" s="658">
        <v>5.8928713699999999</v>
      </c>
      <c r="AE55" s="658">
        <v>0.25685152</v>
      </c>
      <c r="AF55" s="658">
        <v>6.2508725399999996</v>
      </c>
      <c r="AG55" s="658">
        <v>6.2348582099999996</v>
      </c>
      <c r="AH55" s="658">
        <v>-0.37133061000000001</v>
      </c>
      <c r="AI55" s="658">
        <v>-0.11405556</v>
      </c>
      <c r="AJ55" s="659">
        <v>0.41973523000000001</v>
      </c>
      <c r="AK55" s="1"/>
    </row>
    <row r="56" spans="1:37" s="519" customFormat="1" ht="25.5">
      <c r="A56" s="680">
        <v>62006001</v>
      </c>
      <c r="B56" s="662" t="s">
        <v>835</v>
      </c>
      <c r="C56" s="646" t="s">
        <v>1364</v>
      </c>
      <c r="D56" s="654" t="s">
        <v>797</v>
      </c>
      <c r="E56" s="647" t="s">
        <v>798</v>
      </c>
      <c r="F56" s="647" t="s">
        <v>708</v>
      </c>
      <c r="G56" s="648">
        <v>24.933878</v>
      </c>
      <c r="H56" s="649">
        <v>8.0257859600000003</v>
      </c>
      <c r="I56" s="650">
        <v>85.9</v>
      </c>
      <c r="J56" s="650">
        <v>83.7</v>
      </c>
      <c r="K56" s="651">
        <v>1985</v>
      </c>
      <c r="L56" s="651">
        <v>247.3278018991675</v>
      </c>
      <c r="M56" s="651">
        <v>1986</v>
      </c>
      <c r="N56" s="651">
        <v>55</v>
      </c>
      <c r="O56" s="651">
        <v>1862</v>
      </c>
      <c r="P56" s="651">
        <v>66</v>
      </c>
      <c r="Q56" s="651">
        <v>54.159682999999973</v>
      </c>
      <c r="R56" s="651">
        <v>0.19999999999999996</v>
      </c>
      <c r="S56" s="651">
        <v>0.39999999999999991</v>
      </c>
      <c r="T56" s="651">
        <v>-0.25</v>
      </c>
      <c r="U56" s="651">
        <v>-1.498615</v>
      </c>
      <c r="V56" s="652"/>
      <c r="W56" s="678"/>
      <c r="X56" s="657" t="s">
        <v>723</v>
      </c>
      <c r="Y56" s="658"/>
      <c r="Z56" s="658"/>
      <c r="AA56" s="658"/>
      <c r="AB56" s="658"/>
      <c r="AC56" s="658"/>
      <c r="AD56" s="658"/>
      <c r="AE56" s="658"/>
      <c r="AF56" s="658"/>
      <c r="AG56" s="658"/>
      <c r="AH56" s="658"/>
      <c r="AI56" s="658"/>
      <c r="AJ56" s="659"/>
      <c r="AK56" s="1"/>
    </row>
    <row r="57" spans="1:37" s="519" customFormat="1" ht="25.5">
      <c r="A57" s="680">
        <v>62006002</v>
      </c>
      <c r="B57" s="662" t="s">
        <v>851</v>
      </c>
      <c r="C57" s="661">
        <v>1</v>
      </c>
      <c r="D57" s="654" t="s">
        <v>801</v>
      </c>
      <c r="E57" s="647" t="s">
        <v>802</v>
      </c>
      <c r="F57" s="647" t="s">
        <v>708</v>
      </c>
      <c r="G57" s="648">
        <v>20.887722</v>
      </c>
      <c r="H57" s="649">
        <v>1.9178923999999999</v>
      </c>
      <c r="I57" s="650">
        <v>83.5</v>
      </c>
      <c r="J57" s="650">
        <v>83.1</v>
      </c>
      <c r="K57" s="651">
        <v>352</v>
      </c>
      <c r="L57" s="651">
        <v>183.53480101386293</v>
      </c>
      <c r="M57" s="651">
        <v>352</v>
      </c>
      <c r="N57" s="651">
        <v>3</v>
      </c>
      <c r="O57" s="651">
        <v>284</v>
      </c>
      <c r="P57" s="651">
        <v>63.600000000000023</v>
      </c>
      <c r="Q57" s="651">
        <v>51.670720999999958</v>
      </c>
      <c r="R57" s="651">
        <v>0.10000000000000009</v>
      </c>
      <c r="S57" s="651">
        <v>0.39999999999999991</v>
      </c>
      <c r="T57" s="651">
        <v>-0.42999999999999972</v>
      </c>
      <c r="U57" s="651">
        <v>-2.6190259999999999</v>
      </c>
      <c r="V57" s="652"/>
      <c r="W57" s="678"/>
      <c r="X57" s="657" t="s">
        <v>723</v>
      </c>
      <c r="Y57" s="658">
        <v>1103.12964332</v>
      </c>
      <c r="Z57" s="658">
        <v>-3.3738062900000001</v>
      </c>
      <c r="AA57" s="658">
        <v>1931.6723983899999</v>
      </c>
      <c r="AB57" s="658">
        <v>1999.1187940699999</v>
      </c>
      <c r="AC57" s="658">
        <v>1.5564206700000001</v>
      </c>
      <c r="AD57" s="658">
        <v>1.5973827899999999</v>
      </c>
      <c r="AE57" s="658">
        <v>0.18082165</v>
      </c>
      <c r="AF57" s="658">
        <v>1.91777149</v>
      </c>
      <c r="AG57" s="658">
        <v>1.91431</v>
      </c>
      <c r="AH57" s="658">
        <v>-2.8173962399999999</v>
      </c>
      <c r="AI57" s="658">
        <v>-2.5643273299999998</v>
      </c>
      <c r="AJ57" s="659">
        <v>0.79127994000000001</v>
      </c>
      <c r="AK57" s="1"/>
    </row>
    <row r="58" spans="1:37" s="519" customFormat="1" ht="25.5">
      <c r="A58" s="680">
        <v>62006002</v>
      </c>
      <c r="B58" s="662" t="s">
        <v>852</v>
      </c>
      <c r="C58" s="661">
        <v>2</v>
      </c>
      <c r="D58" s="654" t="s">
        <v>801</v>
      </c>
      <c r="E58" s="647" t="s">
        <v>802</v>
      </c>
      <c r="F58" s="647" t="s">
        <v>708</v>
      </c>
      <c r="G58" s="648">
        <v>23.065266999999999</v>
      </c>
      <c r="H58" s="649">
        <v>2.9568351399999999</v>
      </c>
      <c r="I58" s="650">
        <v>83.1</v>
      </c>
      <c r="J58" s="650">
        <v>82.5</v>
      </c>
      <c r="K58" s="651">
        <v>500</v>
      </c>
      <c r="L58" s="651">
        <v>169.09972194121042</v>
      </c>
      <c r="M58" s="651">
        <v>501</v>
      </c>
      <c r="N58" s="651">
        <v>3</v>
      </c>
      <c r="O58" s="651">
        <v>450</v>
      </c>
      <c r="P58" s="651">
        <v>46.06999200000007</v>
      </c>
      <c r="Q58" s="651">
        <v>37.469808000000057</v>
      </c>
      <c r="R58" s="651">
        <v>0.19999999999999973</v>
      </c>
      <c r="S58" s="651">
        <v>0.29999999999999982</v>
      </c>
      <c r="T58" s="651">
        <v>-0.16999999999999993</v>
      </c>
      <c r="U58" s="651">
        <v>-1.449848</v>
      </c>
      <c r="V58" s="652"/>
      <c r="W58" s="678"/>
      <c r="X58" s="657" t="s">
        <v>723</v>
      </c>
      <c r="Y58" s="658">
        <v>2129.31351774</v>
      </c>
      <c r="Z58" s="658">
        <v>-4.1841674299999996</v>
      </c>
      <c r="AA58" s="658">
        <v>1780.20422065</v>
      </c>
      <c r="AB58" s="658">
        <v>1857.9436955799999</v>
      </c>
      <c r="AC58" s="658">
        <v>2.55605729</v>
      </c>
      <c r="AD58" s="658">
        <v>2.6040111800000001</v>
      </c>
      <c r="AE58" s="658">
        <v>0.28816417</v>
      </c>
      <c r="AF58" s="658">
        <v>2.9568141899999998</v>
      </c>
      <c r="AG58" s="658">
        <v>2.9483181900000002</v>
      </c>
      <c r="AH58" s="658">
        <v>-2.1696586299999998</v>
      </c>
      <c r="AI58" s="658">
        <v>-1.84153934</v>
      </c>
      <c r="AJ58" s="659">
        <v>0.70901431999999998</v>
      </c>
      <c r="AK58" s="1"/>
    </row>
    <row r="59" spans="1:37" s="519" customFormat="1" ht="25.5">
      <c r="A59" s="680">
        <v>62006002</v>
      </c>
      <c r="B59" s="662" t="s">
        <v>853</v>
      </c>
      <c r="C59" s="661">
        <v>3</v>
      </c>
      <c r="D59" s="654" t="s">
        <v>801</v>
      </c>
      <c r="E59" s="647" t="s">
        <v>802</v>
      </c>
      <c r="F59" s="647" t="s">
        <v>708</v>
      </c>
      <c r="G59" s="648">
        <v>24.646694</v>
      </c>
      <c r="H59" s="649">
        <v>4.3996214699999996</v>
      </c>
      <c r="I59" s="650">
        <v>82.5</v>
      </c>
      <c r="J59" s="650">
        <v>81.5</v>
      </c>
      <c r="K59" s="651">
        <v>813</v>
      </c>
      <c r="L59" s="651">
        <v>184.78862455410285</v>
      </c>
      <c r="M59" s="651">
        <v>813</v>
      </c>
      <c r="N59" s="651">
        <v>-4</v>
      </c>
      <c r="O59" s="651">
        <v>766</v>
      </c>
      <c r="P59" s="651">
        <v>49.199999999999932</v>
      </c>
      <c r="Q59" s="651">
        <v>40.238566999999989</v>
      </c>
      <c r="R59" s="651">
        <v>0.10000000000000009</v>
      </c>
      <c r="S59" s="651">
        <v>0.30000000000000071</v>
      </c>
      <c r="T59" s="651">
        <v>-0.1800000000000006</v>
      </c>
      <c r="U59" s="651">
        <v>-1.427586</v>
      </c>
      <c r="V59" s="652"/>
      <c r="W59" s="678"/>
      <c r="X59" s="657" t="s">
        <v>723</v>
      </c>
      <c r="Y59" s="658">
        <v>1871.3883889700001</v>
      </c>
      <c r="Z59" s="658">
        <v>-3.7242545100000002</v>
      </c>
      <c r="AA59" s="658">
        <v>1566.7464957300001</v>
      </c>
      <c r="AB59" s="658">
        <v>1627.3532734400001</v>
      </c>
      <c r="AC59" s="658">
        <v>3.40475124</v>
      </c>
      <c r="AD59" s="658">
        <v>3.4472593200000001</v>
      </c>
      <c r="AE59" s="658">
        <v>0.27342786000000002</v>
      </c>
      <c r="AF59" s="658">
        <v>4.3996084</v>
      </c>
      <c r="AG59" s="658">
        <v>4.3876114499999996</v>
      </c>
      <c r="AH59" s="658">
        <v>-1.52533466</v>
      </c>
      <c r="AI59" s="658">
        <v>-1.23309793</v>
      </c>
      <c r="AJ59" s="659">
        <v>0.55476347000000004</v>
      </c>
      <c r="AK59" s="1"/>
    </row>
    <row r="60" spans="1:37" s="519" customFormat="1" ht="25.5">
      <c r="A60" s="680">
        <v>62006002</v>
      </c>
      <c r="B60" s="662" t="s">
        <v>854</v>
      </c>
      <c r="C60" s="661">
        <v>4</v>
      </c>
      <c r="D60" s="654" t="s">
        <v>801</v>
      </c>
      <c r="E60" s="647" t="s">
        <v>802</v>
      </c>
      <c r="F60" s="647" t="s">
        <v>708</v>
      </c>
      <c r="G60" s="648">
        <v>25.435386000000001</v>
      </c>
      <c r="H60" s="649">
        <v>5.1426668900000001</v>
      </c>
      <c r="I60" s="650">
        <v>81.5</v>
      </c>
      <c r="J60" s="650">
        <v>80</v>
      </c>
      <c r="K60" s="651">
        <v>1277</v>
      </c>
      <c r="L60" s="651">
        <v>248.31474161454</v>
      </c>
      <c r="M60" s="651">
        <v>1277.1328190000004</v>
      </c>
      <c r="N60" s="651">
        <v>2</v>
      </c>
      <c r="O60" s="651">
        <v>1239</v>
      </c>
      <c r="P60" s="651">
        <v>34</v>
      </c>
      <c r="Q60" s="651">
        <v>27.779568999999924</v>
      </c>
      <c r="R60" s="651">
        <v>0.10000000000000009</v>
      </c>
      <c r="S60" s="651">
        <v>0.19999999999999929</v>
      </c>
      <c r="T60" s="651">
        <v>-0.12999999999999989</v>
      </c>
      <c r="U60" s="651">
        <v>-1.5005329999999999</v>
      </c>
      <c r="V60" s="652"/>
      <c r="W60" s="678"/>
      <c r="X60" s="657" t="s">
        <v>723</v>
      </c>
      <c r="Y60" s="658">
        <v>1574.4312422200001</v>
      </c>
      <c r="Z60" s="658">
        <v>-0.27295809999999998</v>
      </c>
      <c r="AA60" s="658">
        <v>990.68176731999995</v>
      </c>
      <c r="AB60" s="658">
        <v>993.39331483000001</v>
      </c>
      <c r="AC60" s="658">
        <v>4.9204038900000002</v>
      </c>
      <c r="AD60" s="658">
        <v>4.9043650699999999</v>
      </c>
      <c r="AE60" s="658">
        <v>0.26927252000000002</v>
      </c>
      <c r="AF60" s="658">
        <v>5.1426433300000003</v>
      </c>
      <c r="AG60" s="658">
        <v>5.1288327899999997</v>
      </c>
      <c r="AH60" s="658">
        <v>5.7570870000000003E-2</v>
      </c>
      <c r="AI60" s="658">
        <v>0.32703166</v>
      </c>
      <c r="AJ60" s="659">
        <v>0.41214187000000002</v>
      </c>
      <c r="AK60" s="1"/>
    </row>
    <row r="61" spans="1:37" s="519" customFormat="1" ht="25.5">
      <c r="A61" s="680">
        <v>62006003</v>
      </c>
      <c r="B61" s="662" t="s">
        <v>855</v>
      </c>
      <c r="C61" s="661">
        <v>1</v>
      </c>
      <c r="D61" s="654" t="s">
        <v>804</v>
      </c>
      <c r="E61" s="647" t="s">
        <v>805</v>
      </c>
      <c r="F61" s="647" t="s">
        <v>708</v>
      </c>
      <c r="G61" s="648">
        <v>23.925221000000001</v>
      </c>
      <c r="H61" s="649">
        <v>8.0263312399999993</v>
      </c>
      <c r="I61" s="650">
        <v>76.5</v>
      </c>
      <c r="J61" s="650">
        <v>74.2</v>
      </c>
      <c r="K61" s="651">
        <v>1956</v>
      </c>
      <c r="L61" s="651">
        <v>243.69789154129157</v>
      </c>
      <c r="M61" s="651">
        <v>1956</v>
      </c>
      <c r="N61" s="651">
        <v>54</v>
      </c>
      <c r="O61" s="651">
        <v>1838</v>
      </c>
      <c r="P61" s="651">
        <v>61</v>
      </c>
      <c r="Q61" s="651">
        <v>49.387336000000005</v>
      </c>
      <c r="R61" s="651">
        <v>0.19999999999999973</v>
      </c>
      <c r="S61" s="651">
        <v>0.40000000000000036</v>
      </c>
      <c r="T61" s="651">
        <v>-0.24000000000000021</v>
      </c>
      <c r="U61" s="651">
        <v>-1.471473</v>
      </c>
      <c r="V61" s="652"/>
      <c r="W61" s="678"/>
      <c r="X61" s="657" t="s">
        <v>723</v>
      </c>
      <c r="Y61" s="658">
        <v>9033.9790521499999</v>
      </c>
      <c r="Z61" s="658">
        <v>-3.383934</v>
      </c>
      <c r="AA61" s="658">
        <v>3477.2943062999998</v>
      </c>
      <c r="AB61" s="658">
        <v>3599.08496625</v>
      </c>
      <c r="AC61" s="658">
        <v>8.9021245400000009</v>
      </c>
      <c r="AD61" s="658">
        <v>8.9942813099999999</v>
      </c>
      <c r="AE61" s="658">
        <v>0.22910902999999999</v>
      </c>
      <c r="AF61" s="658">
        <v>8.0262991600000007</v>
      </c>
      <c r="AG61" s="658">
        <v>8.00795222</v>
      </c>
      <c r="AH61" s="658">
        <v>-1.26670295</v>
      </c>
      <c r="AI61" s="658">
        <v>-1.02461509</v>
      </c>
      <c r="AJ61" s="659">
        <v>0.56585012999999995</v>
      </c>
      <c r="AK61" s="1"/>
    </row>
    <row r="62" spans="1:37" s="519" customFormat="1" ht="25.5">
      <c r="A62" s="680">
        <v>62006003</v>
      </c>
      <c r="B62" s="662" t="s">
        <v>856</v>
      </c>
      <c r="C62" s="661">
        <v>2</v>
      </c>
      <c r="D62" s="654" t="s">
        <v>804</v>
      </c>
      <c r="E62" s="647" t="s">
        <v>805</v>
      </c>
      <c r="F62" s="647" t="s">
        <v>708</v>
      </c>
      <c r="G62" s="648">
        <v>23.969705000000001</v>
      </c>
      <c r="H62" s="649">
        <v>8.0270170099999998</v>
      </c>
      <c r="I62" s="650">
        <v>74.2</v>
      </c>
      <c r="J62" s="650">
        <v>71.8</v>
      </c>
      <c r="K62" s="651">
        <v>1943</v>
      </c>
      <c r="L62" s="651">
        <v>242.05754112386018</v>
      </c>
      <c r="M62" s="651">
        <v>1945</v>
      </c>
      <c r="N62" s="651">
        <v>56</v>
      </c>
      <c r="O62" s="651">
        <v>1825</v>
      </c>
      <c r="P62" s="651">
        <v>61.5</v>
      </c>
      <c r="Q62" s="651">
        <v>49.879728999999998</v>
      </c>
      <c r="R62" s="651">
        <v>0.10000000000000009</v>
      </c>
      <c r="S62" s="651">
        <v>0.29999999999999982</v>
      </c>
      <c r="T62" s="651">
        <v>-0.24000000000000021</v>
      </c>
      <c r="U62" s="651">
        <v>-1.464378</v>
      </c>
      <c r="V62" s="652"/>
      <c r="W62" s="678"/>
      <c r="X62" s="657" t="s">
        <v>723</v>
      </c>
      <c r="Y62" s="658">
        <v>9045.3353809500004</v>
      </c>
      <c r="Z62" s="658">
        <v>-3.3208159099999999</v>
      </c>
      <c r="AA62" s="658">
        <v>3479.4374653300001</v>
      </c>
      <c r="AB62" s="658">
        <v>3598.9520369900001</v>
      </c>
      <c r="AC62" s="658">
        <v>8.9003013099999997</v>
      </c>
      <c r="AD62" s="658">
        <v>8.9941840400000004</v>
      </c>
      <c r="AE62" s="658">
        <v>0.23758853999999999</v>
      </c>
      <c r="AF62" s="658">
        <v>8.0269794799999996</v>
      </c>
      <c r="AG62" s="658">
        <v>8.0079534999999993</v>
      </c>
      <c r="AH62" s="658">
        <v>-1.2949210900000001</v>
      </c>
      <c r="AI62" s="658">
        <v>-1.0438159499999999</v>
      </c>
      <c r="AJ62" s="659">
        <v>0.56581985000000001</v>
      </c>
      <c r="AK62" s="1"/>
    </row>
    <row r="63" spans="1:37" s="519" customFormat="1" ht="25.5">
      <c r="A63" s="680">
        <v>62006003</v>
      </c>
      <c r="B63" s="662" t="s">
        <v>857</v>
      </c>
      <c r="C63" s="661">
        <v>3</v>
      </c>
      <c r="D63" s="654" t="s">
        <v>804</v>
      </c>
      <c r="E63" s="647" t="s">
        <v>805</v>
      </c>
      <c r="F63" s="647" t="s">
        <v>708</v>
      </c>
      <c r="G63" s="648">
        <v>23.944330000000001</v>
      </c>
      <c r="H63" s="649">
        <v>8.0260105999999993</v>
      </c>
      <c r="I63" s="650">
        <v>71.8</v>
      </c>
      <c r="J63" s="650">
        <v>69.400000000000006</v>
      </c>
      <c r="K63" s="651">
        <v>1938</v>
      </c>
      <c r="L63" s="651">
        <v>241.46491907199825</v>
      </c>
      <c r="M63" s="651">
        <v>1938</v>
      </c>
      <c r="N63" s="651">
        <v>55</v>
      </c>
      <c r="O63" s="651">
        <v>1819</v>
      </c>
      <c r="P63" s="651">
        <v>61.700000000000045</v>
      </c>
      <c r="Q63" s="651">
        <v>50.090444999999931</v>
      </c>
      <c r="R63" s="651">
        <v>0.10000000000000009</v>
      </c>
      <c r="S63" s="651">
        <v>0.39999999999999947</v>
      </c>
      <c r="T63" s="651">
        <v>-0.25</v>
      </c>
      <c r="U63" s="651">
        <v>-1.462774</v>
      </c>
      <c r="V63" s="652"/>
      <c r="W63" s="678"/>
      <c r="X63" s="657" t="s">
        <v>723</v>
      </c>
      <c r="Y63" s="658">
        <v>9045.4537954900006</v>
      </c>
      <c r="Z63" s="658">
        <v>-3.3638780100000001</v>
      </c>
      <c r="AA63" s="658">
        <v>3477.9322294200001</v>
      </c>
      <c r="AB63" s="658">
        <v>3598.9981363299999</v>
      </c>
      <c r="AC63" s="658">
        <v>8.9008994799999996</v>
      </c>
      <c r="AD63" s="658">
        <v>8.9941913899999992</v>
      </c>
      <c r="AE63" s="658">
        <v>0.22516774000000001</v>
      </c>
      <c r="AF63" s="658">
        <v>8.0259817299999998</v>
      </c>
      <c r="AG63" s="658">
        <v>8.0079504099999994</v>
      </c>
      <c r="AH63" s="658">
        <v>-1.2756455600000001</v>
      </c>
      <c r="AI63" s="658">
        <v>-1.03724623</v>
      </c>
      <c r="AJ63" s="659">
        <v>0.56583357000000001</v>
      </c>
      <c r="AK63" s="1"/>
    </row>
    <row r="64" spans="1:37" s="519" customFormat="1" ht="25.5">
      <c r="A64" s="680">
        <v>62006003</v>
      </c>
      <c r="B64" s="662" t="s">
        <v>858</v>
      </c>
      <c r="C64" s="661">
        <v>4</v>
      </c>
      <c r="D64" s="654" t="s">
        <v>804</v>
      </c>
      <c r="E64" s="647" t="s">
        <v>805</v>
      </c>
      <c r="F64" s="647" t="s">
        <v>708</v>
      </c>
      <c r="G64" s="648">
        <v>23.954315999999999</v>
      </c>
      <c r="H64" s="649">
        <v>8.0267481000000007</v>
      </c>
      <c r="I64" s="650">
        <v>69.400000000000006</v>
      </c>
      <c r="J64" s="650">
        <v>67</v>
      </c>
      <c r="K64" s="651">
        <v>1935</v>
      </c>
      <c r="L64" s="651">
        <v>241.06898284250377</v>
      </c>
      <c r="M64" s="651">
        <v>1935</v>
      </c>
      <c r="N64" s="651">
        <v>53</v>
      </c>
      <c r="O64" s="651">
        <v>1817</v>
      </c>
      <c r="P64" s="651">
        <v>61.986538999999993</v>
      </c>
      <c r="Q64" s="651">
        <v>50.350677000000019</v>
      </c>
      <c r="R64" s="651">
        <v>0.10000000000000009</v>
      </c>
      <c r="S64" s="651">
        <v>0.40000000000000036</v>
      </c>
      <c r="T64" s="651">
        <v>-0.24000000000000021</v>
      </c>
      <c r="U64" s="651">
        <v>-1.4553510000000001</v>
      </c>
      <c r="V64" s="652"/>
      <c r="W64" s="678"/>
      <c r="X64" s="657" t="s">
        <v>723</v>
      </c>
      <c r="Y64" s="658">
        <v>9041.9589358600006</v>
      </c>
      <c r="Z64" s="658">
        <v>-3.3634276500000002</v>
      </c>
      <c r="AA64" s="658">
        <v>3477.7428411300002</v>
      </c>
      <c r="AB64" s="658">
        <v>3598.78538381</v>
      </c>
      <c r="AC64" s="658">
        <v>8.9012662799999998</v>
      </c>
      <c r="AD64" s="658">
        <v>8.9938842300000008</v>
      </c>
      <c r="AE64" s="658">
        <v>0.23460671</v>
      </c>
      <c r="AF64" s="658">
        <v>8.0267404100000004</v>
      </c>
      <c r="AG64" s="658">
        <v>8.0079532100000002</v>
      </c>
      <c r="AH64" s="658">
        <v>-1.2775509199999999</v>
      </c>
      <c r="AI64" s="658">
        <v>-1.02978814</v>
      </c>
      <c r="AJ64" s="659">
        <v>0.56579307999999995</v>
      </c>
      <c r="AK64" s="1"/>
    </row>
    <row r="65" spans="1:37" s="519" customFormat="1" ht="25.5">
      <c r="A65" s="680">
        <v>62006003</v>
      </c>
      <c r="B65" s="662" t="s">
        <v>859</v>
      </c>
      <c r="C65" s="661">
        <v>5</v>
      </c>
      <c r="D65" s="654" t="s">
        <v>804</v>
      </c>
      <c r="E65" s="647" t="s">
        <v>805</v>
      </c>
      <c r="F65" s="647" t="s">
        <v>708</v>
      </c>
      <c r="G65" s="648">
        <v>23.992543999999999</v>
      </c>
      <c r="H65" s="649">
        <v>8.0259673500000002</v>
      </c>
      <c r="I65" s="650">
        <v>67</v>
      </c>
      <c r="J65" s="650">
        <v>64.599999999999994</v>
      </c>
      <c r="K65" s="651">
        <v>1934</v>
      </c>
      <c r="L65" s="651">
        <v>240.96783797656491</v>
      </c>
      <c r="M65" s="651">
        <v>1933</v>
      </c>
      <c r="N65" s="651">
        <v>55</v>
      </c>
      <c r="O65" s="651">
        <v>1815</v>
      </c>
      <c r="P65" s="651">
        <v>61.799999999999955</v>
      </c>
      <c r="Q65" s="651">
        <v>50.279999999999973</v>
      </c>
      <c r="R65" s="651">
        <v>0.10000000000000009</v>
      </c>
      <c r="S65" s="651">
        <v>0.30000000000000071</v>
      </c>
      <c r="T65" s="651">
        <v>-0.25</v>
      </c>
      <c r="U65" s="651">
        <v>-1.485751</v>
      </c>
      <c r="V65" s="652"/>
      <c r="W65" s="678"/>
      <c r="X65" s="657" t="s">
        <v>723</v>
      </c>
      <c r="Y65" s="658">
        <v>9042.9108463499997</v>
      </c>
      <c r="Z65" s="658">
        <v>-3.3552146500000002</v>
      </c>
      <c r="AA65" s="658">
        <v>3478.12721779</v>
      </c>
      <c r="AB65" s="658">
        <v>3598.8772753100002</v>
      </c>
      <c r="AC65" s="658">
        <v>8.9031063100000001</v>
      </c>
      <c r="AD65" s="658">
        <v>8.9940087799999997</v>
      </c>
      <c r="AE65" s="658">
        <v>0.22453258000000001</v>
      </c>
      <c r="AF65" s="658">
        <v>8.0259319500000004</v>
      </c>
      <c r="AG65" s="658">
        <v>8.0079514899999999</v>
      </c>
      <c r="AH65" s="658">
        <v>-1.2478448200000001</v>
      </c>
      <c r="AI65" s="658">
        <v>-1.0107002700000001</v>
      </c>
      <c r="AJ65" s="659">
        <v>0.56581506999999998</v>
      </c>
      <c r="AK65" s="1"/>
    </row>
    <row r="66" spans="1:37" s="519" customFormat="1" ht="25.5">
      <c r="A66" s="680">
        <v>62006003</v>
      </c>
      <c r="B66" s="662" t="s">
        <v>860</v>
      </c>
      <c r="C66" s="661">
        <v>6</v>
      </c>
      <c r="D66" s="654" t="s">
        <v>804</v>
      </c>
      <c r="E66" s="647" t="s">
        <v>805</v>
      </c>
      <c r="F66" s="647" t="s">
        <v>708</v>
      </c>
      <c r="G66" s="648">
        <v>24.00309</v>
      </c>
      <c r="H66" s="649">
        <v>8.0268903799999993</v>
      </c>
      <c r="I66" s="650">
        <v>64.599999999999994</v>
      </c>
      <c r="J66" s="650">
        <v>62.2</v>
      </c>
      <c r="K66" s="651">
        <v>1931</v>
      </c>
      <c r="L66" s="651">
        <v>240.56638481214691</v>
      </c>
      <c r="M66" s="651">
        <v>1932</v>
      </c>
      <c r="N66" s="651">
        <v>54</v>
      </c>
      <c r="O66" s="651">
        <v>1813</v>
      </c>
      <c r="P66" s="651">
        <v>61.600000000000136</v>
      </c>
      <c r="Q66" s="651">
        <v>50.139676000000009</v>
      </c>
      <c r="R66" s="651">
        <v>0.19999999999999973</v>
      </c>
      <c r="S66" s="651">
        <v>0.29999999999999893</v>
      </c>
      <c r="T66" s="651">
        <v>-0.23999999999999932</v>
      </c>
      <c r="U66" s="651">
        <v>-1.4479709999999999</v>
      </c>
      <c r="V66" s="652"/>
      <c r="W66" s="678"/>
      <c r="X66" s="657" t="s">
        <v>723</v>
      </c>
      <c r="Y66" s="658">
        <v>9040.0734434799997</v>
      </c>
      <c r="Z66" s="658">
        <v>-3.3061765699999999</v>
      </c>
      <c r="AA66" s="658">
        <v>3479.76987203</v>
      </c>
      <c r="AB66" s="658">
        <v>3598.7509321900002</v>
      </c>
      <c r="AC66" s="658">
        <v>8.9054960100000002</v>
      </c>
      <c r="AD66" s="658">
        <v>8.9938272399999999</v>
      </c>
      <c r="AE66" s="658">
        <v>0.23603739000000001</v>
      </c>
      <c r="AF66" s="658">
        <v>8.02685447</v>
      </c>
      <c r="AG66" s="658">
        <v>8.0079527099999996</v>
      </c>
      <c r="AH66" s="658">
        <v>-1.23025176</v>
      </c>
      <c r="AI66" s="658">
        <v>-0.98213167999999995</v>
      </c>
      <c r="AJ66" s="659">
        <v>0.56578963000000004</v>
      </c>
      <c r="AK66" s="1"/>
    </row>
    <row r="67" spans="1:37" s="519" customFormat="1" ht="25.5">
      <c r="A67" s="680">
        <v>62006003</v>
      </c>
      <c r="B67" s="662" t="s">
        <v>861</v>
      </c>
      <c r="C67" s="661">
        <v>7</v>
      </c>
      <c r="D67" s="654" t="s">
        <v>804</v>
      </c>
      <c r="E67" s="647" t="s">
        <v>805</v>
      </c>
      <c r="F67" s="647" t="s">
        <v>708</v>
      </c>
      <c r="G67" s="648">
        <v>24.002912999999999</v>
      </c>
      <c r="H67" s="649">
        <v>8.0259998499999998</v>
      </c>
      <c r="I67" s="650">
        <v>62.2</v>
      </c>
      <c r="J67" s="650">
        <v>59.8</v>
      </c>
      <c r="K67" s="651">
        <v>1931</v>
      </c>
      <c r="L67" s="651">
        <v>240.59307701083497</v>
      </c>
      <c r="M67" s="651">
        <v>1932</v>
      </c>
      <c r="N67" s="651">
        <v>55</v>
      </c>
      <c r="O67" s="651">
        <v>1813</v>
      </c>
      <c r="P67" s="651">
        <v>61.553670999999895</v>
      </c>
      <c r="Q67" s="651">
        <v>50.004333999999972</v>
      </c>
      <c r="R67" s="651">
        <v>0.10000000000000009</v>
      </c>
      <c r="S67" s="651">
        <v>0.40000000000000036</v>
      </c>
      <c r="T67" s="651">
        <v>-0.25</v>
      </c>
      <c r="U67" s="651">
        <v>-1.4774130000000001</v>
      </c>
      <c r="V67" s="652"/>
      <c r="W67" s="678"/>
      <c r="X67" s="657" t="s">
        <v>723</v>
      </c>
      <c r="Y67" s="658">
        <v>9040.4707123600001</v>
      </c>
      <c r="Z67" s="658">
        <v>-3.3696382300000001</v>
      </c>
      <c r="AA67" s="658">
        <v>3477.46606858</v>
      </c>
      <c r="AB67" s="658">
        <v>3598.7302592599999</v>
      </c>
      <c r="AC67" s="658">
        <v>8.9058009800000004</v>
      </c>
      <c r="AD67" s="658">
        <v>8.9937715699999998</v>
      </c>
      <c r="AE67" s="658">
        <v>0.22521337999999999</v>
      </c>
      <c r="AF67" s="658">
        <v>8.0259865500000007</v>
      </c>
      <c r="AG67" s="658">
        <v>8.0079515699999995</v>
      </c>
      <c r="AH67" s="658">
        <v>-1.21522777</v>
      </c>
      <c r="AI67" s="658">
        <v>-0.97812790999999999</v>
      </c>
      <c r="AJ67" s="659">
        <v>0.56578432999999995</v>
      </c>
      <c r="AK67" s="1"/>
    </row>
    <row r="68" spans="1:37" s="519" customFormat="1" ht="25.5">
      <c r="A68" s="680">
        <v>62006003</v>
      </c>
      <c r="B68" s="662" t="s">
        <v>862</v>
      </c>
      <c r="C68" s="661">
        <v>8</v>
      </c>
      <c r="D68" s="654" t="s">
        <v>804</v>
      </c>
      <c r="E68" s="647" t="s">
        <v>805</v>
      </c>
      <c r="F68" s="647" t="s">
        <v>708</v>
      </c>
      <c r="G68" s="648">
        <v>20.874037999999999</v>
      </c>
      <c r="H68" s="649">
        <v>0</v>
      </c>
      <c r="I68" s="650">
        <v>59.8</v>
      </c>
      <c r="J68" s="650">
        <v>59.8</v>
      </c>
      <c r="K68" s="651">
        <v>1</v>
      </c>
      <c r="L68" s="651"/>
      <c r="M68" s="651">
        <v>0</v>
      </c>
      <c r="N68" s="651">
        <v>0</v>
      </c>
      <c r="O68" s="651">
        <v>0</v>
      </c>
      <c r="P68" s="651">
        <v>0.10000000000013642</v>
      </c>
      <c r="Q68" s="651">
        <v>0.12000000000011823</v>
      </c>
      <c r="R68" s="651">
        <v>0</v>
      </c>
      <c r="S68" s="651">
        <v>0</v>
      </c>
      <c r="T68" s="651">
        <v>0</v>
      </c>
      <c r="U68" s="651">
        <v>-1.234064</v>
      </c>
      <c r="V68" s="652"/>
      <c r="W68" s="678"/>
      <c r="X68" s="657" t="s">
        <v>723</v>
      </c>
      <c r="Y68" s="658"/>
      <c r="Z68" s="658"/>
      <c r="AA68" s="658"/>
      <c r="AB68" s="658"/>
      <c r="AC68" s="658"/>
      <c r="AD68" s="658"/>
      <c r="AE68" s="658"/>
      <c r="AF68" s="658"/>
      <c r="AG68" s="658"/>
      <c r="AH68" s="658"/>
      <c r="AI68" s="658"/>
      <c r="AJ68" s="659"/>
      <c r="AK68" s="1"/>
    </row>
    <row r="69" spans="1:37" s="519" customFormat="1" ht="25.5">
      <c r="A69" s="680">
        <v>62006004</v>
      </c>
      <c r="B69" s="662" t="s">
        <v>907</v>
      </c>
      <c r="C69" s="646">
        <v>1</v>
      </c>
      <c r="D69" s="654" t="s">
        <v>918</v>
      </c>
      <c r="E69" s="647" t="s">
        <v>919</v>
      </c>
      <c r="F69" s="647" t="s">
        <v>708</v>
      </c>
      <c r="G69" s="648">
        <v>350.23542600000002</v>
      </c>
      <c r="H69" s="649">
        <v>3.51572E-3</v>
      </c>
      <c r="I69" s="650">
        <v>61.199992000000002</v>
      </c>
      <c r="J69" s="650">
        <v>99.8</v>
      </c>
      <c r="K69" s="651">
        <v>-34688</v>
      </c>
      <c r="L69" s="651"/>
      <c r="M69" s="651">
        <v>-34846</v>
      </c>
      <c r="N69" s="651">
        <v>18</v>
      </c>
      <c r="O69" s="651">
        <v>16</v>
      </c>
      <c r="P69" s="651">
        <v>-34758.400000000001</v>
      </c>
      <c r="Q69" s="651">
        <v>301.84519299999999</v>
      </c>
      <c r="R69" s="651">
        <v>2.9</v>
      </c>
      <c r="S69" s="651">
        <v>-0.5</v>
      </c>
      <c r="T69" s="651">
        <v>-5.33</v>
      </c>
      <c r="U69" s="651">
        <v>-14.812799999999999</v>
      </c>
      <c r="V69" s="652">
        <v>37812.800000000003</v>
      </c>
      <c r="W69" s="678">
        <v>-37533.199999999997</v>
      </c>
      <c r="X69" s="657" t="s">
        <v>719</v>
      </c>
      <c r="Y69" s="658"/>
      <c r="Z69" s="658"/>
      <c r="AA69" s="658"/>
      <c r="AB69" s="658"/>
      <c r="AC69" s="658"/>
      <c r="AD69" s="658"/>
      <c r="AE69" s="658"/>
      <c r="AF69" s="658"/>
      <c r="AG69" s="658"/>
      <c r="AH69" s="658"/>
      <c r="AI69" s="658"/>
      <c r="AJ69" s="659"/>
      <c r="AK69" s="1"/>
    </row>
    <row r="70" spans="1:37" s="671" customFormat="1" ht="18.75">
      <c r="A70" s="664" t="s">
        <v>1240</v>
      </c>
      <c r="B70" s="675"/>
      <c r="C70" s="665"/>
      <c r="D70" s="666"/>
      <c r="E70" s="667"/>
      <c r="F70" s="667"/>
      <c r="G70" s="667"/>
      <c r="H70" s="665"/>
      <c r="I70" s="670"/>
      <c r="J70" s="670"/>
      <c r="K70" s="670"/>
      <c r="L70" s="670"/>
      <c r="M70" s="670"/>
      <c r="N70" s="670"/>
      <c r="O70" s="670"/>
      <c r="P70" s="670"/>
      <c r="Q70" s="670"/>
      <c r="R70" s="670"/>
      <c r="S70" s="670"/>
      <c r="T70" s="670"/>
      <c r="U70" s="670"/>
      <c r="V70" s="670"/>
      <c r="W70" s="679"/>
      <c r="X70" s="668"/>
      <c r="Y70" s="665"/>
      <c r="Z70" s="665"/>
      <c r="AA70" s="665"/>
      <c r="AB70" s="665"/>
      <c r="AC70" s="665"/>
      <c r="AD70" s="665"/>
      <c r="AE70" s="665"/>
      <c r="AF70" s="665"/>
      <c r="AG70" s="665"/>
      <c r="AH70" s="665"/>
      <c r="AI70" s="665"/>
      <c r="AJ70" s="669"/>
    </row>
    <row r="71" spans="1:37" s="519" customFormat="1" ht="25.5">
      <c r="A71" s="680">
        <v>62006005</v>
      </c>
      <c r="B71" s="662" t="s">
        <v>832</v>
      </c>
      <c r="C71" s="646">
        <v>1</v>
      </c>
      <c r="D71" s="654" t="s">
        <v>806</v>
      </c>
      <c r="E71" s="647" t="s">
        <v>807</v>
      </c>
      <c r="F71" s="647" t="s">
        <v>708</v>
      </c>
      <c r="G71" s="648">
        <v>36.052109000000002</v>
      </c>
      <c r="H71" s="649">
        <v>3.5975402700000001</v>
      </c>
      <c r="I71" s="650">
        <v>99.5</v>
      </c>
      <c r="J71" s="650">
        <v>98.6</v>
      </c>
      <c r="K71" s="651">
        <v>837.06321200000002</v>
      </c>
      <c r="L71" s="651">
        <v>232.67653707181435</v>
      </c>
      <c r="M71" s="651">
        <v>840</v>
      </c>
      <c r="N71" s="651">
        <v>19</v>
      </c>
      <c r="O71" s="651">
        <v>596</v>
      </c>
      <c r="P71" s="651">
        <v>68.199999999999989</v>
      </c>
      <c r="Q71" s="651">
        <v>59.140376000000003</v>
      </c>
      <c r="R71" s="651">
        <v>12.8</v>
      </c>
      <c r="S71" s="651">
        <v>156.19107099999999</v>
      </c>
      <c r="T71" s="651">
        <v>-1.7991109999999999</v>
      </c>
      <c r="U71" s="651">
        <v>-12.782093</v>
      </c>
      <c r="V71" s="652"/>
      <c r="W71" s="678"/>
      <c r="X71" s="657" t="s">
        <v>723</v>
      </c>
      <c r="Y71" s="658">
        <v>2372.09081651</v>
      </c>
      <c r="Z71" s="658">
        <v>-0.86830921000000005</v>
      </c>
      <c r="AA71" s="658">
        <v>2031.05296557</v>
      </c>
      <c r="AB71" s="658">
        <v>2048.8432603299998</v>
      </c>
      <c r="AC71" s="658">
        <v>3.0251157700000002</v>
      </c>
      <c r="AD71" s="658">
        <v>3.0320174299999998</v>
      </c>
      <c r="AE71" s="658">
        <v>0.18024625999999999</v>
      </c>
      <c r="AF71" s="658">
        <v>3.5974534</v>
      </c>
      <c r="AG71" s="658">
        <v>3.5909807900000001</v>
      </c>
      <c r="AH71" s="658">
        <v>-0.40880297999999998</v>
      </c>
      <c r="AI71" s="658">
        <v>-0.22762618000000001</v>
      </c>
      <c r="AJ71" s="659">
        <v>0.63450563999999998</v>
      </c>
      <c r="AK71" s="1"/>
    </row>
    <row r="72" spans="1:37" s="519" customFormat="1" ht="25.5">
      <c r="A72" s="680">
        <v>62006005</v>
      </c>
      <c r="B72" s="662" t="s">
        <v>831</v>
      </c>
      <c r="C72" s="646">
        <v>2</v>
      </c>
      <c r="D72" s="654" t="s">
        <v>806</v>
      </c>
      <c r="E72" s="647" t="s">
        <v>807</v>
      </c>
      <c r="F72" s="647" t="s">
        <v>708</v>
      </c>
      <c r="G72" s="648">
        <v>34.038026000000002</v>
      </c>
      <c r="H72" s="649">
        <v>3.8634428199999999</v>
      </c>
      <c r="I72" s="650">
        <v>98.6</v>
      </c>
      <c r="J72" s="650">
        <v>97.6</v>
      </c>
      <c r="K72" s="651">
        <v>805</v>
      </c>
      <c r="L72" s="651">
        <v>208.3633788580311</v>
      </c>
      <c r="M72" s="651">
        <v>808</v>
      </c>
      <c r="N72" s="651">
        <v>20</v>
      </c>
      <c r="O72" s="651">
        <v>492</v>
      </c>
      <c r="P72" s="651">
        <v>114.20089900000001</v>
      </c>
      <c r="Q72" s="651">
        <v>98.799544999999995</v>
      </c>
      <c r="R72" s="651">
        <v>63.199999999999996</v>
      </c>
      <c r="S72" s="651">
        <v>143.70089899999999</v>
      </c>
      <c r="T72" s="651">
        <v>-1.65</v>
      </c>
      <c r="U72" s="651">
        <v>-6.8777629999999998</v>
      </c>
      <c r="V72" s="652"/>
      <c r="W72" s="678"/>
      <c r="X72" s="657" t="s">
        <v>723</v>
      </c>
      <c r="Y72" s="658">
        <v>1476.01762014</v>
      </c>
      <c r="Z72" s="658">
        <v>-0.96963387000000001</v>
      </c>
      <c r="AA72" s="658">
        <v>3383.13222752</v>
      </c>
      <c r="AB72" s="658">
        <v>3416.2574166499999</v>
      </c>
      <c r="AC72" s="658">
        <v>2.98234165</v>
      </c>
      <c r="AD72" s="658">
        <v>2.9954020699999999</v>
      </c>
      <c r="AE72" s="658">
        <v>8.8826160000000001E-2</v>
      </c>
      <c r="AF72" s="658">
        <v>3.8632598499999999</v>
      </c>
      <c r="AG72" s="658">
        <v>3.8598313100000001</v>
      </c>
      <c r="AH72" s="658">
        <v>-0.52714030999999995</v>
      </c>
      <c r="AI72" s="658">
        <v>-0.43601572999999999</v>
      </c>
      <c r="AJ72" s="659">
        <v>0.72008229999999995</v>
      </c>
      <c r="AK72" s="1"/>
    </row>
    <row r="73" spans="1:37" s="519" customFormat="1" ht="25.5">
      <c r="A73" s="680">
        <v>62006005</v>
      </c>
      <c r="B73" s="662" t="s">
        <v>830</v>
      </c>
      <c r="C73" s="646" t="s">
        <v>1362</v>
      </c>
      <c r="D73" s="654" t="s">
        <v>806</v>
      </c>
      <c r="E73" s="647" t="s">
        <v>807</v>
      </c>
      <c r="F73" s="647" t="s">
        <v>708</v>
      </c>
      <c r="G73" s="648">
        <v>35.045067500000002</v>
      </c>
      <c r="H73" s="649">
        <v>7.46098309</v>
      </c>
      <c r="I73" s="650">
        <v>99.5</v>
      </c>
      <c r="J73" s="650">
        <v>97.6</v>
      </c>
      <c r="K73" s="651">
        <v>1642.063212</v>
      </c>
      <c r="L73" s="651">
        <v>220.08670870744461</v>
      </c>
      <c r="M73" s="651">
        <v>1648</v>
      </c>
      <c r="N73" s="651">
        <v>39</v>
      </c>
      <c r="O73" s="651">
        <v>1088</v>
      </c>
      <c r="P73" s="651">
        <v>182.40089899999998</v>
      </c>
      <c r="Q73" s="651">
        <v>157.939921</v>
      </c>
      <c r="R73" s="651">
        <v>76</v>
      </c>
      <c r="S73" s="651">
        <v>299.89197000000001</v>
      </c>
      <c r="T73" s="651">
        <v>-3.4491109999999998</v>
      </c>
      <c r="U73" s="651">
        <v>-9.8299279999999989</v>
      </c>
      <c r="V73" s="652"/>
      <c r="W73" s="678"/>
      <c r="X73" s="657" t="s">
        <v>723</v>
      </c>
      <c r="Y73" s="658"/>
      <c r="Z73" s="658"/>
      <c r="AA73" s="658"/>
      <c r="AB73" s="658"/>
      <c r="AC73" s="658"/>
      <c r="AD73" s="658"/>
      <c r="AE73" s="658"/>
      <c r="AF73" s="658"/>
      <c r="AG73" s="658"/>
      <c r="AH73" s="658"/>
      <c r="AI73" s="658"/>
      <c r="AJ73" s="659"/>
      <c r="AK73" s="1"/>
    </row>
    <row r="74" spans="1:37" s="519" customFormat="1" ht="25.5">
      <c r="A74" s="680">
        <v>62006005</v>
      </c>
      <c r="B74" s="662" t="s">
        <v>829</v>
      </c>
      <c r="C74" s="646">
        <v>3</v>
      </c>
      <c r="D74" s="654" t="s">
        <v>806</v>
      </c>
      <c r="E74" s="647" t="s">
        <v>807</v>
      </c>
      <c r="F74" s="647" t="s">
        <v>708</v>
      </c>
      <c r="G74" s="648">
        <v>37.486905</v>
      </c>
      <c r="H74" s="649">
        <v>10.28413085</v>
      </c>
      <c r="I74" s="650">
        <v>97.6</v>
      </c>
      <c r="J74" s="650">
        <v>95.4</v>
      </c>
      <c r="K74" s="651">
        <v>1926</v>
      </c>
      <c r="L74" s="651">
        <v>187.27883066559775</v>
      </c>
      <c r="M74" s="651">
        <v>1927</v>
      </c>
      <c r="N74" s="651">
        <v>2</v>
      </c>
      <c r="O74" s="651">
        <v>1664</v>
      </c>
      <c r="P74" s="651">
        <v>93.700000000000017</v>
      </c>
      <c r="Q74" s="651">
        <v>81.279456999999979</v>
      </c>
      <c r="R74" s="651">
        <v>63.600000000000009</v>
      </c>
      <c r="S74" s="651">
        <v>123.90000000000003</v>
      </c>
      <c r="T74" s="651">
        <v>-0.79</v>
      </c>
      <c r="U74" s="651">
        <v>-3.741803</v>
      </c>
      <c r="V74" s="652"/>
      <c r="W74" s="678"/>
      <c r="X74" s="657" t="s">
        <v>723</v>
      </c>
      <c r="Y74" s="658">
        <v>1875.5206794999999</v>
      </c>
      <c r="Z74" s="658">
        <v>-0.27491199999999999</v>
      </c>
      <c r="AA74" s="658">
        <v>1303.1832270299999</v>
      </c>
      <c r="AB74" s="658">
        <v>1306.7757103199999</v>
      </c>
      <c r="AC74" s="658">
        <v>6.8014363900000001</v>
      </c>
      <c r="AD74" s="658">
        <v>6.7904350999999998</v>
      </c>
      <c r="AE74" s="658">
        <v>0.26775221999999999</v>
      </c>
      <c r="AF74" s="658">
        <v>10.284142920000001</v>
      </c>
      <c r="AG74" s="658">
        <v>10.256680429999999</v>
      </c>
      <c r="AH74" s="658">
        <v>-0.1055695</v>
      </c>
      <c r="AI74" s="658">
        <v>0.16201167999999999</v>
      </c>
      <c r="AJ74" s="659">
        <v>0.33398591999999999</v>
      </c>
      <c r="AK74" s="1"/>
    </row>
    <row r="75" spans="1:37" s="519" customFormat="1" ht="25.5">
      <c r="A75" s="680">
        <v>62006005</v>
      </c>
      <c r="B75" s="662" t="s">
        <v>828</v>
      </c>
      <c r="C75" s="646">
        <v>4</v>
      </c>
      <c r="D75" s="654" t="s">
        <v>806</v>
      </c>
      <c r="E75" s="647" t="s">
        <v>807</v>
      </c>
      <c r="F75" s="647" t="s">
        <v>708</v>
      </c>
      <c r="G75" s="648">
        <v>33.466971999999998</v>
      </c>
      <c r="H75" s="649">
        <v>3.5979395200000002</v>
      </c>
      <c r="I75" s="650">
        <v>95.3</v>
      </c>
      <c r="J75" s="650">
        <v>94.4</v>
      </c>
      <c r="K75" s="651">
        <v>725</v>
      </c>
      <c r="L75" s="651">
        <v>201.50422094921706</v>
      </c>
      <c r="M75" s="651">
        <v>727</v>
      </c>
      <c r="N75" s="651">
        <v>12</v>
      </c>
      <c r="O75" s="651">
        <v>545</v>
      </c>
      <c r="P75" s="651">
        <v>63.800000000000011</v>
      </c>
      <c r="Q75" s="651">
        <v>55.659648000000004</v>
      </c>
      <c r="R75" s="651">
        <v>31.400000000000006</v>
      </c>
      <c r="S75" s="651">
        <v>88.699999999999989</v>
      </c>
      <c r="T75" s="651">
        <v>-0.41000000000000014</v>
      </c>
      <c r="U75" s="651">
        <v>-2.8600300000000001</v>
      </c>
      <c r="V75" s="652"/>
      <c r="W75" s="678"/>
      <c r="X75" s="657" t="s">
        <v>723</v>
      </c>
      <c r="Y75" s="658">
        <v>2367.4661447799999</v>
      </c>
      <c r="Z75" s="658">
        <v>-0.90509795000000004</v>
      </c>
      <c r="AA75" s="658">
        <v>2030.25751489</v>
      </c>
      <c r="AB75" s="658">
        <v>2048.8011722000001</v>
      </c>
      <c r="AC75" s="658">
        <v>3.0256084400000001</v>
      </c>
      <c r="AD75" s="658">
        <v>3.0319634899999999</v>
      </c>
      <c r="AE75" s="658">
        <v>0.19188975</v>
      </c>
      <c r="AF75" s="658">
        <v>3.5978712900000001</v>
      </c>
      <c r="AG75" s="658">
        <v>3.5909805700000001</v>
      </c>
      <c r="AH75" s="658">
        <v>-0.402335</v>
      </c>
      <c r="AI75" s="658">
        <v>-0.20960195000000001</v>
      </c>
      <c r="AJ75" s="659">
        <v>0.63449864</v>
      </c>
      <c r="AK75" s="1"/>
    </row>
    <row r="76" spans="1:37" s="519" customFormat="1" ht="25.5">
      <c r="A76" s="680">
        <v>62006005</v>
      </c>
      <c r="B76" s="662" t="s">
        <v>239</v>
      </c>
      <c r="C76" s="646">
        <v>5</v>
      </c>
      <c r="D76" s="654" t="s">
        <v>806</v>
      </c>
      <c r="E76" s="647" t="s">
        <v>807</v>
      </c>
      <c r="F76" s="647" t="s">
        <v>708</v>
      </c>
      <c r="G76" s="648">
        <v>32.868769</v>
      </c>
      <c r="H76" s="649">
        <v>3.86188259</v>
      </c>
      <c r="I76" s="650">
        <v>94.4</v>
      </c>
      <c r="J76" s="650">
        <v>93.5</v>
      </c>
      <c r="K76" s="651">
        <v>788.09110599999985</v>
      </c>
      <c r="L76" s="651">
        <v>204.06915219035696</v>
      </c>
      <c r="M76" s="651">
        <v>790</v>
      </c>
      <c r="N76" s="651">
        <v>25</v>
      </c>
      <c r="O76" s="651">
        <v>483</v>
      </c>
      <c r="P76" s="651">
        <v>109.79999999999995</v>
      </c>
      <c r="Q76" s="651">
        <v>95.939218000000039</v>
      </c>
      <c r="R76" s="651">
        <v>74.700000000000017</v>
      </c>
      <c r="S76" s="651">
        <v>120.89999999999998</v>
      </c>
      <c r="T76" s="651">
        <v>-0.62000000000000011</v>
      </c>
      <c r="U76" s="651">
        <v>-2.587345</v>
      </c>
      <c r="V76" s="652"/>
      <c r="W76" s="678"/>
      <c r="X76" s="657" t="s">
        <v>723</v>
      </c>
      <c r="Y76" s="658">
        <v>1475.9501259799999</v>
      </c>
      <c r="Z76" s="658">
        <v>-1.11834122</v>
      </c>
      <c r="AA76" s="658">
        <v>3378.0005345999998</v>
      </c>
      <c r="AB76" s="658">
        <v>3416.2053675299999</v>
      </c>
      <c r="AC76" s="658">
        <v>2.98338378</v>
      </c>
      <c r="AD76" s="658">
        <v>2.9953178199999999</v>
      </c>
      <c r="AE76" s="658">
        <v>4.8247640000000001E-2</v>
      </c>
      <c r="AF76" s="658">
        <v>3.8616926999999999</v>
      </c>
      <c r="AG76" s="658">
        <v>3.8598304200000002</v>
      </c>
      <c r="AH76" s="658">
        <v>-0.44845731999999999</v>
      </c>
      <c r="AI76" s="658">
        <v>-0.39842293000000001</v>
      </c>
      <c r="AJ76" s="659">
        <v>0.72008877000000004</v>
      </c>
      <c r="AK76" s="1"/>
    </row>
    <row r="77" spans="1:37" s="519" customFormat="1" ht="25.5">
      <c r="A77" s="680">
        <v>62006005</v>
      </c>
      <c r="B77" s="662" t="s">
        <v>833</v>
      </c>
      <c r="C77" s="646" t="s">
        <v>1363</v>
      </c>
      <c r="D77" s="654" t="s">
        <v>806</v>
      </c>
      <c r="E77" s="647" t="s">
        <v>807</v>
      </c>
      <c r="F77" s="647" t="s">
        <v>708</v>
      </c>
      <c r="G77" s="648">
        <v>33.167870499999999</v>
      </c>
      <c r="H77" s="649">
        <v>7.4598221100000002</v>
      </c>
      <c r="I77" s="650">
        <v>95.3</v>
      </c>
      <c r="J77" s="650">
        <v>93.5</v>
      </c>
      <c r="K77" s="651">
        <v>1513.0911059999999</v>
      </c>
      <c r="L77" s="651">
        <v>202.83206270718966</v>
      </c>
      <c r="M77" s="651">
        <v>1517</v>
      </c>
      <c r="N77" s="651">
        <v>37</v>
      </c>
      <c r="O77" s="651">
        <v>1028</v>
      </c>
      <c r="P77" s="651">
        <v>173.59999999999997</v>
      </c>
      <c r="Q77" s="651">
        <v>151.59886600000004</v>
      </c>
      <c r="R77" s="651">
        <v>106.10000000000002</v>
      </c>
      <c r="S77" s="651">
        <v>209.59999999999997</v>
      </c>
      <c r="T77" s="651">
        <v>-1.0300000000000002</v>
      </c>
      <c r="U77" s="651">
        <v>-2.7236875</v>
      </c>
      <c r="V77" s="652"/>
      <c r="W77" s="678"/>
      <c r="X77" s="657" t="s">
        <v>723</v>
      </c>
      <c r="Y77" s="658"/>
      <c r="Z77" s="658"/>
      <c r="AA77" s="658"/>
      <c r="AB77" s="658"/>
      <c r="AC77" s="658"/>
      <c r="AD77" s="658"/>
      <c r="AE77" s="658"/>
      <c r="AF77" s="658"/>
      <c r="AG77" s="658"/>
      <c r="AH77" s="658"/>
      <c r="AI77" s="658"/>
      <c r="AJ77" s="659"/>
      <c r="AK77" s="1"/>
    </row>
    <row r="78" spans="1:37" s="519" customFormat="1" ht="25.5">
      <c r="A78" s="680">
        <v>62006005</v>
      </c>
      <c r="B78" s="662" t="s">
        <v>836</v>
      </c>
      <c r="C78" s="646">
        <v>6</v>
      </c>
      <c r="D78" s="654" t="s">
        <v>806</v>
      </c>
      <c r="E78" s="647" t="s">
        <v>807</v>
      </c>
      <c r="F78" s="647" t="s">
        <v>708</v>
      </c>
      <c r="G78" s="648">
        <v>35.277704</v>
      </c>
      <c r="H78" s="649">
        <v>1.7772785200000001</v>
      </c>
      <c r="I78" s="650">
        <v>93.5</v>
      </c>
      <c r="J78" s="650">
        <v>91</v>
      </c>
      <c r="K78" s="651">
        <v>554</v>
      </c>
      <c r="L78" s="651">
        <v>311.71253901161197</v>
      </c>
      <c r="M78" s="651">
        <v>555</v>
      </c>
      <c r="N78" s="651">
        <v>24</v>
      </c>
      <c r="O78" s="651">
        <v>452</v>
      </c>
      <c r="P78" s="651">
        <v>30.200714000000062</v>
      </c>
      <c r="Q78" s="651">
        <v>26.450065000000052</v>
      </c>
      <c r="R78" s="651">
        <v>21.916578000000015</v>
      </c>
      <c r="S78" s="651">
        <v>31.899999999999977</v>
      </c>
      <c r="T78" s="651">
        <v>-0.15999999999999837</v>
      </c>
      <c r="U78" s="651">
        <v>-2.3331590000000002</v>
      </c>
      <c r="V78" s="652"/>
      <c r="W78" s="678"/>
      <c r="X78" s="657" t="s">
        <v>723</v>
      </c>
      <c r="Y78" s="658">
        <v>5476.3037555199999</v>
      </c>
      <c r="Z78" s="658">
        <v>-3.9825212099999998</v>
      </c>
      <c r="AA78" s="658">
        <v>2361.4851867799998</v>
      </c>
      <c r="AB78" s="658">
        <v>2459.43261209</v>
      </c>
      <c r="AC78" s="658">
        <v>3.0113436999999998</v>
      </c>
      <c r="AD78" s="658">
        <v>3.0983414200000001</v>
      </c>
      <c r="AE78" s="658">
        <v>0.28716675000000003</v>
      </c>
      <c r="AF78" s="658">
        <v>1.7771937799999999</v>
      </c>
      <c r="AG78" s="658">
        <v>1.7721048800000001</v>
      </c>
      <c r="AH78" s="658">
        <v>-3.1844631300000001</v>
      </c>
      <c r="AI78" s="658">
        <v>-2.8078804700000002</v>
      </c>
      <c r="AJ78" s="659">
        <v>0.84360208999999997</v>
      </c>
      <c r="AK78" s="1"/>
    </row>
    <row r="79" spans="1:37" s="519" customFormat="1" ht="25.5">
      <c r="A79" s="680">
        <v>62006005</v>
      </c>
      <c r="B79" s="662" t="s">
        <v>837</v>
      </c>
      <c r="C79" s="646">
        <v>7</v>
      </c>
      <c r="D79" s="654" t="s">
        <v>806</v>
      </c>
      <c r="E79" s="647" t="s">
        <v>807</v>
      </c>
      <c r="F79" s="647" t="s">
        <v>708</v>
      </c>
      <c r="G79" s="648">
        <v>38.831121000000003</v>
      </c>
      <c r="H79" s="649">
        <v>6.2521028300000001</v>
      </c>
      <c r="I79" s="650">
        <v>93.1</v>
      </c>
      <c r="J79" s="650">
        <v>91.3</v>
      </c>
      <c r="K79" s="651">
        <v>1504</v>
      </c>
      <c r="L79" s="651">
        <v>240.55906322961101</v>
      </c>
      <c r="M79" s="651">
        <v>1505</v>
      </c>
      <c r="N79" s="651">
        <v>17</v>
      </c>
      <c r="O79" s="651">
        <v>1370</v>
      </c>
      <c r="P79" s="651">
        <v>45.312960999999973</v>
      </c>
      <c r="Q79" s="651">
        <v>39.449637999999993</v>
      </c>
      <c r="R79" s="651">
        <v>34.883421999999996</v>
      </c>
      <c r="S79" s="651">
        <v>48.799999999999955</v>
      </c>
      <c r="T79" s="651">
        <v>-0.23000000000000043</v>
      </c>
      <c r="U79" s="651">
        <v>-2.3585389999999999</v>
      </c>
      <c r="V79" s="652"/>
      <c r="W79" s="678"/>
      <c r="X79" s="657" t="s">
        <v>723</v>
      </c>
      <c r="Y79" s="658">
        <v>11287.75852558</v>
      </c>
      <c r="Z79" s="658">
        <v>6.5971800000000002E-3</v>
      </c>
      <c r="AA79" s="658">
        <v>1138.8372858800001</v>
      </c>
      <c r="AB79" s="658">
        <v>1138.7621597100001</v>
      </c>
      <c r="AC79" s="658">
        <v>5.9070153699999999</v>
      </c>
      <c r="AD79" s="658">
        <v>5.8926479799999996</v>
      </c>
      <c r="AE79" s="658">
        <v>0.27617529000000002</v>
      </c>
      <c r="AF79" s="658">
        <v>6.2520777599999997</v>
      </c>
      <c r="AG79" s="658">
        <v>6.2348586199999998</v>
      </c>
      <c r="AH79" s="658">
        <v>-3.2277720000000003E-2</v>
      </c>
      <c r="AI79" s="658">
        <v>0.24381887999999999</v>
      </c>
      <c r="AJ79" s="659">
        <v>0.41969912999999998</v>
      </c>
      <c r="AK79" s="1"/>
    </row>
    <row r="80" spans="1:37" s="519" customFormat="1" ht="25.5">
      <c r="A80" s="680">
        <v>62006005</v>
      </c>
      <c r="B80" s="662" t="s">
        <v>835</v>
      </c>
      <c r="C80" s="646" t="s">
        <v>1364</v>
      </c>
      <c r="D80" s="654" t="s">
        <v>806</v>
      </c>
      <c r="E80" s="647" t="s">
        <v>807</v>
      </c>
      <c r="F80" s="647" t="s">
        <v>708</v>
      </c>
      <c r="G80" s="648">
        <v>37.054412499999998</v>
      </c>
      <c r="H80" s="649">
        <v>8.0293813499999995</v>
      </c>
      <c r="I80" s="650">
        <v>93.5</v>
      </c>
      <c r="J80" s="650">
        <v>91.3</v>
      </c>
      <c r="K80" s="651">
        <v>2058</v>
      </c>
      <c r="L80" s="651">
        <v>256.30866318237582</v>
      </c>
      <c r="M80" s="651">
        <v>2060</v>
      </c>
      <c r="N80" s="651">
        <v>41</v>
      </c>
      <c r="O80" s="651">
        <v>1822</v>
      </c>
      <c r="P80" s="651">
        <v>75.513675000000035</v>
      </c>
      <c r="Q80" s="651">
        <v>65.899703000000045</v>
      </c>
      <c r="R80" s="651">
        <v>56.800000000000011</v>
      </c>
      <c r="S80" s="651">
        <v>80.699999999999932</v>
      </c>
      <c r="T80" s="651">
        <v>-0.38999999999999879</v>
      </c>
      <c r="U80" s="651">
        <v>-2.3458490000000003</v>
      </c>
      <c r="V80" s="652"/>
      <c r="W80" s="678"/>
      <c r="X80" s="657" t="s">
        <v>723</v>
      </c>
      <c r="Y80" s="658"/>
      <c r="Z80" s="658"/>
      <c r="AA80" s="658"/>
      <c r="AB80" s="658"/>
      <c r="AC80" s="658"/>
      <c r="AD80" s="658"/>
      <c r="AE80" s="658"/>
      <c r="AF80" s="658"/>
      <c r="AG80" s="658"/>
      <c r="AH80" s="658"/>
      <c r="AI80" s="658"/>
      <c r="AJ80" s="659"/>
      <c r="AK80" s="1"/>
    </row>
    <row r="81" spans="1:37" s="671" customFormat="1" ht="18.75">
      <c r="A81" s="664" t="s">
        <v>1369</v>
      </c>
      <c r="B81" s="675"/>
      <c r="C81" s="665"/>
      <c r="D81" s="666"/>
      <c r="E81" s="667"/>
      <c r="F81" s="667"/>
      <c r="G81" s="667"/>
      <c r="H81" s="665"/>
      <c r="I81" s="670"/>
      <c r="J81" s="670"/>
      <c r="K81" s="670"/>
      <c r="L81" s="670"/>
      <c r="M81" s="670"/>
      <c r="N81" s="670"/>
      <c r="O81" s="670"/>
      <c r="P81" s="670"/>
      <c r="Q81" s="670"/>
      <c r="R81" s="670"/>
      <c r="S81" s="670"/>
      <c r="T81" s="670"/>
      <c r="U81" s="670"/>
      <c r="V81" s="670"/>
      <c r="W81" s="679"/>
      <c r="X81" s="668"/>
      <c r="Y81" s="665"/>
      <c r="Z81" s="665"/>
      <c r="AA81" s="665"/>
      <c r="AB81" s="665"/>
      <c r="AC81" s="665"/>
      <c r="AD81" s="665"/>
      <c r="AE81" s="665"/>
      <c r="AF81" s="665"/>
      <c r="AG81" s="665"/>
      <c r="AH81" s="665"/>
      <c r="AI81" s="665"/>
      <c r="AJ81" s="669"/>
    </row>
    <row r="82" spans="1:37" s="519" customFormat="1" ht="25.5">
      <c r="A82" s="680">
        <v>62006006</v>
      </c>
      <c r="B82" s="662" t="s">
        <v>832</v>
      </c>
      <c r="C82" s="646">
        <v>1</v>
      </c>
      <c r="D82" s="654" t="s">
        <v>808</v>
      </c>
      <c r="E82" s="647" t="s">
        <v>809</v>
      </c>
      <c r="F82" s="647" t="s">
        <v>708</v>
      </c>
      <c r="G82" s="648">
        <v>-6.0696240000000001</v>
      </c>
      <c r="H82" s="649">
        <v>3.5965361900000001</v>
      </c>
      <c r="I82" s="650">
        <v>99.8</v>
      </c>
      <c r="J82" s="650">
        <v>98.3</v>
      </c>
      <c r="K82" s="651">
        <v>1316</v>
      </c>
      <c r="L82" s="651">
        <v>365.9076206876706</v>
      </c>
      <c r="M82" s="651">
        <v>1322</v>
      </c>
      <c r="N82" s="651">
        <v>23</v>
      </c>
      <c r="O82" s="651">
        <v>839</v>
      </c>
      <c r="P82" s="651">
        <v>63.099999999999994</v>
      </c>
      <c r="Q82" s="651">
        <v>51.619755000000005</v>
      </c>
      <c r="R82" s="651">
        <v>391.365633</v>
      </c>
      <c r="S82" s="651">
        <v>0.70000000000000007</v>
      </c>
      <c r="T82" s="651">
        <v>-1.4</v>
      </c>
      <c r="U82" s="651">
        <v>-9.9574470000000002</v>
      </c>
      <c r="V82" s="652"/>
      <c r="W82" s="678"/>
      <c r="X82" s="657" t="s">
        <v>723</v>
      </c>
      <c r="Y82" s="658">
        <v>2372.5291454100002</v>
      </c>
      <c r="Z82" s="658">
        <v>-1.433117</v>
      </c>
      <c r="AA82" s="658">
        <v>2019.4899458899999</v>
      </c>
      <c r="AB82" s="658">
        <v>2048.8523979299998</v>
      </c>
      <c r="AC82" s="658">
        <v>3.0147044900000002</v>
      </c>
      <c r="AD82" s="658">
        <v>3.0320350500000002</v>
      </c>
      <c r="AE82" s="658">
        <v>0.15446605999999999</v>
      </c>
      <c r="AF82" s="658">
        <v>3.5965273400000002</v>
      </c>
      <c r="AG82" s="658">
        <v>3.5909804900000002</v>
      </c>
      <c r="AH82" s="658">
        <v>-0.73022191000000003</v>
      </c>
      <c r="AI82" s="658">
        <v>-0.57158202999999996</v>
      </c>
      <c r="AJ82" s="659">
        <v>0.63450556999999996</v>
      </c>
      <c r="AK82" s="1"/>
    </row>
    <row r="83" spans="1:37" s="519" customFormat="1" ht="25.5">
      <c r="A83" s="680">
        <v>62006006</v>
      </c>
      <c r="B83" s="662" t="s">
        <v>831</v>
      </c>
      <c r="C83" s="646">
        <v>2</v>
      </c>
      <c r="D83" s="654" t="s">
        <v>808</v>
      </c>
      <c r="E83" s="647" t="s">
        <v>809</v>
      </c>
      <c r="F83" s="647" t="s">
        <v>708</v>
      </c>
      <c r="G83" s="648">
        <v>-7.2647690000000003</v>
      </c>
      <c r="H83" s="649">
        <v>3.8625505599999999</v>
      </c>
      <c r="I83" s="650">
        <v>98.3</v>
      </c>
      <c r="J83" s="650">
        <v>96.9</v>
      </c>
      <c r="K83" s="651">
        <v>1164</v>
      </c>
      <c r="L83" s="651">
        <v>301.35527857012698</v>
      </c>
      <c r="M83" s="651">
        <v>1175</v>
      </c>
      <c r="N83" s="651">
        <v>19</v>
      </c>
      <c r="O83" s="651">
        <v>669</v>
      </c>
      <c r="P83" s="651">
        <v>101.30000000000001</v>
      </c>
      <c r="Q83" s="651">
        <v>82.289614999999984</v>
      </c>
      <c r="R83" s="651">
        <v>372.935</v>
      </c>
      <c r="S83" s="651">
        <v>1.1999999999999997</v>
      </c>
      <c r="T83" s="651">
        <v>-1.35</v>
      </c>
      <c r="U83" s="651">
        <v>-5.656371</v>
      </c>
      <c r="V83" s="652"/>
      <c r="W83" s="678"/>
      <c r="X83" s="657" t="s">
        <v>723</v>
      </c>
      <c r="Y83" s="658">
        <v>1476.3106469100001</v>
      </c>
      <c r="Z83" s="658">
        <v>-1.2935590400000001</v>
      </c>
      <c r="AA83" s="658">
        <v>3372.0821506399998</v>
      </c>
      <c r="AB83" s="658">
        <v>3416.2736676099998</v>
      </c>
      <c r="AC83" s="658">
        <v>2.9783992700000002</v>
      </c>
      <c r="AD83" s="658">
        <v>2.9954043399999999</v>
      </c>
      <c r="AE83" s="658">
        <v>6.8211540000000001E-2</v>
      </c>
      <c r="AF83" s="658">
        <v>3.8624632000000001</v>
      </c>
      <c r="AG83" s="658">
        <v>3.8598303600000001</v>
      </c>
      <c r="AH83" s="658">
        <v>-0.63954772000000004</v>
      </c>
      <c r="AI83" s="658">
        <v>-0.56770544000000001</v>
      </c>
      <c r="AJ83" s="659">
        <v>0.72008561000000004</v>
      </c>
      <c r="AK83" s="1"/>
    </row>
    <row r="84" spans="1:37" s="519" customFormat="1" ht="25.5">
      <c r="A84" s="680">
        <v>62006006</v>
      </c>
      <c r="B84" s="662" t="s">
        <v>830</v>
      </c>
      <c r="C84" s="646" t="s">
        <v>1362</v>
      </c>
      <c r="D84" s="654" t="s">
        <v>808</v>
      </c>
      <c r="E84" s="647" t="s">
        <v>809</v>
      </c>
      <c r="F84" s="647" t="s">
        <v>708</v>
      </c>
      <c r="G84" s="648">
        <v>-6.6671965000000002</v>
      </c>
      <c r="H84" s="649">
        <v>7.45908675</v>
      </c>
      <c r="I84" s="650">
        <v>99.8</v>
      </c>
      <c r="J84" s="650">
        <v>96.9</v>
      </c>
      <c r="K84" s="651">
        <v>2480</v>
      </c>
      <c r="L84" s="651">
        <v>332.48038038973067</v>
      </c>
      <c r="M84" s="651">
        <v>2497</v>
      </c>
      <c r="N84" s="651">
        <v>42</v>
      </c>
      <c r="O84" s="651">
        <v>1508</v>
      </c>
      <c r="P84" s="651">
        <v>164.4</v>
      </c>
      <c r="Q84" s="651">
        <v>133.90937</v>
      </c>
      <c r="R84" s="651">
        <v>764.30063300000006</v>
      </c>
      <c r="S84" s="651">
        <v>1.9</v>
      </c>
      <c r="T84" s="651">
        <v>-2.75</v>
      </c>
      <c r="U84" s="651">
        <v>-7.8069090000000001</v>
      </c>
      <c r="V84" s="652"/>
      <c r="W84" s="678"/>
      <c r="X84" s="657" t="s">
        <v>723</v>
      </c>
      <c r="Y84" s="658"/>
      <c r="Z84" s="658"/>
      <c r="AA84" s="658"/>
      <c r="AB84" s="658"/>
      <c r="AC84" s="658"/>
      <c r="AD84" s="658"/>
      <c r="AE84" s="658"/>
      <c r="AF84" s="658"/>
      <c r="AG84" s="658"/>
      <c r="AH84" s="658"/>
      <c r="AI84" s="658"/>
      <c r="AJ84" s="659"/>
      <c r="AK84" s="1"/>
    </row>
    <row r="85" spans="1:37" s="519" customFormat="1" ht="25.5">
      <c r="A85" s="680">
        <v>62006006</v>
      </c>
      <c r="B85" s="662" t="s">
        <v>829</v>
      </c>
      <c r="C85" s="646">
        <v>3</v>
      </c>
      <c r="D85" s="654" t="s">
        <v>808</v>
      </c>
      <c r="E85" s="647" t="s">
        <v>809</v>
      </c>
      <c r="F85" s="647" t="s">
        <v>708</v>
      </c>
      <c r="G85" s="648">
        <v>-4.3586600000000004</v>
      </c>
      <c r="H85" s="649">
        <v>10.284562859999999</v>
      </c>
      <c r="I85" s="650">
        <v>96.9</v>
      </c>
      <c r="J85" s="650">
        <v>94</v>
      </c>
      <c r="K85" s="651">
        <v>2559.4332720000002</v>
      </c>
      <c r="L85" s="651">
        <v>248.8616489432396</v>
      </c>
      <c r="M85" s="651">
        <v>2571</v>
      </c>
      <c r="N85" s="651">
        <v>2</v>
      </c>
      <c r="O85" s="651">
        <v>2178</v>
      </c>
      <c r="P85" s="651">
        <v>90.300000000000011</v>
      </c>
      <c r="Q85" s="651">
        <v>74.455178999999987</v>
      </c>
      <c r="R85" s="651">
        <v>287.89999999999998</v>
      </c>
      <c r="S85" s="651">
        <v>1.1000000000000001</v>
      </c>
      <c r="T85" s="651">
        <v>-0.6800000000000006</v>
      </c>
      <c r="U85" s="651">
        <v>-3.235563</v>
      </c>
      <c r="V85" s="652"/>
      <c r="W85" s="678"/>
      <c r="X85" s="657" t="s">
        <v>723</v>
      </c>
      <c r="Y85" s="658">
        <v>1875.6765980499999</v>
      </c>
      <c r="Z85" s="658">
        <v>-0.40601368999999998</v>
      </c>
      <c r="AA85" s="658">
        <v>1301.4742136</v>
      </c>
      <c r="AB85" s="658">
        <v>1306.77991896</v>
      </c>
      <c r="AC85" s="658">
        <v>6.8098372100000004</v>
      </c>
      <c r="AD85" s="658">
        <v>6.7904527400000001</v>
      </c>
      <c r="AE85" s="658">
        <v>0.27202504</v>
      </c>
      <c r="AF85" s="658">
        <v>10.28458101</v>
      </c>
      <c r="AG85" s="658">
        <v>10.25668027</v>
      </c>
      <c r="AH85" s="658">
        <v>1.340322E-2</v>
      </c>
      <c r="AI85" s="658">
        <v>0.28546653</v>
      </c>
      <c r="AJ85" s="659">
        <v>0.33398605999999997</v>
      </c>
      <c r="AK85" s="1"/>
    </row>
    <row r="86" spans="1:37" s="519" customFormat="1" ht="25.5">
      <c r="A86" s="680">
        <v>62006006</v>
      </c>
      <c r="B86" s="662" t="s">
        <v>828</v>
      </c>
      <c r="C86" s="646">
        <v>4</v>
      </c>
      <c r="D86" s="654" t="s">
        <v>808</v>
      </c>
      <c r="E86" s="647" t="s">
        <v>809</v>
      </c>
      <c r="F86" s="647" t="s">
        <v>708</v>
      </c>
      <c r="G86" s="648">
        <v>-7.0795539999999999</v>
      </c>
      <c r="H86" s="649">
        <v>3.5974940700000002</v>
      </c>
      <c r="I86" s="650">
        <v>93.9</v>
      </c>
      <c r="J86" s="650">
        <v>92.7</v>
      </c>
      <c r="K86" s="651">
        <v>1080</v>
      </c>
      <c r="L86" s="651">
        <v>300.20897296433901</v>
      </c>
      <c r="M86" s="651">
        <v>1087</v>
      </c>
      <c r="N86" s="651">
        <v>6</v>
      </c>
      <c r="O86" s="651">
        <v>737</v>
      </c>
      <c r="P86" s="651">
        <v>58</v>
      </c>
      <c r="Q86" s="651">
        <v>47.559749000000011</v>
      </c>
      <c r="R86" s="651">
        <v>278.75072499999987</v>
      </c>
      <c r="S86" s="651">
        <v>0.79999999999999982</v>
      </c>
      <c r="T86" s="651">
        <v>-0.33000000000000007</v>
      </c>
      <c r="U86" s="651">
        <v>-2.337545</v>
      </c>
      <c r="V86" s="652"/>
      <c r="W86" s="678"/>
      <c r="X86" s="657" t="s">
        <v>723</v>
      </c>
      <c r="Y86" s="658">
        <v>2367.6276042200002</v>
      </c>
      <c r="Z86" s="658">
        <v>-1.09552016</v>
      </c>
      <c r="AA86" s="658">
        <v>2026.37147676</v>
      </c>
      <c r="AB86" s="658">
        <v>2048.8166764500002</v>
      </c>
      <c r="AC86" s="658">
        <v>3.02408638</v>
      </c>
      <c r="AD86" s="658">
        <v>3.0319767999999998</v>
      </c>
      <c r="AE86" s="658">
        <v>0.18069718000000001</v>
      </c>
      <c r="AF86" s="658">
        <v>3.5974690699999998</v>
      </c>
      <c r="AG86" s="658">
        <v>3.5909802700000002</v>
      </c>
      <c r="AH86" s="658">
        <v>-0.44208761000000002</v>
      </c>
      <c r="AI86" s="658">
        <v>-0.26023994</v>
      </c>
      <c r="AJ86" s="659">
        <v>0.63450112000000003</v>
      </c>
      <c r="AK86" s="1"/>
    </row>
    <row r="87" spans="1:37" s="519" customFormat="1" ht="25.5">
      <c r="A87" s="680">
        <v>62006006</v>
      </c>
      <c r="B87" s="662" t="s">
        <v>239</v>
      </c>
      <c r="C87" s="646">
        <v>5</v>
      </c>
      <c r="D87" s="654" t="s">
        <v>808</v>
      </c>
      <c r="E87" s="647" t="s">
        <v>809</v>
      </c>
      <c r="F87" s="647" t="s">
        <v>708</v>
      </c>
      <c r="G87" s="648">
        <v>-7.2287359999999996</v>
      </c>
      <c r="H87" s="649">
        <v>3.8637061300000002</v>
      </c>
      <c r="I87" s="650">
        <v>92.7</v>
      </c>
      <c r="J87" s="650">
        <v>91.4</v>
      </c>
      <c r="K87" s="651">
        <v>1098</v>
      </c>
      <c r="L87" s="651">
        <v>284.18310374966325</v>
      </c>
      <c r="M87" s="651">
        <v>1109</v>
      </c>
      <c r="N87" s="651">
        <v>17</v>
      </c>
      <c r="O87" s="651">
        <v>661</v>
      </c>
      <c r="P87" s="651">
        <v>97.5</v>
      </c>
      <c r="Q87" s="651">
        <v>79.699554999999975</v>
      </c>
      <c r="R87" s="651">
        <v>322.84878300000014</v>
      </c>
      <c r="S87" s="651">
        <v>1.2000000000000002</v>
      </c>
      <c r="T87" s="651">
        <v>-0.5</v>
      </c>
      <c r="U87" s="651">
        <v>-2.0754649999999999</v>
      </c>
      <c r="V87" s="652"/>
      <c r="W87" s="678"/>
      <c r="X87" s="657" t="s">
        <v>723</v>
      </c>
      <c r="Y87" s="658">
        <v>1476.21895804</v>
      </c>
      <c r="Z87" s="658">
        <v>-1.21126216</v>
      </c>
      <c r="AA87" s="658">
        <v>3374.8522082300001</v>
      </c>
      <c r="AB87" s="658">
        <v>3416.2317303499999</v>
      </c>
      <c r="AC87" s="658">
        <v>2.9873064999999999</v>
      </c>
      <c r="AD87" s="658">
        <v>2.9953437900000002</v>
      </c>
      <c r="AE87" s="658">
        <v>9.7607780000000005E-2</v>
      </c>
      <c r="AF87" s="658">
        <v>3.86359802</v>
      </c>
      <c r="AG87" s="658">
        <v>3.85983052</v>
      </c>
      <c r="AH87" s="658">
        <v>-0.36691859999999998</v>
      </c>
      <c r="AI87" s="658">
        <v>-0.26832627999999997</v>
      </c>
      <c r="AJ87" s="659">
        <v>0.72009005000000004</v>
      </c>
      <c r="AK87" s="1"/>
    </row>
    <row r="88" spans="1:37" s="519" customFormat="1" ht="25.5">
      <c r="A88" s="680">
        <v>62006006</v>
      </c>
      <c r="B88" s="662" t="s">
        <v>833</v>
      </c>
      <c r="C88" s="646" t="s">
        <v>1363</v>
      </c>
      <c r="D88" s="654" t="s">
        <v>808</v>
      </c>
      <c r="E88" s="647" t="s">
        <v>809</v>
      </c>
      <c r="F88" s="647" t="s">
        <v>708</v>
      </c>
      <c r="G88" s="648">
        <v>-7.1541449999999998</v>
      </c>
      <c r="H88" s="649">
        <v>7.4612002000000004</v>
      </c>
      <c r="I88" s="650">
        <v>93.9</v>
      </c>
      <c r="J88" s="650">
        <v>91.4</v>
      </c>
      <c r="K88" s="651">
        <v>2178</v>
      </c>
      <c r="L88" s="651">
        <v>291.91014067683102</v>
      </c>
      <c r="M88" s="651">
        <v>2196</v>
      </c>
      <c r="N88" s="651">
        <v>23</v>
      </c>
      <c r="O88" s="651">
        <v>1398</v>
      </c>
      <c r="P88" s="651">
        <v>155.5</v>
      </c>
      <c r="Q88" s="651">
        <v>127.25930399999999</v>
      </c>
      <c r="R88" s="651">
        <v>601.59950800000001</v>
      </c>
      <c r="S88" s="651">
        <v>2</v>
      </c>
      <c r="T88" s="651">
        <v>-0.83000000000000007</v>
      </c>
      <c r="U88" s="651">
        <v>-2.2065049999999999</v>
      </c>
      <c r="V88" s="652"/>
      <c r="W88" s="678"/>
      <c r="X88" s="657" t="s">
        <v>723</v>
      </c>
      <c r="Y88" s="658"/>
      <c r="Z88" s="658"/>
      <c r="AA88" s="658"/>
      <c r="AB88" s="658"/>
      <c r="AC88" s="658"/>
      <c r="AD88" s="658"/>
      <c r="AE88" s="658"/>
      <c r="AF88" s="658"/>
      <c r="AG88" s="658"/>
      <c r="AH88" s="658"/>
      <c r="AI88" s="658"/>
      <c r="AJ88" s="659"/>
      <c r="AK88" s="1"/>
    </row>
    <row r="89" spans="1:37" s="519" customFormat="1" ht="25.5">
      <c r="A89" s="680">
        <v>62006006</v>
      </c>
      <c r="B89" s="662" t="s">
        <v>836</v>
      </c>
      <c r="C89" s="646">
        <v>6</v>
      </c>
      <c r="D89" s="654" t="s">
        <v>808</v>
      </c>
      <c r="E89" s="647" t="s">
        <v>809</v>
      </c>
      <c r="F89" s="647" t="s">
        <v>708</v>
      </c>
      <c r="G89" s="648">
        <v>-5.4039080000000004</v>
      </c>
      <c r="H89" s="649">
        <v>1.7746566800000001</v>
      </c>
      <c r="I89" s="650">
        <v>91.3</v>
      </c>
      <c r="J89" s="650">
        <v>88.4</v>
      </c>
      <c r="K89" s="651">
        <v>609</v>
      </c>
      <c r="L89" s="651">
        <v>343.16496642043461</v>
      </c>
      <c r="M89" s="651">
        <v>614</v>
      </c>
      <c r="N89" s="651">
        <v>43</v>
      </c>
      <c r="O89" s="651">
        <v>460</v>
      </c>
      <c r="P89" s="651">
        <v>27.457444000000066</v>
      </c>
      <c r="Q89" s="651">
        <v>22.559714999999983</v>
      </c>
      <c r="R89" s="651">
        <v>80.126728999999841</v>
      </c>
      <c r="S89" s="651">
        <v>0.40000000000000036</v>
      </c>
      <c r="T89" s="651">
        <v>-0.12000000000000099</v>
      </c>
      <c r="U89" s="651">
        <v>-1.8764209999999999</v>
      </c>
      <c r="V89" s="652"/>
      <c r="W89" s="678"/>
      <c r="X89" s="657" t="s">
        <v>723</v>
      </c>
      <c r="Y89" s="658">
        <v>5477.0496132199996</v>
      </c>
      <c r="Z89" s="658">
        <v>-4.43860017</v>
      </c>
      <c r="AA89" s="658">
        <v>2350.26491485</v>
      </c>
      <c r="AB89" s="658">
        <v>2459.4291410000001</v>
      </c>
      <c r="AC89" s="658">
        <v>3.01004125</v>
      </c>
      <c r="AD89" s="658">
        <v>3.0983537600000002</v>
      </c>
      <c r="AE89" s="658">
        <v>0.14346724</v>
      </c>
      <c r="AF89" s="658">
        <v>1.7746476499999999</v>
      </c>
      <c r="AG89" s="658">
        <v>1.77210526</v>
      </c>
      <c r="AH89" s="658">
        <v>-3.0816067500000002</v>
      </c>
      <c r="AI89" s="658">
        <v>-2.8503043400000001</v>
      </c>
      <c r="AJ89" s="659">
        <v>0.84360230999999997</v>
      </c>
      <c r="AK89" s="1"/>
    </row>
    <row r="90" spans="1:37" s="519" customFormat="1" ht="25.5">
      <c r="A90" s="680">
        <v>62006006</v>
      </c>
      <c r="B90" s="662" t="s">
        <v>837</v>
      </c>
      <c r="C90" s="646">
        <v>7</v>
      </c>
      <c r="D90" s="654" t="s">
        <v>808</v>
      </c>
      <c r="E90" s="647" t="s">
        <v>809</v>
      </c>
      <c r="F90" s="647" t="s">
        <v>708</v>
      </c>
      <c r="G90" s="648">
        <v>-1.601431</v>
      </c>
      <c r="H90" s="649">
        <v>6.2499930800000003</v>
      </c>
      <c r="I90" s="650">
        <v>90.8</v>
      </c>
      <c r="J90" s="650">
        <v>88.6</v>
      </c>
      <c r="K90" s="651">
        <v>1875</v>
      </c>
      <c r="L90" s="651">
        <v>300.00033216036775</v>
      </c>
      <c r="M90" s="651">
        <v>1881</v>
      </c>
      <c r="N90" s="651">
        <v>18</v>
      </c>
      <c r="O90" s="651">
        <v>1686</v>
      </c>
      <c r="P90" s="651">
        <v>41.842555999999945</v>
      </c>
      <c r="Q90" s="651">
        <v>34.394090000000006</v>
      </c>
      <c r="R90" s="651">
        <v>127.02782000000002</v>
      </c>
      <c r="S90" s="651">
        <v>0.5</v>
      </c>
      <c r="T90" s="651">
        <v>-0.1899999999999995</v>
      </c>
      <c r="U90" s="651">
        <v>-1.838681</v>
      </c>
      <c r="V90" s="652"/>
      <c r="W90" s="678"/>
      <c r="X90" s="657" t="s">
        <v>723</v>
      </c>
      <c r="Y90" s="658">
        <v>11293.06792825</v>
      </c>
      <c r="Z90" s="658">
        <v>-4.9704650000000003E-2</v>
      </c>
      <c r="AA90" s="658">
        <v>1138.3132199300001</v>
      </c>
      <c r="AB90" s="658">
        <v>1138.8792959100001</v>
      </c>
      <c r="AC90" s="658">
        <v>5.8907827900000003</v>
      </c>
      <c r="AD90" s="658">
        <v>5.8928640799999998</v>
      </c>
      <c r="AE90" s="658">
        <v>0.24419109999999999</v>
      </c>
      <c r="AF90" s="658">
        <v>6.2500827900000004</v>
      </c>
      <c r="AG90" s="658">
        <v>6.2348578200000002</v>
      </c>
      <c r="AH90" s="658">
        <v>-0.27960875000000002</v>
      </c>
      <c r="AI90" s="658">
        <v>-3.53189E-2</v>
      </c>
      <c r="AJ90" s="659">
        <v>0.41973869000000003</v>
      </c>
      <c r="AK90" s="1"/>
    </row>
    <row r="91" spans="1:37" s="519" customFormat="1" ht="25.5">
      <c r="A91" s="680">
        <v>62006006</v>
      </c>
      <c r="B91" s="662" t="s">
        <v>835</v>
      </c>
      <c r="C91" s="646" t="s">
        <v>1364</v>
      </c>
      <c r="D91" s="654" t="s">
        <v>808</v>
      </c>
      <c r="E91" s="647" t="s">
        <v>809</v>
      </c>
      <c r="F91" s="647" t="s">
        <v>708</v>
      </c>
      <c r="G91" s="648">
        <v>-3.5026695000000001</v>
      </c>
      <c r="H91" s="649">
        <v>8.0246497600000009</v>
      </c>
      <c r="I91" s="650">
        <v>91.3</v>
      </c>
      <c r="J91" s="650">
        <v>88.6</v>
      </c>
      <c r="K91" s="651">
        <v>2484</v>
      </c>
      <c r="L91" s="651">
        <v>309.54621999602381</v>
      </c>
      <c r="M91" s="651">
        <v>2495</v>
      </c>
      <c r="N91" s="651">
        <v>61</v>
      </c>
      <c r="O91" s="651">
        <v>2146</v>
      </c>
      <c r="P91" s="651">
        <v>69.300000000000011</v>
      </c>
      <c r="Q91" s="651">
        <v>56.953804999999988</v>
      </c>
      <c r="R91" s="651">
        <v>207.15454899999986</v>
      </c>
      <c r="S91" s="651">
        <v>0.90000000000000036</v>
      </c>
      <c r="T91" s="651">
        <v>-0.3100000000000005</v>
      </c>
      <c r="U91" s="651">
        <v>-1.857551</v>
      </c>
      <c r="V91" s="652"/>
      <c r="W91" s="678"/>
      <c r="X91" s="657" t="s">
        <v>723</v>
      </c>
      <c r="Y91" s="658"/>
      <c r="Z91" s="658"/>
      <c r="AA91" s="658"/>
      <c r="AB91" s="658"/>
      <c r="AC91" s="658"/>
      <c r="AD91" s="658"/>
      <c r="AE91" s="658"/>
      <c r="AF91" s="658"/>
      <c r="AG91" s="658"/>
      <c r="AH91" s="658"/>
      <c r="AI91" s="658"/>
      <c r="AJ91" s="659"/>
      <c r="AK91" s="1"/>
    </row>
    <row r="92" spans="1:37" s="519" customFormat="1" ht="25.5">
      <c r="A92" s="680">
        <v>62006007</v>
      </c>
      <c r="B92" s="662" t="s">
        <v>864</v>
      </c>
      <c r="C92" s="660">
        <v>1</v>
      </c>
      <c r="D92" s="654" t="s">
        <v>811</v>
      </c>
      <c r="E92" s="647" t="s">
        <v>812</v>
      </c>
      <c r="F92" s="647" t="s">
        <v>708</v>
      </c>
      <c r="G92" s="648">
        <v>0.32076300000000002</v>
      </c>
      <c r="H92" s="649">
        <v>5.4506524699999996</v>
      </c>
      <c r="I92" s="650">
        <v>87.7</v>
      </c>
      <c r="J92" s="650">
        <v>85.8</v>
      </c>
      <c r="K92" s="651">
        <v>1583.5492040000008</v>
      </c>
      <c r="L92" s="651">
        <v>290.52470556795578</v>
      </c>
      <c r="M92" s="651">
        <v>1588</v>
      </c>
      <c r="N92" s="651">
        <v>0</v>
      </c>
      <c r="O92" s="651">
        <v>1420.984222</v>
      </c>
      <c r="P92" s="651">
        <v>33.600000000000023</v>
      </c>
      <c r="Q92" s="651">
        <v>27.479848000000004</v>
      </c>
      <c r="R92" s="651">
        <v>128.24352399999998</v>
      </c>
      <c r="S92" s="651">
        <v>0.39999999999999858</v>
      </c>
      <c r="T92" s="651">
        <v>-0.13434900000000027</v>
      </c>
      <c r="U92" s="651">
        <v>-1.637672</v>
      </c>
      <c r="V92" s="652"/>
      <c r="W92" s="678"/>
      <c r="X92" s="657" t="s">
        <v>723</v>
      </c>
      <c r="Y92" s="658">
        <v>21933.743792149999</v>
      </c>
      <c r="Z92" s="658">
        <v>2.6026186099999999</v>
      </c>
      <c r="AA92" s="658">
        <v>596.27717008000002</v>
      </c>
      <c r="AB92" s="658">
        <v>581.15200000000004</v>
      </c>
      <c r="AC92" s="658">
        <v>4.8974611899999996</v>
      </c>
      <c r="AD92" s="658">
        <v>4.8660465899999998</v>
      </c>
      <c r="AE92" s="658">
        <v>0.29353558000000002</v>
      </c>
      <c r="AF92" s="658">
        <v>5.4477776999999996</v>
      </c>
      <c r="AG92" s="658">
        <v>5.4318333299999999</v>
      </c>
      <c r="AH92" s="658">
        <v>0.34979386000000001</v>
      </c>
      <c r="AI92" s="658">
        <v>0.64558766999999995</v>
      </c>
      <c r="AJ92" s="659">
        <v>0.1697623</v>
      </c>
      <c r="AK92" s="1"/>
    </row>
    <row r="93" spans="1:37" s="519" customFormat="1" ht="25.5">
      <c r="A93" s="680">
        <v>62006007</v>
      </c>
      <c r="B93" s="662" t="s">
        <v>865</v>
      </c>
      <c r="C93" s="660">
        <v>2</v>
      </c>
      <c r="D93" s="654" t="s">
        <v>811</v>
      </c>
      <c r="E93" s="647" t="s">
        <v>812</v>
      </c>
      <c r="F93" s="647" t="s">
        <v>708</v>
      </c>
      <c r="G93" s="648">
        <v>0.37922899999999998</v>
      </c>
      <c r="H93" s="649">
        <v>5.4506141100000001</v>
      </c>
      <c r="I93" s="650">
        <v>85.8</v>
      </c>
      <c r="J93" s="650">
        <v>84</v>
      </c>
      <c r="K93" s="651">
        <v>1536</v>
      </c>
      <c r="L93" s="651">
        <v>281.80310860421559</v>
      </c>
      <c r="M93" s="651">
        <v>1540.4166349999996</v>
      </c>
      <c r="N93" s="651">
        <v>0</v>
      </c>
      <c r="O93" s="651">
        <v>1373</v>
      </c>
      <c r="P93" s="651">
        <v>34.699999999999932</v>
      </c>
      <c r="Q93" s="651">
        <v>28.558431000000041</v>
      </c>
      <c r="R93" s="651">
        <v>128.47131099999979</v>
      </c>
      <c r="S93" s="651">
        <v>0.5</v>
      </c>
      <c r="T93" s="651">
        <v>-0.12999999999999989</v>
      </c>
      <c r="U93" s="651">
        <v>-1.6237969999999999</v>
      </c>
      <c r="V93" s="652"/>
      <c r="W93" s="678"/>
      <c r="X93" s="657" t="s">
        <v>723</v>
      </c>
      <c r="Y93" s="658">
        <v>21933.743792149999</v>
      </c>
      <c r="Z93" s="658">
        <v>2.6162123199999998</v>
      </c>
      <c r="AA93" s="658">
        <v>596.35617022999998</v>
      </c>
      <c r="AB93" s="658">
        <v>581.15200000000004</v>
      </c>
      <c r="AC93" s="658">
        <v>4.8974853999999999</v>
      </c>
      <c r="AD93" s="658">
        <v>4.8660465899999998</v>
      </c>
      <c r="AE93" s="658">
        <v>0.29254806999999999</v>
      </c>
      <c r="AF93" s="658">
        <v>5.4477240599999996</v>
      </c>
      <c r="AG93" s="658">
        <v>5.4318333299999999</v>
      </c>
      <c r="AH93" s="658">
        <v>0.35126781000000001</v>
      </c>
      <c r="AI93" s="658">
        <v>0.64608536999999999</v>
      </c>
      <c r="AJ93" s="659">
        <v>0.1697623</v>
      </c>
      <c r="AK93" s="1"/>
    </row>
    <row r="94" spans="1:37" s="519" customFormat="1" ht="25.5">
      <c r="A94" s="680">
        <v>62006007</v>
      </c>
      <c r="B94" s="662" t="s">
        <v>863</v>
      </c>
      <c r="C94" s="661">
        <v>3</v>
      </c>
      <c r="D94" s="654" t="s">
        <v>811</v>
      </c>
      <c r="E94" s="647" t="s">
        <v>812</v>
      </c>
      <c r="F94" s="647" t="s">
        <v>708</v>
      </c>
      <c r="G94" s="648">
        <v>-1.9368430000000001</v>
      </c>
      <c r="H94" s="649">
        <v>0.24489452</v>
      </c>
      <c r="I94" s="650">
        <v>84</v>
      </c>
      <c r="J94" s="650">
        <v>84.2</v>
      </c>
      <c r="K94" s="651">
        <v>-149</v>
      </c>
      <c r="L94" s="651"/>
      <c r="M94" s="651">
        <v>-148.41075099999944</v>
      </c>
      <c r="N94" s="651">
        <v>3</v>
      </c>
      <c r="O94" s="651">
        <v>-169</v>
      </c>
      <c r="P94" s="651">
        <v>3.6588880000000472</v>
      </c>
      <c r="Q94" s="651">
        <v>3.0158890000000156</v>
      </c>
      <c r="R94" s="651">
        <v>12.799999999999727</v>
      </c>
      <c r="S94" s="651">
        <v>0</v>
      </c>
      <c r="T94" s="651">
        <v>-9.9999999999997868E-3</v>
      </c>
      <c r="U94" s="651">
        <v>-1.4824900000000001</v>
      </c>
      <c r="V94" s="652"/>
      <c r="W94" s="678"/>
      <c r="X94" s="657" t="s">
        <v>723</v>
      </c>
      <c r="Y94" s="658">
        <v>132435.94501699999</v>
      </c>
      <c r="Z94" s="658">
        <v>0.30014067</v>
      </c>
      <c r="AA94" s="658">
        <v>582.89627353000003</v>
      </c>
      <c r="AB94" s="658">
        <v>581.15200000000004</v>
      </c>
      <c r="AC94" s="658">
        <v>0.85564823999999995</v>
      </c>
      <c r="AD94" s="658">
        <v>1.4771838500000001</v>
      </c>
      <c r="AE94" s="658">
        <v>-72.613919480000007</v>
      </c>
      <c r="AF94" s="658">
        <v>0.24199406000000001</v>
      </c>
      <c r="AG94" s="658">
        <v>0.88363888999999995</v>
      </c>
      <c r="AH94" s="658">
        <v>52.720903370000002</v>
      </c>
      <c r="AI94" s="658">
        <v>-42.075711099999999</v>
      </c>
      <c r="AJ94" s="659">
        <v>0.55922033000000004</v>
      </c>
      <c r="AK94" s="1"/>
    </row>
    <row r="95" spans="1:37" s="519" customFormat="1" ht="25.5">
      <c r="A95" s="680">
        <v>62006008</v>
      </c>
      <c r="B95" s="662" t="s">
        <v>906</v>
      </c>
      <c r="C95" s="661">
        <v>1</v>
      </c>
      <c r="D95" s="654" t="s">
        <v>814</v>
      </c>
      <c r="E95" s="647" t="s">
        <v>815</v>
      </c>
      <c r="F95" s="647" t="s">
        <v>708</v>
      </c>
      <c r="G95" s="648">
        <v>-120.11135400000001</v>
      </c>
      <c r="H95" s="649">
        <v>2.0510999999999999E-4</v>
      </c>
      <c r="I95" s="650">
        <v>84.2</v>
      </c>
      <c r="J95" s="650">
        <v>99.9</v>
      </c>
      <c r="K95" s="651">
        <v>-13944</v>
      </c>
      <c r="L95" s="651"/>
      <c r="M95" s="651">
        <v>-13857</v>
      </c>
      <c r="N95" s="651">
        <v>-10</v>
      </c>
      <c r="O95" s="651">
        <v>21</v>
      </c>
      <c r="P95" s="651">
        <v>-13955.2</v>
      </c>
      <c r="Q95" s="651">
        <v>152.17999999999995</v>
      </c>
      <c r="R95" s="651">
        <v>3.4000000000000909</v>
      </c>
      <c r="S95" s="651">
        <v>9.5000000000000018</v>
      </c>
      <c r="T95" s="651">
        <v>-2.5299999999999994</v>
      </c>
      <c r="U95" s="651">
        <v>-23.360800999999999</v>
      </c>
      <c r="V95" s="652">
        <v>15092.699999999999</v>
      </c>
      <c r="W95" s="678">
        <v>-15054.8</v>
      </c>
      <c r="X95" s="657"/>
      <c r="Y95" s="658"/>
      <c r="Z95" s="658"/>
      <c r="AA95" s="658"/>
      <c r="AB95" s="658"/>
      <c r="AC95" s="658"/>
      <c r="AD95" s="658"/>
      <c r="AE95" s="658"/>
      <c r="AF95" s="658"/>
      <c r="AG95" s="658"/>
      <c r="AH95" s="658"/>
      <c r="AI95" s="658"/>
      <c r="AJ95" s="659"/>
      <c r="AK95" s="1"/>
    </row>
    <row r="96" spans="1:37" s="671" customFormat="1" ht="18.75">
      <c r="A96" s="664" t="s">
        <v>1370</v>
      </c>
      <c r="B96" s="675"/>
      <c r="C96" s="665"/>
      <c r="D96" s="666"/>
      <c r="E96" s="667"/>
      <c r="F96" s="667"/>
      <c r="G96" s="667"/>
      <c r="H96" s="665"/>
      <c r="I96" s="670"/>
      <c r="J96" s="670"/>
      <c r="K96" s="670"/>
      <c r="L96" s="670"/>
      <c r="M96" s="670"/>
      <c r="N96" s="670"/>
      <c r="O96" s="670"/>
      <c r="P96" s="670"/>
      <c r="Q96" s="670"/>
      <c r="R96" s="670"/>
      <c r="S96" s="670"/>
      <c r="T96" s="670"/>
      <c r="U96" s="670"/>
      <c r="V96" s="670"/>
      <c r="W96" s="679"/>
      <c r="X96" s="668"/>
      <c r="Y96" s="665"/>
      <c r="Z96" s="665"/>
      <c r="AA96" s="665"/>
      <c r="AB96" s="665"/>
      <c r="AC96" s="665"/>
      <c r="AD96" s="665"/>
      <c r="AE96" s="665"/>
      <c r="AF96" s="665"/>
      <c r="AG96" s="665"/>
      <c r="AH96" s="665"/>
      <c r="AI96" s="665"/>
      <c r="AJ96" s="669"/>
    </row>
    <row r="97" spans="1:37" s="519" customFormat="1" ht="38.25">
      <c r="A97" s="680">
        <v>62006009</v>
      </c>
      <c r="B97" s="662" t="s">
        <v>832</v>
      </c>
      <c r="C97" s="646">
        <v>1</v>
      </c>
      <c r="D97" s="654" t="s">
        <v>816</v>
      </c>
      <c r="E97" s="647" t="s">
        <v>817</v>
      </c>
      <c r="F97" s="647" t="s">
        <v>708</v>
      </c>
      <c r="G97" s="648">
        <v>-5.4976099999999999</v>
      </c>
      <c r="H97" s="649">
        <v>3.5971224199999998</v>
      </c>
      <c r="I97" s="650">
        <v>99.7</v>
      </c>
      <c r="J97" s="650">
        <v>97.5</v>
      </c>
      <c r="K97" s="651">
        <v>1825.781843</v>
      </c>
      <c r="L97" s="651">
        <v>507.56733572609409</v>
      </c>
      <c r="M97" s="651">
        <v>1829</v>
      </c>
      <c r="N97" s="651">
        <v>50</v>
      </c>
      <c r="O97" s="651">
        <v>1071</v>
      </c>
      <c r="P97" s="651">
        <v>83.1</v>
      </c>
      <c r="Q97" s="651">
        <v>72.089499000000004</v>
      </c>
      <c r="R97" s="651">
        <v>619.47815800000001</v>
      </c>
      <c r="S97" s="651">
        <v>0.3</v>
      </c>
      <c r="T97" s="651">
        <v>-1.4299999999999997</v>
      </c>
      <c r="U97" s="651">
        <v>-10.169449999999999</v>
      </c>
      <c r="V97" s="652"/>
      <c r="W97" s="678"/>
      <c r="X97" s="657" t="s">
        <v>723</v>
      </c>
      <c r="Y97" s="658">
        <v>2373.5397017999999</v>
      </c>
      <c r="Z97" s="658">
        <v>-0.50378020999999995</v>
      </c>
      <c r="AA97" s="658">
        <v>2038.5718130499999</v>
      </c>
      <c r="AB97" s="658">
        <v>2048.8937341300002</v>
      </c>
      <c r="AC97" s="658">
        <v>3.0271073400000001</v>
      </c>
      <c r="AD97" s="658">
        <v>3.0320813499999999</v>
      </c>
      <c r="AE97" s="658">
        <v>0.16981816999999999</v>
      </c>
      <c r="AF97" s="658">
        <v>3.5970783499999999</v>
      </c>
      <c r="AG97" s="658">
        <v>3.5909802200000001</v>
      </c>
      <c r="AH97" s="658">
        <v>-0.33441271</v>
      </c>
      <c r="AI97" s="658">
        <v>-0.16404595</v>
      </c>
      <c r="AJ97" s="659">
        <v>0.63451546000000003</v>
      </c>
      <c r="AK97" s="1"/>
    </row>
    <row r="98" spans="1:37" s="519" customFormat="1" ht="38.25">
      <c r="A98" s="680">
        <v>62006009</v>
      </c>
      <c r="B98" s="662" t="s">
        <v>831</v>
      </c>
      <c r="C98" s="646">
        <v>2</v>
      </c>
      <c r="D98" s="654" t="s">
        <v>816</v>
      </c>
      <c r="E98" s="647" t="s">
        <v>817</v>
      </c>
      <c r="F98" s="647" t="s">
        <v>708</v>
      </c>
      <c r="G98" s="648">
        <v>-6.2485590000000002</v>
      </c>
      <c r="H98" s="649">
        <v>3.86356381</v>
      </c>
      <c r="I98" s="650">
        <v>97.5</v>
      </c>
      <c r="J98" s="650">
        <v>95.6</v>
      </c>
      <c r="K98" s="651">
        <v>1674</v>
      </c>
      <c r="L98" s="651">
        <v>433.27872459805445</v>
      </c>
      <c r="M98" s="651">
        <v>1679</v>
      </c>
      <c r="N98" s="651">
        <v>87</v>
      </c>
      <c r="O98" s="651">
        <v>922</v>
      </c>
      <c r="P98" s="651">
        <v>129.62185199999999</v>
      </c>
      <c r="Q98" s="651">
        <v>110.21165600000002</v>
      </c>
      <c r="R98" s="651">
        <v>532.32185200000004</v>
      </c>
      <c r="S98" s="651">
        <v>0.60000000000000009</v>
      </c>
      <c r="T98" s="651">
        <v>-1.8300000000000005</v>
      </c>
      <c r="U98" s="651">
        <v>-7.5706550000000004</v>
      </c>
      <c r="V98" s="652"/>
      <c r="W98" s="678"/>
      <c r="X98" s="657" t="s">
        <v>723</v>
      </c>
      <c r="Y98" s="658">
        <v>1477.4567612799999</v>
      </c>
      <c r="Z98" s="658">
        <v>-0.40370020000000001</v>
      </c>
      <c r="AA98" s="658">
        <v>3402.5596179099998</v>
      </c>
      <c r="AB98" s="658">
        <v>3416.35143552</v>
      </c>
      <c r="AC98" s="658">
        <v>2.9939713100000001</v>
      </c>
      <c r="AD98" s="658">
        <v>2.99551211</v>
      </c>
      <c r="AE98" s="658">
        <v>9.1482220000000003E-2</v>
      </c>
      <c r="AF98" s="658">
        <v>3.8633617400000002</v>
      </c>
      <c r="AG98" s="658">
        <v>3.85983068</v>
      </c>
      <c r="AH98" s="658">
        <v>-0.14299271</v>
      </c>
      <c r="AI98" s="658">
        <v>-5.143694E-2</v>
      </c>
      <c r="AJ98" s="659">
        <v>0.72008360999999999</v>
      </c>
      <c r="AK98" s="1"/>
    </row>
    <row r="99" spans="1:37" s="519" customFormat="1" ht="38.25">
      <c r="A99" s="680">
        <v>62006009</v>
      </c>
      <c r="B99" s="662" t="s">
        <v>830</v>
      </c>
      <c r="C99" s="646" t="s">
        <v>1362</v>
      </c>
      <c r="D99" s="654" t="s">
        <v>816</v>
      </c>
      <c r="E99" s="647" t="s">
        <v>817</v>
      </c>
      <c r="F99" s="647" t="s">
        <v>708</v>
      </c>
      <c r="G99" s="648">
        <v>-5.8730845</v>
      </c>
      <c r="H99" s="649">
        <v>7.4606862300000003</v>
      </c>
      <c r="I99" s="650">
        <v>99.7</v>
      </c>
      <c r="J99" s="650">
        <v>95.6</v>
      </c>
      <c r="K99" s="651">
        <v>3499.7818429999998</v>
      </c>
      <c r="L99" s="651">
        <v>469.0965060193933</v>
      </c>
      <c r="M99" s="651">
        <v>3508</v>
      </c>
      <c r="N99" s="651">
        <v>137</v>
      </c>
      <c r="O99" s="651">
        <v>1993</v>
      </c>
      <c r="P99" s="651">
        <v>212.72185199999998</v>
      </c>
      <c r="Q99" s="651">
        <v>182.30115500000002</v>
      </c>
      <c r="R99" s="651">
        <v>1151.8000099999999</v>
      </c>
      <c r="S99" s="651">
        <v>0.90000000000000013</v>
      </c>
      <c r="T99" s="651">
        <v>-3.2600000000000002</v>
      </c>
      <c r="U99" s="651">
        <v>-8.8700524999999999</v>
      </c>
      <c r="V99" s="652"/>
      <c r="W99" s="678"/>
      <c r="X99" s="657" t="s">
        <v>723</v>
      </c>
      <c r="Y99" s="658"/>
      <c r="Z99" s="658"/>
      <c r="AA99" s="658"/>
      <c r="AB99" s="658"/>
      <c r="AC99" s="658"/>
      <c r="AD99" s="658"/>
      <c r="AE99" s="658"/>
      <c r="AF99" s="658"/>
      <c r="AG99" s="658"/>
      <c r="AH99" s="658"/>
      <c r="AI99" s="658"/>
      <c r="AJ99" s="659"/>
      <c r="AK99" s="1"/>
    </row>
    <row r="100" spans="1:37" s="519" customFormat="1" ht="38.25">
      <c r="A100" s="680">
        <v>62006009</v>
      </c>
      <c r="B100" s="662" t="s">
        <v>829</v>
      </c>
      <c r="C100" s="646">
        <v>3</v>
      </c>
      <c r="D100" s="654" t="s">
        <v>816</v>
      </c>
      <c r="E100" s="647" t="s">
        <v>817</v>
      </c>
      <c r="F100" s="647" t="s">
        <v>708</v>
      </c>
      <c r="G100" s="648">
        <v>-4.2884739999999999</v>
      </c>
      <c r="H100" s="649">
        <v>10.280404389999999</v>
      </c>
      <c r="I100" s="650">
        <v>95.6</v>
      </c>
      <c r="J100" s="650">
        <v>92.2</v>
      </c>
      <c r="K100" s="651">
        <v>2859</v>
      </c>
      <c r="L100" s="651">
        <v>278.10190061988408</v>
      </c>
      <c r="M100" s="651">
        <v>2864</v>
      </c>
      <c r="N100" s="651">
        <v>14</v>
      </c>
      <c r="O100" s="651">
        <v>2345</v>
      </c>
      <c r="P100" s="651">
        <v>117.40000000000003</v>
      </c>
      <c r="Q100" s="651">
        <v>100.43140200000002</v>
      </c>
      <c r="R100" s="651">
        <v>378.92288800000006</v>
      </c>
      <c r="S100" s="651">
        <v>0.59999999999999987</v>
      </c>
      <c r="T100" s="651">
        <v>-1.3999999999999995</v>
      </c>
      <c r="U100" s="651">
        <v>-6.6159689999999998</v>
      </c>
      <c r="V100" s="652"/>
      <c r="W100" s="678"/>
      <c r="X100" s="657" t="s">
        <v>723</v>
      </c>
      <c r="Y100" s="658">
        <v>1875.9379923399999</v>
      </c>
      <c r="Z100" s="658">
        <v>3.50405107</v>
      </c>
      <c r="AA100" s="658">
        <v>1352.5957232200001</v>
      </c>
      <c r="AB100" s="658">
        <v>1306.80462184</v>
      </c>
      <c r="AC100" s="658">
        <v>6.8772348000000001</v>
      </c>
      <c r="AD100" s="658">
        <v>6.7905112900000004</v>
      </c>
      <c r="AE100" s="658">
        <v>0.23121886999999999</v>
      </c>
      <c r="AF100" s="658">
        <v>10.28039596</v>
      </c>
      <c r="AG100" s="658">
        <v>10.256680579999999</v>
      </c>
      <c r="AH100" s="658">
        <v>1.0327197299999999</v>
      </c>
      <c r="AI100" s="658">
        <v>1.2771277599999999</v>
      </c>
      <c r="AJ100" s="659">
        <v>0.33399078999999998</v>
      </c>
      <c r="AK100" s="1"/>
    </row>
    <row r="101" spans="1:37" s="519" customFormat="1" ht="38.25">
      <c r="A101" s="680">
        <v>62006009</v>
      </c>
      <c r="B101" s="662" t="s">
        <v>828</v>
      </c>
      <c r="C101" s="646">
        <v>4</v>
      </c>
      <c r="D101" s="654" t="s">
        <v>816</v>
      </c>
      <c r="E101" s="647" t="s">
        <v>817</v>
      </c>
      <c r="F101" s="647" t="s">
        <v>708</v>
      </c>
      <c r="G101" s="648">
        <v>-6.3195509999999997</v>
      </c>
      <c r="H101" s="649">
        <v>3.5967451800000001</v>
      </c>
      <c r="I101" s="650">
        <v>92.1</v>
      </c>
      <c r="J101" s="650">
        <v>90.7</v>
      </c>
      <c r="K101" s="651">
        <v>1226</v>
      </c>
      <c r="L101" s="651">
        <v>340.86373614046244</v>
      </c>
      <c r="M101" s="651">
        <v>1230</v>
      </c>
      <c r="N101" s="651">
        <v>21</v>
      </c>
      <c r="O101" s="651">
        <v>794</v>
      </c>
      <c r="P101" s="651">
        <v>64</v>
      </c>
      <c r="Q101" s="651">
        <v>52.769733000000031</v>
      </c>
      <c r="R101" s="651">
        <v>344.96383500000002</v>
      </c>
      <c r="S101" s="651">
        <v>0.29999999999999982</v>
      </c>
      <c r="T101" s="651">
        <v>-0.83999999999999986</v>
      </c>
      <c r="U101" s="651">
        <v>-5.9996239999999998</v>
      </c>
      <c r="V101" s="652"/>
      <c r="W101" s="678"/>
      <c r="X101" s="657" t="s">
        <v>723</v>
      </c>
      <c r="Y101" s="658">
        <v>2369.0387258199999</v>
      </c>
      <c r="Z101" s="658">
        <v>-1.0641646499999999</v>
      </c>
      <c r="AA101" s="658">
        <v>2027.06114245</v>
      </c>
      <c r="AB101" s="658">
        <v>2048.8644335600002</v>
      </c>
      <c r="AC101" s="658">
        <v>3.0215548000000001</v>
      </c>
      <c r="AD101" s="658">
        <v>3.0320460499999999</v>
      </c>
      <c r="AE101" s="658">
        <v>0.1581834</v>
      </c>
      <c r="AF101" s="658">
        <v>3.5966608299999998</v>
      </c>
      <c r="AG101" s="658">
        <v>3.5909805000000001</v>
      </c>
      <c r="AH101" s="658">
        <v>-0.50594651999999996</v>
      </c>
      <c r="AI101" s="658">
        <v>-0.34601249000000001</v>
      </c>
      <c r="AJ101" s="659">
        <v>0.63450872999999997</v>
      </c>
      <c r="AK101" s="1"/>
    </row>
    <row r="102" spans="1:37" s="519" customFormat="1" ht="38.25">
      <c r="A102" s="680">
        <v>62006009</v>
      </c>
      <c r="B102" s="662" t="s">
        <v>239</v>
      </c>
      <c r="C102" s="646">
        <v>5</v>
      </c>
      <c r="D102" s="654" t="s">
        <v>816</v>
      </c>
      <c r="E102" s="647" t="s">
        <v>817</v>
      </c>
      <c r="F102" s="647" t="s">
        <v>708</v>
      </c>
      <c r="G102" s="648">
        <v>-7.1682980000000001</v>
      </c>
      <c r="H102" s="649">
        <v>3.8620226500000001</v>
      </c>
      <c r="I102" s="650">
        <v>90.7</v>
      </c>
      <c r="J102" s="650">
        <v>89.2</v>
      </c>
      <c r="K102" s="651">
        <v>1226</v>
      </c>
      <c r="L102" s="651">
        <v>317.4502355650348</v>
      </c>
      <c r="M102" s="651">
        <v>1231</v>
      </c>
      <c r="N102" s="651">
        <v>24</v>
      </c>
      <c r="O102" s="651">
        <v>700</v>
      </c>
      <c r="P102" s="651">
        <v>106.5</v>
      </c>
      <c r="Q102" s="651">
        <v>87.339495999999997</v>
      </c>
      <c r="R102" s="651">
        <v>393.23618199999987</v>
      </c>
      <c r="S102" s="651">
        <v>0.5</v>
      </c>
      <c r="T102" s="651">
        <v>-1.3758739999999996</v>
      </c>
      <c r="U102" s="651">
        <v>-5.7249359999999996</v>
      </c>
      <c r="V102" s="652"/>
      <c r="W102" s="678"/>
      <c r="X102" s="657" t="s">
        <v>723</v>
      </c>
      <c r="Y102" s="658">
        <v>1476.9818436200001</v>
      </c>
      <c r="Z102" s="658">
        <v>-0.96259236000000004</v>
      </c>
      <c r="AA102" s="658">
        <v>3383.4007186499998</v>
      </c>
      <c r="AB102" s="658">
        <v>3416.2856229200002</v>
      </c>
      <c r="AC102" s="658">
        <v>2.9862123</v>
      </c>
      <c r="AD102" s="658">
        <v>2.9954192399999999</v>
      </c>
      <c r="AE102" s="658">
        <v>5.2849189999999997E-2</v>
      </c>
      <c r="AF102" s="658">
        <v>3.86187127</v>
      </c>
      <c r="AG102" s="658">
        <v>3.8598313800000001</v>
      </c>
      <c r="AH102" s="658">
        <v>-0.36132687000000002</v>
      </c>
      <c r="AI102" s="658">
        <v>-0.30736708000000001</v>
      </c>
      <c r="AJ102" s="659">
        <v>0.72008713999999996</v>
      </c>
      <c r="AK102" s="1"/>
    </row>
    <row r="103" spans="1:37" s="519" customFormat="1" ht="38.25">
      <c r="A103" s="680">
        <v>62006009</v>
      </c>
      <c r="B103" s="662" t="s">
        <v>833</v>
      </c>
      <c r="C103" s="646" t="s">
        <v>1363</v>
      </c>
      <c r="D103" s="654" t="s">
        <v>816</v>
      </c>
      <c r="E103" s="647" t="s">
        <v>817</v>
      </c>
      <c r="F103" s="647" t="s">
        <v>708</v>
      </c>
      <c r="G103" s="648">
        <v>-6.7439245000000003</v>
      </c>
      <c r="H103" s="649">
        <v>7.4587678300000002</v>
      </c>
      <c r="I103" s="650">
        <v>92.1</v>
      </c>
      <c r="J103" s="650">
        <v>89.2</v>
      </c>
      <c r="K103" s="651">
        <v>2452</v>
      </c>
      <c r="L103" s="651">
        <v>328.74062524614067</v>
      </c>
      <c r="M103" s="651">
        <v>2461</v>
      </c>
      <c r="N103" s="651">
        <v>45</v>
      </c>
      <c r="O103" s="651">
        <v>1494</v>
      </c>
      <c r="P103" s="651">
        <v>170.5</v>
      </c>
      <c r="Q103" s="651">
        <v>140.10922900000003</v>
      </c>
      <c r="R103" s="651">
        <v>738.20001699999989</v>
      </c>
      <c r="S103" s="651">
        <v>0.79999999999999982</v>
      </c>
      <c r="T103" s="651">
        <v>-2.2158739999999995</v>
      </c>
      <c r="U103" s="651">
        <v>-5.8622800000000002</v>
      </c>
      <c r="V103" s="652"/>
      <c r="W103" s="678"/>
      <c r="X103" s="657" t="s">
        <v>723</v>
      </c>
      <c r="Y103" s="658"/>
      <c r="Z103" s="658"/>
      <c r="AA103" s="658"/>
      <c r="AB103" s="658"/>
      <c r="AC103" s="658"/>
      <c r="AD103" s="658"/>
      <c r="AE103" s="658"/>
      <c r="AF103" s="658"/>
      <c r="AG103" s="658"/>
      <c r="AH103" s="658"/>
      <c r="AI103" s="658"/>
      <c r="AJ103" s="659"/>
      <c r="AK103" s="1"/>
    </row>
    <row r="104" spans="1:37" s="519" customFormat="1" ht="38.25">
      <c r="A104" s="680">
        <v>62006009</v>
      </c>
      <c r="B104" s="662" t="s">
        <v>836</v>
      </c>
      <c r="C104" s="646">
        <v>6</v>
      </c>
      <c r="D104" s="654" t="s">
        <v>816</v>
      </c>
      <c r="E104" s="647" t="s">
        <v>817</v>
      </c>
      <c r="F104" s="647" t="s">
        <v>708</v>
      </c>
      <c r="G104" s="648">
        <v>-5.473554</v>
      </c>
      <c r="H104" s="649">
        <v>1.7736533299999999</v>
      </c>
      <c r="I104" s="650">
        <v>89.2</v>
      </c>
      <c r="J104" s="650">
        <v>85.8</v>
      </c>
      <c r="K104" s="651">
        <v>782</v>
      </c>
      <c r="L104" s="651">
        <v>440.89788391737187</v>
      </c>
      <c r="M104" s="651">
        <v>784</v>
      </c>
      <c r="N104" s="651">
        <v>67</v>
      </c>
      <c r="O104" s="651">
        <v>590</v>
      </c>
      <c r="P104" s="651">
        <v>29.899999999999977</v>
      </c>
      <c r="Q104" s="651">
        <v>24.701217999999926</v>
      </c>
      <c r="R104" s="651">
        <v>94.436611999999514</v>
      </c>
      <c r="S104" s="651">
        <v>9.9999999999999645E-2</v>
      </c>
      <c r="T104" s="651">
        <v>-0.35000000000000142</v>
      </c>
      <c r="U104" s="651">
        <v>-5.3636379999999999</v>
      </c>
      <c r="V104" s="652"/>
      <c r="W104" s="678"/>
      <c r="X104" s="657" t="s">
        <v>723</v>
      </c>
      <c r="Y104" s="658">
        <v>5479.7127985799998</v>
      </c>
      <c r="Z104" s="658">
        <v>-2.6994951</v>
      </c>
      <c r="AA104" s="658">
        <v>2393.03489111</v>
      </c>
      <c r="AB104" s="658">
        <v>2459.42700259</v>
      </c>
      <c r="AC104" s="658">
        <v>3.0174486100000002</v>
      </c>
      <c r="AD104" s="658">
        <v>3.0984042000000001</v>
      </c>
      <c r="AE104" s="658">
        <v>8.5034419999999999E-2</v>
      </c>
      <c r="AF104" s="658">
        <v>1.7736151</v>
      </c>
      <c r="AG104" s="658">
        <v>1.7721081999999999</v>
      </c>
      <c r="AH104" s="658">
        <v>-2.77023128</v>
      </c>
      <c r="AI104" s="658">
        <v>-2.6128158099999998</v>
      </c>
      <c r="AJ104" s="659">
        <v>0.84360493000000003</v>
      </c>
      <c r="AK104" s="1"/>
    </row>
    <row r="105" spans="1:37" s="519" customFormat="1" ht="38.25">
      <c r="A105" s="680">
        <v>62006009</v>
      </c>
      <c r="B105" s="662" t="s">
        <v>837</v>
      </c>
      <c r="C105" s="646">
        <v>7</v>
      </c>
      <c r="D105" s="654" t="s">
        <v>816</v>
      </c>
      <c r="E105" s="647" t="s">
        <v>817</v>
      </c>
      <c r="F105" s="647" t="s">
        <v>708</v>
      </c>
      <c r="G105" s="648">
        <v>-1.5901259999999999</v>
      </c>
      <c r="H105" s="649">
        <v>6.2480959599999997</v>
      </c>
      <c r="I105" s="650">
        <v>88.6</v>
      </c>
      <c r="J105" s="650">
        <v>86.2</v>
      </c>
      <c r="K105" s="651">
        <v>2016</v>
      </c>
      <c r="L105" s="651">
        <v>322.65829668851632</v>
      </c>
      <c r="M105" s="651">
        <v>2019</v>
      </c>
      <c r="N105" s="651">
        <v>29</v>
      </c>
      <c r="O105" s="651">
        <v>1787</v>
      </c>
      <c r="P105" s="651">
        <v>45.700000000000045</v>
      </c>
      <c r="Q105" s="651">
        <v>37.688458000000026</v>
      </c>
      <c r="R105" s="651">
        <v>151.70000000000027</v>
      </c>
      <c r="S105" s="651">
        <v>0.20000000000000018</v>
      </c>
      <c r="T105" s="651">
        <v>-0.54999999999999893</v>
      </c>
      <c r="U105" s="651">
        <v>-5.4350870000000002</v>
      </c>
      <c r="V105" s="652"/>
      <c r="W105" s="678"/>
      <c r="X105" s="657" t="s">
        <v>723</v>
      </c>
      <c r="Y105" s="658">
        <v>11301.12103989</v>
      </c>
      <c r="Z105" s="658">
        <v>0.35715453000000003</v>
      </c>
      <c r="AA105" s="658">
        <v>1143.1453078500001</v>
      </c>
      <c r="AB105" s="658">
        <v>1139.0770426199999</v>
      </c>
      <c r="AC105" s="658">
        <v>5.9140316500000001</v>
      </c>
      <c r="AD105" s="658">
        <v>5.8932339200000001</v>
      </c>
      <c r="AE105" s="658">
        <v>0.21241937</v>
      </c>
      <c r="AF105" s="658">
        <v>6.2481028500000004</v>
      </c>
      <c r="AG105" s="658">
        <v>6.2348588100000004</v>
      </c>
      <c r="AH105" s="658">
        <v>0.13999526000000001</v>
      </c>
      <c r="AI105" s="658">
        <v>0.35290869000000002</v>
      </c>
      <c r="AJ105" s="659">
        <v>0.41980804999999999</v>
      </c>
      <c r="AK105" s="1"/>
    </row>
    <row r="106" spans="1:37" s="519" customFormat="1" ht="38.25">
      <c r="A106" s="680">
        <v>62006009</v>
      </c>
      <c r="B106" s="662" t="s">
        <v>835</v>
      </c>
      <c r="C106" s="646" t="s">
        <v>1364</v>
      </c>
      <c r="D106" s="654" t="s">
        <v>816</v>
      </c>
      <c r="E106" s="647" t="s">
        <v>817</v>
      </c>
      <c r="F106" s="647" t="s">
        <v>708</v>
      </c>
      <c r="G106" s="648">
        <v>-3.5318399999999999</v>
      </c>
      <c r="H106" s="649">
        <v>8.0217492899999989</v>
      </c>
      <c r="I106" s="650">
        <v>89.2</v>
      </c>
      <c r="J106" s="650">
        <v>86.2</v>
      </c>
      <c r="K106" s="651">
        <v>2798</v>
      </c>
      <c r="L106" s="651">
        <v>348.80172626287606</v>
      </c>
      <c r="M106" s="651">
        <v>2803</v>
      </c>
      <c r="N106" s="651">
        <v>96</v>
      </c>
      <c r="O106" s="651">
        <v>2377</v>
      </c>
      <c r="P106" s="651">
        <v>75.600000000000023</v>
      </c>
      <c r="Q106" s="651">
        <v>62.389675999999952</v>
      </c>
      <c r="R106" s="651">
        <v>246.13661199999979</v>
      </c>
      <c r="S106" s="651">
        <v>0.29999999999999982</v>
      </c>
      <c r="T106" s="651">
        <v>-0.90000000000000036</v>
      </c>
      <c r="U106" s="651">
        <v>-5.3993625000000005</v>
      </c>
      <c r="V106" s="652"/>
      <c r="W106" s="678"/>
      <c r="X106" s="657" t="s">
        <v>723</v>
      </c>
      <c r="Y106" s="658"/>
      <c r="Z106" s="658"/>
      <c r="AA106" s="658"/>
      <c r="AB106" s="658"/>
      <c r="AC106" s="658"/>
      <c r="AD106" s="658"/>
      <c r="AE106" s="658"/>
      <c r="AF106" s="658"/>
      <c r="AG106" s="658"/>
      <c r="AH106" s="658"/>
      <c r="AI106" s="658"/>
      <c r="AJ106" s="659"/>
      <c r="AK106" s="1"/>
    </row>
    <row r="107" spans="1:37" s="519" customFormat="1" ht="25.5">
      <c r="A107" s="680">
        <v>62006010</v>
      </c>
      <c r="B107" s="662" t="s">
        <v>838</v>
      </c>
      <c r="C107" s="646">
        <v>1</v>
      </c>
      <c r="D107" s="654" t="s">
        <v>871</v>
      </c>
      <c r="E107" s="647" t="s">
        <v>872</v>
      </c>
      <c r="F107" s="647" t="s">
        <v>708</v>
      </c>
      <c r="G107" s="648">
        <v>-4.9143400000000002</v>
      </c>
      <c r="H107" s="649">
        <v>171.55677721999999</v>
      </c>
      <c r="I107" s="650">
        <v>85.8</v>
      </c>
      <c r="J107" s="650">
        <v>23.2</v>
      </c>
      <c r="K107" s="651">
        <v>49384</v>
      </c>
      <c r="L107" s="651">
        <v>287.85805376065809</v>
      </c>
      <c r="M107" s="651">
        <v>49443</v>
      </c>
      <c r="N107" s="651">
        <v>4</v>
      </c>
      <c r="O107" s="651">
        <v>43982</v>
      </c>
      <c r="P107" s="651">
        <v>1091</v>
      </c>
      <c r="Q107" s="651">
        <v>907.32495300000005</v>
      </c>
      <c r="R107" s="651">
        <v>4229.5</v>
      </c>
      <c r="S107" s="651">
        <v>3.9999999999999996</v>
      </c>
      <c r="T107" s="651">
        <v>-9.2999999999999989</v>
      </c>
      <c r="U107" s="651">
        <v>-11.310812</v>
      </c>
      <c r="V107" s="652"/>
      <c r="W107" s="678"/>
      <c r="X107" s="657" t="s">
        <v>723</v>
      </c>
      <c r="Y107" s="658">
        <v>13.373183539999999</v>
      </c>
      <c r="Z107" s="658">
        <v>64.822261830000002</v>
      </c>
      <c r="AA107" s="658">
        <v>957.8678711</v>
      </c>
      <c r="AB107" s="658">
        <v>581.15200000000004</v>
      </c>
      <c r="AC107" s="658">
        <v>128.91032575</v>
      </c>
      <c r="AD107" s="658">
        <v>128.07601743000001</v>
      </c>
      <c r="AE107" s="658">
        <v>0.29147429000000002</v>
      </c>
      <c r="AF107" s="658">
        <v>171.55708404999999</v>
      </c>
      <c r="AG107" s="658">
        <v>171.05849253</v>
      </c>
      <c r="AH107" s="658">
        <v>0.35761268000000002</v>
      </c>
      <c r="AI107" s="658">
        <v>0.65141651</v>
      </c>
      <c r="AJ107" s="659">
        <v>6.44985E-3</v>
      </c>
      <c r="AK107" s="1"/>
    </row>
    <row r="108" spans="1:37" s="519" customFormat="1" ht="25.5">
      <c r="A108" s="680">
        <v>62006011</v>
      </c>
      <c r="B108" s="662" t="s">
        <v>839</v>
      </c>
      <c r="C108" s="646">
        <v>1</v>
      </c>
      <c r="D108" s="654" t="s">
        <v>873</v>
      </c>
      <c r="E108" s="647" t="s">
        <v>874</v>
      </c>
      <c r="F108" s="647" t="s">
        <v>708</v>
      </c>
      <c r="G108" s="648">
        <v>-8.185003</v>
      </c>
      <c r="H108" s="649">
        <v>1.77453416</v>
      </c>
      <c r="I108" s="650">
        <v>23.2</v>
      </c>
      <c r="J108" s="650">
        <v>19.600000000000001</v>
      </c>
      <c r="K108" s="651">
        <v>636</v>
      </c>
      <c r="L108" s="651">
        <v>358.40392049708413</v>
      </c>
      <c r="M108" s="651">
        <v>638</v>
      </c>
      <c r="N108" s="651">
        <v>37</v>
      </c>
      <c r="O108" s="651">
        <v>447</v>
      </c>
      <c r="P108" s="651">
        <v>27.299999999999727</v>
      </c>
      <c r="Q108" s="651">
        <v>22.970140000000129</v>
      </c>
      <c r="R108" s="651">
        <v>122.11107900000025</v>
      </c>
      <c r="S108" s="651">
        <v>0</v>
      </c>
      <c r="T108" s="651">
        <v>-0.22000000000000242</v>
      </c>
      <c r="U108" s="651">
        <v>-3.304322</v>
      </c>
      <c r="V108" s="652"/>
      <c r="W108" s="678"/>
      <c r="X108" s="657" t="s">
        <v>723</v>
      </c>
      <c r="Y108" s="658">
        <v>5459.3358493799997</v>
      </c>
      <c r="Z108" s="658">
        <v>-4.1285760600000003</v>
      </c>
      <c r="AA108" s="658">
        <v>2358.2423416299998</v>
      </c>
      <c r="AB108" s="658">
        <v>2459.7969286799998</v>
      </c>
      <c r="AC108" s="658">
        <v>3.0272337899999999</v>
      </c>
      <c r="AD108" s="658">
        <v>3.09907295</v>
      </c>
      <c r="AE108" s="658">
        <v>0.13125118999999999</v>
      </c>
      <c r="AF108" s="658">
        <v>1.7745261400000001</v>
      </c>
      <c r="AG108" s="658">
        <v>1.77220011</v>
      </c>
      <c r="AH108" s="658">
        <v>-2.50746168</v>
      </c>
      <c r="AI108" s="658">
        <v>-2.3180853799999999</v>
      </c>
      <c r="AJ108" s="659">
        <v>0.84362795999999995</v>
      </c>
      <c r="AK108" s="1"/>
    </row>
    <row r="109" spans="1:37" s="519" customFormat="1" ht="25.5">
      <c r="A109" s="680">
        <v>62006011</v>
      </c>
      <c r="B109" s="662" t="s">
        <v>840</v>
      </c>
      <c r="C109" s="646">
        <v>2</v>
      </c>
      <c r="D109" s="654" t="s">
        <v>873</v>
      </c>
      <c r="E109" s="647" t="s">
        <v>874</v>
      </c>
      <c r="F109" s="647" t="s">
        <v>708</v>
      </c>
      <c r="G109" s="648">
        <v>-5.4785969999999997</v>
      </c>
      <c r="H109" s="649">
        <v>6.25128021</v>
      </c>
      <c r="I109" s="650">
        <v>22.6</v>
      </c>
      <c r="J109" s="650">
        <v>19.899999999999999</v>
      </c>
      <c r="K109" s="651">
        <v>1885</v>
      </c>
      <c r="L109" s="651">
        <v>301.53823483782054</v>
      </c>
      <c r="M109" s="651">
        <v>1888</v>
      </c>
      <c r="N109" s="651">
        <v>16</v>
      </c>
      <c r="O109" s="651">
        <v>1680</v>
      </c>
      <c r="P109" s="651">
        <v>38.600000000000136</v>
      </c>
      <c r="Q109" s="651">
        <v>32.069880999999896</v>
      </c>
      <c r="R109" s="651">
        <v>149.19999999999982</v>
      </c>
      <c r="S109" s="651">
        <v>0.10000000000000053</v>
      </c>
      <c r="T109" s="651">
        <v>-0.32999999999999829</v>
      </c>
      <c r="U109" s="651">
        <v>-3.2809309999999998</v>
      </c>
      <c r="V109" s="652"/>
      <c r="W109" s="678"/>
      <c r="X109" s="657" t="s">
        <v>723</v>
      </c>
      <c r="Y109" s="658">
        <v>11304.69538152</v>
      </c>
      <c r="Z109" s="658">
        <v>-5.76057664</v>
      </c>
      <c r="AA109" s="658">
        <v>1073.8391557499999</v>
      </c>
      <c r="AB109" s="658">
        <v>1139.4797606</v>
      </c>
      <c r="AC109" s="658">
        <v>5.8137293899999998</v>
      </c>
      <c r="AD109" s="658">
        <v>5.8954765900000003</v>
      </c>
      <c r="AE109" s="658">
        <v>0.24895286</v>
      </c>
      <c r="AF109" s="658">
        <v>6.2512781000000004</v>
      </c>
      <c r="AG109" s="658">
        <v>6.23575401</v>
      </c>
      <c r="AH109" s="658">
        <v>-1.6585593700000001</v>
      </c>
      <c r="AI109" s="658">
        <v>-1.38660878</v>
      </c>
      <c r="AJ109" s="659">
        <v>0.41987783000000001</v>
      </c>
      <c r="AK109" s="1"/>
    </row>
    <row r="110" spans="1:37" s="519" customFormat="1" ht="25.5">
      <c r="A110" s="680">
        <v>62006011</v>
      </c>
      <c r="B110" s="662" t="s">
        <v>834</v>
      </c>
      <c r="C110" s="646" t="s">
        <v>1362</v>
      </c>
      <c r="D110" s="654" t="s">
        <v>873</v>
      </c>
      <c r="E110" s="647" t="s">
        <v>874</v>
      </c>
      <c r="F110" s="647" t="s">
        <v>708</v>
      </c>
      <c r="G110" s="648">
        <v>-6.8317999999999994</v>
      </c>
      <c r="H110" s="649">
        <v>8.0258143699999991</v>
      </c>
      <c r="I110" s="650">
        <v>23.2</v>
      </c>
      <c r="J110" s="650">
        <v>19.899999999999999</v>
      </c>
      <c r="K110" s="651">
        <v>2521</v>
      </c>
      <c r="L110" s="651">
        <v>314.11142642712286</v>
      </c>
      <c r="M110" s="651">
        <v>2526</v>
      </c>
      <c r="N110" s="651">
        <v>53</v>
      </c>
      <c r="O110" s="651">
        <v>2127</v>
      </c>
      <c r="P110" s="651">
        <v>65.899999999999864</v>
      </c>
      <c r="Q110" s="651">
        <v>55.040021000000024</v>
      </c>
      <c r="R110" s="651">
        <v>271.31107900000006</v>
      </c>
      <c r="S110" s="651">
        <v>0.10000000000000053</v>
      </c>
      <c r="T110" s="651">
        <v>-0.55000000000000071</v>
      </c>
      <c r="U110" s="651">
        <v>-3.2926264999999999</v>
      </c>
      <c r="V110" s="652"/>
      <c r="W110" s="678"/>
      <c r="X110" s="657" t="s">
        <v>723</v>
      </c>
      <c r="Y110" s="658"/>
      <c r="Z110" s="658"/>
      <c r="AA110" s="658"/>
      <c r="AB110" s="658"/>
      <c r="AC110" s="658"/>
      <c r="AD110" s="658"/>
      <c r="AE110" s="658"/>
      <c r="AF110" s="658"/>
      <c r="AG110" s="658"/>
      <c r="AH110" s="658"/>
      <c r="AI110" s="658"/>
      <c r="AJ110" s="659"/>
      <c r="AK110" s="1"/>
    </row>
    <row r="111" spans="1:37" s="519" customFormat="1" ht="25.5">
      <c r="A111" s="680">
        <v>62006011</v>
      </c>
      <c r="B111" s="662" t="s">
        <v>841</v>
      </c>
      <c r="C111" s="646">
        <v>3</v>
      </c>
      <c r="D111" s="654" t="s">
        <v>873</v>
      </c>
      <c r="E111" s="647" t="s">
        <v>874</v>
      </c>
      <c r="F111" s="647" t="s">
        <v>708</v>
      </c>
      <c r="G111" s="648">
        <v>-5.8007400000000002</v>
      </c>
      <c r="H111" s="649">
        <v>3.59698933</v>
      </c>
      <c r="I111" s="650">
        <v>19.5</v>
      </c>
      <c r="J111" s="650">
        <v>18</v>
      </c>
      <c r="K111" s="651">
        <v>1067</v>
      </c>
      <c r="L111" s="651">
        <v>296.63696555919449</v>
      </c>
      <c r="M111" s="651">
        <v>1071</v>
      </c>
      <c r="N111" s="651">
        <v>6</v>
      </c>
      <c r="O111" s="651">
        <v>746</v>
      </c>
      <c r="P111" s="651">
        <v>55.700000000000045</v>
      </c>
      <c r="Q111" s="651">
        <v>46.519661999999926</v>
      </c>
      <c r="R111" s="651">
        <v>257</v>
      </c>
      <c r="S111" s="651">
        <v>9.9999999999999645E-2</v>
      </c>
      <c r="T111" s="651">
        <v>-0.46000000000000085</v>
      </c>
      <c r="U111" s="651">
        <v>-3.251261</v>
      </c>
      <c r="V111" s="652"/>
      <c r="W111" s="678"/>
      <c r="X111" s="657" t="s">
        <v>723</v>
      </c>
      <c r="Y111" s="658">
        <v>2370.14400707</v>
      </c>
      <c r="Z111" s="658">
        <v>-1.1467248299999999</v>
      </c>
      <c r="AA111" s="658">
        <v>2025.3867869999999</v>
      </c>
      <c r="AB111" s="658">
        <v>2048.8818235399999</v>
      </c>
      <c r="AC111" s="658">
        <v>3.02280485</v>
      </c>
      <c r="AD111" s="658">
        <v>3.0320730500000002</v>
      </c>
      <c r="AE111" s="658">
        <v>0.16705128</v>
      </c>
      <c r="AF111" s="658">
        <v>3.5969792200000001</v>
      </c>
      <c r="AG111" s="658">
        <v>3.59098045</v>
      </c>
      <c r="AH111" s="658">
        <v>-0.47417271999999999</v>
      </c>
      <c r="AI111" s="658">
        <v>-0.30567202999999998</v>
      </c>
      <c r="AJ111" s="659">
        <v>0.63451221000000002</v>
      </c>
      <c r="AK111" s="1"/>
    </row>
    <row r="112" spans="1:37" s="519" customFormat="1" ht="25.5">
      <c r="A112" s="680">
        <v>62006011</v>
      </c>
      <c r="B112" s="662" t="s">
        <v>234</v>
      </c>
      <c r="C112" s="646">
        <v>4</v>
      </c>
      <c r="D112" s="654" t="s">
        <v>873</v>
      </c>
      <c r="E112" s="647" t="s">
        <v>874</v>
      </c>
      <c r="F112" s="647" t="s">
        <v>708</v>
      </c>
      <c r="G112" s="648">
        <v>-7.0396130000000001</v>
      </c>
      <c r="H112" s="649">
        <v>3.8647225199999999</v>
      </c>
      <c r="I112" s="650">
        <v>18</v>
      </c>
      <c r="J112" s="650">
        <v>16.5</v>
      </c>
      <c r="K112" s="651">
        <v>1075</v>
      </c>
      <c r="L112" s="651">
        <v>278.15709780892627</v>
      </c>
      <c r="M112" s="651">
        <v>1081</v>
      </c>
      <c r="N112" s="651">
        <v>16</v>
      </c>
      <c r="O112" s="651">
        <v>668</v>
      </c>
      <c r="P112" s="651">
        <v>93.799999999999955</v>
      </c>
      <c r="Q112" s="651">
        <v>78.159569000000147</v>
      </c>
      <c r="R112" s="651">
        <v>294.69999999999982</v>
      </c>
      <c r="S112" s="651">
        <v>0.10000000000000142</v>
      </c>
      <c r="T112" s="651">
        <v>-0.76999999999999957</v>
      </c>
      <c r="U112" s="651">
        <v>-3.1915019999999998</v>
      </c>
      <c r="V112" s="652"/>
      <c r="W112" s="678"/>
      <c r="X112" s="657" t="s">
        <v>723</v>
      </c>
      <c r="Y112" s="658">
        <v>1477.1536818100001</v>
      </c>
      <c r="Z112" s="658">
        <v>-1.47631906</v>
      </c>
      <c r="AA112" s="658">
        <v>3365.8735300500002</v>
      </c>
      <c r="AB112" s="658">
        <v>3416.3091533699999</v>
      </c>
      <c r="AC112" s="658">
        <v>2.9822797699999999</v>
      </c>
      <c r="AD112" s="658">
        <v>2.9954660299999998</v>
      </c>
      <c r="AE112" s="658">
        <v>0.1235774</v>
      </c>
      <c r="AF112" s="658">
        <v>3.8646012600000001</v>
      </c>
      <c r="AG112" s="658">
        <v>3.8598313800000001</v>
      </c>
      <c r="AH112" s="658">
        <v>-0.56627757000000001</v>
      </c>
      <c r="AI112" s="658">
        <v>-0.44020736999999999</v>
      </c>
      <c r="AJ112" s="659">
        <v>0.72008435999999998</v>
      </c>
      <c r="AK112" s="1"/>
    </row>
    <row r="113" spans="1:37" s="519" customFormat="1" ht="25.5">
      <c r="A113" s="680">
        <v>62006011</v>
      </c>
      <c r="B113" s="662" t="s">
        <v>842</v>
      </c>
      <c r="C113" s="646" t="s">
        <v>1365</v>
      </c>
      <c r="D113" s="654" t="s">
        <v>873</v>
      </c>
      <c r="E113" s="647" t="s">
        <v>874</v>
      </c>
      <c r="F113" s="647" t="s">
        <v>708</v>
      </c>
      <c r="G113" s="648">
        <v>-6.4201765000000002</v>
      </c>
      <c r="H113" s="649">
        <v>7.4617118500000004</v>
      </c>
      <c r="I113" s="650">
        <v>19.5</v>
      </c>
      <c r="J113" s="650">
        <v>16.5</v>
      </c>
      <c r="K113" s="651">
        <v>2142</v>
      </c>
      <c r="L113" s="651">
        <v>287.06549422703853</v>
      </c>
      <c r="M113" s="651">
        <v>2152</v>
      </c>
      <c r="N113" s="651">
        <v>22</v>
      </c>
      <c r="O113" s="651">
        <v>1414</v>
      </c>
      <c r="P113" s="651">
        <v>149.5</v>
      </c>
      <c r="Q113" s="651">
        <v>124.67923100000007</v>
      </c>
      <c r="R113" s="651">
        <v>551.69999999999982</v>
      </c>
      <c r="S113" s="651">
        <v>0.20000000000000107</v>
      </c>
      <c r="T113" s="651">
        <v>-1.2300000000000004</v>
      </c>
      <c r="U113" s="651">
        <v>-3.2213814999999997</v>
      </c>
      <c r="V113" s="652"/>
      <c r="W113" s="678"/>
      <c r="X113" s="657" t="s">
        <v>723</v>
      </c>
      <c r="Y113" s="658"/>
      <c r="Z113" s="658"/>
      <c r="AA113" s="658"/>
      <c r="AB113" s="658"/>
      <c r="AC113" s="658"/>
      <c r="AD113" s="658"/>
      <c r="AE113" s="658"/>
      <c r="AF113" s="658"/>
      <c r="AG113" s="658"/>
      <c r="AH113" s="658"/>
      <c r="AI113" s="658"/>
      <c r="AJ113" s="659"/>
      <c r="AK113" s="1"/>
    </row>
    <row r="114" spans="1:37" s="519" customFormat="1" ht="25.5">
      <c r="A114" s="680">
        <v>62006011</v>
      </c>
      <c r="B114" s="662" t="s">
        <v>56</v>
      </c>
      <c r="C114" s="646">
        <v>5</v>
      </c>
      <c r="D114" s="654" t="s">
        <v>873</v>
      </c>
      <c r="E114" s="647" t="s">
        <v>874</v>
      </c>
      <c r="F114" s="647" t="s">
        <v>708</v>
      </c>
      <c r="G114" s="648">
        <v>-4.939953</v>
      </c>
      <c r="H114" s="649">
        <v>10.284009490000001</v>
      </c>
      <c r="I114" s="650">
        <v>16.5</v>
      </c>
      <c r="J114" s="650">
        <v>12.8</v>
      </c>
      <c r="K114" s="651">
        <v>2542</v>
      </c>
      <c r="L114" s="651">
        <v>247.17985747405217</v>
      </c>
      <c r="M114" s="651">
        <v>2546</v>
      </c>
      <c r="N114" s="651">
        <v>2</v>
      </c>
      <c r="O114" s="651">
        <v>2203</v>
      </c>
      <c r="P114" s="651">
        <v>81.400000000000091</v>
      </c>
      <c r="Q114" s="651">
        <v>67.959213999999974</v>
      </c>
      <c r="R114" s="651">
        <v>252.69679199999973</v>
      </c>
      <c r="S114" s="651">
        <v>9.9999999999999645E-2</v>
      </c>
      <c r="T114" s="651">
        <v>-0.67000000000000171</v>
      </c>
      <c r="U114" s="651">
        <v>-3.1845530000000002</v>
      </c>
      <c r="V114" s="652"/>
      <c r="W114" s="678"/>
      <c r="X114" s="657" t="s">
        <v>723</v>
      </c>
      <c r="Y114" s="658">
        <v>1876.2041123399999</v>
      </c>
      <c r="Z114" s="658">
        <v>2.6329647500000002</v>
      </c>
      <c r="AA114" s="658">
        <v>1341.20360164</v>
      </c>
      <c r="AB114" s="658">
        <v>1306.7961204799999</v>
      </c>
      <c r="AC114" s="658">
        <v>6.8355829200000002</v>
      </c>
      <c r="AD114" s="658">
        <v>6.7904734500000004</v>
      </c>
      <c r="AE114" s="658">
        <v>0.26656155999999998</v>
      </c>
      <c r="AF114" s="658">
        <v>10.284020959999999</v>
      </c>
      <c r="AG114" s="658">
        <v>10.25668059</v>
      </c>
      <c r="AH114" s="658">
        <v>0.39511884000000003</v>
      </c>
      <c r="AI114" s="658">
        <v>0.66430520000000004</v>
      </c>
      <c r="AJ114" s="659">
        <v>0.33399022</v>
      </c>
      <c r="AK114" s="1"/>
    </row>
    <row r="115" spans="1:37" s="519" customFormat="1" ht="25.5">
      <c r="A115" s="680">
        <v>62006011</v>
      </c>
      <c r="B115" s="662" t="s">
        <v>843</v>
      </c>
      <c r="C115" s="646">
        <v>6</v>
      </c>
      <c r="D115" s="654" t="s">
        <v>873</v>
      </c>
      <c r="E115" s="647" t="s">
        <v>874</v>
      </c>
      <c r="F115" s="647" t="s">
        <v>708</v>
      </c>
      <c r="G115" s="648">
        <v>-6.1277569999999999</v>
      </c>
      <c r="H115" s="649">
        <v>3.59759911</v>
      </c>
      <c r="I115" s="650">
        <v>12.7</v>
      </c>
      <c r="J115" s="650">
        <v>11.1</v>
      </c>
      <c r="K115" s="651">
        <v>1060</v>
      </c>
      <c r="L115" s="651">
        <v>294.64094458262196</v>
      </c>
      <c r="M115" s="651">
        <v>1063</v>
      </c>
      <c r="N115" s="651">
        <v>6</v>
      </c>
      <c r="O115" s="651">
        <v>741</v>
      </c>
      <c r="P115" s="651">
        <v>55.300000000000182</v>
      </c>
      <c r="Q115" s="651">
        <v>46.440000000000055</v>
      </c>
      <c r="R115" s="651">
        <v>255</v>
      </c>
      <c r="S115" s="651">
        <v>0</v>
      </c>
      <c r="T115" s="651">
        <v>-0.43999999999999773</v>
      </c>
      <c r="U115" s="651">
        <v>-3.1212499999999999</v>
      </c>
      <c r="V115" s="652"/>
      <c r="W115" s="678"/>
      <c r="X115" s="657" t="s">
        <v>723</v>
      </c>
      <c r="Y115" s="658">
        <v>2369.27182795</v>
      </c>
      <c r="Z115" s="658">
        <v>-0.70591230000000005</v>
      </c>
      <c r="AA115" s="658">
        <v>2034.3731086499999</v>
      </c>
      <c r="AB115" s="658">
        <v>2048.8360946399998</v>
      </c>
      <c r="AC115" s="658">
        <v>3.0317692900000002</v>
      </c>
      <c r="AD115" s="658">
        <v>3.0319981399999998</v>
      </c>
      <c r="AE115" s="658">
        <v>0.18304066999999999</v>
      </c>
      <c r="AF115" s="658">
        <v>3.5975533799999999</v>
      </c>
      <c r="AG115" s="658">
        <v>3.5909804200000002</v>
      </c>
      <c r="AH115" s="658">
        <v>-0.19060314</v>
      </c>
      <c r="AI115" s="658">
        <v>-7.5480800000000004E-3</v>
      </c>
      <c r="AJ115" s="659">
        <v>0.63450503000000003</v>
      </c>
      <c r="AK115" s="1"/>
    </row>
    <row r="116" spans="1:37" s="519" customFormat="1" ht="25.5">
      <c r="A116" s="680">
        <v>62006011</v>
      </c>
      <c r="B116" s="662" t="s">
        <v>844</v>
      </c>
      <c r="C116" s="646">
        <v>7</v>
      </c>
      <c r="D116" s="654" t="s">
        <v>873</v>
      </c>
      <c r="E116" s="647" t="s">
        <v>874</v>
      </c>
      <c r="F116" s="647" t="s">
        <v>708</v>
      </c>
      <c r="G116" s="648">
        <v>-7.3311469999999996</v>
      </c>
      <c r="H116" s="649">
        <v>3.8643894400000001</v>
      </c>
      <c r="I116" s="650">
        <v>11.1</v>
      </c>
      <c r="J116" s="650">
        <v>9.5</v>
      </c>
      <c r="K116" s="651">
        <v>1076</v>
      </c>
      <c r="L116" s="651">
        <v>278.43984585570132</v>
      </c>
      <c r="M116" s="651">
        <v>1080</v>
      </c>
      <c r="N116" s="651">
        <v>16</v>
      </c>
      <c r="O116" s="651">
        <v>666</v>
      </c>
      <c r="P116" s="651">
        <v>93.408323999999993</v>
      </c>
      <c r="Q116" s="651">
        <v>78.349463999999898</v>
      </c>
      <c r="R116" s="651">
        <v>298.79999999999927</v>
      </c>
      <c r="S116" s="651">
        <v>9.9999999999999645E-2</v>
      </c>
      <c r="T116" s="651">
        <v>-0.75</v>
      </c>
      <c r="U116" s="651">
        <v>-3.0896439999999998</v>
      </c>
      <c r="V116" s="652"/>
      <c r="W116" s="678"/>
      <c r="X116" s="657" t="s">
        <v>723</v>
      </c>
      <c r="Y116" s="658">
        <v>1476.7016028</v>
      </c>
      <c r="Z116" s="658">
        <v>-1.0786850699999999</v>
      </c>
      <c r="AA116" s="658">
        <v>3379.4192207599999</v>
      </c>
      <c r="AB116" s="658">
        <v>3416.2700153699998</v>
      </c>
      <c r="AC116" s="658">
        <v>2.98213178</v>
      </c>
      <c r="AD116" s="658">
        <v>2.9954018100000002</v>
      </c>
      <c r="AE116" s="658">
        <v>0.11471263</v>
      </c>
      <c r="AF116" s="658">
        <v>3.86425938</v>
      </c>
      <c r="AG116" s="658">
        <v>3.8598316600000002</v>
      </c>
      <c r="AH116" s="658">
        <v>-0.56020791000000003</v>
      </c>
      <c r="AI116" s="658">
        <v>-0.44301348000000002</v>
      </c>
      <c r="AJ116" s="659">
        <v>0.72008921000000004</v>
      </c>
      <c r="AK116" s="1"/>
    </row>
    <row r="117" spans="1:37" s="519" customFormat="1" ht="25.5">
      <c r="A117" s="680">
        <v>62006011</v>
      </c>
      <c r="B117" s="662" t="s">
        <v>845</v>
      </c>
      <c r="C117" s="646" t="s">
        <v>1364</v>
      </c>
      <c r="D117" s="654" t="s">
        <v>873</v>
      </c>
      <c r="E117" s="647" t="s">
        <v>874</v>
      </c>
      <c r="F117" s="647" t="s">
        <v>708</v>
      </c>
      <c r="G117" s="648">
        <v>-6.7294520000000002</v>
      </c>
      <c r="H117" s="649">
        <v>7.4619885500000001</v>
      </c>
      <c r="I117" s="650">
        <v>12.7</v>
      </c>
      <c r="J117" s="650">
        <v>9.5</v>
      </c>
      <c r="K117" s="651">
        <v>2136</v>
      </c>
      <c r="L117" s="651">
        <v>286.25077426579543</v>
      </c>
      <c r="M117" s="651">
        <v>2143</v>
      </c>
      <c r="N117" s="651">
        <v>22</v>
      </c>
      <c r="O117" s="651">
        <v>1407</v>
      </c>
      <c r="P117" s="651">
        <v>148.70832400000018</v>
      </c>
      <c r="Q117" s="651">
        <v>124.78946399999995</v>
      </c>
      <c r="R117" s="651">
        <v>553.79999999999927</v>
      </c>
      <c r="S117" s="651">
        <v>9.9999999999999645E-2</v>
      </c>
      <c r="T117" s="651">
        <v>-1.1899999999999977</v>
      </c>
      <c r="U117" s="651">
        <v>-3.1054469999999998</v>
      </c>
      <c r="V117" s="652"/>
      <c r="W117" s="678"/>
      <c r="X117" s="657" t="s">
        <v>723</v>
      </c>
      <c r="Y117" s="658"/>
      <c r="Z117" s="658"/>
      <c r="AA117" s="658"/>
      <c r="AB117" s="658"/>
      <c r="AC117" s="658"/>
      <c r="AD117" s="658"/>
      <c r="AE117" s="658"/>
      <c r="AF117" s="658"/>
      <c r="AG117" s="658"/>
      <c r="AH117" s="658"/>
      <c r="AI117" s="658"/>
      <c r="AJ117" s="659"/>
      <c r="AK117" s="1"/>
    </row>
    <row r="118" spans="1:37" s="519" customFormat="1" ht="38.25">
      <c r="A118" s="680">
        <v>62006012</v>
      </c>
      <c r="B118" s="662" t="s">
        <v>838</v>
      </c>
      <c r="C118" s="646">
        <v>1</v>
      </c>
      <c r="D118" s="654" t="s">
        <v>875</v>
      </c>
      <c r="E118" s="647" t="s">
        <v>876</v>
      </c>
      <c r="F118" s="647" t="s">
        <v>708</v>
      </c>
      <c r="G118" s="648">
        <v>-1.578943</v>
      </c>
      <c r="H118" s="649">
        <v>11.98691921</v>
      </c>
      <c r="I118" s="650">
        <v>9.5</v>
      </c>
      <c r="J118" s="650">
        <v>3.7</v>
      </c>
      <c r="K118" s="651">
        <v>3465</v>
      </c>
      <c r="L118" s="651">
        <v>289.06509998910724</v>
      </c>
      <c r="M118" s="651">
        <v>3468</v>
      </c>
      <c r="N118" s="651">
        <v>1</v>
      </c>
      <c r="O118" s="651">
        <v>3092</v>
      </c>
      <c r="P118" s="651">
        <v>73.97314600000027</v>
      </c>
      <c r="Q118" s="651">
        <v>62.514629000000014</v>
      </c>
      <c r="R118" s="651">
        <v>292.39999999999964</v>
      </c>
      <c r="S118" s="651">
        <v>0</v>
      </c>
      <c r="T118" s="651">
        <v>-0.58999999999999986</v>
      </c>
      <c r="U118" s="651">
        <v>-3.0104660000000001</v>
      </c>
      <c r="V118" s="652"/>
      <c r="W118" s="678"/>
      <c r="X118" s="657" t="s">
        <v>723</v>
      </c>
      <c r="Y118" s="658">
        <v>174.01472489</v>
      </c>
      <c r="Z118" s="658">
        <v>4.8984112199999998</v>
      </c>
      <c r="AA118" s="658">
        <v>609.61921475999998</v>
      </c>
      <c r="AB118" s="658">
        <v>581.15200000000004</v>
      </c>
      <c r="AC118" s="658">
        <v>9.27155664</v>
      </c>
      <c r="AD118" s="658">
        <v>10.307568679999999</v>
      </c>
      <c r="AE118" s="658">
        <v>-6.5270203200000001</v>
      </c>
      <c r="AF118" s="658">
        <v>11.98693405</v>
      </c>
      <c r="AG118" s="658">
        <v>12.823956280000001</v>
      </c>
      <c r="AH118" s="658">
        <v>-3.91773412</v>
      </c>
      <c r="AI118" s="658">
        <v>-10.05098362</v>
      </c>
      <c r="AJ118" s="659">
        <v>8.0142199999999997E-2</v>
      </c>
      <c r="AK118" s="1"/>
    </row>
    <row r="119" spans="1:37" s="519" customFormat="1" ht="25.5">
      <c r="A119" s="680">
        <v>62006013</v>
      </c>
      <c r="B119" s="662" t="s">
        <v>906</v>
      </c>
      <c r="C119" s="646">
        <v>1</v>
      </c>
      <c r="D119" s="654" t="s">
        <v>877</v>
      </c>
      <c r="E119" s="647" t="s">
        <v>878</v>
      </c>
      <c r="F119" s="647" t="s">
        <v>708</v>
      </c>
      <c r="G119" s="648">
        <v>-76.781841</v>
      </c>
      <c r="H119" s="649">
        <v>4.9071799999999997E-3</v>
      </c>
      <c r="I119" s="650">
        <v>3.6</v>
      </c>
      <c r="J119" s="650">
        <v>99.4</v>
      </c>
      <c r="K119" s="651">
        <v>-77944</v>
      </c>
      <c r="L119" s="651"/>
      <c r="M119" s="651">
        <v>-77859</v>
      </c>
      <c r="N119" s="651">
        <v>8</v>
      </c>
      <c r="O119" s="651">
        <v>-57</v>
      </c>
      <c r="P119" s="651">
        <v>-77993.899999999994</v>
      </c>
      <c r="Q119" s="651">
        <v>611.60417799999982</v>
      </c>
      <c r="R119" s="651">
        <v>-20.5</v>
      </c>
      <c r="S119" s="651">
        <v>1</v>
      </c>
      <c r="T119" s="651">
        <v>-26.089999999999996</v>
      </c>
      <c r="U119" s="651">
        <v>-29.132315999999999</v>
      </c>
      <c r="V119" s="652">
        <v>84074</v>
      </c>
      <c r="W119" s="678">
        <v>-83829.5</v>
      </c>
      <c r="X119" s="657" t="s">
        <v>723</v>
      </c>
      <c r="Y119" s="658"/>
      <c r="Z119" s="658"/>
      <c r="AA119" s="658"/>
      <c r="AB119" s="658"/>
      <c r="AC119" s="658"/>
      <c r="AD119" s="658"/>
      <c r="AE119" s="658"/>
      <c r="AF119" s="658"/>
      <c r="AG119" s="658"/>
      <c r="AH119" s="658"/>
      <c r="AI119" s="658"/>
      <c r="AJ119" s="659"/>
      <c r="AK119" s="1"/>
    </row>
    <row r="120" spans="1:37" s="671" customFormat="1" ht="18.75">
      <c r="A120" s="664" t="s">
        <v>1371</v>
      </c>
      <c r="B120" s="675"/>
      <c r="C120" s="665"/>
      <c r="D120" s="666"/>
      <c r="E120" s="667"/>
      <c r="F120" s="667"/>
      <c r="G120" s="667"/>
      <c r="H120" s="665"/>
      <c r="I120" s="670"/>
      <c r="J120" s="670"/>
      <c r="K120" s="670"/>
      <c r="L120" s="670"/>
      <c r="M120" s="670"/>
      <c r="N120" s="670"/>
      <c r="O120" s="670"/>
      <c r="P120" s="670"/>
      <c r="Q120" s="670"/>
      <c r="R120" s="670"/>
      <c r="S120" s="670"/>
      <c r="T120" s="670"/>
      <c r="U120" s="670"/>
      <c r="V120" s="670"/>
      <c r="W120" s="679"/>
      <c r="X120" s="668"/>
      <c r="Y120" s="665"/>
      <c r="Z120" s="665"/>
      <c r="AA120" s="665"/>
      <c r="AB120" s="665"/>
      <c r="AC120" s="665"/>
      <c r="AD120" s="665"/>
      <c r="AE120" s="665"/>
      <c r="AF120" s="665"/>
      <c r="AG120" s="665"/>
      <c r="AH120" s="665"/>
      <c r="AI120" s="665"/>
      <c r="AJ120" s="669"/>
    </row>
    <row r="121" spans="1:37" s="519" customFormat="1" ht="25.5">
      <c r="A121" s="680">
        <v>62006014</v>
      </c>
      <c r="B121" s="662" t="s">
        <v>870</v>
      </c>
      <c r="C121" s="646">
        <v>1</v>
      </c>
      <c r="D121" s="654" t="s">
        <v>879</v>
      </c>
      <c r="E121" s="647" t="s">
        <v>880</v>
      </c>
      <c r="F121" s="647" t="s">
        <v>881</v>
      </c>
      <c r="G121" s="648">
        <v>7.3883409999999996</v>
      </c>
      <c r="H121" s="649">
        <v>3.2803999999999998E-4</v>
      </c>
      <c r="I121" s="650">
        <v>99.2</v>
      </c>
      <c r="J121" s="650">
        <v>98.5</v>
      </c>
      <c r="K121" s="651">
        <v>535</v>
      </c>
      <c r="L121" s="651"/>
      <c r="M121" s="651">
        <v>554</v>
      </c>
      <c r="N121" s="651">
        <v>2212</v>
      </c>
      <c r="O121" s="651">
        <v>1936</v>
      </c>
      <c r="P121" s="651">
        <v>-5867.6000000000058</v>
      </c>
      <c r="Q121" s="651">
        <v>403.65999999999985</v>
      </c>
      <c r="R121" s="651">
        <v>2231.2999999999993</v>
      </c>
      <c r="S121" s="651">
        <v>1.9000000000000004</v>
      </c>
      <c r="T121" s="651">
        <v>-5.4700000000000131</v>
      </c>
      <c r="U121" s="651">
        <v>6.25441</v>
      </c>
      <c r="V121" s="652">
        <v>6717.5</v>
      </c>
      <c r="W121" s="678">
        <v>-6694</v>
      </c>
      <c r="X121" s="657"/>
      <c r="Y121" s="658"/>
      <c r="Z121" s="658"/>
      <c r="AA121" s="658"/>
      <c r="AB121" s="658"/>
      <c r="AC121" s="658"/>
      <c r="AD121" s="658"/>
      <c r="AE121" s="658"/>
      <c r="AF121" s="658"/>
      <c r="AG121" s="658"/>
      <c r="AH121" s="658"/>
      <c r="AI121" s="658"/>
      <c r="AJ121" s="659"/>
      <c r="AK121" s="1"/>
    </row>
    <row r="122" spans="1:37" s="519" customFormat="1" ht="63.75">
      <c r="A122" s="680">
        <v>62006015</v>
      </c>
      <c r="B122" s="662" t="s">
        <v>832</v>
      </c>
      <c r="C122" s="646">
        <v>1</v>
      </c>
      <c r="D122" s="654" t="s">
        <v>883</v>
      </c>
      <c r="E122" s="647" t="s">
        <v>884</v>
      </c>
      <c r="F122" s="647" t="s">
        <v>708</v>
      </c>
      <c r="G122" s="648">
        <v>-5.1705379999999996</v>
      </c>
      <c r="H122" s="649">
        <v>3.59692386</v>
      </c>
      <c r="I122" s="650">
        <v>98.3</v>
      </c>
      <c r="J122" s="650">
        <v>97</v>
      </c>
      <c r="K122" s="651">
        <v>1116</v>
      </c>
      <c r="L122" s="651">
        <v>310.2651163708536</v>
      </c>
      <c r="M122" s="651">
        <v>1120</v>
      </c>
      <c r="N122" s="651">
        <v>11</v>
      </c>
      <c r="O122" s="651">
        <v>881</v>
      </c>
      <c r="P122" s="651">
        <v>55.80000000000291</v>
      </c>
      <c r="Q122" s="651">
        <v>45.779581000000235</v>
      </c>
      <c r="R122" s="651">
        <v>166.58285699999942</v>
      </c>
      <c r="S122" s="651">
        <v>0.19999999999999929</v>
      </c>
      <c r="T122" s="651">
        <v>-0.48999999999999488</v>
      </c>
      <c r="U122" s="651">
        <v>-3.4361069999999998</v>
      </c>
      <c r="V122" s="652"/>
      <c r="W122" s="678"/>
      <c r="X122" s="657" t="s">
        <v>723</v>
      </c>
      <c r="Y122" s="658">
        <v>2372.8382966899999</v>
      </c>
      <c r="Z122" s="658">
        <v>-1.19987541</v>
      </c>
      <c r="AA122" s="658">
        <v>2024.28501383</v>
      </c>
      <c r="AB122" s="658">
        <v>2048.8688877200002</v>
      </c>
      <c r="AC122" s="658">
        <v>3.0201414500000001</v>
      </c>
      <c r="AD122" s="658">
        <v>3.0320541400000001</v>
      </c>
      <c r="AE122" s="658">
        <v>0.16423747999999999</v>
      </c>
      <c r="AF122" s="658">
        <v>3.5968786599999998</v>
      </c>
      <c r="AG122" s="658">
        <v>3.5909809199999998</v>
      </c>
      <c r="AH122" s="658">
        <v>-0.55932698000000003</v>
      </c>
      <c r="AI122" s="658">
        <v>-0.39289194</v>
      </c>
      <c r="AJ122" s="659">
        <v>0.63450991999999995</v>
      </c>
      <c r="AK122" s="1"/>
    </row>
    <row r="123" spans="1:37" s="519" customFormat="1" ht="63.75">
      <c r="A123" s="680">
        <v>62006015</v>
      </c>
      <c r="B123" s="662" t="s">
        <v>831</v>
      </c>
      <c r="C123" s="646">
        <v>2</v>
      </c>
      <c r="D123" s="654" t="s">
        <v>883</v>
      </c>
      <c r="E123" s="647" t="s">
        <v>884</v>
      </c>
      <c r="F123" s="647" t="s">
        <v>708</v>
      </c>
      <c r="G123" s="648">
        <v>-6.2480209999999996</v>
      </c>
      <c r="H123" s="649">
        <v>3.8634109200000002</v>
      </c>
      <c r="I123" s="650">
        <v>97</v>
      </c>
      <c r="J123" s="650">
        <v>95.7</v>
      </c>
      <c r="K123" s="651">
        <v>1108</v>
      </c>
      <c r="L123" s="651">
        <v>286.79320500548772</v>
      </c>
      <c r="M123" s="651">
        <v>1112</v>
      </c>
      <c r="N123" s="651">
        <v>18</v>
      </c>
      <c r="O123" s="651">
        <v>706</v>
      </c>
      <c r="P123" s="651">
        <v>95.19999999999709</v>
      </c>
      <c r="Q123" s="651">
        <v>77.999542999999903</v>
      </c>
      <c r="R123" s="651">
        <v>283.41615999999885</v>
      </c>
      <c r="S123" s="651">
        <v>0.20000000000000107</v>
      </c>
      <c r="T123" s="651">
        <v>-0.82000000000000739</v>
      </c>
      <c r="U123" s="651">
        <v>-3.4014389999999999</v>
      </c>
      <c r="V123" s="652"/>
      <c r="W123" s="678"/>
      <c r="X123" s="657" t="s">
        <v>723</v>
      </c>
      <c r="Y123" s="658">
        <v>1475.9490921900001</v>
      </c>
      <c r="Z123" s="658">
        <v>-1.29544288</v>
      </c>
      <c r="AA123" s="658">
        <v>3372.0227149799998</v>
      </c>
      <c r="AB123" s="658">
        <v>3416.2786534000002</v>
      </c>
      <c r="AC123" s="658">
        <v>2.9821475300000002</v>
      </c>
      <c r="AD123" s="658">
        <v>2.99541872</v>
      </c>
      <c r="AE123" s="658">
        <v>9.0735940000000001E-2</v>
      </c>
      <c r="AF123" s="658">
        <v>3.8633331399999999</v>
      </c>
      <c r="AG123" s="658">
        <v>3.85983089</v>
      </c>
      <c r="AH123" s="658">
        <v>-0.53616098999999995</v>
      </c>
      <c r="AI123" s="658">
        <v>-0.44304958999999999</v>
      </c>
      <c r="AJ123" s="659">
        <v>0.72008459999999996</v>
      </c>
      <c r="AK123" s="1"/>
    </row>
    <row r="124" spans="1:37" s="519" customFormat="1" ht="63.75">
      <c r="A124" s="680">
        <v>62006015</v>
      </c>
      <c r="B124" s="662" t="s">
        <v>830</v>
      </c>
      <c r="C124" s="646" t="s">
        <v>1362</v>
      </c>
      <c r="D124" s="654" t="s">
        <v>883</v>
      </c>
      <c r="E124" s="647" t="s">
        <v>884</v>
      </c>
      <c r="F124" s="647" t="s">
        <v>708</v>
      </c>
      <c r="G124" s="648">
        <v>-5.7092794999999992</v>
      </c>
      <c r="H124" s="649">
        <v>7.4603347800000002</v>
      </c>
      <c r="I124" s="650">
        <v>98.3</v>
      </c>
      <c r="J124" s="650">
        <v>95.7</v>
      </c>
      <c r="K124" s="651">
        <v>2224</v>
      </c>
      <c r="L124" s="651">
        <v>298.10994621343252</v>
      </c>
      <c r="M124" s="651">
        <v>2232</v>
      </c>
      <c r="N124" s="651">
        <v>29</v>
      </c>
      <c r="O124" s="651">
        <v>1587</v>
      </c>
      <c r="P124" s="651">
        <v>151</v>
      </c>
      <c r="Q124" s="651">
        <v>123.77912400000014</v>
      </c>
      <c r="R124" s="651">
        <v>449.99901699999828</v>
      </c>
      <c r="S124" s="651">
        <v>0.40000000000000036</v>
      </c>
      <c r="T124" s="651">
        <v>-1.3100000000000023</v>
      </c>
      <c r="U124" s="651">
        <v>-3.4187729999999998</v>
      </c>
      <c r="V124" s="652"/>
      <c r="W124" s="678"/>
      <c r="X124" s="657" t="s">
        <v>723</v>
      </c>
      <c r="Y124" s="658"/>
      <c r="Z124" s="658"/>
      <c r="AA124" s="658"/>
      <c r="AB124" s="658"/>
      <c r="AC124" s="658"/>
      <c r="AD124" s="658"/>
      <c r="AE124" s="658"/>
      <c r="AF124" s="658"/>
      <c r="AG124" s="658"/>
      <c r="AH124" s="658"/>
      <c r="AI124" s="658"/>
      <c r="AJ124" s="659"/>
      <c r="AK124" s="1"/>
    </row>
    <row r="125" spans="1:37" s="519" customFormat="1" ht="63.75">
      <c r="A125" s="680">
        <v>62006015</v>
      </c>
      <c r="B125" s="662" t="s">
        <v>829</v>
      </c>
      <c r="C125" s="646">
        <v>3</v>
      </c>
      <c r="D125" s="654" t="s">
        <v>883</v>
      </c>
      <c r="E125" s="647" t="s">
        <v>884</v>
      </c>
      <c r="F125" s="647" t="s">
        <v>708</v>
      </c>
      <c r="G125" s="648">
        <v>-4.6861629999999996</v>
      </c>
      <c r="H125" s="649">
        <v>10.284090709999999</v>
      </c>
      <c r="I125" s="650">
        <v>95.7</v>
      </c>
      <c r="J125" s="650">
        <v>92.7</v>
      </c>
      <c r="K125" s="651">
        <v>2608</v>
      </c>
      <c r="L125" s="651">
        <v>253.5955850198836</v>
      </c>
      <c r="M125" s="651">
        <v>2614</v>
      </c>
      <c r="N125" s="651">
        <v>2</v>
      </c>
      <c r="O125" s="651">
        <v>2258</v>
      </c>
      <c r="P125" s="651">
        <v>86.80000000000291</v>
      </c>
      <c r="Q125" s="651">
        <v>71.550000000000182</v>
      </c>
      <c r="R125" s="651">
        <v>256.69999999999891</v>
      </c>
      <c r="S125" s="651">
        <v>0.19999999999999929</v>
      </c>
      <c r="T125" s="651">
        <v>-0.69999999999998863</v>
      </c>
      <c r="U125" s="651">
        <v>-3.276675</v>
      </c>
      <c r="V125" s="652"/>
      <c r="W125" s="678"/>
      <c r="X125" s="657" t="s">
        <v>723</v>
      </c>
      <c r="Y125" s="658">
        <v>1875.8349582999999</v>
      </c>
      <c r="Z125" s="658">
        <v>-0.32691491</v>
      </c>
      <c r="AA125" s="658">
        <v>1302.5149796600001</v>
      </c>
      <c r="AB125" s="658">
        <v>1306.78706145</v>
      </c>
      <c r="AC125" s="658">
        <v>6.80690566</v>
      </c>
      <c r="AD125" s="658">
        <v>6.7904522199999997</v>
      </c>
      <c r="AE125" s="658">
        <v>0.26730822999999998</v>
      </c>
      <c r="AF125" s="658">
        <v>10.284097389999999</v>
      </c>
      <c r="AG125" s="658">
        <v>10.25668044</v>
      </c>
      <c r="AH125" s="658">
        <v>-2.4945229999999999E-2</v>
      </c>
      <c r="AI125" s="658">
        <v>0.24230256</v>
      </c>
      <c r="AJ125" s="659">
        <v>0.33398836999999998</v>
      </c>
      <c r="AK125" s="1"/>
    </row>
    <row r="126" spans="1:37" s="519" customFormat="1" ht="63.75">
      <c r="A126" s="680">
        <v>62006015</v>
      </c>
      <c r="B126" s="662" t="s">
        <v>828</v>
      </c>
      <c r="C126" s="646">
        <v>4</v>
      </c>
      <c r="D126" s="654" t="s">
        <v>883</v>
      </c>
      <c r="E126" s="647" t="s">
        <v>884</v>
      </c>
      <c r="F126" s="647" t="s">
        <v>708</v>
      </c>
      <c r="G126" s="648">
        <v>-6.1766880000000004</v>
      </c>
      <c r="H126" s="649">
        <v>3.5975343799999999</v>
      </c>
      <c r="I126" s="650">
        <v>92.6</v>
      </c>
      <c r="J126" s="650">
        <v>91.4</v>
      </c>
      <c r="K126" s="651">
        <v>1093</v>
      </c>
      <c r="L126" s="651">
        <v>303.81919519001235</v>
      </c>
      <c r="M126" s="651">
        <v>1098</v>
      </c>
      <c r="N126" s="651">
        <v>11</v>
      </c>
      <c r="O126" s="651">
        <v>762</v>
      </c>
      <c r="P126" s="651">
        <v>56.80000000000291</v>
      </c>
      <c r="Q126" s="651">
        <v>46.75980699999991</v>
      </c>
      <c r="R126" s="651">
        <v>259.87012199999845</v>
      </c>
      <c r="S126" s="651">
        <v>0.20000000000000107</v>
      </c>
      <c r="T126" s="651">
        <v>-0.43999999999999773</v>
      </c>
      <c r="U126" s="651">
        <v>-3.1027</v>
      </c>
      <c r="V126" s="652"/>
      <c r="W126" s="678"/>
      <c r="X126" s="657" t="s">
        <v>723</v>
      </c>
      <c r="Y126" s="658">
        <v>2367.8317081499999</v>
      </c>
      <c r="Z126" s="658">
        <v>-0.95886081999999995</v>
      </c>
      <c r="AA126" s="658">
        <v>2029.1763991099999</v>
      </c>
      <c r="AB126" s="658">
        <v>2048.82174803</v>
      </c>
      <c r="AC126" s="658">
        <v>3.0246299699999999</v>
      </c>
      <c r="AD126" s="658">
        <v>3.0319664500000001</v>
      </c>
      <c r="AE126" s="658">
        <v>0.18136394</v>
      </c>
      <c r="AF126" s="658">
        <v>3.5974922199999999</v>
      </c>
      <c r="AG126" s="658">
        <v>3.5909794800000001</v>
      </c>
      <c r="AH126" s="658">
        <v>-0.42436157000000002</v>
      </c>
      <c r="AI126" s="658">
        <v>-0.24197081000000001</v>
      </c>
      <c r="AJ126" s="659">
        <v>0.63450677</v>
      </c>
      <c r="AK126" s="1"/>
    </row>
    <row r="127" spans="1:37" s="519" customFormat="1" ht="63.75">
      <c r="A127" s="680">
        <v>62006015</v>
      </c>
      <c r="B127" s="662" t="s">
        <v>239</v>
      </c>
      <c r="C127" s="646">
        <v>5</v>
      </c>
      <c r="D127" s="654" t="s">
        <v>883</v>
      </c>
      <c r="E127" s="647" t="s">
        <v>884</v>
      </c>
      <c r="F127" s="647" t="s">
        <v>708</v>
      </c>
      <c r="G127" s="648">
        <v>-7.0813959999999998</v>
      </c>
      <c r="H127" s="649">
        <v>3.8613518</v>
      </c>
      <c r="I127" s="650">
        <v>91.4</v>
      </c>
      <c r="J127" s="650">
        <v>90.1</v>
      </c>
      <c r="K127" s="651">
        <v>1120</v>
      </c>
      <c r="L127" s="651">
        <v>290.05386144821097</v>
      </c>
      <c r="M127" s="651">
        <v>1125</v>
      </c>
      <c r="N127" s="651">
        <v>25</v>
      </c>
      <c r="O127" s="651">
        <v>688</v>
      </c>
      <c r="P127" s="651">
        <v>96.5</v>
      </c>
      <c r="Q127" s="651">
        <v>79.279518999999709</v>
      </c>
      <c r="R127" s="651">
        <v>305.83056600000054</v>
      </c>
      <c r="S127" s="651">
        <v>0.19999999999999929</v>
      </c>
      <c r="T127" s="651">
        <v>-0.73000000000000398</v>
      </c>
      <c r="U127" s="651">
        <v>-3.036877</v>
      </c>
      <c r="V127" s="652"/>
      <c r="W127" s="678"/>
      <c r="X127" s="657" t="s">
        <v>723</v>
      </c>
      <c r="Y127" s="658">
        <v>1476.3246863700001</v>
      </c>
      <c r="Z127" s="658">
        <v>-1.1462844400000001</v>
      </c>
      <c r="AA127" s="658">
        <v>3377.0814992099999</v>
      </c>
      <c r="AB127" s="658">
        <v>3416.2413420799999</v>
      </c>
      <c r="AC127" s="658">
        <v>2.9869885900000002</v>
      </c>
      <c r="AD127" s="658">
        <v>2.99536274</v>
      </c>
      <c r="AE127" s="658">
        <v>3.7378069999999999E-2</v>
      </c>
      <c r="AF127" s="658">
        <v>3.8612736600000002</v>
      </c>
      <c r="AG127" s="658">
        <v>3.8598309300000002</v>
      </c>
      <c r="AH127" s="658">
        <v>-0.31783711999999997</v>
      </c>
      <c r="AI127" s="658">
        <v>-0.27957047000000002</v>
      </c>
      <c r="AJ127" s="659">
        <v>0.72008896</v>
      </c>
      <c r="AK127" s="1"/>
    </row>
    <row r="128" spans="1:37" s="519" customFormat="1" ht="63.75">
      <c r="A128" s="680">
        <v>62006015</v>
      </c>
      <c r="B128" s="662" t="s">
        <v>833</v>
      </c>
      <c r="C128" s="646" t="s">
        <v>1363</v>
      </c>
      <c r="D128" s="654" t="s">
        <v>883</v>
      </c>
      <c r="E128" s="647" t="s">
        <v>884</v>
      </c>
      <c r="F128" s="647" t="s">
        <v>708</v>
      </c>
      <c r="G128" s="648">
        <v>-6.6290420000000001</v>
      </c>
      <c r="H128" s="649">
        <v>7.4588861800000004</v>
      </c>
      <c r="I128" s="650">
        <v>92.6</v>
      </c>
      <c r="J128" s="650">
        <v>90.1</v>
      </c>
      <c r="K128" s="651">
        <v>2213</v>
      </c>
      <c r="L128" s="651">
        <v>296.69309151463682</v>
      </c>
      <c r="M128" s="651">
        <v>2223</v>
      </c>
      <c r="N128" s="651">
        <v>36</v>
      </c>
      <c r="O128" s="651">
        <v>1450</v>
      </c>
      <c r="P128" s="651">
        <v>153.30000000000291</v>
      </c>
      <c r="Q128" s="651">
        <v>126.03932599999962</v>
      </c>
      <c r="R128" s="651">
        <v>565.70068799999899</v>
      </c>
      <c r="S128" s="651">
        <v>0.40000000000000036</v>
      </c>
      <c r="T128" s="651">
        <v>-1.1700000000000017</v>
      </c>
      <c r="U128" s="651">
        <v>-3.0697885</v>
      </c>
      <c r="V128" s="652"/>
      <c r="W128" s="678"/>
      <c r="X128" s="657" t="s">
        <v>723</v>
      </c>
      <c r="Y128" s="658"/>
      <c r="Z128" s="658"/>
      <c r="AA128" s="658"/>
      <c r="AB128" s="658"/>
      <c r="AC128" s="658"/>
      <c r="AD128" s="658"/>
      <c r="AE128" s="658"/>
      <c r="AF128" s="658"/>
      <c r="AG128" s="658"/>
      <c r="AH128" s="658"/>
      <c r="AI128" s="658"/>
      <c r="AJ128" s="659"/>
      <c r="AK128" s="1"/>
    </row>
    <row r="129" spans="1:37" s="519" customFormat="1" ht="63.75">
      <c r="A129" s="680">
        <v>62006015</v>
      </c>
      <c r="B129" s="662" t="s">
        <v>836</v>
      </c>
      <c r="C129" s="646">
        <v>6</v>
      </c>
      <c r="D129" s="654" t="s">
        <v>883</v>
      </c>
      <c r="E129" s="647" t="s">
        <v>884</v>
      </c>
      <c r="F129" s="647" t="s">
        <v>708</v>
      </c>
      <c r="G129" s="648">
        <v>-5.3699620000000001</v>
      </c>
      <c r="H129" s="649">
        <v>1.7754383499999999</v>
      </c>
      <c r="I129" s="650">
        <v>90</v>
      </c>
      <c r="J129" s="650">
        <v>87</v>
      </c>
      <c r="K129" s="651">
        <v>618.35768699999971</v>
      </c>
      <c r="L129" s="651">
        <v>348.28451632803791</v>
      </c>
      <c r="M129" s="651">
        <v>620</v>
      </c>
      <c r="N129" s="651">
        <v>47</v>
      </c>
      <c r="O129" s="651">
        <v>467</v>
      </c>
      <c r="P129" s="651">
        <v>27.099999999991269</v>
      </c>
      <c r="Q129" s="651">
        <v>22.420302999999876</v>
      </c>
      <c r="R129" s="651">
        <v>76.635756000001493</v>
      </c>
      <c r="S129" s="651">
        <v>0</v>
      </c>
      <c r="T129" s="651">
        <v>-0.19999999999998863</v>
      </c>
      <c r="U129" s="651">
        <v>-3.0061499999999999</v>
      </c>
      <c r="V129" s="652"/>
      <c r="W129" s="678"/>
      <c r="X129" s="657" t="s">
        <v>723</v>
      </c>
      <c r="Y129" s="658">
        <v>5473.0101221599998</v>
      </c>
      <c r="Z129" s="658">
        <v>-4.2765351300000001</v>
      </c>
      <c r="AA129" s="658">
        <v>2354.2545652499998</v>
      </c>
      <c r="AB129" s="658">
        <v>2459.43308505</v>
      </c>
      <c r="AC129" s="658">
        <v>3.0103470899999998</v>
      </c>
      <c r="AD129" s="658">
        <v>3.09835445</v>
      </c>
      <c r="AE129" s="658">
        <v>0.18646441999999999</v>
      </c>
      <c r="AF129" s="658">
        <v>1.77540904</v>
      </c>
      <c r="AG129" s="658">
        <v>1.7721047000000001</v>
      </c>
      <c r="AH129" s="658">
        <v>-3.1154111000000002</v>
      </c>
      <c r="AI129" s="658">
        <v>-2.8404548300000001</v>
      </c>
      <c r="AJ129" s="659">
        <v>0.84360588999999997</v>
      </c>
      <c r="AK129" s="1"/>
    </row>
    <row r="130" spans="1:37" s="519" customFormat="1" ht="63.75">
      <c r="A130" s="680">
        <v>62006015</v>
      </c>
      <c r="B130" s="662" t="s">
        <v>837</v>
      </c>
      <c r="C130" s="646">
        <v>7</v>
      </c>
      <c r="D130" s="654" t="s">
        <v>883</v>
      </c>
      <c r="E130" s="647" t="s">
        <v>884</v>
      </c>
      <c r="F130" s="647" t="s">
        <v>708</v>
      </c>
      <c r="G130" s="648">
        <v>-1.4480630000000001</v>
      </c>
      <c r="H130" s="649">
        <v>6.25069813</v>
      </c>
      <c r="I130" s="650">
        <v>89.5</v>
      </c>
      <c r="J130" s="650">
        <v>87.3</v>
      </c>
      <c r="K130" s="651">
        <v>1914</v>
      </c>
      <c r="L130" s="651">
        <v>306.20579656755876</v>
      </c>
      <c r="M130" s="651">
        <v>1916</v>
      </c>
      <c r="N130" s="651">
        <v>18</v>
      </c>
      <c r="O130" s="651">
        <v>1728</v>
      </c>
      <c r="P130" s="651">
        <v>41.400000000008731</v>
      </c>
      <c r="Q130" s="651">
        <v>34.143273000000136</v>
      </c>
      <c r="R130" s="651">
        <v>122.19999999999891</v>
      </c>
      <c r="S130" s="651">
        <v>9.9999999999999645E-2</v>
      </c>
      <c r="T130" s="651">
        <v>-0.30000000000001137</v>
      </c>
      <c r="U130" s="651">
        <v>-3.0010629999999998</v>
      </c>
      <c r="V130" s="652"/>
      <c r="W130" s="678"/>
      <c r="X130" s="657" t="s">
        <v>723</v>
      </c>
      <c r="Y130" s="658">
        <v>11295.56789516</v>
      </c>
      <c r="Z130" s="658">
        <v>0.65275355999999995</v>
      </c>
      <c r="AA130" s="658">
        <v>1146.3855189400001</v>
      </c>
      <c r="AB130" s="658">
        <v>1138.95097586</v>
      </c>
      <c r="AC130" s="658">
        <v>5.9086995099999999</v>
      </c>
      <c r="AD130" s="658">
        <v>5.8929619100000004</v>
      </c>
      <c r="AE130" s="658">
        <v>0.25379697000000001</v>
      </c>
      <c r="AF130" s="658">
        <v>6.2506822099999999</v>
      </c>
      <c r="AG130" s="658">
        <v>6.2348583299999998</v>
      </c>
      <c r="AH130" s="658">
        <v>1.3225310000000001E-2</v>
      </c>
      <c r="AI130" s="658">
        <v>0.26705760000000001</v>
      </c>
      <c r="AJ130" s="659">
        <v>0.41976734999999998</v>
      </c>
      <c r="AK130" s="1"/>
    </row>
    <row r="131" spans="1:37" s="519" customFormat="1" ht="63.75">
      <c r="A131" s="680">
        <v>62006015</v>
      </c>
      <c r="B131" s="662" t="s">
        <v>835</v>
      </c>
      <c r="C131" s="646" t="s">
        <v>1364</v>
      </c>
      <c r="D131" s="654" t="s">
        <v>883</v>
      </c>
      <c r="E131" s="647" t="s">
        <v>884</v>
      </c>
      <c r="F131" s="647" t="s">
        <v>708</v>
      </c>
      <c r="G131" s="648">
        <v>-3.4090125000000002</v>
      </c>
      <c r="H131" s="649">
        <v>8.0261364799999999</v>
      </c>
      <c r="I131" s="650">
        <v>90</v>
      </c>
      <c r="J131" s="650">
        <v>87.3</v>
      </c>
      <c r="K131" s="651">
        <v>2532.3576869999997</v>
      </c>
      <c r="L131" s="651">
        <v>315.5139080067076</v>
      </c>
      <c r="M131" s="651">
        <v>2536</v>
      </c>
      <c r="N131" s="651">
        <v>65</v>
      </c>
      <c r="O131" s="651">
        <v>2195</v>
      </c>
      <c r="P131" s="651">
        <v>68.5</v>
      </c>
      <c r="Q131" s="651">
        <v>56.563576000000012</v>
      </c>
      <c r="R131" s="651">
        <v>198.8357560000004</v>
      </c>
      <c r="S131" s="651">
        <v>9.9999999999999645E-2</v>
      </c>
      <c r="T131" s="651">
        <v>-0.5</v>
      </c>
      <c r="U131" s="651">
        <v>-3.0036065000000001</v>
      </c>
      <c r="V131" s="652"/>
      <c r="W131" s="678"/>
      <c r="X131" s="657" t="s">
        <v>723</v>
      </c>
      <c r="Y131" s="658"/>
      <c r="Z131" s="658"/>
      <c r="AA131" s="658"/>
      <c r="AB131" s="658"/>
      <c r="AC131" s="658"/>
      <c r="AD131" s="658"/>
      <c r="AE131" s="658"/>
      <c r="AF131" s="658"/>
      <c r="AG131" s="658"/>
      <c r="AH131" s="658"/>
      <c r="AI131" s="658"/>
      <c r="AJ131" s="659"/>
      <c r="AK131" s="1"/>
    </row>
    <row r="132" spans="1:37" s="519" customFormat="1" ht="25.5">
      <c r="A132" s="680">
        <v>62006016</v>
      </c>
      <c r="B132" s="662" t="s">
        <v>906</v>
      </c>
      <c r="C132" s="660">
        <v>1</v>
      </c>
      <c r="D132" s="654" t="s">
        <v>920</v>
      </c>
      <c r="E132" s="647" t="s">
        <v>921</v>
      </c>
      <c r="F132" s="647" t="s">
        <v>922</v>
      </c>
      <c r="G132" s="648">
        <v>179.013182</v>
      </c>
      <c r="H132" s="649">
        <v>9.5575450000000006E-2</v>
      </c>
      <c r="I132" s="650">
        <v>87</v>
      </c>
      <c r="J132" s="650">
        <v>99.3</v>
      </c>
      <c r="K132" s="651">
        <v>-9019</v>
      </c>
      <c r="L132" s="651"/>
      <c r="M132" s="651">
        <v>-8611</v>
      </c>
      <c r="N132" s="651">
        <v>501</v>
      </c>
      <c r="O132" s="651">
        <v>343</v>
      </c>
      <c r="P132" s="651">
        <v>-5127.2000000000007</v>
      </c>
      <c r="Q132" s="651">
        <v>1378.8700000000001</v>
      </c>
      <c r="R132" s="651">
        <v>-0.30000000000000004</v>
      </c>
      <c r="S132" s="651">
        <v>49.5</v>
      </c>
      <c r="T132" s="651">
        <v>-160.01000000000002</v>
      </c>
      <c r="U132" s="651">
        <v>24.345616</v>
      </c>
      <c r="V132" s="652">
        <v>13191.4</v>
      </c>
      <c r="W132" s="678">
        <v>-12936.6</v>
      </c>
      <c r="X132" s="657"/>
      <c r="Y132" s="658"/>
      <c r="Z132" s="658"/>
      <c r="AA132" s="658"/>
      <c r="AB132" s="658"/>
      <c r="AC132" s="658"/>
      <c r="AD132" s="658"/>
      <c r="AE132" s="658"/>
      <c r="AF132" s="658"/>
      <c r="AG132" s="658"/>
      <c r="AH132" s="658"/>
      <c r="AI132" s="658"/>
      <c r="AJ132" s="659"/>
      <c r="AK132" s="1"/>
    </row>
    <row r="133" spans="1:37" s="671" customFormat="1" ht="18.75">
      <c r="A133" s="664" t="s">
        <v>1372</v>
      </c>
      <c r="B133" s="675"/>
      <c r="C133" s="665"/>
      <c r="D133" s="666"/>
      <c r="E133" s="667"/>
      <c r="F133" s="667"/>
      <c r="G133" s="667"/>
      <c r="H133" s="665"/>
      <c r="I133" s="670"/>
      <c r="J133" s="670"/>
      <c r="K133" s="670"/>
      <c r="L133" s="670"/>
      <c r="M133" s="670"/>
      <c r="N133" s="670"/>
      <c r="O133" s="670"/>
      <c r="P133" s="670"/>
      <c r="Q133" s="670"/>
      <c r="R133" s="670"/>
      <c r="S133" s="670"/>
      <c r="T133" s="670"/>
      <c r="U133" s="670"/>
      <c r="V133" s="670"/>
      <c r="W133" s="679"/>
      <c r="X133" s="668"/>
      <c r="Y133" s="665"/>
      <c r="Z133" s="665"/>
      <c r="AA133" s="665"/>
      <c r="AB133" s="665"/>
      <c r="AC133" s="665"/>
      <c r="AD133" s="665"/>
      <c r="AE133" s="665"/>
      <c r="AF133" s="665"/>
      <c r="AG133" s="665"/>
      <c r="AH133" s="665"/>
      <c r="AI133" s="665"/>
      <c r="AJ133" s="669"/>
    </row>
    <row r="134" spans="1:37" s="519" customFormat="1" ht="38.25">
      <c r="A134" s="680">
        <v>62006017</v>
      </c>
      <c r="B134" s="662" t="s">
        <v>832</v>
      </c>
      <c r="C134" s="646">
        <v>1</v>
      </c>
      <c r="D134" s="654" t="s">
        <v>885</v>
      </c>
      <c r="E134" s="647" t="s">
        <v>886</v>
      </c>
      <c r="F134" s="647" t="s">
        <v>708</v>
      </c>
      <c r="G134" s="648">
        <v>-16.495609999999999</v>
      </c>
      <c r="H134" s="649">
        <v>3.5962610800000001</v>
      </c>
      <c r="I134" s="650">
        <v>96.7</v>
      </c>
      <c r="J134" s="650">
        <v>93.2</v>
      </c>
      <c r="K134" s="651">
        <v>2738</v>
      </c>
      <c r="L134" s="651">
        <v>761.34628134395621</v>
      </c>
      <c r="M134" s="651">
        <v>2744</v>
      </c>
      <c r="N134" s="651">
        <v>255</v>
      </c>
      <c r="O134" s="651">
        <v>1583</v>
      </c>
      <c r="P134" s="651">
        <v>100.70000000000073</v>
      </c>
      <c r="Q134" s="651">
        <v>91.989215999999942</v>
      </c>
      <c r="R134" s="651">
        <v>797.76581699999997</v>
      </c>
      <c r="S134" s="651">
        <v>0.5</v>
      </c>
      <c r="T134" s="651">
        <v>-1.0300000000000011</v>
      </c>
      <c r="U134" s="651">
        <v>-7.4944030000000001</v>
      </c>
      <c r="V134" s="652"/>
      <c r="W134" s="678"/>
      <c r="X134" s="657" t="s">
        <v>723</v>
      </c>
      <c r="Y134" s="658">
        <v>2371.7407291599998</v>
      </c>
      <c r="Z134" s="658">
        <v>9.3254429999999999E-2</v>
      </c>
      <c r="AA134" s="658">
        <v>2050.73424626</v>
      </c>
      <c r="AB134" s="658">
        <v>2048.8236275099998</v>
      </c>
      <c r="AC134" s="658">
        <v>3.0361611000000002</v>
      </c>
      <c r="AD134" s="658">
        <v>3.03200029</v>
      </c>
      <c r="AE134" s="658">
        <v>0.14512235000000001</v>
      </c>
      <c r="AF134" s="658">
        <v>3.5961916899999999</v>
      </c>
      <c r="AG134" s="658">
        <v>3.59098037</v>
      </c>
      <c r="AH134" s="658">
        <v>-7.8818299999999994E-3</v>
      </c>
      <c r="AI134" s="658">
        <v>0.13722971</v>
      </c>
      <c r="AJ134" s="659">
        <v>0.63450154999999997</v>
      </c>
      <c r="AK134" s="1"/>
    </row>
    <row r="135" spans="1:37" s="519" customFormat="1" ht="38.25">
      <c r="A135" s="680">
        <v>62006017</v>
      </c>
      <c r="B135" s="662" t="s">
        <v>831</v>
      </c>
      <c r="C135" s="646">
        <v>2</v>
      </c>
      <c r="D135" s="654" t="s">
        <v>885</v>
      </c>
      <c r="E135" s="647" t="s">
        <v>886</v>
      </c>
      <c r="F135" s="647" t="s">
        <v>708</v>
      </c>
      <c r="G135" s="648">
        <v>-17.93083</v>
      </c>
      <c r="H135" s="649">
        <v>3.8664160999999999</v>
      </c>
      <c r="I135" s="650">
        <v>93.2</v>
      </c>
      <c r="J135" s="650">
        <v>90.3</v>
      </c>
      <c r="K135" s="651">
        <v>2491</v>
      </c>
      <c r="L135" s="651">
        <v>644.26588747134588</v>
      </c>
      <c r="M135" s="651">
        <v>2499</v>
      </c>
      <c r="N135" s="651">
        <v>256</v>
      </c>
      <c r="O135" s="651">
        <v>1256</v>
      </c>
      <c r="P135" s="651">
        <v>148.20000000000073</v>
      </c>
      <c r="Q135" s="651">
        <v>131.04585900000006</v>
      </c>
      <c r="R135" s="651">
        <v>828.63267700000006</v>
      </c>
      <c r="S135" s="651">
        <v>0.90000000000000568</v>
      </c>
      <c r="T135" s="651">
        <v>-1.5999999999999943</v>
      </c>
      <c r="U135" s="651">
        <v>-6.6319100000000004</v>
      </c>
      <c r="V135" s="652"/>
      <c r="W135" s="678"/>
      <c r="X135" s="657" t="s">
        <v>723</v>
      </c>
      <c r="Y135" s="658">
        <v>1475.7640616000001</v>
      </c>
      <c r="Z135" s="658">
        <v>-0.97726409999999997</v>
      </c>
      <c r="AA135" s="658">
        <v>3382.85019513</v>
      </c>
      <c r="AB135" s="658">
        <v>3416.2358415600002</v>
      </c>
      <c r="AC135" s="658">
        <v>2.9811334399999998</v>
      </c>
      <c r="AD135" s="658">
        <v>2.9953647499999998</v>
      </c>
      <c r="AE135" s="658">
        <v>0.16614651999999999</v>
      </c>
      <c r="AF135" s="658">
        <v>3.8662434600000002</v>
      </c>
      <c r="AG135" s="658">
        <v>3.8598304899999998</v>
      </c>
      <c r="AH135" s="658">
        <v>-0.64431885</v>
      </c>
      <c r="AI135" s="658">
        <v>-0.47511110000000001</v>
      </c>
      <c r="AJ135" s="659">
        <v>0.72008472999999995</v>
      </c>
      <c r="AK135" s="1"/>
    </row>
    <row r="136" spans="1:37" s="519" customFormat="1" ht="38.25">
      <c r="A136" s="680">
        <v>62006017</v>
      </c>
      <c r="B136" s="662" t="s">
        <v>830</v>
      </c>
      <c r="C136" s="646" t="s">
        <v>1362</v>
      </c>
      <c r="D136" s="654" t="s">
        <v>885</v>
      </c>
      <c r="E136" s="647" t="s">
        <v>886</v>
      </c>
      <c r="F136" s="647" t="s">
        <v>708</v>
      </c>
      <c r="G136" s="648">
        <v>-17.21322</v>
      </c>
      <c r="H136" s="649">
        <v>7.46267718</v>
      </c>
      <c r="I136" s="650">
        <v>96.7</v>
      </c>
      <c r="J136" s="650">
        <v>90.3</v>
      </c>
      <c r="K136" s="651">
        <v>5229</v>
      </c>
      <c r="L136" s="651">
        <v>700.68688138001437</v>
      </c>
      <c r="M136" s="651">
        <v>5243</v>
      </c>
      <c r="N136" s="651">
        <v>511</v>
      </c>
      <c r="O136" s="651">
        <v>2839</v>
      </c>
      <c r="P136" s="651">
        <v>248.90000000000146</v>
      </c>
      <c r="Q136" s="651">
        <v>223.03507500000001</v>
      </c>
      <c r="R136" s="651">
        <v>1626.398494</v>
      </c>
      <c r="S136" s="651">
        <v>1.4000000000000057</v>
      </c>
      <c r="T136" s="651">
        <v>-2.6299999999999955</v>
      </c>
      <c r="U136" s="651">
        <v>-7.0631564999999998</v>
      </c>
      <c r="V136" s="652"/>
      <c r="W136" s="678"/>
      <c r="X136" s="657" t="s">
        <v>723</v>
      </c>
      <c r="Y136" s="658"/>
      <c r="Z136" s="658"/>
      <c r="AA136" s="658"/>
      <c r="AB136" s="658"/>
      <c r="AC136" s="658"/>
      <c r="AD136" s="658"/>
      <c r="AE136" s="658"/>
      <c r="AF136" s="658"/>
      <c r="AG136" s="658"/>
      <c r="AH136" s="658"/>
      <c r="AI136" s="658"/>
      <c r="AJ136" s="659"/>
      <c r="AK136" s="1"/>
    </row>
    <row r="137" spans="1:37" s="519" customFormat="1" ht="38.25">
      <c r="A137" s="680">
        <v>62006017</v>
      </c>
      <c r="B137" s="662" t="s">
        <v>829</v>
      </c>
      <c r="C137" s="646">
        <v>3</v>
      </c>
      <c r="D137" s="654" t="s">
        <v>885</v>
      </c>
      <c r="E137" s="647" t="s">
        <v>886</v>
      </c>
      <c r="F137" s="647" t="s">
        <v>708</v>
      </c>
      <c r="G137" s="648">
        <v>-14.521599</v>
      </c>
      <c r="H137" s="649">
        <v>10.280925939999999</v>
      </c>
      <c r="I137" s="650">
        <v>90.2</v>
      </c>
      <c r="J137" s="650">
        <v>86.3</v>
      </c>
      <c r="K137" s="651">
        <v>3307</v>
      </c>
      <c r="L137" s="651">
        <v>321.66363412204487</v>
      </c>
      <c r="M137" s="651">
        <v>3308</v>
      </c>
      <c r="N137" s="651">
        <v>32</v>
      </c>
      <c r="O137" s="651">
        <v>2625</v>
      </c>
      <c r="P137" s="651">
        <v>105.97423600000002</v>
      </c>
      <c r="Q137" s="651">
        <v>89.076998999999887</v>
      </c>
      <c r="R137" s="651">
        <v>538.89575200000013</v>
      </c>
      <c r="S137" s="651">
        <v>0.80000000000000426</v>
      </c>
      <c r="T137" s="651">
        <v>-1.3000000000000114</v>
      </c>
      <c r="U137" s="651">
        <v>-6.1677900000000001</v>
      </c>
      <c r="V137" s="652"/>
      <c r="W137" s="678"/>
      <c r="X137" s="657" t="s">
        <v>723</v>
      </c>
      <c r="Y137" s="658">
        <v>1875.32367686</v>
      </c>
      <c r="Z137" s="658">
        <v>3.5286717400000001</v>
      </c>
      <c r="AA137" s="658">
        <v>1352.8836916400001</v>
      </c>
      <c r="AB137" s="658">
        <v>1306.7719974300001</v>
      </c>
      <c r="AC137" s="658">
        <v>6.8777133900000003</v>
      </c>
      <c r="AD137" s="658">
        <v>6.7904271400000003</v>
      </c>
      <c r="AE137" s="658">
        <v>0.23642114</v>
      </c>
      <c r="AF137" s="658">
        <v>10.2809294</v>
      </c>
      <c r="AG137" s="658">
        <v>10.25668044</v>
      </c>
      <c r="AH137" s="658">
        <v>1.03569669</v>
      </c>
      <c r="AI137" s="658">
        <v>1.285431</v>
      </c>
      <c r="AJ137" s="659">
        <v>0.33398517</v>
      </c>
      <c r="AK137" s="1"/>
    </row>
    <row r="138" spans="1:37" s="519" customFormat="1" ht="38.25">
      <c r="A138" s="680">
        <v>62006017</v>
      </c>
      <c r="B138" s="662" t="s">
        <v>828</v>
      </c>
      <c r="C138" s="646">
        <v>4</v>
      </c>
      <c r="D138" s="654" t="s">
        <v>885</v>
      </c>
      <c r="E138" s="647" t="s">
        <v>886</v>
      </c>
      <c r="F138" s="647" t="s">
        <v>708</v>
      </c>
      <c r="G138" s="648">
        <v>-17.525312</v>
      </c>
      <c r="H138" s="649">
        <v>3.5978732199999999</v>
      </c>
      <c r="I138" s="650">
        <v>86.3</v>
      </c>
      <c r="J138" s="650">
        <v>84.3</v>
      </c>
      <c r="K138" s="651">
        <v>1622</v>
      </c>
      <c r="L138" s="651">
        <v>450.82188860451288</v>
      </c>
      <c r="M138" s="651">
        <v>1620</v>
      </c>
      <c r="N138" s="651">
        <v>54</v>
      </c>
      <c r="O138" s="651">
        <v>1008</v>
      </c>
      <c r="P138" s="651">
        <v>66.799999999999272</v>
      </c>
      <c r="Q138" s="651">
        <v>56.529637999999977</v>
      </c>
      <c r="R138" s="651">
        <v>490.46736199999987</v>
      </c>
      <c r="S138" s="651">
        <v>0.59999999999999432</v>
      </c>
      <c r="T138" s="651">
        <v>-0.53999999999999204</v>
      </c>
      <c r="U138" s="651">
        <v>-3.8110240000000002</v>
      </c>
      <c r="V138" s="652"/>
      <c r="W138" s="678"/>
      <c r="X138" s="657" t="s">
        <v>723</v>
      </c>
      <c r="Y138" s="658">
        <v>2366.85867388</v>
      </c>
      <c r="Z138" s="658">
        <v>0.22278756999999999</v>
      </c>
      <c r="AA138" s="658">
        <v>2053.3499434199998</v>
      </c>
      <c r="AB138" s="658">
        <v>2048.7855039999999</v>
      </c>
      <c r="AC138" s="658">
        <v>3.0360313699999999</v>
      </c>
      <c r="AD138" s="658">
        <v>3.0319383499999999</v>
      </c>
      <c r="AE138" s="658">
        <v>0.19005068999999999</v>
      </c>
      <c r="AF138" s="658">
        <v>3.59780554</v>
      </c>
      <c r="AG138" s="658">
        <v>3.5909808600000002</v>
      </c>
      <c r="AH138" s="658">
        <v>-5.4979930000000003E-2</v>
      </c>
      <c r="AI138" s="658">
        <v>0.13499653</v>
      </c>
      <c r="AJ138" s="659">
        <v>0.63449675000000005</v>
      </c>
      <c r="AK138" s="1"/>
    </row>
    <row r="139" spans="1:37" s="519" customFormat="1" ht="38.25">
      <c r="A139" s="680">
        <v>62006017</v>
      </c>
      <c r="B139" s="662" t="s">
        <v>239</v>
      </c>
      <c r="C139" s="646">
        <v>5</v>
      </c>
      <c r="D139" s="654" t="s">
        <v>885</v>
      </c>
      <c r="E139" s="647" t="s">
        <v>886</v>
      </c>
      <c r="F139" s="647" t="s">
        <v>708</v>
      </c>
      <c r="G139" s="648">
        <v>-18.082474000000001</v>
      </c>
      <c r="H139" s="649">
        <v>3.8630534299999999</v>
      </c>
      <c r="I139" s="650">
        <v>84.3</v>
      </c>
      <c r="J139" s="650">
        <v>82.6</v>
      </c>
      <c r="K139" s="651">
        <v>1509</v>
      </c>
      <c r="L139" s="651">
        <v>390.6236419826065</v>
      </c>
      <c r="M139" s="651">
        <v>1508.32691</v>
      </c>
      <c r="N139" s="651">
        <v>42</v>
      </c>
      <c r="O139" s="651">
        <v>804</v>
      </c>
      <c r="P139" s="651">
        <v>106.73266100000001</v>
      </c>
      <c r="Q139" s="651">
        <v>89.046066999999994</v>
      </c>
      <c r="R139" s="651">
        <v>551.56067200000007</v>
      </c>
      <c r="S139" s="651">
        <v>0.80000000000000426</v>
      </c>
      <c r="T139" s="651">
        <v>-0.93999999999999773</v>
      </c>
      <c r="U139" s="651">
        <v>-3.909179</v>
      </c>
      <c r="V139" s="652"/>
      <c r="W139" s="678"/>
      <c r="X139" s="657" t="s">
        <v>723</v>
      </c>
      <c r="Y139" s="658">
        <v>1475.7703292000001</v>
      </c>
      <c r="Z139" s="658">
        <v>-1.2483453799999999</v>
      </c>
      <c r="AA139" s="658">
        <v>3373.5389808599998</v>
      </c>
      <c r="AB139" s="658">
        <v>3416.18476543</v>
      </c>
      <c r="AC139" s="658">
        <v>2.9864713300000001</v>
      </c>
      <c r="AD139" s="658">
        <v>2.9952812</v>
      </c>
      <c r="AE139" s="658">
        <v>8.1475950000000005E-2</v>
      </c>
      <c r="AF139" s="658">
        <v>3.8629755000000001</v>
      </c>
      <c r="AG139" s="658">
        <v>3.85983067</v>
      </c>
      <c r="AH139" s="658">
        <v>-0.37670902000000001</v>
      </c>
      <c r="AI139" s="658">
        <v>-0.29412507999999998</v>
      </c>
      <c r="AJ139" s="659">
        <v>0.72009208000000002</v>
      </c>
      <c r="AK139" s="1"/>
    </row>
    <row r="140" spans="1:37" s="519" customFormat="1" ht="38.25">
      <c r="A140" s="680">
        <v>62006017</v>
      </c>
      <c r="B140" s="662" t="s">
        <v>833</v>
      </c>
      <c r="C140" s="646" t="s">
        <v>1363</v>
      </c>
      <c r="D140" s="654" t="s">
        <v>885</v>
      </c>
      <c r="E140" s="647" t="s">
        <v>886</v>
      </c>
      <c r="F140" s="647" t="s">
        <v>708</v>
      </c>
      <c r="G140" s="648">
        <v>-17.803893000000002</v>
      </c>
      <c r="H140" s="649">
        <v>7.4609266499999993</v>
      </c>
      <c r="I140" s="650">
        <v>86.3</v>
      </c>
      <c r="J140" s="650">
        <v>82.6</v>
      </c>
      <c r="K140" s="651">
        <v>3131</v>
      </c>
      <c r="L140" s="651">
        <v>419.65296629742369</v>
      </c>
      <c r="M140" s="651">
        <v>3128.3269099999998</v>
      </c>
      <c r="N140" s="651">
        <v>96</v>
      </c>
      <c r="O140" s="651">
        <v>1812</v>
      </c>
      <c r="P140" s="651">
        <v>173.53266099999928</v>
      </c>
      <c r="Q140" s="651">
        <v>145.57570499999997</v>
      </c>
      <c r="R140" s="651">
        <v>1042.0280339999999</v>
      </c>
      <c r="S140" s="651">
        <v>1.3999999999999986</v>
      </c>
      <c r="T140" s="651">
        <v>-1.4799999999999898</v>
      </c>
      <c r="U140" s="651">
        <v>-3.8601014999999999</v>
      </c>
      <c r="V140" s="652"/>
      <c r="W140" s="678"/>
      <c r="X140" s="657" t="s">
        <v>723</v>
      </c>
      <c r="Y140" s="658"/>
      <c r="Z140" s="658"/>
      <c r="AA140" s="658"/>
      <c r="AB140" s="658"/>
      <c r="AC140" s="658"/>
      <c r="AD140" s="658"/>
      <c r="AE140" s="658"/>
      <c r="AF140" s="658"/>
      <c r="AG140" s="658"/>
      <c r="AH140" s="658"/>
      <c r="AI140" s="658"/>
      <c r="AJ140" s="659"/>
      <c r="AK140" s="1"/>
    </row>
    <row r="141" spans="1:37" s="519" customFormat="1" ht="38.25">
      <c r="A141" s="680">
        <v>62006017</v>
      </c>
      <c r="B141" s="662" t="s">
        <v>836</v>
      </c>
      <c r="C141" s="646">
        <v>6</v>
      </c>
      <c r="D141" s="654" t="s">
        <v>885</v>
      </c>
      <c r="E141" s="647" t="s">
        <v>886</v>
      </c>
      <c r="F141" s="647" t="s">
        <v>708</v>
      </c>
      <c r="G141" s="648">
        <v>-14.898562999999999</v>
      </c>
      <c r="H141" s="649">
        <v>1.7741114200000001</v>
      </c>
      <c r="I141" s="650">
        <v>82.5</v>
      </c>
      <c r="J141" s="650">
        <v>78.7</v>
      </c>
      <c r="K141" s="651">
        <v>903.3735700000002</v>
      </c>
      <c r="L141" s="651">
        <v>509.1977650422881</v>
      </c>
      <c r="M141" s="651">
        <v>905</v>
      </c>
      <c r="N141" s="651">
        <v>69</v>
      </c>
      <c r="O141" s="651">
        <v>675</v>
      </c>
      <c r="P141" s="651">
        <v>29.100000000000364</v>
      </c>
      <c r="Q141" s="651">
        <v>24.366097999999965</v>
      </c>
      <c r="R141" s="651">
        <v>128.19906599999968</v>
      </c>
      <c r="S141" s="651">
        <v>0.19999999999999574</v>
      </c>
      <c r="T141" s="651">
        <v>-0.27000000000001023</v>
      </c>
      <c r="U141" s="651">
        <v>-3.967994</v>
      </c>
      <c r="V141" s="652"/>
      <c r="W141" s="678"/>
      <c r="X141" s="657" t="s">
        <v>723</v>
      </c>
      <c r="Y141" s="658">
        <v>5475.8844948400001</v>
      </c>
      <c r="Z141" s="658">
        <v>-2.3865660399999999</v>
      </c>
      <c r="AA141" s="658">
        <v>2400.7209914099999</v>
      </c>
      <c r="AB141" s="658">
        <v>2459.4165925500001</v>
      </c>
      <c r="AC141" s="658">
        <v>3.0209715899999998</v>
      </c>
      <c r="AD141" s="658">
        <v>3.0983246499999999</v>
      </c>
      <c r="AE141" s="658">
        <v>0.11228681</v>
      </c>
      <c r="AF141" s="658">
        <v>1.7740941800000001</v>
      </c>
      <c r="AG141" s="658">
        <v>1.7721043400000001</v>
      </c>
      <c r="AH141" s="658">
        <v>-2.67569773</v>
      </c>
      <c r="AI141" s="658">
        <v>-2.4966092</v>
      </c>
      <c r="AJ141" s="659">
        <v>0.84360263999999996</v>
      </c>
      <c r="AK141" s="1"/>
    </row>
    <row r="142" spans="1:37" s="519" customFormat="1" ht="38.25">
      <c r="A142" s="680">
        <v>62006017</v>
      </c>
      <c r="B142" s="662" t="s">
        <v>837</v>
      </c>
      <c r="C142" s="646">
        <v>7</v>
      </c>
      <c r="D142" s="654" t="s">
        <v>885</v>
      </c>
      <c r="E142" s="647" t="s">
        <v>886</v>
      </c>
      <c r="F142" s="647" t="s">
        <v>708</v>
      </c>
      <c r="G142" s="648">
        <v>-10.859024</v>
      </c>
      <c r="H142" s="649">
        <v>6.2477103500000002</v>
      </c>
      <c r="I142" s="650">
        <v>81.8</v>
      </c>
      <c r="J142" s="650">
        <v>79.099999999999994</v>
      </c>
      <c r="K142" s="651">
        <v>2182</v>
      </c>
      <c r="L142" s="651">
        <v>349.24794488912244</v>
      </c>
      <c r="M142" s="651">
        <v>2187</v>
      </c>
      <c r="N142" s="651">
        <v>31</v>
      </c>
      <c r="O142" s="651">
        <v>1898</v>
      </c>
      <c r="P142" s="651">
        <v>44.799999999999272</v>
      </c>
      <c r="Q142" s="651">
        <v>37.509765000000016</v>
      </c>
      <c r="R142" s="651">
        <v>205.8595650000002</v>
      </c>
      <c r="S142" s="651">
        <v>0.30000000000000426</v>
      </c>
      <c r="T142" s="651">
        <v>-0.40000000000000568</v>
      </c>
      <c r="U142" s="651">
        <v>-3.9975239999999999</v>
      </c>
      <c r="V142" s="652"/>
      <c r="W142" s="678"/>
      <c r="X142" s="657" t="s">
        <v>723</v>
      </c>
      <c r="Y142" s="658">
        <v>11289.602729849999</v>
      </c>
      <c r="Z142" s="658">
        <v>-0.59652760000000005</v>
      </c>
      <c r="AA142" s="658">
        <v>1132.00538334</v>
      </c>
      <c r="AB142" s="658">
        <v>1138.7986314899999</v>
      </c>
      <c r="AC142" s="658">
        <v>5.9002057299999997</v>
      </c>
      <c r="AD142" s="658">
        <v>5.8927490999999996</v>
      </c>
      <c r="AE142" s="658">
        <v>0.20622138000000001</v>
      </c>
      <c r="AF142" s="658">
        <v>6.2477158800000003</v>
      </c>
      <c r="AG142" s="658">
        <v>6.2348582700000001</v>
      </c>
      <c r="AH142" s="658">
        <v>-7.958171E-2</v>
      </c>
      <c r="AI142" s="658">
        <v>0.12653897</v>
      </c>
      <c r="AJ142" s="659">
        <v>0.41970787999999998</v>
      </c>
      <c r="AK142" s="1"/>
    </row>
    <row r="143" spans="1:37" s="519" customFormat="1" ht="38.25">
      <c r="A143" s="680">
        <v>62006017</v>
      </c>
      <c r="B143" s="662" t="s">
        <v>835</v>
      </c>
      <c r="C143" s="646" t="s">
        <v>1364</v>
      </c>
      <c r="D143" s="654" t="s">
        <v>885</v>
      </c>
      <c r="E143" s="647" t="s">
        <v>886</v>
      </c>
      <c r="F143" s="647" t="s">
        <v>708</v>
      </c>
      <c r="G143" s="648">
        <v>-12.8787935</v>
      </c>
      <c r="H143" s="649">
        <v>8.0218217700000007</v>
      </c>
      <c r="I143" s="650">
        <v>82.5</v>
      </c>
      <c r="J143" s="650">
        <v>79.099999999999994</v>
      </c>
      <c r="K143" s="651">
        <v>3085.3735700000002</v>
      </c>
      <c r="L143" s="651">
        <v>384.62255313857463</v>
      </c>
      <c r="M143" s="651">
        <v>3092</v>
      </c>
      <c r="N143" s="651">
        <v>100</v>
      </c>
      <c r="O143" s="651">
        <v>2573</v>
      </c>
      <c r="P143" s="651">
        <v>73.899999999999636</v>
      </c>
      <c r="Q143" s="651">
        <v>61.875862999999981</v>
      </c>
      <c r="R143" s="651">
        <v>334.05863099999988</v>
      </c>
      <c r="S143" s="651">
        <v>0.5</v>
      </c>
      <c r="T143" s="651">
        <v>-0.67000000000001592</v>
      </c>
      <c r="U143" s="651">
        <v>-3.9827589999999997</v>
      </c>
      <c r="V143" s="652"/>
      <c r="W143" s="678"/>
      <c r="X143" s="657" t="s">
        <v>723</v>
      </c>
      <c r="Y143" s="658"/>
      <c r="Z143" s="658"/>
      <c r="AA143" s="658"/>
      <c r="AB143" s="658"/>
      <c r="AC143" s="658"/>
      <c r="AD143" s="658"/>
      <c r="AE143" s="658"/>
      <c r="AF143" s="658"/>
      <c r="AG143" s="658"/>
      <c r="AH143" s="658"/>
      <c r="AI143" s="658"/>
      <c r="AJ143" s="659"/>
      <c r="AK143" s="1"/>
    </row>
    <row r="144" spans="1:37" s="519" customFormat="1" ht="38.25">
      <c r="A144" s="680">
        <v>62006018</v>
      </c>
      <c r="B144" s="662" t="s">
        <v>838</v>
      </c>
      <c r="C144" s="646">
        <v>1</v>
      </c>
      <c r="D144" s="654" t="s">
        <v>887</v>
      </c>
      <c r="E144" s="647" t="s">
        <v>888</v>
      </c>
      <c r="F144" s="647" t="s">
        <v>708</v>
      </c>
      <c r="G144" s="648">
        <v>-49.259608</v>
      </c>
      <c r="H144" s="649">
        <v>131.49459483000001</v>
      </c>
      <c r="I144" s="650">
        <v>78.7</v>
      </c>
      <c r="J144" s="650">
        <v>28.4</v>
      </c>
      <c r="K144" s="651">
        <v>39471</v>
      </c>
      <c r="L144" s="651">
        <v>300.17203407508305</v>
      </c>
      <c r="M144" s="651">
        <v>39501</v>
      </c>
      <c r="N144" s="651">
        <v>6</v>
      </c>
      <c r="O144" s="651">
        <v>34714</v>
      </c>
      <c r="P144" s="651">
        <v>855.20000000000073</v>
      </c>
      <c r="Q144" s="651">
        <v>715.46193099999982</v>
      </c>
      <c r="R144" s="651">
        <v>3842.6000000000004</v>
      </c>
      <c r="S144" s="651">
        <v>3.6000000000000014</v>
      </c>
      <c r="T144" s="651">
        <v>-8.3800000000000239</v>
      </c>
      <c r="U144" s="651">
        <v>-40.532933999999997</v>
      </c>
      <c r="V144" s="652"/>
      <c r="W144" s="678"/>
      <c r="X144" s="657" t="s">
        <v>723</v>
      </c>
      <c r="Y144" s="658">
        <v>17.428242300000001</v>
      </c>
      <c r="Z144" s="658">
        <v>50.262492960000003</v>
      </c>
      <c r="AA144" s="658">
        <v>873.25348310000004</v>
      </c>
      <c r="AB144" s="658">
        <v>581.15200000000004</v>
      </c>
      <c r="AC144" s="658">
        <v>98.945206900000002</v>
      </c>
      <c r="AD144" s="658">
        <v>98.317524669999997</v>
      </c>
      <c r="AE144" s="658">
        <v>0.28614722999999997</v>
      </c>
      <c r="AF144" s="658">
        <v>131.49476060000001</v>
      </c>
      <c r="AG144" s="658">
        <v>131.11956559999999</v>
      </c>
      <c r="AH144" s="658">
        <v>0.35004157000000002</v>
      </c>
      <c r="AI144" s="658">
        <v>0.63842354000000001</v>
      </c>
      <c r="AJ144" s="659">
        <v>8.4020799999999993E-3</v>
      </c>
      <c r="AK144" s="1"/>
    </row>
    <row r="145" spans="1:37" s="519" customFormat="1" ht="25.5">
      <c r="A145" s="680">
        <v>62006019</v>
      </c>
      <c r="B145" s="662" t="s">
        <v>839</v>
      </c>
      <c r="C145" s="646">
        <v>1</v>
      </c>
      <c r="D145" s="654" t="s">
        <v>889</v>
      </c>
      <c r="E145" s="647" t="s">
        <v>890</v>
      </c>
      <c r="F145" s="647" t="s">
        <v>708</v>
      </c>
      <c r="G145" s="648">
        <v>-9.5726790000000008</v>
      </c>
      <c r="H145" s="649">
        <v>1.7741857299999999</v>
      </c>
      <c r="I145" s="650">
        <v>24.8</v>
      </c>
      <c r="J145" s="650">
        <v>24.8</v>
      </c>
      <c r="K145" s="651">
        <v>654.78478100000211</v>
      </c>
      <c r="L145" s="651">
        <v>369.06213928346847</v>
      </c>
      <c r="M145" s="651">
        <v>655.39568100000179</v>
      </c>
      <c r="N145" s="651">
        <v>38</v>
      </c>
      <c r="O145" s="651">
        <v>450</v>
      </c>
      <c r="P145" s="651">
        <v>27.899999999999636</v>
      </c>
      <c r="Q145" s="651">
        <v>23.572157000000061</v>
      </c>
      <c r="R145" s="651">
        <v>135.82265199999983</v>
      </c>
      <c r="S145" s="651">
        <v>0</v>
      </c>
      <c r="T145" s="651">
        <v>-0.28999999999999204</v>
      </c>
      <c r="U145" s="651">
        <v>-4.488537</v>
      </c>
      <c r="V145" s="652"/>
      <c r="W145" s="678"/>
      <c r="X145" s="657" t="s">
        <v>723</v>
      </c>
      <c r="Y145" s="658">
        <v>5450.3362978599998</v>
      </c>
      <c r="Z145" s="658">
        <v>-4.1246111900000004</v>
      </c>
      <c r="AA145" s="658">
        <v>2358.2420243199999</v>
      </c>
      <c r="AB145" s="658">
        <v>2459.6948743399998</v>
      </c>
      <c r="AC145" s="658">
        <v>3.0253569800000002</v>
      </c>
      <c r="AD145" s="658">
        <v>3.0989737399999999</v>
      </c>
      <c r="AE145" s="658">
        <v>0.11030474999999999</v>
      </c>
      <c r="AF145" s="658">
        <v>1.77415437</v>
      </c>
      <c r="AG145" s="658">
        <v>1.7721995500000001</v>
      </c>
      <c r="AH145" s="658">
        <v>-2.5463134699999999</v>
      </c>
      <c r="AI145" s="658">
        <v>-2.3755205199999998</v>
      </c>
      <c r="AJ145" s="659">
        <v>0.84361717000000003</v>
      </c>
      <c r="AK145" s="1"/>
    </row>
    <row r="146" spans="1:37" s="519" customFormat="1" ht="25.5">
      <c r="A146" s="680">
        <v>62006019</v>
      </c>
      <c r="B146" s="662" t="s">
        <v>840</v>
      </c>
      <c r="C146" s="646">
        <v>2</v>
      </c>
      <c r="D146" s="654" t="s">
        <v>889</v>
      </c>
      <c r="E146" s="647" t="s">
        <v>890</v>
      </c>
      <c r="F146" s="647" t="s">
        <v>708</v>
      </c>
      <c r="G146" s="648">
        <v>-6.8216020000000004</v>
      </c>
      <c r="H146" s="649">
        <v>6.2519422799999997</v>
      </c>
      <c r="I146" s="650">
        <v>24.8</v>
      </c>
      <c r="J146" s="650">
        <v>24.8</v>
      </c>
      <c r="K146" s="651">
        <v>1935.2152189999979</v>
      </c>
      <c r="L146" s="651">
        <v>309.53824145030302</v>
      </c>
      <c r="M146" s="651">
        <v>1938</v>
      </c>
      <c r="N146" s="651">
        <v>16</v>
      </c>
      <c r="O146" s="651">
        <v>1710</v>
      </c>
      <c r="P146" s="651">
        <v>39</v>
      </c>
      <c r="Q146" s="651">
        <v>32.379883999999947</v>
      </c>
      <c r="R146" s="651">
        <v>167.77734799999962</v>
      </c>
      <c r="S146" s="651">
        <v>0.20000000000000284</v>
      </c>
      <c r="T146" s="651">
        <v>-0.46000000000000796</v>
      </c>
      <c r="U146" s="651">
        <v>-4.4783229999999996</v>
      </c>
      <c r="V146" s="652"/>
      <c r="W146" s="678"/>
      <c r="X146" s="657" t="s">
        <v>723</v>
      </c>
      <c r="Y146" s="658">
        <v>11290.734611710001</v>
      </c>
      <c r="Z146" s="658">
        <v>-5.6790924800000004</v>
      </c>
      <c r="AA146" s="658">
        <v>1074.4969714199999</v>
      </c>
      <c r="AB146" s="658">
        <v>1139.19278304</v>
      </c>
      <c r="AC146" s="658">
        <v>5.8143388600000003</v>
      </c>
      <c r="AD146" s="658">
        <v>5.89500724</v>
      </c>
      <c r="AE146" s="658">
        <v>0.25961582999999999</v>
      </c>
      <c r="AF146" s="658">
        <v>6.2519417500000003</v>
      </c>
      <c r="AG146" s="658">
        <v>6.2357527499999996</v>
      </c>
      <c r="AH146" s="658">
        <v>-1.6506219900000001</v>
      </c>
      <c r="AI146" s="658">
        <v>-1.3684187400000001</v>
      </c>
      <c r="AJ146" s="659">
        <v>0.41977209999999998</v>
      </c>
      <c r="AK146" s="1"/>
    </row>
    <row r="147" spans="1:37" s="519" customFormat="1" ht="25.5">
      <c r="A147" s="680">
        <v>62006019</v>
      </c>
      <c r="B147" s="662" t="s">
        <v>834</v>
      </c>
      <c r="C147" s="646" t="s">
        <v>1362</v>
      </c>
      <c r="D147" s="654" t="s">
        <v>889</v>
      </c>
      <c r="E147" s="647" t="s">
        <v>890</v>
      </c>
      <c r="F147" s="647" t="s">
        <v>708</v>
      </c>
      <c r="G147" s="648">
        <v>-8.1971404999999997</v>
      </c>
      <c r="H147" s="649">
        <v>8.026128009999999</v>
      </c>
      <c r="I147" s="650">
        <v>24.8</v>
      </c>
      <c r="J147" s="650">
        <v>24.8</v>
      </c>
      <c r="K147" s="651">
        <v>2590</v>
      </c>
      <c r="L147" s="651">
        <v>322.69607421823321</v>
      </c>
      <c r="M147" s="651">
        <v>2593.3956810000018</v>
      </c>
      <c r="N147" s="651">
        <v>54</v>
      </c>
      <c r="O147" s="651">
        <v>2160</v>
      </c>
      <c r="P147" s="651">
        <v>66.899999999999636</v>
      </c>
      <c r="Q147" s="651">
        <v>55.952041000000008</v>
      </c>
      <c r="R147" s="651">
        <v>303.59999999999945</v>
      </c>
      <c r="S147" s="651">
        <v>0.20000000000000284</v>
      </c>
      <c r="T147" s="651">
        <v>-0.75</v>
      </c>
      <c r="U147" s="651">
        <v>-4.4834300000000002</v>
      </c>
      <c r="V147" s="652"/>
      <c r="W147" s="678"/>
      <c r="X147" s="657" t="s">
        <v>723</v>
      </c>
      <c r="Y147" s="658"/>
      <c r="Z147" s="658"/>
      <c r="AA147" s="658"/>
      <c r="AB147" s="658"/>
      <c r="AC147" s="658"/>
      <c r="AD147" s="658"/>
      <c r="AE147" s="658"/>
      <c r="AF147" s="658"/>
      <c r="AG147" s="658"/>
      <c r="AH147" s="658"/>
      <c r="AI147" s="658"/>
      <c r="AJ147" s="659"/>
      <c r="AK147" s="1"/>
    </row>
    <row r="148" spans="1:37" s="519" customFormat="1" ht="25.5">
      <c r="A148" s="680">
        <v>62006019</v>
      </c>
      <c r="B148" s="662" t="s">
        <v>841</v>
      </c>
      <c r="C148" s="646">
        <v>3</v>
      </c>
      <c r="D148" s="654" t="s">
        <v>889</v>
      </c>
      <c r="E148" s="647" t="s">
        <v>890</v>
      </c>
      <c r="F148" s="647" t="s">
        <v>708</v>
      </c>
      <c r="G148" s="648">
        <v>-14.155946999999999</v>
      </c>
      <c r="H148" s="649">
        <v>3.59738779</v>
      </c>
      <c r="I148" s="650">
        <v>24.7</v>
      </c>
      <c r="J148" s="650">
        <v>23.2</v>
      </c>
      <c r="K148" s="651">
        <v>1139</v>
      </c>
      <c r="L148" s="651">
        <v>316.61863176557898</v>
      </c>
      <c r="M148" s="651">
        <v>1144</v>
      </c>
      <c r="N148" s="651">
        <v>6</v>
      </c>
      <c r="O148" s="651">
        <v>773</v>
      </c>
      <c r="P148" s="651">
        <v>57</v>
      </c>
      <c r="Q148" s="651">
        <v>47.709709000000203</v>
      </c>
      <c r="R148" s="651">
        <v>300.40000000000055</v>
      </c>
      <c r="S148" s="651">
        <v>0.20000000000000284</v>
      </c>
      <c r="T148" s="651">
        <v>-0.65000000000000568</v>
      </c>
      <c r="U148" s="651">
        <v>-4.6248659999999999</v>
      </c>
      <c r="V148" s="652"/>
      <c r="W148" s="678"/>
      <c r="X148" s="657" t="s">
        <v>723</v>
      </c>
      <c r="Y148" s="658">
        <v>2368.1268613000002</v>
      </c>
      <c r="Z148" s="658">
        <v>-1.2648712799999999</v>
      </c>
      <c r="AA148" s="658">
        <v>2022.8919207199999</v>
      </c>
      <c r="AB148" s="658">
        <v>2048.8066881300001</v>
      </c>
      <c r="AC148" s="658">
        <v>3.0224561300000001</v>
      </c>
      <c r="AD148" s="658">
        <v>3.0319835199999998</v>
      </c>
      <c r="AE148" s="658">
        <v>0.17784427</v>
      </c>
      <c r="AF148" s="658">
        <v>3.59736703</v>
      </c>
      <c r="AG148" s="658">
        <v>3.59098067</v>
      </c>
      <c r="AH148" s="658">
        <v>-0.49362499999999998</v>
      </c>
      <c r="AI148" s="658">
        <v>-0.31422960999999999</v>
      </c>
      <c r="AJ148" s="659">
        <v>0.63449522999999997</v>
      </c>
      <c r="AK148" s="1"/>
    </row>
    <row r="149" spans="1:37" s="519" customFormat="1" ht="25.5">
      <c r="A149" s="680">
        <v>62006019</v>
      </c>
      <c r="B149" s="662" t="s">
        <v>234</v>
      </c>
      <c r="C149" s="646">
        <v>4</v>
      </c>
      <c r="D149" s="654" t="s">
        <v>889</v>
      </c>
      <c r="E149" s="647" t="s">
        <v>890</v>
      </c>
      <c r="F149" s="647" t="s">
        <v>708</v>
      </c>
      <c r="G149" s="648">
        <v>-16.715432</v>
      </c>
      <c r="H149" s="649">
        <v>3.8641895900000001</v>
      </c>
      <c r="I149" s="650">
        <v>23.2</v>
      </c>
      <c r="J149" s="650">
        <v>21.5</v>
      </c>
      <c r="K149" s="651">
        <v>1201</v>
      </c>
      <c r="L149" s="651">
        <v>310.80255562719424</v>
      </c>
      <c r="M149" s="651">
        <v>1210</v>
      </c>
      <c r="N149" s="651">
        <v>16</v>
      </c>
      <c r="O149" s="651">
        <v>713</v>
      </c>
      <c r="P149" s="651">
        <v>95.435562000000573</v>
      </c>
      <c r="Q149" s="651">
        <v>79.569251999999778</v>
      </c>
      <c r="R149" s="651">
        <v>374.43556200000057</v>
      </c>
      <c r="S149" s="651">
        <v>0.29999999999999716</v>
      </c>
      <c r="T149" s="651">
        <v>-1.1100000000000136</v>
      </c>
      <c r="U149" s="651">
        <v>-4.6147650000000002</v>
      </c>
      <c r="V149" s="652"/>
      <c r="W149" s="678"/>
      <c r="X149" s="657" t="s">
        <v>723</v>
      </c>
      <c r="Y149" s="658">
        <v>1476.03174038</v>
      </c>
      <c r="Z149" s="658">
        <v>-1.5450773200000001</v>
      </c>
      <c r="AA149" s="658">
        <v>3363.4475693899999</v>
      </c>
      <c r="AB149" s="658">
        <v>3416.23097955</v>
      </c>
      <c r="AC149" s="658">
        <v>2.9819343800000002</v>
      </c>
      <c r="AD149" s="658">
        <v>2.9953529799999998</v>
      </c>
      <c r="AE149" s="658">
        <v>0.11030191</v>
      </c>
      <c r="AF149" s="658">
        <v>3.8640884400000002</v>
      </c>
      <c r="AG149" s="658">
        <v>3.8598309799999999</v>
      </c>
      <c r="AH149" s="658">
        <v>-0.56079460000000003</v>
      </c>
      <c r="AI149" s="658">
        <v>-0.44798044999999997</v>
      </c>
      <c r="AJ149" s="659">
        <v>0.72008691000000002</v>
      </c>
      <c r="AK149" s="1"/>
    </row>
    <row r="150" spans="1:37" s="519" customFormat="1" ht="25.5">
      <c r="A150" s="680">
        <v>62006019</v>
      </c>
      <c r="B150" s="662" t="s">
        <v>842</v>
      </c>
      <c r="C150" s="646" t="s">
        <v>1365</v>
      </c>
      <c r="D150" s="654" t="s">
        <v>889</v>
      </c>
      <c r="E150" s="647" t="s">
        <v>890</v>
      </c>
      <c r="F150" s="647" t="s">
        <v>708</v>
      </c>
      <c r="G150" s="648">
        <v>-15.435689499999999</v>
      </c>
      <c r="H150" s="649">
        <v>7.4615773799999996</v>
      </c>
      <c r="I150" s="650">
        <v>24.7</v>
      </c>
      <c r="J150" s="650">
        <v>21.5</v>
      </c>
      <c r="K150" s="651">
        <v>2340</v>
      </c>
      <c r="L150" s="651">
        <v>313.60661168939055</v>
      </c>
      <c r="M150" s="651">
        <v>2354</v>
      </c>
      <c r="N150" s="651">
        <v>22</v>
      </c>
      <c r="O150" s="651">
        <v>1486</v>
      </c>
      <c r="P150" s="651">
        <v>152.43556200000057</v>
      </c>
      <c r="Q150" s="651">
        <v>127.27896099999998</v>
      </c>
      <c r="R150" s="651">
        <v>674.83556200000112</v>
      </c>
      <c r="S150" s="651">
        <v>0.5</v>
      </c>
      <c r="T150" s="651">
        <v>-1.7600000000000193</v>
      </c>
      <c r="U150" s="651">
        <v>-4.6198154999999996</v>
      </c>
      <c r="V150" s="652"/>
      <c r="W150" s="678"/>
      <c r="X150" s="657" t="s">
        <v>723</v>
      </c>
      <c r="Y150" s="658"/>
      <c r="Z150" s="658"/>
      <c r="AA150" s="658"/>
      <c r="AB150" s="658"/>
      <c r="AC150" s="658"/>
      <c r="AD150" s="658"/>
      <c r="AE150" s="658"/>
      <c r="AF150" s="658"/>
      <c r="AG150" s="658"/>
      <c r="AH150" s="658"/>
      <c r="AI150" s="658"/>
      <c r="AJ150" s="659"/>
      <c r="AK150" s="1"/>
    </row>
    <row r="151" spans="1:37" s="519" customFormat="1" ht="25.5">
      <c r="A151" s="680">
        <v>62006019</v>
      </c>
      <c r="B151" s="662" t="s">
        <v>56</v>
      </c>
      <c r="C151" s="646">
        <v>5</v>
      </c>
      <c r="D151" s="654" t="s">
        <v>889</v>
      </c>
      <c r="E151" s="647" t="s">
        <v>890</v>
      </c>
      <c r="F151" s="647" t="s">
        <v>708</v>
      </c>
      <c r="G151" s="648">
        <v>-13.949801000000001</v>
      </c>
      <c r="H151" s="649">
        <v>10.28346245</v>
      </c>
      <c r="I151" s="650">
        <v>21.5</v>
      </c>
      <c r="J151" s="650">
        <v>17.600000000000001</v>
      </c>
      <c r="K151" s="651">
        <v>2768</v>
      </c>
      <c r="L151" s="651">
        <v>269.17004009675748</v>
      </c>
      <c r="M151" s="651">
        <v>2775</v>
      </c>
      <c r="N151" s="651">
        <v>2</v>
      </c>
      <c r="O151" s="651">
        <v>2349</v>
      </c>
      <c r="P151" s="651">
        <v>83.300000000000182</v>
      </c>
      <c r="Q151" s="651">
        <v>69.509123999999701</v>
      </c>
      <c r="R151" s="651">
        <v>329.39105100000052</v>
      </c>
      <c r="S151" s="651">
        <v>0.20000000000000284</v>
      </c>
      <c r="T151" s="651">
        <v>-0.96999999999999886</v>
      </c>
      <c r="U151" s="651">
        <v>-4.5539740000000002</v>
      </c>
      <c r="V151" s="652"/>
      <c r="W151" s="678"/>
      <c r="X151" s="657" t="s">
        <v>723</v>
      </c>
      <c r="Y151" s="658">
        <v>1875.2828452900001</v>
      </c>
      <c r="Z151" s="658">
        <v>2.1680739400000002</v>
      </c>
      <c r="AA151" s="658">
        <v>1335.1030058599999</v>
      </c>
      <c r="AB151" s="658">
        <v>1306.7712391600001</v>
      </c>
      <c r="AC151" s="658">
        <v>6.8334394200000004</v>
      </c>
      <c r="AD151" s="658">
        <v>6.79041242</v>
      </c>
      <c r="AE151" s="658">
        <v>0.26112354999999998</v>
      </c>
      <c r="AF151" s="658">
        <v>10.28346294</v>
      </c>
      <c r="AG151" s="658">
        <v>10.25668033</v>
      </c>
      <c r="AH151" s="658">
        <v>0.37017421</v>
      </c>
      <c r="AI151" s="658">
        <v>0.63364335000000005</v>
      </c>
      <c r="AJ151" s="659">
        <v>0.33398576000000002</v>
      </c>
      <c r="AK151" s="1"/>
    </row>
    <row r="152" spans="1:37" s="519" customFormat="1" ht="25.5">
      <c r="A152" s="680">
        <v>62006019</v>
      </c>
      <c r="B152" s="662" t="s">
        <v>843</v>
      </c>
      <c r="C152" s="646">
        <v>6</v>
      </c>
      <c r="D152" s="654" t="s">
        <v>889</v>
      </c>
      <c r="E152" s="647" t="s">
        <v>890</v>
      </c>
      <c r="F152" s="647" t="s">
        <v>708</v>
      </c>
      <c r="G152" s="648">
        <v>-16.542808000000001</v>
      </c>
      <c r="H152" s="649">
        <v>3.5966684099999999</v>
      </c>
      <c r="I152" s="650">
        <v>17.600000000000001</v>
      </c>
      <c r="J152" s="650">
        <v>15.8</v>
      </c>
      <c r="K152" s="651">
        <v>1195</v>
      </c>
      <c r="L152" s="651">
        <v>332.25192421894684</v>
      </c>
      <c r="M152" s="651">
        <v>1196</v>
      </c>
      <c r="N152" s="651">
        <v>6</v>
      </c>
      <c r="O152" s="651">
        <v>799</v>
      </c>
      <c r="P152" s="651">
        <v>57.731932000000597</v>
      </c>
      <c r="Q152" s="651">
        <v>48.612660999999662</v>
      </c>
      <c r="R152" s="651">
        <v>329.56386400000156</v>
      </c>
      <c r="S152" s="651">
        <v>0.20000000000000284</v>
      </c>
      <c r="T152" s="651">
        <v>-0.64000000000001478</v>
      </c>
      <c r="U152" s="651">
        <v>-4.5729329999999999</v>
      </c>
      <c r="V152" s="652"/>
      <c r="W152" s="678"/>
      <c r="X152" s="657" t="s">
        <v>723</v>
      </c>
      <c r="Y152" s="658">
        <v>2367.8780926999998</v>
      </c>
      <c r="Z152" s="658">
        <v>-0.81573443999999995</v>
      </c>
      <c r="AA152" s="658">
        <v>2032.0759731600001</v>
      </c>
      <c r="AB152" s="658">
        <v>2048.7886478</v>
      </c>
      <c r="AC152" s="658">
        <v>3.0293345899999999</v>
      </c>
      <c r="AD152" s="658">
        <v>3.03194688</v>
      </c>
      <c r="AE152" s="658">
        <v>0.15768372999999999</v>
      </c>
      <c r="AF152" s="658">
        <v>3.5966428600000002</v>
      </c>
      <c r="AG152" s="658">
        <v>3.5909804699999999</v>
      </c>
      <c r="AH152" s="658">
        <v>-0.24405294</v>
      </c>
      <c r="AI152" s="658">
        <v>-8.6158929999999995E-2</v>
      </c>
      <c r="AJ152" s="659">
        <v>0.63449451999999995</v>
      </c>
      <c r="AK152" s="1"/>
    </row>
    <row r="153" spans="1:37" s="519" customFormat="1" ht="25.5">
      <c r="A153" s="680">
        <v>62006019</v>
      </c>
      <c r="B153" s="662" t="s">
        <v>844</v>
      </c>
      <c r="C153" s="646">
        <v>7</v>
      </c>
      <c r="D153" s="654" t="s">
        <v>889</v>
      </c>
      <c r="E153" s="647" t="s">
        <v>890</v>
      </c>
      <c r="F153" s="647" t="s">
        <v>708</v>
      </c>
      <c r="G153" s="648">
        <v>-18.142040999999999</v>
      </c>
      <c r="H153" s="649">
        <v>3.8643871700000001</v>
      </c>
      <c r="I153" s="650">
        <v>15.8</v>
      </c>
      <c r="J153" s="650">
        <v>14</v>
      </c>
      <c r="K153" s="651">
        <v>1249</v>
      </c>
      <c r="L153" s="651">
        <v>323.20778044607783</v>
      </c>
      <c r="M153" s="651">
        <v>1249</v>
      </c>
      <c r="N153" s="651">
        <v>17</v>
      </c>
      <c r="O153" s="651">
        <v>731</v>
      </c>
      <c r="P153" s="651">
        <v>95.702940000000126</v>
      </c>
      <c r="Q153" s="651">
        <v>80.190584999999828</v>
      </c>
      <c r="R153" s="651">
        <v>403.30588099999841</v>
      </c>
      <c r="S153" s="651">
        <v>0.29999999999999716</v>
      </c>
      <c r="T153" s="651">
        <v>-1.0999999999999943</v>
      </c>
      <c r="U153" s="651">
        <v>-4.5592899999999998</v>
      </c>
      <c r="V153" s="652"/>
      <c r="W153" s="678"/>
      <c r="X153" s="657" t="s">
        <v>723</v>
      </c>
      <c r="Y153" s="658">
        <v>1475.60977146</v>
      </c>
      <c r="Z153" s="658">
        <v>-1.25319556</v>
      </c>
      <c r="AA153" s="658">
        <v>3373.3778620100002</v>
      </c>
      <c r="AB153" s="658">
        <v>3416.18939572</v>
      </c>
      <c r="AC153" s="658">
        <v>2.97845038</v>
      </c>
      <c r="AD153" s="658">
        <v>2.9952823099999999</v>
      </c>
      <c r="AE153" s="658">
        <v>0.11507101</v>
      </c>
      <c r="AF153" s="658">
        <v>3.86427225</v>
      </c>
      <c r="AG153" s="658">
        <v>3.8598307100000002</v>
      </c>
      <c r="AH153" s="658">
        <v>-0.68084509000000004</v>
      </c>
      <c r="AI153" s="658">
        <v>-0.56194809000000001</v>
      </c>
      <c r="AJ153" s="659">
        <v>0.72009299000000004</v>
      </c>
      <c r="AK153" s="1"/>
    </row>
    <row r="154" spans="1:37" s="519" customFormat="1" ht="25.5">
      <c r="A154" s="680">
        <v>62006019</v>
      </c>
      <c r="B154" s="662" t="s">
        <v>845</v>
      </c>
      <c r="C154" s="646" t="s">
        <v>1364</v>
      </c>
      <c r="D154" s="654" t="s">
        <v>889</v>
      </c>
      <c r="E154" s="647" t="s">
        <v>890</v>
      </c>
      <c r="F154" s="647" t="s">
        <v>708</v>
      </c>
      <c r="G154" s="648">
        <v>-17.3424245</v>
      </c>
      <c r="H154" s="649">
        <v>7.46105558</v>
      </c>
      <c r="I154" s="650">
        <v>17.600000000000001</v>
      </c>
      <c r="J154" s="650">
        <v>14</v>
      </c>
      <c r="K154" s="651">
        <v>2444</v>
      </c>
      <c r="L154" s="651">
        <v>327.56759064378929</v>
      </c>
      <c r="M154" s="651">
        <v>2445</v>
      </c>
      <c r="N154" s="651">
        <v>23</v>
      </c>
      <c r="O154" s="651">
        <v>1530</v>
      </c>
      <c r="P154" s="651">
        <v>153.43487200000072</v>
      </c>
      <c r="Q154" s="651">
        <v>128.80324599999949</v>
      </c>
      <c r="R154" s="651">
        <v>732.86974499999997</v>
      </c>
      <c r="S154" s="651">
        <v>0.5</v>
      </c>
      <c r="T154" s="651">
        <v>-1.7400000000000091</v>
      </c>
      <c r="U154" s="651">
        <v>-4.5661114999999999</v>
      </c>
      <c r="V154" s="652"/>
      <c r="W154" s="678"/>
      <c r="X154" s="657" t="s">
        <v>723</v>
      </c>
      <c r="Y154" s="658"/>
      <c r="Z154" s="658"/>
      <c r="AA154" s="658"/>
      <c r="AB154" s="658"/>
      <c r="AC154" s="658"/>
      <c r="AD154" s="658"/>
      <c r="AE154" s="658"/>
      <c r="AF154" s="658"/>
      <c r="AG154" s="658"/>
      <c r="AH154" s="658"/>
      <c r="AI154" s="658"/>
      <c r="AJ154" s="659"/>
      <c r="AK154" s="1"/>
    </row>
    <row r="155" spans="1:37" s="519" customFormat="1" ht="38.25">
      <c r="A155" s="680">
        <v>62006020</v>
      </c>
      <c r="B155" s="662" t="s">
        <v>838</v>
      </c>
      <c r="C155" s="646">
        <v>1</v>
      </c>
      <c r="D155" s="654" t="s">
        <v>891</v>
      </c>
      <c r="E155" s="647" t="s">
        <v>892</v>
      </c>
      <c r="F155" s="647" t="s">
        <v>708</v>
      </c>
      <c r="G155" s="648">
        <v>-10.104049</v>
      </c>
      <c r="H155" s="649">
        <v>17.66500654</v>
      </c>
      <c r="I155" s="650">
        <v>14</v>
      </c>
      <c r="J155" s="650">
        <v>5.3</v>
      </c>
      <c r="K155" s="651">
        <v>5456</v>
      </c>
      <c r="L155" s="651">
        <v>308.85921200457136</v>
      </c>
      <c r="M155" s="651">
        <v>5455</v>
      </c>
      <c r="N155" s="651">
        <v>2</v>
      </c>
      <c r="O155" s="651">
        <v>4787</v>
      </c>
      <c r="P155" s="651">
        <v>110.80000000000018</v>
      </c>
      <c r="Q155" s="651">
        <v>93.670000000000073</v>
      </c>
      <c r="R155" s="651">
        <v>549.89999999999964</v>
      </c>
      <c r="S155" s="651">
        <v>0.30000000000000426</v>
      </c>
      <c r="T155" s="651">
        <v>-1.2800000000000011</v>
      </c>
      <c r="U155" s="651">
        <v>-4.5276199999999998</v>
      </c>
      <c r="V155" s="652"/>
      <c r="W155" s="678"/>
      <c r="X155" s="657" t="s">
        <v>723</v>
      </c>
      <c r="Y155" s="658">
        <v>121.65134127</v>
      </c>
      <c r="Z155" s="658">
        <v>6.5897774800000004</v>
      </c>
      <c r="AA155" s="658">
        <v>619.44862361000003</v>
      </c>
      <c r="AB155" s="658">
        <v>581.15200000000004</v>
      </c>
      <c r="AC155" s="658">
        <v>13.54391203</v>
      </c>
      <c r="AD155" s="658">
        <v>14.539947440000001</v>
      </c>
      <c r="AE155" s="658">
        <v>-4.5353020600000002</v>
      </c>
      <c r="AF155" s="658">
        <v>17.665011199999999</v>
      </c>
      <c r="AG155" s="658">
        <v>18.504234109999999</v>
      </c>
      <c r="AH155" s="658">
        <v>-2.4852853700000002</v>
      </c>
      <c r="AI155" s="658">
        <v>-6.8503370099999996</v>
      </c>
      <c r="AJ155" s="659">
        <v>5.6813910000000002E-2</v>
      </c>
      <c r="AK155" s="1"/>
    </row>
    <row r="156" spans="1:37" s="519" customFormat="1" ht="25.5">
      <c r="A156" s="680">
        <v>62006021</v>
      </c>
      <c r="B156" s="662" t="s">
        <v>914</v>
      </c>
      <c r="C156" s="646">
        <v>1</v>
      </c>
      <c r="D156" s="654" t="s">
        <v>923</v>
      </c>
      <c r="E156" s="647" t="s">
        <v>924</v>
      </c>
      <c r="F156" s="647" t="s">
        <v>708</v>
      </c>
      <c r="G156" s="648">
        <v>21.630282000000001</v>
      </c>
      <c r="H156" s="649">
        <v>1.173688E-2</v>
      </c>
      <c r="I156" s="650"/>
      <c r="J156" s="650"/>
      <c r="K156" s="651">
        <v>-76654</v>
      </c>
      <c r="L156" s="651"/>
      <c r="M156" s="651">
        <v>-76505</v>
      </c>
      <c r="N156" s="651">
        <v>1645</v>
      </c>
      <c r="O156" s="651">
        <v>1360</v>
      </c>
      <c r="P156" s="651">
        <v>-79755.918940000003</v>
      </c>
      <c r="Q156" s="651">
        <v>721.70242399999995</v>
      </c>
      <c r="R156" s="651">
        <v>-21.5</v>
      </c>
      <c r="S156" s="651">
        <v>7.6</v>
      </c>
      <c r="T156" s="651">
        <v>-35.438105999999998</v>
      </c>
      <c r="U156" s="651">
        <v>4.3078830000000004</v>
      </c>
      <c r="V156" s="652">
        <v>85982.900000000009</v>
      </c>
      <c r="W156" s="678">
        <v>-85788.1</v>
      </c>
      <c r="X156" s="657"/>
      <c r="Y156" s="658"/>
      <c r="Z156" s="658"/>
      <c r="AA156" s="658"/>
      <c r="AB156" s="658"/>
      <c r="AC156" s="658"/>
      <c r="AD156" s="658"/>
      <c r="AE156" s="658"/>
      <c r="AF156" s="658"/>
      <c r="AG156" s="658"/>
      <c r="AH156" s="658"/>
      <c r="AI156" s="658"/>
      <c r="AJ156" s="659"/>
      <c r="AK156" s="1"/>
    </row>
    <row r="157" spans="1:37" s="671" customFormat="1" ht="18.75">
      <c r="A157" s="664" t="s">
        <v>1247</v>
      </c>
      <c r="B157" s="675"/>
      <c r="C157" s="665"/>
      <c r="D157" s="666"/>
      <c r="E157" s="667"/>
      <c r="F157" s="667"/>
      <c r="G157" s="667"/>
      <c r="H157" s="665"/>
      <c r="I157" s="670"/>
      <c r="J157" s="670"/>
      <c r="K157" s="670"/>
      <c r="L157" s="670"/>
      <c r="M157" s="670"/>
      <c r="N157" s="670"/>
      <c r="O157" s="670"/>
      <c r="P157" s="670"/>
      <c r="Q157" s="670"/>
      <c r="R157" s="670"/>
      <c r="S157" s="670"/>
      <c r="T157" s="670"/>
      <c r="U157" s="670"/>
      <c r="V157" s="670"/>
      <c r="W157" s="679"/>
      <c r="X157" s="668"/>
      <c r="Y157" s="665"/>
      <c r="Z157" s="665"/>
      <c r="AA157" s="665"/>
      <c r="AB157" s="665"/>
      <c r="AC157" s="665"/>
      <c r="AD157" s="665"/>
      <c r="AE157" s="665"/>
      <c r="AF157" s="665"/>
      <c r="AG157" s="665"/>
      <c r="AH157" s="665"/>
      <c r="AI157" s="665"/>
      <c r="AJ157" s="669"/>
    </row>
    <row r="158" spans="1:37" s="519" customFormat="1" ht="25.5">
      <c r="A158" s="680">
        <v>62006023</v>
      </c>
      <c r="B158" s="662" t="s">
        <v>932</v>
      </c>
      <c r="C158" s="646">
        <v>1</v>
      </c>
      <c r="D158" s="654" t="s">
        <v>949</v>
      </c>
      <c r="E158" s="647" t="s">
        <v>950</v>
      </c>
      <c r="F158" s="647" t="s">
        <v>708</v>
      </c>
      <c r="G158" s="648">
        <v>25.161570000000001</v>
      </c>
      <c r="H158" s="649">
        <v>8.0274372500000002</v>
      </c>
      <c r="I158" s="650">
        <v>92</v>
      </c>
      <c r="J158" s="650">
        <v>89.6</v>
      </c>
      <c r="K158" s="651">
        <v>2096</v>
      </c>
      <c r="L158" s="651">
        <v>261.10450131516131</v>
      </c>
      <c r="M158" s="651">
        <v>2102</v>
      </c>
      <c r="N158" s="651">
        <v>58</v>
      </c>
      <c r="O158" s="651">
        <v>1947</v>
      </c>
      <c r="P158" s="651">
        <v>88.600000000000023</v>
      </c>
      <c r="Q158" s="651">
        <v>75.903966000000082</v>
      </c>
      <c r="R158" s="651">
        <v>9.9999999999999978E-2</v>
      </c>
      <c r="S158" s="651">
        <v>0.69999999999999929</v>
      </c>
      <c r="T158" s="651">
        <v>-20.844286999999998</v>
      </c>
      <c r="U158" s="651">
        <v>-124.79862799999999</v>
      </c>
      <c r="V158" s="652"/>
      <c r="W158" s="678"/>
      <c r="X158" s="657" t="s">
        <v>723</v>
      </c>
      <c r="Y158" s="658">
        <v>9026.8836093600003</v>
      </c>
      <c r="Z158" s="658">
        <v>-3.2027397899999999</v>
      </c>
      <c r="AA158" s="658">
        <v>3483.4952633799999</v>
      </c>
      <c r="AB158" s="658">
        <v>3598.7539893899998</v>
      </c>
      <c r="AC158" s="658">
        <v>8.9016165600000008</v>
      </c>
      <c r="AD158" s="658">
        <v>8.9938089100000003</v>
      </c>
      <c r="AE158" s="658">
        <v>0.2424405</v>
      </c>
      <c r="AF158" s="658">
        <v>8.0273667599999996</v>
      </c>
      <c r="AG158" s="658">
        <v>8.0079522399999998</v>
      </c>
      <c r="AH158" s="658">
        <v>-1.2806324600000001</v>
      </c>
      <c r="AI158" s="658">
        <v>-1.0250646400000001</v>
      </c>
      <c r="AJ158" s="659">
        <v>0.56578951</v>
      </c>
      <c r="AK158" s="1"/>
    </row>
    <row r="159" spans="1:37" s="519" customFormat="1" ht="25.5">
      <c r="A159" s="680">
        <v>62006023</v>
      </c>
      <c r="B159" s="662" t="s">
        <v>933</v>
      </c>
      <c r="C159" s="646">
        <v>2</v>
      </c>
      <c r="D159" s="654" t="s">
        <v>949</v>
      </c>
      <c r="E159" s="647" t="s">
        <v>950</v>
      </c>
      <c r="F159" s="647" t="s">
        <v>708</v>
      </c>
      <c r="G159" s="648">
        <v>24.269962</v>
      </c>
      <c r="H159" s="649">
        <v>8.0269055300000005</v>
      </c>
      <c r="I159" s="650">
        <v>89.6</v>
      </c>
      <c r="J159" s="650">
        <v>87.2</v>
      </c>
      <c r="K159" s="651">
        <v>2008</v>
      </c>
      <c r="L159" s="651">
        <v>250.15866855480482</v>
      </c>
      <c r="M159" s="651">
        <v>2015</v>
      </c>
      <c r="N159" s="651">
        <v>55</v>
      </c>
      <c r="O159" s="651">
        <v>1868</v>
      </c>
      <c r="P159" s="651">
        <v>83.146148999999923</v>
      </c>
      <c r="Q159" s="651">
        <v>69.744280000000003</v>
      </c>
      <c r="R159" s="651">
        <v>9.9999999999999978E-2</v>
      </c>
      <c r="S159" s="651">
        <v>0.59999999999999787</v>
      </c>
      <c r="T159" s="651">
        <v>-13.804619000000002</v>
      </c>
      <c r="U159" s="651">
        <v>-82.892090999999994</v>
      </c>
      <c r="V159" s="652"/>
      <c r="W159" s="678"/>
      <c r="X159" s="657" t="s">
        <v>723</v>
      </c>
      <c r="Y159" s="658">
        <v>9038.5759199299991</v>
      </c>
      <c r="Z159" s="658">
        <v>-3.1727598700000001</v>
      </c>
      <c r="AA159" s="658">
        <v>3484.5151820999999</v>
      </c>
      <c r="AB159" s="658">
        <v>3598.69307157</v>
      </c>
      <c r="AC159" s="658">
        <v>8.9025054299999997</v>
      </c>
      <c r="AD159" s="658">
        <v>8.99376146</v>
      </c>
      <c r="AE159" s="658">
        <v>0.23575363999999999</v>
      </c>
      <c r="AF159" s="658">
        <v>8.0268303900000006</v>
      </c>
      <c r="AG159" s="658">
        <v>8.0079513599999999</v>
      </c>
      <c r="AH159" s="658">
        <v>-1.2632302500000001</v>
      </c>
      <c r="AI159" s="658">
        <v>-1.01465914</v>
      </c>
      <c r="AJ159" s="659">
        <v>0.56577560999999998</v>
      </c>
      <c r="AK159" s="1"/>
    </row>
    <row r="160" spans="1:37" s="519" customFormat="1" ht="25.5">
      <c r="A160" s="680">
        <v>62006023</v>
      </c>
      <c r="B160" s="662" t="s">
        <v>934</v>
      </c>
      <c r="C160" s="646">
        <v>3</v>
      </c>
      <c r="D160" s="654" t="s">
        <v>949</v>
      </c>
      <c r="E160" s="647" t="s">
        <v>950</v>
      </c>
      <c r="F160" s="647" t="s">
        <v>708</v>
      </c>
      <c r="G160" s="648">
        <v>23.865501999999999</v>
      </c>
      <c r="H160" s="649">
        <v>8.02667368</v>
      </c>
      <c r="I160" s="650">
        <v>87.2</v>
      </c>
      <c r="J160" s="650">
        <v>84.9</v>
      </c>
      <c r="K160" s="651">
        <v>1982</v>
      </c>
      <c r="L160" s="651">
        <v>246.92669454577853</v>
      </c>
      <c r="M160" s="651">
        <v>1989</v>
      </c>
      <c r="N160" s="651">
        <v>55</v>
      </c>
      <c r="O160" s="651">
        <v>1853</v>
      </c>
      <c r="P160" s="651">
        <v>72.200000000000045</v>
      </c>
      <c r="Q160" s="651">
        <v>59.029653999999937</v>
      </c>
      <c r="R160" s="651">
        <v>0</v>
      </c>
      <c r="S160" s="651">
        <v>0.60000000000000142</v>
      </c>
      <c r="T160" s="651">
        <v>-4.2000000000000028</v>
      </c>
      <c r="U160" s="651">
        <v>-25.221471999999999</v>
      </c>
      <c r="V160" s="652"/>
      <c r="W160" s="678"/>
      <c r="X160" s="657" t="s">
        <v>723</v>
      </c>
      <c r="Y160" s="658">
        <v>9035.5142251300003</v>
      </c>
      <c r="Z160" s="658">
        <v>-3.1879313699999998</v>
      </c>
      <c r="AA160" s="658">
        <v>3483.9448034900001</v>
      </c>
      <c r="AB160" s="658">
        <v>3598.66786538</v>
      </c>
      <c r="AC160" s="658">
        <v>8.9028932100000002</v>
      </c>
      <c r="AD160" s="658">
        <v>8.9936633700000002</v>
      </c>
      <c r="AE160" s="658">
        <v>0.23301314000000001</v>
      </c>
      <c r="AF160" s="658">
        <v>8.0266118500000001</v>
      </c>
      <c r="AG160" s="658">
        <v>8.0079522700000005</v>
      </c>
      <c r="AH160" s="658">
        <v>-1.2549467400000001</v>
      </c>
      <c r="AI160" s="658">
        <v>-1.00926783</v>
      </c>
      <c r="AJ160" s="659">
        <v>0.56577412000000005</v>
      </c>
      <c r="AK160" s="1"/>
    </row>
    <row r="161" spans="1:37" s="519" customFormat="1" ht="25.5">
      <c r="A161" s="680">
        <v>62006023</v>
      </c>
      <c r="B161" s="662" t="s">
        <v>935</v>
      </c>
      <c r="C161" s="646">
        <v>4</v>
      </c>
      <c r="D161" s="654" t="s">
        <v>949</v>
      </c>
      <c r="E161" s="647" t="s">
        <v>950</v>
      </c>
      <c r="F161" s="647" t="s">
        <v>708</v>
      </c>
      <c r="G161" s="648">
        <v>23.785547999999999</v>
      </c>
      <c r="H161" s="649">
        <v>8.0266351500000006</v>
      </c>
      <c r="I161" s="650">
        <v>84.9</v>
      </c>
      <c r="J161" s="650">
        <v>82.5</v>
      </c>
      <c r="K161" s="651">
        <v>1971</v>
      </c>
      <c r="L161" s="651">
        <v>245.55744258539019</v>
      </c>
      <c r="M161" s="651">
        <v>1979</v>
      </c>
      <c r="N161" s="651">
        <v>55</v>
      </c>
      <c r="O161" s="651">
        <v>1846</v>
      </c>
      <c r="P161" s="651">
        <v>67.799999999999955</v>
      </c>
      <c r="Q161" s="651">
        <v>55.049742999999921</v>
      </c>
      <c r="R161" s="651">
        <v>0.10000000000000009</v>
      </c>
      <c r="S161" s="651">
        <v>0.60000000000000142</v>
      </c>
      <c r="T161" s="651">
        <v>-2.3799999999999955</v>
      </c>
      <c r="U161" s="651">
        <v>-14.297552</v>
      </c>
      <c r="V161" s="652"/>
      <c r="W161" s="678"/>
      <c r="X161" s="657" t="s">
        <v>723</v>
      </c>
      <c r="Y161" s="658">
        <v>9036.8600747199998</v>
      </c>
      <c r="Z161" s="658">
        <v>-3.2609537300000002</v>
      </c>
      <c r="AA161" s="658">
        <v>3481.23727547</v>
      </c>
      <c r="AB161" s="658">
        <v>3598.58548286</v>
      </c>
      <c r="AC161" s="658">
        <v>8.9048108799999994</v>
      </c>
      <c r="AD161" s="658">
        <v>8.9935629600000002</v>
      </c>
      <c r="AE161" s="658">
        <v>0.23271828</v>
      </c>
      <c r="AF161" s="658">
        <v>8.0265885600000004</v>
      </c>
      <c r="AG161" s="658">
        <v>8.0079525900000004</v>
      </c>
      <c r="AH161" s="658">
        <v>-1.2317134199999999</v>
      </c>
      <c r="AI161" s="658">
        <v>-0.9868401</v>
      </c>
      <c r="AJ161" s="659">
        <v>0.56575885999999997</v>
      </c>
      <c r="AK161" s="1"/>
    </row>
    <row r="162" spans="1:37" s="519" customFormat="1" ht="25.5">
      <c r="A162" s="680">
        <v>62006023</v>
      </c>
      <c r="B162" s="662" t="s">
        <v>936</v>
      </c>
      <c r="C162" s="646">
        <v>5</v>
      </c>
      <c r="D162" s="654" t="s">
        <v>949</v>
      </c>
      <c r="E162" s="647" t="s">
        <v>950</v>
      </c>
      <c r="F162" s="647" t="s">
        <v>708</v>
      </c>
      <c r="G162" s="648">
        <v>23.775379999999998</v>
      </c>
      <c r="H162" s="649">
        <v>8.0261424199999993</v>
      </c>
      <c r="I162" s="650">
        <v>82.5</v>
      </c>
      <c r="J162" s="650">
        <v>80.2</v>
      </c>
      <c r="K162" s="651">
        <v>1965</v>
      </c>
      <c r="L162" s="651">
        <v>244.82496038240001</v>
      </c>
      <c r="M162" s="651">
        <v>1972</v>
      </c>
      <c r="N162" s="651">
        <v>55</v>
      </c>
      <c r="O162" s="651">
        <v>1843</v>
      </c>
      <c r="P162" s="651">
        <v>65.500000000000114</v>
      </c>
      <c r="Q162" s="651">
        <v>52.849824000000012</v>
      </c>
      <c r="R162" s="651">
        <v>0</v>
      </c>
      <c r="S162" s="651">
        <v>0.59999999999999787</v>
      </c>
      <c r="T162" s="651">
        <v>-1.7700000000000031</v>
      </c>
      <c r="U162" s="651">
        <v>-10.601604999999999</v>
      </c>
      <c r="V162" s="652"/>
      <c r="W162" s="678"/>
      <c r="X162" s="657" t="s">
        <v>723</v>
      </c>
      <c r="Y162" s="658">
        <v>9036.3787098600005</v>
      </c>
      <c r="Z162" s="658">
        <v>-3.1733893000000002</v>
      </c>
      <c r="AA162" s="658">
        <v>3484.4035235400002</v>
      </c>
      <c r="AB162" s="658">
        <v>3598.6011471299998</v>
      </c>
      <c r="AC162" s="658">
        <v>8.9036311999999995</v>
      </c>
      <c r="AD162" s="658">
        <v>8.9936269499999995</v>
      </c>
      <c r="AE162" s="658">
        <v>0.22684846</v>
      </c>
      <c r="AF162" s="658">
        <v>8.0261189000000002</v>
      </c>
      <c r="AG162" s="658">
        <v>8.0079529800000007</v>
      </c>
      <c r="AH162" s="658">
        <v>-1.23991717</v>
      </c>
      <c r="AI162" s="658">
        <v>-1.00066134</v>
      </c>
      <c r="AJ162" s="659">
        <v>0.56576314999999999</v>
      </c>
      <c r="AK162" s="1"/>
    </row>
    <row r="163" spans="1:37" s="519" customFormat="1" ht="25.5">
      <c r="A163" s="680">
        <v>62006023</v>
      </c>
      <c r="B163" s="662" t="s">
        <v>937</v>
      </c>
      <c r="C163" s="646">
        <v>6</v>
      </c>
      <c r="D163" s="654" t="s">
        <v>949</v>
      </c>
      <c r="E163" s="647" t="s">
        <v>950</v>
      </c>
      <c r="F163" s="647" t="s">
        <v>708</v>
      </c>
      <c r="G163" s="648">
        <v>23.797566</v>
      </c>
      <c r="H163" s="649">
        <v>8.0266108299999992</v>
      </c>
      <c r="I163" s="650">
        <v>80.2</v>
      </c>
      <c r="J163" s="650">
        <v>77.900000000000006</v>
      </c>
      <c r="K163" s="651">
        <v>1961</v>
      </c>
      <c r="L163" s="651">
        <v>244.31233076239729</v>
      </c>
      <c r="M163" s="651">
        <v>1968</v>
      </c>
      <c r="N163" s="651">
        <v>54</v>
      </c>
      <c r="O163" s="651">
        <v>1839</v>
      </c>
      <c r="P163" s="651">
        <v>64.736515999999938</v>
      </c>
      <c r="Q163" s="651">
        <v>52.109251999999969</v>
      </c>
      <c r="R163" s="651">
        <v>9.9999999999999867E-2</v>
      </c>
      <c r="S163" s="651">
        <v>0.69999999999999929</v>
      </c>
      <c r="T163" s="651">
        <v>-1.4200000000000017</v>
      </c>
      <c r="U163" s="651">
        <v>-8.5131840000000008</v>
      </c>
      <c r="V163" s="652"/>
      <c r="W163" s="678"/>
      <c r="X163" s="657" t="s">
        <v>723</v>
      </c>
      <c r="Y163" s="658">
        <v>9034.6145450599997</v>
      </c>
      <c r="Z163" s="658">
        <v>-3.1492382000000001</v>
      </c>
      <c r="AA163" s="658">
        <v>3485.1771218600002</v>
      </c>
      <c r="AB163" s="658">
        <v>3598.5025385700001</v>
      </c>
      <c r="AC163" s="658">
        <v>8.9067352</v>
      </c>
      <c r="AD163" s="658">
        <v>8.9934361099999993</v>
      </c>
      <c r="AE163" s="658">
        <v>0.23256755000000001</v>
      </c>
      <c r="AF163" s="658">
        <v>8.02657636</v>
      </c>
      <c r="AG163" s="658">
        <v>8.0079524600000003</v>
      </c>
      <c r="AH163" s="658">
        <v>-1.2082623100000001</v>
      </c>
      <c r="AI163" s="658">
        <v>-0.96404656</v>
      </c>
      <c r="AJ163" s="659">
        <v>0.56574438000000005</v>
      </c>
      <c r="AK163" s="1"/>
    </row>
    <row r="164" spans="1:37" s="519" customFormat="1" ht="25.5">
      <c r="A164" s="680">
        <v>62006023</v>
      </c>
      <c r="B164" s="662" t="s">
        <v>938</v>
      </c>
      <c r="C164" s="646">
        <v>7</v>
      </c>
      <c r="D164" s="654" t="s">
        <v>949</v>
      </c>
      <c r="E164" s="647" t="s">
        <v>950</v>
      </c>
      <c r="F164" s="647" t="s">
        <v>708</v>
      </c>
      <c r="G164" s="648">
        <v>23.812443999999999</v>
      </c>
      <c r="H164" s="649">
        <v>8.0262460799999999</v>
      </c>
      <c r="I164" s="650">
        <v>77.900000000000006</v>
      </c>
      <c r="J164" s="650">
        <v>75.5</v>
      </c>
      <c r="K164" s="651">
        <v>1959</v>
      </c>
      <c r="L164" s="651">
        <v>244.07425096041911</v>
      </c>
      <c r="M164" s="651">
        <v>1966</v>
      </c>
      <c r="N164" s="651">
        <v>54</v>
      </c>
      <c r="O164" s="651">
        <v>1838</v>
      </c>
      <c r="P164" s="651">
        <v>64.299999999999955</v>
      </c>
      <c r="Q164" s="651">
        <v>51.783459999999991</v>
      </c>
      <c r="R164" s="651">
        <v>0</v>
      </c>
      <c r="S164" s="651">
        <v>0.60000000000000142</v>
      </c>
      <c r="T164" s="651">
        <v>-1.1899999999999977</v>
      </c>
      <c r="U164" s="651">
        <v>-7.1593559999999998</v>
      </c>
      <c r="V164" s="652"/>
      <c r="W164" s="678"/>
      <c r="X164" s="657" t="s">
        <v>723</v>
      </c>
      <c r="Y164" s="658">
        <v>9034.50980437</v>
      </c>
      <c r="Z164" s="658">
        <v>-3.1058922199999999</v>
      </c>
      <c r="AA164" s="658">
        <v>3486.7398220199998</v>
      </c>
      <c r="AB164" s="658">
        <v>3598.5055253099999</v>
      </c>
      <c r="AC164" s="658">
        <v>8.9055969099999999</v>
      </c>
      <c r="AD164" s="658">
        <v>8.9934468899999995</v>
      </c>
      <c r="AE164" s="658">
        <v>0.22753899</v>
      </c>
      <c r="AF164" s="658">
        <v>8.0261732200000004</v>
      </c>
      <c r="AG164" s="658">
        <v>8.0079520100000003</v>
      </c>
      <c r="AH164" s="658">
        <v>-1.2162416899999999</v>
      </c>
      <c r="AI164" s="658">
        <v>-0.97682217999999998</v>
      </c>
      <c r="AJ164" s="659">
        <v>0.56574683000000003</v>
      </c>
      <c r="AK164" s="1"/>
    </row>
    <row r="165" spans="1:37" s="519" customFormat="1" ht="25.5">
      <c r="A165" s="680">
        <v>62006023</v>
      </c>
      <c r="B165" s="662" t="s">
        <v>939</v>
      </c>
      <c r="C165" s="646">
        <v>8</v>
      </c>
      <c r="D165" s="654" t="s">
        <v>949</v>
      </c>
      <c r="E165" s="647" t="s">
        <v>950</v>
      </c>
      <c r="F165" s="647" t="s">
        <v>708</v>
      </c>
      <c r="G165" s="648">
        <v>23.769252999999999</v>
      </c>
      <c r="H165" s="649">
        <v>8.02707792</v>
      </c>
      <c r="I165" s="650">
        <v>75.5</v>
      </c>
      <c r="J165" s="650">
        <v>73.099999999999994</v>
      </c>
      <c r="K165" s="651">
        <v>1955</v>
      </c>
      <c r="L165" s="651">
        <v>243.55064439190096</v>
      </c>
      <c r="M165" s="651">
        <v>1963</v>
      </c>
      <c r="N165" s="651">
        <v>54</v>
      </c>
      <c r="O165" s="651">
        <v>1836</v>
      </c>
      <c r="P165" s="651">
        <v>64.299999999999955</v>
      </c>
      <c r="Q165" s="651">
        <v>51.789783000000057</v>
      </c>
      <c r="R165" s="651">
        <v>0</v>
      </c>
      <c r="S165" s="651">
        <v>0.5</v>
      </c>
      <c r="T165" s="651">
        <v>-1.0399999999999991</v>
      </c>
      <c r="U165" s="651">
        <v>-6.2340289999999996</v>
      </c>
      <c r="V165" s="652"/>
      <c r="W165" s="678"/>
      <c r="X165" s="657" t="s">
        <v>723</v>
      </c>
      <c r="Y165" s="658">
        <v>9032.7284857100003</v>
      </c>
      <c r="Z165" s="658">
        <v>-3.10242672</v>
      </c>
      <c r="AA165" s="658">
        <v>3486.7902778600001</v>
      </c>
      <c r="AB165" s="658">
        <v>3598.4288975300001</v>
      </c>
      <c r="AC165" s="658">
        <v>8.9027423999999993</v>
      </c>
      <c r="AD165" s="658">
        <v>8.9933405799999999</v>
      </c>
      <c r="AE165" s="658">
        <v>0.23755069000000001</v>
      </c>
      <c r="AF165" s="658">
        <v>8.0269738099999994</v>
      </c>
      <c r="AG165" s="658">
        <v>8.0079508599999993</v>
      </c>
      <c r="AH165" s="658">
        <v>-1.25761166</v>
      </c>
      <c r="AI165" s="658">
        <v>-1.0073918900000001</v>
      </c>
      <c r="AJ165" s="659">
        <v>0.56573227999999998</v>
      </c>
      <c r="AK165" s="1"/>
    </row>
    <row r="166" spans="1:37" s="519" customFormat="1" ht="25.5">
      <c r="A166" s="680">
        <v>62006023</v>
      </c>
      <c r="B166" s="662" t="s">
        <v>940</v>
      </c>
      <c r="C166" s="646">
        <v>9</v>
      </c>
      <c r="D166" s="654" t="s">
        <v>949</v>
      </c>
      <c r="E166" s="647" t="s">
        <v>950</v>
      </c>
      <c r="F166" s="647" t="s">
        <v>708</v>
      </c>
      <c r="G166" s="648">
        <v>23.805111</v>
      </c>
      <c r="H166" s="649">
        <v>8.0260290800000007</v>
      </c>
      <c r="I166" s="650">
        <v>73.099999999999994</v>
      </c>
      <c r="J166" s="650">
        <v>70.7</v>
      </c>
      <c r="K166" s="651">
        <v>1955</v>
      </c>
      <c r="L166" s="651">
        <v>243.58247154519404</v>
      </c>
      <c r="M166" s="651">
        <v>1962</v>
      </c>
      <c r="N166" s="651">
        <v>54</v>
      </c>
      <c r="O166" s="651">
        <v>1834</v>
      </c>
      <c r="P166" s="651">
        <v>64.299999999999955</v>
      </c>
      <c r="Q166" s="651">
        <v>51.859736000000112</v>
      </c>
      <c r="R166" s="651">
        <v>0</v>
      </c>
      <c r="S166" s="651">
        <v>0.60000000000000142</v>
      </c>
      <c r="T166" s="651">
        <v>-0.92000000000000171</v>
      </c>
      <c r="U166" s="651">
        <v>-5.5079779999999996</v>
      </c>
      <c r="V166" s="652"/>
      <c r="W166" s="678"/>
      <c r="X166" s="657" t="s">
        <v>723</v>
      </c>
      <c r="Y166" s="658">
        <v>9032.8334674599992</v>
      </c>
      <c r="Z166" s="658">
        <v>-3.1544444399999998</v>
      </c>
      <c r="AA166" s="658">
        <v>3484.9181164699999</v>
      </c>
      <c r="AB166" s="658">
        <v>3598.42854549</v>
      </c>
      <c r="AC166" s="658">
        <v>8.9035652899999995</v>
      </c>
      <c r="AD166" s="658">
        <v>8.9933311800000002</v>
      </c>
      <c r="AE166" s="658">
        <v>0.22530668000000001</v>
      </c>
      <c r="AF166" s="658">
        <v>8.0259942899999999</v>
      </c>
      <c r="AG166" s="658">
        <v>8.0079518400000005</v>
      </c>
      <c r="AH166" s="658">
        <v>-1.2357798200000001</v>
      </c>
      <c r="AI166" s="658">
        <v>-0.99813834000000001</v>
      </c>
      <c r="AJ166" s="659">
        <v>0.56573572000000005</v>
      </c>
      <c r="AK166" s="1"/>
    </row>
    <row r="167" spans="1:37" s="519" customFormat="1" ht="25.5">
      <c r="A167" s="680">
        <v>62006023</v>
      </c>
      <c r="B167" s="662" t="s">
        <v>941</v>
      </c>
      <c r="C167" s="646">
        <v>10</v>
      </c>
      <c r="D167" s="654" t="s">
        <v>949</v>
      </c>
      <c r="E167" s="647" t="s">
        <v>950</v>
      </c>
      <c r="F167" s="647" t="s">
        <v>708</v>
      </c>
      <c r="G167" s="648">
        <v>23.894134000000001</v>
      </c>
      <c r="H167" s="649">
        <v>8.0269273400000003</v>
      </c>
      <c r="I167" s="650">
        <v>70.7</v>
      </c>
      <c r="J167" s="650">
        <v>68.3</v>
      </c>
      <c r="K167" s="651">
        <v>1952</v>
      </c>
      <c r="L167" s="651">
        <v>243.18147123031014</v>
      </c>
      <c r="M167" s="651">
        <v>1958.2585460000009</v>
      </c>
      <c r="N167" s="651">
        <v>55</v>
      </c>
      <c r="O167" s="651">
        <v>1831</v>
      </c>
      <c r="P167" s="651">
        <v>64.100000000000136</v>
      </c>
      <c r="Q167" s="651">
        <v>51.739638999999897</v>
      </c>
      <c r="R167" s="651">
        <v>0</v>
      </c>
      <c r="S167" s="651">
        <v>0.59999999999999787</v>
      </c>
      <c r="T167" s="651">
        <v>-0.84000000000000341</v>
      </c>
      <c r="U167" s="651">
        <v>-4.9995250000000002</v>
      </c>
      <c r="V167" s="652"/>
      <c r="W167" s="678"/>
      <c r="X167" s="657" t="s">
        <v>723</v>
      </c>
      <c r="Y167" s="658">
        <v>9032.5819643100003</v>
      </c>
      <c r="Z167" s="658">
        <v>-3.0913243000000001</v>
      </c>
      <c r="AA167" s="658">
        <v>3487.1132576099999</v>
      </c>
      <c r="AB167" s="658">
        <v>3598.34992302</v>
      </c>
      <c r="AC167" s="658">
        <v>8.9053355399999994</v>
      </c>
      <c r="AD167" s="658">
        <v>8.9931895199999996</v>
      </c>
      <c r="AE167" s="658">
        <v>0.23666922000000001</v>
      </c>
      <c r="AF167" s="658">
        <v>8.0269032100000004</v>
      </c>
      <c r="AG167" s="658">
        <v>8.0079508500000003</v>
      </c>
      <c r="AH167" s="658">
        <v>-1.2255360099999999</v>
      </c>
      <c r="AI167" s="658">
        <v>-0.97689459999999995</v>
      </c>
      <c r="AJ167" s="659">
        <v>0.56572306999999999</v>
      </c>
      <c r="AK167" s="1"/>
    </row>
    <row r="168" spans="1:37" s="519" customFormat="1" ht="38.25">
      <c r="A168" s="680">
        <v>62006024</v>
      </c>
      <c r="B168" s="662" t="s">
        <v>974</v>
      </c>
      <c r="C168" s="646">
        <v>1</v>
      </c>
      <c r="D168" s="654" t="s">
        <v>951</v>
      </c>
      <c r="E168" s="647" t="s">
        <v>952</v>
      </c>
      <c r="F168" s="647" t="s">
        <v>708</v>
      </c>
      <c r="G168" s="648">
        <v>22.068380999999999</v>
      </c>
      <c r="H168" s="649">
        <v>7.7524794000000004</v>
      </c>
      <c r="I168" s="650">
        <v>68.3</v>
      </c>
      <c r="J168" s="650">
        <v>66.099999999999994</v>
      </c>
      <c r="K168" s="651">
        <v>1718</v>
      </c>
      <c r="L168" s="651">
        <v>221.60652242429691</v>
      </c>
      <c r="M168" s="651">
        <v>1727</v>
      </c>
      <c r="N168" s="651">
        <v>64</v>
      </c>
      <c r="O168" s="651">
        <v>1563</v>
      </c>
      <c r="P168" s="651">
        <v>88.099999999999909</v>
      </c>
      <c r="Q168" s="651">
        <v>70.710000000000036</v>
      </c>
      <c r="R168" s="651">
        <v>-9.9999999999999867E-2</v>
      </c>
      <c r="S168" s="651">
        <v>0.80000000000000071</v>
      </c>
      <c r="T168" s="651">
        <v>-1.0099999999999909</v>
      </c>
      <c r="U168" s="651">
        <v>-4.2668819999999998</v>
      </c>
      <c r="V168" s="652"/>
      <c r="W168" s="678"/>
      <c r="X168" s="657" t="s">
        <v>723</v>
      </c>
      <c r="Y168" s="658">
        <v>1659.0497552300001</v>
      </c>
      <c r="Z168" s="658">
        <v>-2.1299899</v>
      </c>
      <c r="AA168" s="658">
        <v>5108.5836529500002</v>
      </c>
      <c r="AB168" s="658">
        <v>5219.7641011200003</v>
      </c>
      <c r="AC168" s="658">
        <v>8.84614981</v>
      </c>
      <c r="AD168" s="658">
        <v>9.0321642499999992</v>
      </c>
      <c r="AE168" s="658">
        <v>0.25974438</v>
      </c>
      <c r="AF168" s="658">
        <v>7.7524223000000001</v>
      </c>
      <c r="AG168" s="658">
        <v>7.7323379900000004</v>
      </c>
      <c r="AH168" s="658">
        <v>-2.3679790600000001</v>
      </c>
      <c r="AI168" s="658">
        <v>-2.0594669300000001</v>
      </c>
      <c r="AJ168" s="659">
        <v>0.73999570000000003</v>
      </c>
      <c r="AK168" s="1"/>
    </row>
    <row r="169" spans="1:37" s="519" customFormat="1" ht="38.25">
      <c r="A169" s="680">
        <v>62006025</v>
      </c>
      <c r="B169" s="662" t="s">
        <v>973</v>
      </c>
      <c r="C169" s="646">
        <v>1</v>
      </c>
      <c r="D169" s="654" t="s">
        <v>953</v>
      </c>
      <c r="E169" s="647" t="s">
        <v>954</v>
      </c>
      <c r="F169" s="647" t="s">
        <v>708</v>
      </c>
      <c r="G169" s="648">
        <v>23.095635999999999</v>
      </c>
      <c r="H169" s="649">
        <v>7.7597499699999997</v>
      </c>
      <c r="I169" s="650">
        <v>66.099999999999994</v>
      </c>
      <c r="J169" s="650">
        <v>63.8</v>
      </c>
      <c r="K169" s="651">
        <v>1858</v>
      </c>
      <c r="L169" s="651">
        <v>239.44070455661861</v>
      </c>
      <c r="M169" s="651">
        <v>1868</v>
      </c>
      <c r="N169" s="651">
        <v>66</v>
      </c>
      <c r="O169" s="651">
        <v>1700</v>
      </c>
      <c r="P169" s="651">
        <v>89.259992000000011</v>
      </c>
      <c r="Q169" s="651">
        <v>71.829913000000033</v>
      </c>
      <c r="R169" s="651">
        <v>-0.10000000000000009</v>
      </c>
      <c r="S169" s="651">
        <v>0.70000000000000284</v>
      </c>
      <c r="T169" s="651">
        <v>-0.89000000000000057</v>
      </c>
      <c r="U169" s="651">
        <v>-3.6463969999999999</v>
      </c>
      <c r="V169" s="652"/>
      <c r="W169" s="678"/>
      <c r="X169" s="657" t="s">
        <v>723</v>
      </c>
      <c r="Y169" s="658">
        <v>1658.7477775499999</v>
      </c>
      <c r="Z169" s="658">
        <v>-2.1330504700000001</v>
      </c>
      <c r="AA169" s="658">
        <v>5108.3843118499999</v>
      </c>
      <c r="AB169" s="658">
        <v>5219.7236519400003</v>
      </c>
      <c r="AC169" s="658">
        <v>8.8454559899999996</v>
      </c>
      <c r="AD169" s="658">
        <v>9.0320845300000006</v>
      </c>
      <c r="AE169" s="658">
        <v>0.35448011000000001</v>
      </c>
      <c r="AF169" s="658">
        <v>7.7597463400000004</v>
      </c>
      <c r="AG169" s="658">
        <v>7.73233675</v>
      </c>
      <c r="AH169" s="658">
        <v>-2.4718395900000001</v>
      </c>
      <c r="AI169" s="658">
        <v>-2.0662842499999998</v>
      </c>
      <c r="AJ169" s="659">
        <v>0.73999402000000003</v>
      </c>
      <c r="AK169" s="1"/>
    </row>
    <row r="170" spans="1:37" s="519" customFormat="1" ht="38.25">
      <c r="A170" s="680">
        <v>62006026</v>
      </c>
      <c r="B170" s="662" t="s">
        <v>975</v>
      </c>
      <c r="C170" s="646">
        <v>1</v>
      </c>
      <c r="D170" s="654" t="s">
        <v>955</v>
      </c>
      <c r="E170" s="647" t="s">
        <v>956</v>
      </c>
      <c r="F170" s="647" t="s">
        <v>708</v>
      </c>
      <c r="G170" s="648">
        <v>22.350743999999999</v>
      </c>
      <c r="H170" s="649">
        <v>7.7602214700000003</v>
      </c>
      <c r="I170" s="650">
        <v>63.7</v>
      </c>
      <c r="J170" s="650">
        <v>61.4</v>
      </c>
      <c r="K170" s="651">
        <v>1852</v>
      </c>
      <c r="L170" s="651">
        <v>238.65298267060925</v>
      </c>
      <c r="M170" s="651">
        <v>1862</v>
      </c>
      <c r="N170" s="651">
        <v>63</v>
      </c>
      <c r="O170" s="651">
        <v>1697</v>
      </c>
      <c r="P170" s="651">
        <v>89.299999999999955</v>
      </c>
      <c r="Q170" s="651">
        <v>71.951397000000043</v>
      </c>
      <c r="R170" s="651">
        <v>-9.9999999999999978E-2</v>
      </c>
      <c r="S170" s="651">
        <v>0.69999999999999929</v>
      </c>
      <c r="T170" s="651">
        <v>-0.81999999999999318</v>
      </c>
      <c r="U170" s="651">
        <v>-3.6683759999999999</v>
      </c>
      <c r="V170" s="652"/>
      <c r="W170" s="678"/>
      <c r="X170" s="657" t="s">
        <v>723</v>
      </c>
      <c r="Y170" s="658">
        <v>1659.22109572</v>
      </c>
      <c r="Z170" s="658">
        <v>-2.1383282000000001</v>
      </c>
      <c r="AA170" s="658">
        <v>5108.2011657399999</v>
      </c>
      <c r="AB170" s="658">
        <v>5219.8180060000004</v>
      </c>
      <c r="AC170" s="658">
        <v>8.8456878999999997</v>
      </c>
      <c r="AD170" s="658">
        <v>9.0322563200000001</v>
      </c>
      <c r="AE170" s="658">
        <v>0.35956199999999999</v>
      </c>
      <c r="AF170" s="658">
        <v>7.7601409500000003</v>
      </c>
      <c r="AG170" s="658">
        <v>7.7323383999999997</v>
      </c>
      <c r="AH170" s="658">
        <v>-2.4762911600000002</v>
      </c>
      <c r="AI170" s="658">
        <v>-2.0655793899999999</v>
      </c>
      <c r="AJ170" s="659">
        <v>0.73999872</v>
      </c>
      <c r="AK170" s="1"/>
    </row>
    <row r="171" spans="1:37" s="519" customFormat="1" ht="38.25">
      <c r="A171" s="680">
        <v>62006027</v>
      </c>
      <c r="B171" s="662" t="s">
        <v>976</v>
      </c>
      <c r="C171" s="646">
        <v>1</v>
      </c>
      <c r="D171" s="654" t="s">
        <v>957</v>
      </c>
      <c r="E171" s="647" t="s">
        <v>958</v>
      </c>
      <c r="F171" s="647" t="s">
        <v>959</v>
      </c>
      <c r="G171" s="648">
        <v>21.984034999999999</v>
      </c>
      <c r="H171" s="649">
        <v>7.75794988</v>
      </c>
      <c r="I171" s="650">
        <v>61.4</v>
      </c>
      <c r="J171" s="650">
        <v>59</v>
      </c>
      <c r="K171" s="651">
        <v>1927</v>
      </c>
      <c r="L171" s="651">
        <v>248.39036469774152</v>
      </c>
      <c r="M171" s="651">
        <v>1936</v>
      </c>
      <c r="N171" s="651">
        <v>72</v>
      </c>
      <c r="O171" s="651">
        <v>1763</v>
      </c>
      <c r="P171" s="651">
        <v>89.585816000000023</v>
      </c>
      <c r="Q171" s="651">
        <v>72.189646999999923</v>
      </c>
      <c r="R171" s="651">
        <v>0</v>
      </c>
      <c r="S171" s="651">
        <v>0.79999999999999716</v>
      </c>
      <c r="T171" s="651">
        <v>-0.78000000000000114</v>
      </c>
      <c r="U171" s="651">
        <v>-3.2947289999999998</v>
      </c>
      <c r="V171" s="652"/>
      <c r="W171" s="678"/>
      <c r="X171" s="657" t="s">
        <v>723</v>
      </c>
      <c r="Y171" s="658">
        <v>1659.2750717199999</v>
      </c>
      <c r="Z171" s="658">
        <v>-0.12355417</v>
      </c>
      <c r="AA171" s="658">
        <v>5213.3665309999997</v>
      </c>
      <c r="AB171" s="658">
        <v>5219.8158308900001</v>
      </c>
      <c r="AC171" s="658">
        <v>9.0613588699999994</v>
      </c>
      <c r="AD171" s="658">
        <v>9.0322613700000005</v>
      </c>
      <c r="AE171" s="658">
        <v>0.33020521000000003</v>
      </c>
      <c r="AF171" s="658">
        <v>7.7578705299999999</v>
      </c>
      <c r="AG171" s="658">
        <v>7.7323379399999999</v>
      </c>
      <c r="AH171" s="658">
        <v>-8.0285200000000008E-3</v>
      </c>
      <c r="AI171" s="658">
        <v>0.32215082</v>
      </c>
      <c r="AJ171" s="659">
        <v>0.73999888000000003</v>
      </c>
      <c r="AK171" s="1"/>
    </row>
    <row r="172" spans="1:37" s="519" customFormat="1" ht="38.25">
      <c r="A172" s="680">
        <v>62006028</v>
      </c>
      <c r="B172" s="662" t="s">
        <v>977</v>
      </c>
      <c r="C172" s="646">
        <v>1</v>
      </c>
      <c r="D172" s="654" t="s">
        <v>960</v>
      </c>
      <c r="E172" s="647" t="s">
        <v>961</v>
      </c>
      <c r="F172" s="647" t="s">
        <v>708</v>
      </c>
      <c r="G172" s="648">
        <v>22.32319</v>
      </c>
      <c r="H172" s="649">
        <v>7.7527130599999996</v>
      </c>
      <c r="I172" s="650">
        <v>59</v>
      </c>
      <c r="J172" s="650">
        <v>56.7</v>
      </c>
      <c r="K172" s="651">
        <v>1772</v>
      </c>
      <c r="L172" s="651">
        <v>228.56514697320682</v>
      </c>
      <c r="M172" s="651">
        <v>1781</v>
      </c>
      <c r="N172" s="651">
        <v>72</v>
      </c>
      <c r="O172" s="651">
        <v>1609</v>
      </c>
      <c r="P172" s="651">
        <v>88.600000000000136</v>
      </c>
      <c r="Q172" s="651">
        <v>71.279553000000078</v>
      </c>
      <c r="R172" s="651">
        <v>-9.9999999999999978E-2</v>
      </c>
      <c r="S172" s="651">
        <v>0.80000000000000071</v>
      </c>
      <c r="T172" s="651">
        <v>-0.73999999999999488</v>
      </c>
      <c r="U172" s="651">
        <v>-3.1692610000000001</v>
      </c>
      <c r="V172" s="652"/>
      <c r="W172" s="678"/>
      <c r="X172" s="657" t="s">
        <v>723</v>
      </c>
      <c r="Y172" s="658">
        <v>1659.1823881600001</v>
      </c>
      <c r="Z172" s="658">
        <v>-0.13698852</v>
      </c>
      <c r="AA172" s="658">
        <v>5212.6586234599999</v>
      </c>
      <c r="AB172" s="658">
        <v>5219.8091626200003</v>
      </c>
      <c r="AC172" s="658">
        <v>9.0598528900000002</v>
      </c>
      <c r="AD172" s="658">
        <v>9.0322457600000003</v>
      </c>
      <c r="AE172" s="658">
        <v>0.26289948000000002</v>
      </c>
      <c r="AF172" s="658">
        <v>7.75266638</v>
      </c>
      <c r="AG172" s="658">
        <v>7.7323380999999998</v>
      </c>
      <c r="AH172" s="658">
        <v>4.2621060000000002E-2</v>
      </c>
      <c r="AI172" s="658">
        <v>0.30565081</v>
      </c>
      <c r="AJ172" s="659">
        <v>0.73999815999999996</v>
      </c>
      <c r="AK172" s="1"/>
    </row>
    <row r="173" spans="1:37" s="519" customFormat="1" ht="25.5">
      <c r="A173" s="680">
        <v>62006029</v>
      </c>
      <c r="B173" s="662" t="s">
        <v>942</v>
      </c>
      <c r="C173" s="646">
        <v>1</v>
      </c>
      <c r="D173" s="654" t="s">
        <v>963</v>
      </c>
      <c r="E173" s="647" t="s">
        <v>964</v>
      </c>
      <c r="F173" s="647" t="s">
        <v>965</v>
      </c>
      <c r="G173" s="648">
        <v>25.797079</v>
      </c>
      <c r="H173" s="649">
        <v>9.2066751199999999</v>
      </c>
      <c r="I173" s="650">
        <v>56.1</v>
      </c>
      <c r="J173" s="650">
        <v>53.8</v>
      </c>
      <c r="K173" s="651">
        <v>1858.1116099999999</v>
      </c>
      <c r="L173" s="651">
        <v>201.82221983303782</v>
      </c>
      <c r="M173" s="651">
        <v>1865.2569250000015</v>
      </c>
      <c r="N173" s="651">
        <v>0</v>
      </c>
      <c r="O173" s="651">
        <v>1780</v>
      </c>
      <c r="P173" s="651">
        <v>77.300000000000182</v>
      </c>
      <c r="Q173" s="651">
        <v>64.459666000000198</v>
      </c>
      <c r="R173" s="651">
        <v>-0.10000000000000009</v>
      </c>
      <c r="S173" s="651">
        <v>0.40000000000000568</v>
      </c>
      <c r="T173" s="651">
        <v>-0.43000000000000682</v>
      </c>
      <c r="U173" s="651">
        <v>-2.532991</v>
      </c>
      <c r="V173" s="652"/>
      <c r="W173" s="678"/>
      <c r="X173" s="657" t="s">
        <v>723</v>
      </c>
      <c r="Y173" s="658">
        <v>7875.9227012399997</v>
      </c>
      <c r="Z173" s="658">
        <v>10.230944129999999</v>
      </c>
      <c r="AA173" s="658">
        <v>542.05405390999999</v>
      </c>
      <c r="AB173" s="658">
        <v>491.74400000000003</v>
      </c>
      <c r="AC173" s="658">
        <v>6.2581401000000003</v>
      </c>
      <c r="AD173" s="658">
        <v>6.2222275500000004</v>
      </c>
      <c r="AE173" s="658">
        <v>0.28517013000000002</v>
      </c>
      <c r="AF173" s="658">
        <v>9.2041439399999998</v>
      </c>
      <c r="AG173" s="658">
        <v>9.1779711099999997</v>
      </c>
      <c r="AH173" s="658">
        <v>0.29031965999999998</v>
      </c>
      <c r="AI173" s="658">
        <v>0.57716542000000004</v>
      </c>
      <c r="AJ173" s="659">
        <v>9.5053970000000002E-2</v>
      </c>
      <c r="AK173" s="1"/>
    </row>
    <row r="174" spans="1:37" s="519" customFormat="1" ht="38.25">
      <c r="A174" s="680">
        <v>62006030</v>
      </c>
      <c r="B174" s="662" t="s">
        <v>838</v>
      </c>
      <c r="C174" s="646">
        <v>1</v>
      </c>
      <c r="D174" s="654" t="s">
        <v>967</v>
      </c>
      <c r="E174" s="647" t="s">
        <v>968</v>
      </c>
      <c r="F174" s="647" t="s">
        <v>969</v>
      </c>
      <c r="G174" s="648">
        <v>-83.666364000000002</v>
      </c>
      <c r="H174" s="649">
        <v>89.380062690000003</v>
      </c>
      <c r="I174" s="650">
        <v>51.7</v>
      </c>
      <c r="J174" s="650">
        <v>2.6</v>
      </c>
      <c r="K174" s="651">
        <v>35221</v>
      </c>
      <c r="L174" s="651">
        <v>394.05879723040948</v>
      </c>
      <c r="M174" s="651">
        <v>35278</v>
      </c>
      <c r="N174" s="651">
        <v>6</v>
      </c>
      <c r="O174" s="651">
        <v>34693</v>
      </c>
      <c r="P174" s="651">
        <v>505</v>
      </c>
      <c r="Q174" s="651">
        <v>412.84178900000029</v>
      </c>
      <c r="R174" s="651">
        <v>-0.79999999999999993</v>
      </c>
      <c r="S174" s="651">
        <v>3.6000000000000014</v>
      </c>
      <c r="T174" s="651">
        <v>-3.1200000000000045</v>
      </c>
      <c r="U174" s="651">
        <v>7.2887529999999998</v>
      </c>
      <c r="V174" s="652"/>
      <c r="W174" s="678"/>
      <c r="X174" s="657" t="s">
        <v>723</v>
      </c>
      <c r="Y174" s="658">
        <v>25.449309289999999</v>
      </c>
      <c r="Z174" s="658">
        <v>38.389798820000003</v>
      </c>
      <c r="AA174" s="658">
        <v>804.25508364999996</v>
      </c>
      <c r="AB174" s="658">
        <v>581.15200000000004</v>
      </c>
      <c r="AC174" s="658">
        <v>67.287498279999994</v>
      </c>
      <c r="AD174" s="658">
        <v>67.711055740000006</v>
      </c>
      <c r="AE174" s="658">
        <v>-0.53974871999999996</v>
      </c>
      <c r="AF174" s="658">
        <v>89.380159950000007</v>
      </c>
      <c r="AG174" s="658">
        <v>89.865206259999994</v>
      </c>
      <c r="AH174" s="658">
        <v>-8.6327920000000002E-2</v>
      </c>
      <c r="AI174" s="658">
        <v>-0.62553663000000004</v>
      </c>
      <c r="AJ174" s="659">
        <v>1.2199949999999999E-2</v>
      </c>
      <c r="AK174" s="1"/>
    </row>
    <row r="175" spans="1:37" s="519" customFormat="1" ht="25.5">
      <c r="A175" s="680">
        <v>62006031</v>
      </c>
      <c r="B175" s="662" t="s">
        <v>907</v>
      </c>
      <c r="C175" s="646">
        <v>1</v>
      </c>
      <c r="D175" s="654" t="s">
        <v>971</v>
      </c>
      <c r="E175" s="647" t="s">
        <v>972</v>
      </c>
      <c r="F175" s="647" t="s">
        <v>708</v>
      </c>
      <c r="G175" s="648">
        <v>-42.396963</v>
      </c>
      <c r="H175" s="649">
        <v>1.083021E-2</v>
      </c>
      <c r="I175" s="650"/>
      <c r="J175" s="650"/>
      <c r="K175" s="651">
        <v>-78869</v>
      </c>
      <c r="L175" s="651"/>
      <c r="M175" s="651">
        <v>-78615</v>
      </c>
      <c r="N175" s="651">
        <v>24</v>
      </c>
      <c r="O175" s="651">
        <v>73</v>
      </c>
      <c r="P175" s="651">
        <v>-78933.100000000006</v>
      </c>
      <c r="Q175" s="651">
        <v>630.40000000000009</v>
      </c>
      <c r="R175" s="651">
        <v>-10.5</v>
      </c>
      <c r="S175" s="651">
        <v>17.100000000000001</v>
      </c>
      <c r="T175" s="651">
        <v>-44.295131000000005</v>
      </c>
      <c r="U175" s="651">
        <v>7.1173019999999996</v>
      </c>
      <c r="V175" s="652">
        <v>85695.299999999988</v>
      </c>
      <c r="W175" s="678">
        <v>-85118.8</v>
      </c>
      <c r="X175" s="657"/>
      <c r="Y175" s="658"/>
      <c r="Z175" s="658"/>
      <c r="AA175" s="658"/>
      <c r="AB175" s="658"/>
      <c r="AC175" s="658"/>
      <c r="AD175" s="658"/>
      <c r="AE175" s="658"/>
      <c r="AF175" s="658"/>
      <c r="AG175" s="658"/>
      <c r="AH175" s="658"/>
      <c r="AI175" s="658"/>
      <c r="AJ175" s="659"/>
      <c r="AK175" s="1"/>
    </row>
    <row r="176" spans="1:37" s="671" customFormat="1" ht="18.75">
      <c r="A176" s="664" t="s">
        <v>1246</v>
      </c>
      <c r="B176" s="675"/>
      <c r="C176" s="665"/>
      <c r="D176" s="666"/>
      <c r="E176" s="667"/>
      <c r="F176" s="667"/>
      <c r="G176" s="667"/>
      <c r="H176" s="665"/>
      <c r="I176" s="670"/>
      <c r="J176" s="670"/>
      <c r="K176" s="670"/>
      <c r="L176" s="670"/>
      <c r="M176" s="670"/>
      <c r="N176" s="670"/>
      <c r="O176" s="670"/>
      <c r="P176" s="670"/>
      <c r="Q176" s="670"/>
      <c r="R176" s="670"/>
      <c r="S176" s="670"/>
      <c r="T176" s="670"/>
      <c r="U176" s="670"/>
      <c r="V176" s="670"/>
      <c r="W176" s="679"/>
      <c r="X176" s="668"/>
      <c r="Y176" s="665"/>
      <c r="Z176" s="665"/>
      <c r="AA176" s="665"/>
      <c r="AB176" s="665"/>
      <c r="AC176" s="665"/>
      <c r="AD176" s="665"/>
      <c r="AE176" s="665"/>
      <c r="AF176" s="665"/>
      <c r="AG176" s="665"/>
      <c r="AH176" s="665"/>
      <c r="AI176" s="665"/>
      <c r="AJ176" s="669"/>
    </row>
    <row r="177" spans="1:37" s="519" customFormat="1" ht="25.5">
      <c r="A177" s="680">
        <v>62006032</v>
      </c>
      <c r="B177" s="662" t="s">
        <v>832</v>
      </c>
      <c r="C177" s="646">
        <v>1</v>
      </c>
      <c r="D177" s="654" t="s">
        <v>979</v>
      </c>
      <c r="E177" s="647" t="s">
        <v>980</v>
      </c>
      <c r="F177" s="647" t="s">
        <v>708</v>
      </c>
      <c r="G177" s="648">
        <v>24.143381000000002</v>
      </c>
      <c r="H177" s="649">
        <v>3.5950512699999999</v>
      </c>
      <c r="I177" s="650">
        <v>99.8</v>
      </c>
      <c r="J177" s="650">
        <v>98.9</v>
      </c>
      <c r="K177" s="651">
        <v>832</v>
      </c>
      <c r="L177" s="651">
        <v>231.4292446794507</v>
      </c>
      <c r="M177" s="651">
        <v>833</v>
      </c>
      <c r="N177" s="651">
        <v>42</v>
      </c>
      <c r="O177" s="651">
        <v>729</v>
      </c>
      <c r="P177" s="651">
        <v>59.604054999999995</v>
      </c>
      <c r="Q177" s="651">
        <v>48.389841000000004</v>
      </c>
      <c r="R177" s="651">
        <v>0.2</v>
      </c>
      <c r="S177" s="651">
        <v>0.4</v>
      </c>
      <c r="T177" s="651">
        <v>-2.58</v>
      </c>
      <c r="U177" s="651">
        <v>-18.393363000000001</v>
      </c>
      <c r="V177" s="652"/>
      <c r="W177" s="678"/>
      <c r="X177" s="657" t="s">
        <v>723</v>
      </c>
      <c r="Y177" s="658">
        <v>2373.2915815199999</v>
      </c>
      <c r="Z177" s="658">
        <v>0.45980552000000002</v>
      </c>
      <c r="AA177" s="658">
        <v>2058.3042915199999</v>
      </c>
      <c r="AB177" s="658">
        <v>2048.8834124800001</v>
      </c>
      <c r="AC177" s="658">
        <v>3.0390539900000002</v>
      </c>
      <c r="AD177" s="658">
        <v>3.03208031</v>
      </c>
      <c r="AE177" s="658">
        <v>0.11166937</v>
      </c>
      <c r="AF177" s="658">
        <v>3.5949906899999999</v>
      </c>
      <c r="AG177" s="658">
        <v>3.59098067</v>
      </c>
      <c r="AH177" s="658">
        <v>0.11805554</v>
      </c>
      <c r="AI177" s="658">
        <v>0.22999643</v>
      </c>
      <c r="AJ177" s="659">
        <v>0.63451159999999995</v>
      </c>
      <c r="AK177" s="1"/>
    </row>
    <row r="178" spans="1:37" s="519" customFormat="1" ht="25.5">
      <c r="A178" s="680">
        <v>62006032</v>
      </c>
      <c r="B178" s="662" t="s">
        <v>831</v>
      </c>
      <c r="C178" s="646">
        <v>2</v>
      </c>
      <c r="D178" s="654" t="s">
        <v>979</v>
      </c>
      <c r="E178" s="647" t="s">
        <v>980</v>
      </c>
      <c r="F178" s="647" t="s">
        <v>708</v>
      </c>
      <c r="G178" s="648">
        <v>21.76061</v>
      </c>
      <c r="H178" s="649">
        <v>3.86262477</v>
      </c>
      <c r="I178" s="650">
        <v>98.9</v>
      </c>
      <c r="J178" s="650">
        <v>98.1</v>
      </c>
      <c r="K178" s="651">
        <v>685</v>
      </c>
      <c r="L178" s="651">
        <v>177.34054970087089</v>
      </c>
      <c r="M178" s="651">
        <v>688</v>
      </c>
      <c r="N178" s="651">
        <v>30</v>
      </c>
      <c r="O178" s="651">
        <v>558</v>
      </c>
      <c r="P178" s="651">
        <v>97.2</v>
      </c>
      <c r="Q178" s="651">
        <v>78.199741000000003</v>
      </c>
      <c r="R178" s="651">
        <v>0.3</v>
      </c>
      <c r="S178" s="651">
        <v>0.7</v>
      </c>
      <c r="T178" s="651">
        <v>-2.16</v>
      </c>
      <c r="U178" s="651">
        <v>-8.9750340000000008</v>
      </c>
      <c r="V178" s="652"/>
      <c r="W178" s="678"/>
      <c r="X178" s="657" t="s">
        <v>723</v>
      </c>
      <c r="Y178" s="658">
        <v>1477.1976901</v>
      </c>
      <c r="Z178" s="658">
        <v>-1.1970935300000001</v>
      </c>
      <c r="AA178" s="658">
        <v>3375.4193284100002</v>
      </c>
      <c r="AB178" s="658">
        <v>3416.3158240100001</v>
      </c>
      <c r="AC178" s="658">
        <v>2.9790429600000001</v>
      </c>
      <c r="AD178" s="658">
        <v>2.9954685400000001</v>
      </c>
      <c r="AE178" s="658">
        <v>6.748345E-2</v>
      </c>
      <c r="AF178" s="658">
        <v>3.8624359899999998</v>
      </c>
      <c r="AG178" s="658">
        <v>3.8598312400000001</v>
      </c>
      <c r="AH178" s="658">
        <v>-0.61922632</v>
      </c>
      <c r="AI178" s="658">
        <v>-0.54834735999999995</v>
      </c>
      <c r="AJ178" s="659">
        <v>0.72008287000000004</v>
      </c>
      <c r="AK178" s="1"/>
    </row>
    <row r="179" spans="1:37" s="519" customFormat="1" ht="25.5">
      <c r="A179" s="680">
        <v>62006032</v>
      </c>
      <c r="B179" s="662" t="s">
        <v>830</v>
      </c>
      <c r="C179" s="646" t="s">
        <v>1362</v>
      </c>
      <c r="D179" s="654" t="s">
        <v>979</v>
      </c>
      <c r="E179" s="647" t="s">
        <v>980</v>
      </c>
      <c r="F179" s="647" t="s">
        <v>708</v>
      </c>
      <c r="G179" s="648">
        <v>22.951995500000002</v>
      </c>
      <c r="H179" s="649">
        <v>7.45767604</v>
      </c>
      <c r="I179" s="650">
        <v>99.8</v>
      </c>
      <c r="J179" s="650">
        <v>98.1</v>
      </c>
      <c r="K179" s="651">
        <v>1517</v>
      </c>
      <c r="L179" s="651">
        <v>203.41457470979122</v>
      </c>
      <c r="M179" s="651">
        <v>1521</v>
      </c>
      <c r="N179" s="651">
        <v>72</v>
      </c>
      <c r="O179" s="651">
        <v>1287</v>
      </c>
      <c r="P179" s="651">
        <v>156.80405500000001</v>
      </c>
      <c r="Q179" s="651">
        <v>126.58958200000001</v>
      </c>
      <c r="R179" s="651">
        <v>0.5</v>
      </c>
      <c r="S179" s="651">
        <v>1.1000000000000001</v>
      </c>
      <c r="T179" s="651">
        <v>-4.74</v>
      </c>
      <c r="U179" s="651">
        <v>-13.684198500000001</v>
      </c>
      <c r="V179" s="652"/>
      <c r="W179" s="678"/>
      <c r="X179" s="657" t="s">
        <v>723</v>
      </c>
      <c r="Y179" s="658"/>
      <c r="Z179" s="658"/>
      <c r="AA179" s="658"/>
      <c r="AB179" s="658"/>
      <c r="AC179" s="658"/>
      <c r="AD179" s="658"/>
      <c r="AE179" s="658"/>
      <c r="AF179" s="658"/>
      <c r="AG179" s="658"/>
      <c r="AH179" s="658"/>
      <c r="AI179" s="658"/>
      <c r="AJ179" s="659"/>
      <c r="AK179" s="1"/>
    </row>
    <row r="180" spans="1:37" s="519" customFormat="1" ht="25.5">
      <c r="A180" s="680">
        <v>62006032</v>
      </c>
      <c r="B180" s="662" t="s">
        <v>829</v>
      </c>
      <c r="C180" s="646">
        <v>3</v>
      </c>
      <c r="D180" s="654" t="s">
        <v>979</v>
      </c>
      <c r="E180" s="647" t="s">
        <v>980</v>
      </c>
      <c r="F180" s="647" t="s">
        <v>708</v>
      </c>
      <c r="G180" s="648">
        <v>24.704509000000002</v>
      </c>
      <c r="H180" s="649">
        <v>10.28394114</v>
      </c>
      <c r="I180" s="650">
        <v>98.1</v>
      </c>
      <c r="J180" s="650">
        <v>95.9</v>
      </c>
      <c r="K180" s="651">
        <v>1935</v>
      </c>
      <c r="L180" s="651">
        <v>188.15743630364653</v>
      </c>
      <c r="M180" s="651">
        <v>1937</v>
      </c>
      <c r="N180" s="651">
        <v>6</v>
      </c>
      <c r="O180" s="651">
        <v>1842</v>
      </c>
      <c r="P180" s="651">
        <v>84.1</v>
      </c>
      <c r="Q180" s="651">
        <v>67.56954300000001</v>
      </c>
      <c r="R180" s="651">
        <v>9.9999999999999978E-2</v>
      </c>
      <c r="S180" s="651">
        <v>0.5</v>
      </c>
      <c r="T180" s="651">
        <v>-1.1000000000000005</v>
      </c>
      <c r="U180" s="651">
        <v>-5.2109139999999998</v>
      </c>
      <c r="V180" s="652"/>
      <c r="W180" s="678"/>
      <c r="X180" s="657" t="s">
        <v>723</v>
      </c>
      <c r="Y180" s="658">
        <v>1875.74490881</v>
      </c>
      <c r="Z180" s="658">
        <v>-0.33422043000000001</v>
      </c>
      <c r="AA180" s="658">
        <v>1302.4242997599999</v>
      </c>
      <c r="AB180" s="658">
        <v>1306.79186519</v>
      </c>
      <c r="AC180" s="658">
        <v>6.8085244700000001</v>
      </c>
      <c r="AD180" s="658">
        <v>6.79048666</v>
      </c>
      <c r="AE180" s="658">
        <v>0.26585313999999999</v>
      </c>
      <c r="AF180" s="658">
        <v>10.28394834</v>
      </c>
      <c r="AG180" s="658">
        <v>10.256680640000001</v>
      </c>
      <c r="AH180" s="658">
        <v>-2.1906000000000001E-4</v>
      </c>
      <c r="AI180" s="658">
        <v>0.26563351000000002</v>
      </c>
      <c r="AJ180" s="659">
        <v>0.33398818000000002</v>
      </c>
      <c r="AK180" s="1"/>
    </row>
    <row r="181" spans="1:37" s="519" customFormat="1" ht="25.5">
      <c r="A181" s="680">
        <v>62006032</v>
      </c>
      <c r="B181" s="662" t="s">
        <v>828</v>
      </c>
      <c r="C181" s="646">
        <v>4</v>
      </c>
      <c r="D181" s="654" t="s">
        <v>979</v>
      </c>
      <c r="E181" s="647" t="s">
        <v>980</v>
      </c>
      <c r="F181" s="647" t="s">
        <v>708</v>
      </c>
      <c r="G181" s="648">
        <v>20.247181999999999</v>
      </c>
      <c r="H181" s="649">
        <v>3.5965295500000001</v>
      </c>
      <c r="I181" s="650">
        <v>95.8</v>
      </c>
      <c r="J181" s="650">
        <v>95.1</v>
      </c>
      <c r="K181" s="651">
        <v>660</v>
      </c>
      <c r="L181" s="651">
        <v>183.51023975320877</v>
      </c>
      <c r="M181" s="651">
        <v>661</v>
      </c>
      <c r="N181" s="651">
        <v>7</v>
      </c>
      <c r="O181" s="651">
        <v>599</v>
      </c>
      <c r="P181" s="651">
        <v>52.800000000000011</v>
      </c>
      <c r="Q181" s="651">
        <v>42.869834999999966</v>
      </c>
      <c r="R181" s="651">
        <v>9.9999999999999978E-2</v>
      </c>
      <c r="S181" s="651">
        <v>0.39999999999999991</v>
      </c>
      <c r="T181" s="651">
        <v>-0.33000000000000007</v>
      </c>
      <c r="U181" s="651">
        <v>-2.4221119999999998</v>
      </c>
      <c r="V181" s="652"/>
      <c r="W181" s="678"/>
      <c r="X181" s="657" t="s">
        <v>723</v>
      </c>
      <c r="Y181" s="658">
        <v>2368.4893278499999</v>
      </c>
      <c r="Z181" s="658">
        <v>-0.99868659000000004</v>
      </c>
      <c r="AA181" s="658">
        <v>2028.38671935</v>
      </c>
      <c r="AB181" s="658">
        <v>2048.8482923900001</v>
      </c>
      <c r="AC181" s="658">
        <v>3.0232229500000001</v>
      </c>
      <c r="AD181" s="658">
        <v>3.0320171999999999</v>
      </c>
      <c r="AE181" s="658">
        <v>0.1525948</v>
      </c>
      <c r="AF181" s="658">
        <v>3.5964602299999999</v>
      </c>
      <c r="AG181" s="658">
        <v>3.5909805800000001</v>
      </c>
      <c r="AH181" s="658">
        <v>-0.44392849000000001</v>
      </c>
      <c r="AI181" s="658">
        <v>-0.29004609999999997</v>
      </c>
      <c r="AJ181" s="659">
        <v>0.63450739</v>
      </c>
      <c r="AK181" s="1"/>
    </row>
    <row r="182" spans="1:37" s="519" customFormat="1" ht="25.5">
      <c r="A182" s="680">
        <v>62006032</v>
      </c>
      <c r="B182" s="662" t="s">
        <v>239</v>
      </c>
      <c r="C182" s="646">
        <v>5</v>
      </c>
      <c r="D182" s="654" t="s">
        <v>979</v>
      </c>
      <c r="E182" s="647" t="s">
        <v>980</v>
      </c>
      <c r="F182" s="647" t="s">
        <v>708</v>
      </c>
      <c r="G182" s="648">
        <v>19.987351</v>
      </c>
      <c r="H182" s="649">
        <v>3.86216413</v>
      </c>
      <c r="I182" s="650">
        <v>95.1</v>
      </c>
      <c r="J182" s="650">
        <v>94.3</v>
      </c>
      <c r="K182" s="651">
        <v>642</v>
      </c>
      <c r="L182" s="651">
        <v>166.228046864492</v>
      </c>
      <c r="M182" s="651">
        <v>644</v>
      </c>
      <c r="N182" s="651">
        <v>18</v>
      </c>
      <c r="O182" s="651">
        <v>534</v>
      </c>
      <c r="P182" s="651">
        <v>88.611528999999962</v>
      </c>
      <c r="Q182" s="651">
        <v>71.559457000000009</v>
      </c>
      <c r="R182" s="651">
        <v>0.29999999999999993</v>
      </c>
      <c r="S182" s="651">
        <v>0.60000000000000009</v>
      </c>
      <c r="T182" s="651">
        <v>-0.48999999999999844</v>
      </c>
      <c r="U182" s="651">
        <v>-2.0123120000000001</v>
      </c>
      <c r="V182" s="652"/>
      <c r="W182" s="678"/>
      <c r="X182" s="657" t="s">
        <v>723</v>
      </c>
      <c r="Y182" s="658">
        <v>1476.64678908</v>
      </c>
      <c r="Z182" s="658">
        <v>-1.0433643399999999</v>
      </c>
      <c r="AA182" s="658">
        <v>3380.5952232899999</v>
      </c>
      <c r="AB182" s="658">
        <v>3416.2390433199998</v>
      </c>
      <c r="AC182" s="658">
        <v>2.9805997299999998</v>
      </c>
      <c r="AD182" s="658">
        <v>2.9953804700000002</v>
      </c>
      <c r="AE182" s="658">
        <v>5.7116269999999997E-2</v>
      </c>
      <c r="AF182" s="658">
        <v>3.86203575</v>
      </c>
      <c r="AG182" s="658">
        <v>3.8598311600000001</v>
      </c>
      <c r="AH182" s="658">
        <v>-0.55329773999999998</v>
      </c>
      <c r="AI182" s="658">
        <v>-0.49345120999999997</v>
      </c>
      <c r="AJ182" s="659">
        <v>0.72008375999999996</v>
      </c>
      <c r="AK182" s="1"/>
    </row>
    <row r="183" spans="1:37" s="519" customFormat="1" ht="25.5">
      <c r="A183" s="680">
        <v>62006032</v>
      </c>
      <c r="B183" s="662" t="s">
        <v>833</v>
      </c>
      <c r="C183" s="646" t="s">
        <v>1363</v>
      </c>
      <c r="D183" s="654" t="s">
        <v>979</v>
      </c>
      <c r="E183" s="647" t="s">
        <v>980</v>
      </c>
      <c r="F183" s="647" t="s">
        <v>708</v>
      </c>
      <c r="G183" s="648">
        <v>20.117266499999999</v>
      </c>
      <c r="H183" s="649">
        <v>7.4586936799999997</v>
      </c>
      <c r="I183" s="650">
        <v>95.8</v>
      </c>
      <c r="J183" s="650">
        <v>94.3</v>
      </c>
      <c r="K183" s="651">
        <v>1302</v>
      </c>
      <c r="L183" s="651">
        <v>174.5613985316528</v>
      </c>
      <c r="M183" s="651">
        <v>1305</v>
      </c>
      <c r="N183" s="651">
        <v>25</v>
      </c>
      <c r="O183" s="651">
        <v>1133</v>
      </c>
      <c r="P183" s="651">
        <v>141.41152899999997</v>
      </c>
      <c r="Q183" s="651">
        <v>114.42929199999998</v>
      </c>
      <c r="R183" s="651">
        <v>0.39999999999999991</v>
      </c>
      <c r="S183" s="651">
        <v>1</v>
      </c>
      <c r="T183" s="651">
        <v>-0.81999999999999851</v>
      </c>
      <c r="U183" s="651">
        <v>-2.217212</v>
      </c>
      <c r="V183" s="652"/>
      <c r="W183" s="678"/>
      <c r="X183" s="657" t="s">
        <v>723</v>
      </c>
      <c r="Y183" s="658"/>
      <c r="Z183" s="658"/>
      <c r="AA183" s="658"/>
      <c r="AB183" s="658"/>
      <c r="AC183" s="658"/>
      <c r="AD183" s="658"/>
      <c r="AE183" s="658"/>
      <c r="AF183" s="658"/>
      <c r="AG183" s="658"/>
      <c r="AH183" s="658"/>
      <c r="AI183" s="658"/>
      <c r="AJ183" s="659"/>
      <c r="AK183" s="1"/>
    </row>
    <row r="184" spans="1:37" s="519" customFormat="1" ht="25.5">
      <c r="A184" s="680">
        <v>62006032</v>
      </c>
      <c r="B184" s="662" t="s">
        <v>836</v>
      </c>
      <c r="C184" s="646">
        <v>6</v>
      </c>
      <c r="D184" s="654" t="s">
        <v>979</v>
      </c>
      <c r="E184" s="647" t="s">
        <v>980</v>
      </c>
      <c r="F184" s="647" t="s">
        <v>708</v>
      </c>
      <c r="G184" s="648">
        <v>23.124372999999999</v>
      </c>
      <c r="H184" s="649">
        <v>1.774627</v>
      </c>
      <c r="I184" s="650">
        <v>94.3</v>
      </c>
      <c r="J184" s="650">
        <v>92</v>
      </c>
      <c r="K184" s="651">
        <v>469</v>
      </c>
      <c r="L184" s="651">
        <v>264.28088832188399</v>
      </c>
      <c r="M184" s="651">
        <v>471</v>
      </c>
      <c r="N184" s="651">
        <v>41</v>
      </c>
      <c r="O184" s="651">
        <v>403</v>
      </c>
      <c r="P184" s="651">
        <v>24.300000000000011</v>
      </c>
      <c r="Q184" s="651">
        <v>19.688040000000001</v>
      </c>
      <c r="R184" s="651">
        <v>0.19999999999999996</v>
      </c>
      <c r="S184" s="651">
        <v>0.20000000000000018</v>
      </c>
      <c r="T184" s="651">
        <v>-0.11000000000000121</v>
      </c>
      <c r="U184" s="651">
        <v>-1.722477</v>
      </c>
      <c r="V184" s="652"/>
      <c r="W184" s="678"/>
      <c r="X184" s="657" t="s">
        <v>723</v>
      </c>
      <c r="Y184" s="658">
        <v>5478.8906267499997</v>
      </c>
      <c r="Z184" s="658">
        <v>-4.3592580999999999</v>
      </c>
      <c r="AA184" s="658">
        <v>2352.25427313</v>
      </c>
      <c r="AB184" s="658">
        <v>2459.4688689700001</v>
      </c>
      <c r="AC184" s="658">
        <v>3.01193322</v>
      </c>
      <c r="AD184" s="658">
        <v>3.0983900599999998</v>
      </c>
      <c r="AE184" s="658">
        <v>0.13979915000000001</v>
      </c>
      <c r="AF184" s="658">
        <v>1.77458209</v>
      </c>
      <c r="AG184" s="658">
        <v>1.7721047000000001</v>
      </c>
      <c r="AH184" s="658">
        <v>-3.0142884900000002</v>
      </c>
      <c r="AI184" s="658">
        <v>-2.7903792599999999</v>
      </c>
      <c r="AJ184" s="659">
        <v>0.84360495000000002</v>
      </c>
      <c r="AK184" s="1"/>
    </row>
    <row r="185" spans="1:37" s="519" customFormat="1" ht="25.5">
      <c r="A185" s="680">
        <v>62006032</v>
      </c>
      <c r="B185" s="662" t="s">
        <v>837</v>
      </c>
      <c r="C185" s="646">
        <v>7</v>
      </c>
      <c r="D185" s="654" t="s">
        <v>979</v>
      </c>
      <c r="E185" s="647" t="s">
        <v>980</v>
      </c>
      <c r="F185" s="647" t="s">
        <v>708</v>
      </c>
      <c r="G185" s="648">
        <v>26.660357999999999</v>
      </c>
      <c r="H185" s="649">
        <v>6.2510756699999996</v>
      </c>
      <c r="I185" s="650">
        <v>93.9</v>
      </c>
      <c r="J185" s="650">
        <v>92.1</v>
      </c>
      <c r="K185" s="651">
        <v>1528</v>
      </c>
      <c r="L185" s="651">
        <v>244.43793047221266</v>
      </c>
      <c r="M185" s="651">
        <v>1529</v>
      </c>
      <c r="N185" s="651">
        <v>18</v>
      </c>
      <c r="O185" s="651">
        <v>1472</v>
      </c>
      <c r="P185" s="651">
        <v>37.5</v>
      </c>
      <c r="Q185" s="651">
        <v>30.359856999999977</v>
      </c>
      <c r="R185" s="651">
        <v>0</v>
      </c>
      <c r="S185" s="651">
        <v>0.20000000000000018</v>
      </c>
      <c r="T185" s="651">
        <v>-0.17999999999999972</v>
      </c>
      <c r="U185" s="651">
        <v>-1.723449</v>
      </c>
      <c r="V185" s="652"/>
      <c r="W185" s="678"/>
      <c r="X185" s="657" t="s">
        <v>723</v>
      </c>
      <c r="Y185" s="658">
        <v>11297.111676820001</v>
      </c>
      <c r="Z185" s="658">
        <v>-1.3380160299999999</v>
      </c>
      <c r="AA185" s="658">
        <v>1123.74982731</v>
      </c>
      <c r="AB185" s="658">
        <v>1138.9896919099999</v>
      </c>
      <c r="AC185" s="658">
        <v>5.8894542100000002</v>
      </c>
      <c r="AD185" s="658">
        <v>5.8930970900000004</v>
      </c>
      <c r="AE185" s="658">
        <v>0.26046717000000003</v>
      </c>
      <c r="AF185" s="658">
        <v>6.25109739</v>
      </c>
      <c r="AG185" s="658">
        <v>6.2348576299999996</v>
      </c>
      <c r="AH185" s="658">
        <v>-0.32248253999999998</v>
      </c>
      <c r="AI185" s="658">
        <v>-6.1816030000000001E-2</v>
      </c>
      <c r="AJ185" s="659">
        <v>0.41977524999999999</v>
      </c>
      <c r="AK185" s="1"/>
    </row>
    <row r="186" spans="1:37" s="519" customFormat="1" ht="25.5">
      <c r="A186" s="680">
        <v>62006032</v>
      </c>
      <c r="B186" s="662" t="s">
        <v>835</v>
      </c>
      <c r="C186" s="646" t="s">
        <v>1364</v>
      </c>
      <c r="D186" s="654" t="s">
        <v>979</v>
      </c>
      <c r="E186" s="647" t="s">
        <v>980</v>
      </c>
      <c r="F186" s="647" t="s">
        <v>708</v>
      </c>
      <c r="G186" s="648">
        <v>24.892365499999997</v>
      </c>
      <c r="H186" s="649">
        <v>8.0257026699999994</v>
      </c>
      <c r="I186" s="650">
        <v>94.3</v>
      </c>
      <c r="J186" s="650">
        <v>92.1</v>
      </c>
      <c r="K186" s="651">
        <v>1997</v>
      </c>
      <c r="L186" s="651">
        <v>248.82556482745954</v>
      </c>
      <c r="M186" s="651">
        <v>2000</v>
      </c>
      <c r="N186" s="651">
        <v>59</v>
      </c>
      <c r="O186" s="651">
        <v>1875</v>
      </c>
      <c r="P186" s="651">
        <v>61.800000000000011</v>
      </c>
      <c r="Q186" s="651">
        <v>50.047896999999978</v>
      </c>
      <c r="R186" s="651">
        <v>0.19999999999999996</v>
      </c>
      <c r="S186" s="651">
        <v>0.40000000000000036</v>
      </c>
      <c r="T186" s="651">
        <v>-0.29000000000000092</v>
      </c>
      <c r="U186" s="651">
        <v>-1.722963</v>
      </c>
      <c r="V186" s="652"/>
      <c r="W186" s="678"/>
      <c r="X186" s="657" t="s">
        <v>723</v>
      </c>
      <c r="Y186" s="658"/>
      <c r="Z186" s="658"/>
      <c r="AA186" s="658"/>
      <c r="AB186" s="658"/>
      <c r="AC186" s="658"/>
      <c r="AD186" s="658"/>
      <c r="AE186" s="658"/>
      <c r="AF186" s="658"/>
      <c r="AG186" s="658"/>
      <c r="AH186" s="658"/>
      <c r="AI186" s="658"/>
      <c r="AJ186" s="659"/>
      <c r="AK186" s="1"/>
    </row>
    <row r="187" spans="1:37" s="519" customFormat="1" ht="25.5">
      <c r="A187" s="680">
        <v>62006033</v>
      </c>
      <c r="B187" s="662" t="s">
        <v>838</v>
      </c>
      <c r="C187" s="646">
        <v>1</v>
      </c>
      <c r="D187" s="654" t="s">
        <v>982</v>
      </c>
      <c r="E187" s="647" t="s">
        <v>983</v>
      </c>
      <c r="F187" s="647" t="s">
        <v>708</v>
      </c>
      <c r="G187" s="648">
        <v>370.60814299999998</v>
      </c>
      <c r="H187" s="649">
        <v>254.76946482</v>
      </c>
      <c r="I187" s="650">
        <v>91.9</v>
      </c>
      <c r="J187" s="650">
        <v>21</v>
      </c>
      <c r="K187" s="651">
        <v>56846</v>
      </c>
      <c r="L187" s="651">
        <v>223.12721047698122</v>
      </c>
      <c r="M187" s="651">
        <v>56904</v>
      </c>
      <c r="N187" s="651">
        <v>3</v>
      </c>
      <c r="O187" s="651">
        <v>55367</v>
      </c>
      <c r="P187" s="651">
        <v>1416.9</v>
      </c>
      <c r="Q187" s="651">
        <v>1151.3316399999999</v>
      </c>
      <c r="R187" s="651">
        <v>2.7</v>
      </c>
      <c r="S187" s="651">
        <v>7.1999999999999993</v>
      </c>
      <c r="T187" s="651">
        <v>-4.92</v>
      </c>
      <c r="U187" s="651">
        <v>-17.833786</v>
      </c>
      <c r="V187" s="652"/>
      <c r="W187" s="678"/>
      <c r="X187" s="657" t="s">
        <v>723</v>
      </c>
      <c r="Y187" s="658">
        <v>9.0189991500000009</v>
      </c>
      <c r="Z187" s="658">
        <v>127.17562409999999</v>
      </c>
      <c r="AA187" s="658">
        <v>1320.23568297</v>
      </c>
      <c r="AB187" s="658">
        <v>581.15200000000004</v>
      </c>
      <c r="AC187" s="658">
        <v>191.12411635000001</v>
      </c>
      <c r="AD187" s="658">
        <v>189.90700207</v>
      </c>
      <c r="AE187" s="658">
        <v>0.28654445000000001</v>
      </c>
      <c r="AF187" s="658">
        <v>254.76984992999999</v>
      </c>
      <c r="AG187" s="658">
        <v>254.04190693999999</v>
      </c>
      <c r="AH187" s="658">
        <v>0.35209910999999999</v>
      </c>
      <c r="AI187" s="658">
        <v>0.64090016000000005</v>
      </c>
      <c r="AJ187" s="659">
        <v>4.3498699999999996E-3</v>
      </c>
      <c r="AK187" s="1"/>
    </row>
    <row r="188" spans="1:37" s="519" customFormat="1" ht="25.5">
      <c r="A188" s="680">
        <v>62006034</v>
      </c>
      <c r="B188" s="662" t="s">
        <v>839</v>
      </c>
      <c r="C188" s="646">
        <v>1</v>
      </c>
      <c r="D188" s="654" t="s">
        <v>984</v>
      </c>
      <c r="E188" s="647" t="s">
        <v>985</v>
      </c>
      <c r="F188" s="647" t="s">
        <v>708</v>
      </c>
      <c r="G188" s="648">
        <v>22.384326000000001</v>
      </c>
      <c r="H188" s="649">
        <v>1.77490912</v>
      </c>
      <c r="I188" s="650">
        <v>21</v>
      </c>
      <c r="J188" s="650">
        <v>18.3</v>
      </c>
      <c r="K188" s="651">
        <v>441</v>
      </c>
      <c r="L188" s="651">
        <v>248.4634255527404</v>
      </c>
      <c r="M188" s="651">
        <v>442</v>
      </c>
      <c r="N188" s="651">
        <v>36</v>
      </c>
      <c r="O188" s="651">
        <v>383</v>
      </c>
      <c r="P188" s="651">
        <v>23.600000000000136</v>
      </c>
      <c r="Q188" s="651">
        <v>19.457902999999988</v>
      </c>
      <c r="R188" s="651">
        <v>9.9999999999999645E-2</v>
      </c>
      <c r="S188" s="651">
        <v>0.19999999999999929</v>
      </c>
      <c r="T188" s="651">
        <v>-7.0000000000002061E-2</v>
      </c>
      <c r="U188" s="651">
        <v>-1.214831</v>
      </c>
      <c r="V188" s="652"/>
      <c r="W188" s="678"/>
      <c r="X188" s="657" t="s">
        <v>723</v>
      </c>
      <c r="Y188" s="658">
        <v>5450.0441289800001</v>
      </c>
      <c r="Z188" s="658">
        <v>-4.2327972100000002</v>
      </c>
      <c r="AA188" s="658">
        <v>2355.5870823599998</v>
      </c>
      <c r="AB188" s="658">
        <v>2459.70124807</v>
      </c>
      <c r="AC188" s="658">
        <v>3.0205680099999999</v>
      </c>
      <c r="AD188" s="658">
        <v>3.0989922700000001</v>
      </c>
      <c r="AE188" s="658">
        <v>0.15151197999999999</v>
      </c>
      <c r="AF188" s="658">
        <v>1.7748843400000001</v>
      </c>
      <c r="AG188" s="658">
        <v>1.7721992499999999</v>
      </c>
      <c r="AH188" s="658">
        <v>-2.7517873900000001</v>
      </c>
      <c r="AI188" s="658">
        <v>-2.5306376500000001</v>
      </c>
      <c r="AJ188" s="659">
        <v>0.84361569999999997</v>
      </c>
      <c r="AK188" s="1"/>
    </row>
    <row r="189" spans="1:37" s="519" customFormat="1" ht="25.5">
      <c r="A189" s="680">
        <v>62006034</v>
      </c>
      <c r="B189" s="662" t="s">
        <v>840</v>
      </c>
      <c r="C189" s="646">
        <v>2</v>
      </c>
      <c r="D189" s="654" t="s">
        <v>984</v>
      </c>
      <c r="E189" s="647" t="s">
        <v>985</v>
      </c>
      <c r="F189" s="647" t="s">
        <v>708</v>
      </c>
      <c r="G189" s="648">
        <v>25.733900999999999</v>
      </c>
      <c r="H189" s="649">
        <v>6.2507849699999998</v>
      </c>
      <c r="I189" s="650">
        <v>20.6</v>
      </c>
      <c r="J189" s="650">
        <v>18.5</v>
      </c>
      <c r="K189" s="651">
        <v>1470</v>
      </c>
      <c r="L189" s="651"/>
      <c r="M189" s="651">
        <v>1470</v>
      </c>
      <c r="N189" s="651">
        <v>16</v>
      </c>
      <c r="O189" s="651">
        <v>1417</v>
      </c>
      <c r="P189" s="651">
        <v>35</v>
      </c>
      <c r="Q189" s="651">
        <v>28.67176900000004</v>
      </c>
      <c r="R189" s="651">
        <v>0</v>
      </c>
      <c r="S189" s="651">
        <v>9.9999999999999645E-2</v>
      </c>
      <c r="T189" s="651">
        <v>-0.11999999999999922</v>
      </c>
      <c r="U189" s="651">
        <v>-1.194113</v>
      </c>
      <c r="V189" s="652"/>
      <c r="W189" s="678"/>
      <c r="X189" s="657" t="s">
        <v>723</v>
      </c>
      <c r="Y189" s="658">
        <v>11294.366709759999</v>
      </c>
      <c r="Z189" s="658">
        <v>-4.8148481600000004</v>
      </c>
      <c r="AA189" s="658">
        <v>1084.4201795199999</v>
      </c>
      <c r="AB189" s="658">
        <v>1139.2745176599999</v>
      </c>
      <c r="AC189" s="658">
        <v>5.8355069000000004</v>
      </c>
      <c r="AD189" s="658">
        <v>5.8951447000000003</v>
      </c>
      <c r="AE189" s="658">
        <v>0.24108482000000001</v>
      </c>
      <c r="AF189" s="658">
        <v>6.2507865599999999</v>
      </c>
      <c r="AG189" s="658">
        <v>6.2357531100000001</v>
      </c>
      <c r="AH189" s="658">
        <v>-1.26553011</v>
      </c>
      <c r="AI189" s="658">
        <v>-1.01164265</v>
      </c>
      <c r="AJ189" s="659">
        <v>0.41980052000000001</v>
      </c>
      <c r="AK189" s="1"/>
    </row>
    <row r="190" spans="1:37" s="519" customFormat="1" ht="25.5">
      <c r="A190" s="680">
        <v>62006034</v>
      </c>
      <c r="B190" s="662" t="s">
        <v>834</v>
      </c>
      <c r="C190" s="646" t="s">
        <v>1362</v>
      </c>
      <c r="D190" s="654" t="s">
        <v>984</v>
      </c>
      <c r="E190" s="647" t="s">
        <v>985</v>
      </c>
      <c r="F190" s="647" t="s">
        <v>708</v>
      </c>
      <c r="G190" s="648">
        <v>24.059113500000002</v>
      </c>
      <c r="H190" s="649">
        <v>8.02569409</v>
      </c>
      <c r="I190" s="650">
        <v>21</v>
      </c>
      <c r="J190" s="650">
        <v>18.5</v>
      </c>
      <c r="K190" s="651">
        <v>1911</v>
      </c>
      <c r="L190" s="651">
        <v>238.11024673630439</v>
      </c>
      <c r="M190" s="651">
        <v>1912</v>
      </c>
      <c r="N190" s="651">
        <v>52</v>
      </c>
      <c r="O190" s="651">
        <v>1800</v>
      </c>
      <c r="P190" s="651">
        <v>58.600000000000136</v>
      </c>
      <c r="Q190" s="651">
        <v>48.129672000000028</v>
      </c>
      <c r="R190" s="651">
        <v>9.9999999999999645E-2</v>
      </c>
      <c r="S190" s="651">
        <v>0.29999999999999893</v>
      </c>
      <c r="T190" s="651">
        <v>-0.19000000000000128</v>
      </c>
      <c r="U190" s="651">
        <v>-1.204472</v>
      </c>
      <c r="V190" s="652"/>
      <c r="W190" s="678"/>
      <c r="X190" s="657" t="s">
        <v>723</v>
      </c>
      <c r="Y190" s="658"/>
      <c r="Z190" s="658"/>
      <c r="AA190" s="658"/>
      <c r="AB190" s="658"/>
      <c r="AC190" s="658"/>
      <c r="AD190" s="658"/>
      <c r="AE190" s="658"/>
      <c r="AF190" s="658"/>
      <c r="AG190" s="658"/>
      <c r="AH190" s="658"/>
      <c r="AI190" s="658"/>
      <c r="AJ190" s="659"/>
      <c r="AK190" s="1"/>
    </row>
    <row r="191" spans="1:37" s="519" customFormat="1" ht="25.5">
      <c r="A191" s="680">
        <v>62006034</v>
      </c>
      <c r="B191" s="662" t="s">
        <v>841</v>
      </c>
      <c r="C191" s="646">
        <v>3</v>
      </c>
      <c r="D191" s="654" t="s">
        <v>984</v>
      </c>
      <c r="E191" s="647" t="s">
        <v>985</v>
      </c>
      <c r="F191" s="647" t="s">
        <v>708</v>
      </c>
      <c r="G191" s="648">
        <v>20.955423</v>
      </c>
      <c r="H191" s="649">
        <v>3.5963044399999999</v>
      </c>
      <c r="I191" s="650">
        <v>18.2</v>
      </c>
      <c r="J191" s="650">
        <v>17.3</v>
      </c>
      <c r="K191" s="651">
        <v>635</v>
      </c>
      <c r="L191" s="651">
        <v>176.57014599131102</v>
      </c>
      <c r="M191" s="651">
        <v>635</v>
      </c>
      <c r="N191" s="651">
        <v>6</v>
      </c>
      <c r="O191" s="651">
        <v>579</v>
      </c>
      <c r="P191" s="651">
        <v>48.700000000000273</v>
      </c>
      <c r="Q191" s="651">
        <v>39.931218999999828</v>
      </c>
      <c r="R191" s="651">
        <v>9.9999999999999645E-2</v>
      </c>
      <c r="S191" s="651">
        <v>0.19999999999999929</v>
      </c>
      <c r="T191" s="651">
        <v>-0.16000000000000014</v>
      </c>
      <c r="U191" s="651">
        <v>-1.1815249999999999</v>
      </c>
      <c r="V191" s="652"/>
      <c r="W191" s="678"/>
      <c r="X191" s="657" t="s">
        <v>723</v>
      </c>
      <c r="Y191" s="658">
        <v>2368.5236811499999</v>
      </c>
      <c r="Z191" s="658">
        <v>-1.08161427</v>
      </c>
      <c r="AA191" s="658">
        <v>2026.67358932</v>
      </c>
      <c r="AB191" s="658">
        <v>2048.8340710399998</v>
      </c>
      <c r="AC191" s="658">
        <v>3.0234274499999998</v>
      </c>
      <c r="AD191" s="658">
        <v>3.0320003500000001</v>
      </c>
      <c r="AE191" s="658">
        <v>0.14717356000000001</v>
      </c>
      <c r="AF191" s="658">
        <v>3.5962652799999999</v>
      </c>
      <c r="AG191" s="658">
        <v>3.5909803</v>
      </c>
      <c r="AH191" s="658">
        <v>-0.43113985999999999</v>
      </c>
      <c r="AI191" s="658">
        <v>-0.28274726999999999</v>
      </c>
      <c r="AJ191" s="659">
        <v>0.63450395000000004</v>
      </c>
      <c r="AK191" s="1"/>
    </row>
    <row r="192" spans="1:37" s="519" customFormat="1" ht="25.5">
      <c r="A192" s="680">
        <v>62006034</v>
      </c>
      <c r="B192" s="662" t="s">
        <v>234</v>
      </c>
      <c r="C192" s="646">
        <v>4</v>
      </c>
      <c r="D192" s="654" t="s">
        <v>984</v>
      </c>
      <c r="E192" s="647" t="s">
        <v>985</v>
      </c>
      <c r="F192" s="647" t="s">
        <v>708</v>
      </c>
      <c r="G192" s="648">
        <v>20.046855000000001</v>
      </c>
      <c r="H192" s="649">
        <v>3.8623510200000002</v>
      </c>
      <c r="I192" s="650">
        <v>17.3</v>
      </c>
      <c r="J192" s="650">
        <v>16.399999999999999</v>
      </c>
      <c r="K192" s="651">
        <v>615</v>
      </c>
      <c r="L192" s="651">
        <v>159.22944258960698</v>
      </c>
      <c r="M192" s="651">
        <v>616</v>
      </c>
      <c r="N192" s="651">
        <v>18</v>
      </c>
      <c r="O192" s="651">
        <v>513</v>
      </c>
      <c r="P192" s="651">
        <v>83.467870999999832</v>
      </c>
      <c r="Q192" s="651">
        <v>68.789338999999927</v>
      </c>
      <c r="R192" s="651">
        <v>0.20000000000000018</v>
      </c>
      <c r="S192" s="651">
        <v>0.40000000000000036</v>
      </c>
      <c r="T192" s="651">
        <v>-0.26999999999999957</v>
      </c>
      <c r="U192" s="651">
        <v>-1.0907230000000001</v>
      </c>
      <c r="V192" s="652"/>
      <c r="W192" s="678"/>
      <c r="X192" s="657" t="s">
        <v>723</v>
      </c>
      <c r="Y192" s="658">
        <v>1476.0193784400001</v>
      </c>
      <c r="Z192" s="658">
        <v>-1.0913204999999999</v>
      </c>
      <c r="AA192" s="658">
        <v>3378.9515580299999</v>
      </c>
      <c r="AB192" s="658">
        <v>3416.2336157599998</v>
      </c>
      <c r="AC192" s="658">
        <v>2.9825414000000001</v>
      </c>
      <c r="AD192" s="658">
        <v>2.9953598600000002</v>
      </c>
      <c r="AE192" s="658">
        <v>6.2140090000000002E-2</v>
      </c>
      <c r="AF192" s="658">
        <v>3.8622292800000002</v>
      </c>
      <c r="AG192" s="658">
        <v>3.8598307799999998</v>
      </c>
      <c r="AH192" s="658">
        <v>-0.49219049999999998</v>
      </c>
      <c r="AI192" s="658">
        <v>-0.42794410999999999</v>
      </c>
      <c r="AJ192" s="659">
        <v>0.72008764999999997</v>
      </c>
      <c r="AK192" s="1"/>
    </row>
    <row r="193" spans="1:37" s="519" customFormat="1" ht="25.5">
      <c r="A193" s="680">
        <v>62006034</v>
      </c>
      <c r="B193" s="662" t="s">
        <v>842</v>
      </c>
      <c r="C193" s="646" t="s">
        <v>1365</v>
      </c>
      <c r="D193" s="654" t="s">
        <v>984</v>
      </c>
      <c r="E193" s="647" t="s">
        <v>985</v>
      </c>
      <c r="F193" s="647" t="s">
        <v>708</v>
      </c>
      <c r="G193" s="648">
        <v>20.501139000000002</v>
      </c>
      <c r="H193" s="649">
        <v>7.4586554600000001</v>
      </c>
      <c r="I193" s="650">
        <v>18.2</v>
      </c>
      <c r="J193" s="650">
        <v>16.399999999999999</v>
      </c>
      <c r="K193" s="651">
        <v>1250</v>
      </c>
      <c r="L193" s="651">
        <v>167.59052710017522</v>
      </c>
      <c r="M193" s="651">
        <v>1251</v>
      </c>
      <c r="N193" s="651">
        <v>24</v>
      </c>
      <c r="O193" s="651">
        <v>1092</v>
      </c>
      <c r="P193" s="651">
        <v>132.1678710000001</v>
      </c>
      <c r="Q193" s="651">
        <v>108.72055799999976</v>
      </c>
      <c r="R193" s="651">
        <v>0.29999999999999982</v>
      </c>
      <c r="S193" s="651">
        <v>0.59999999999999964</v>
      </c>
      <c r="T193" s="651">
        <v>-0.42999999999999972</v>
      </c>
      <c r="U193" s="651">
        <v>-1.1361240000000001</v>
      </c>
      <c r="V193" s="652"/>
      <c r="W193" s="678"/>
      <c r="X193" s="657" t="s">
        <v>723</v>
      </c>
      <c r="Y193" s="658"/>
      <c r="Z193" s="658"/>
      <c r="AA193" s="658"/>
      <c r="AB193" s="658"/>
      <c r="AC193" s="658"/>
      <c r="AD193" s="658"/>
      <c r="AE193" s="658"/>
      <c r="AF193" s="658"/>
      <c r="AG193" s="658"/>
      <c r="AH193" s="658"/>
      <c r="AI193" s="658"/>
      <c r="AJ193" s="659"/>
      <c r="AK193" s="1"/>
    </row>
    <row r="194" spans="1:37" s="519" customFormat="1" ht="25.5">
      <c r="A194" s="680">
        <v>62006034</v>
      </c>
      <c r="B194" s="662" t="s">
        <v>56</v>
      </c>
      <c r="C194" s="646">
        <v>5</v>
      </c>
      <c r="D194" s="654" t="s">
        <v>984</v>
      </c>
      <c r="E194" s="647" t="s">
        <v>985</v>
      </c>
      <c r="F194" s="647" t="s">
        <v>708</v>
      </c>
      <c r="G194" s="648">
        <v>25.32254</v>
      </c>
      <c r="H194" s="649">
        <v>10.284345050000001</v>
      </c>
      <c r="I194" s="650">
        <v>16.399999999999999</v>
      </c>
      <c r="J194" s="650">
        <v>13.8</v>
      </c>
      <c r="K194" s="651">
        <v>1845</v>
      </c>
      <c r="L194" s="651">
        <v>179.39888160403564</v>
      </c>
      <c r="M194" s="651">
        <v>1847</v>
      </c>
      <c r="N194" s="651">
        <v>1</v>
      </c>
      <c r="O194" s="651">
        <v>1768</v>
      </c>
      <c r="P194" s="651">
        <v>73.893278000000009</v>
      </c>
      <c r="Q194" s="651">
        <v>61.069328000000041</v>
      </c>
      <c r="R194" s="651">
        <v>0</v>
      </c>
      <c r="S194" s="651">
        <v>0.29999999999999893</v>
      </c>
      <c r="T194" s="651">
        <v>-0.23000000000000043</v>
      </c>
      <c r="U194" s="651">
        <v>-1.037463</v>
      </c>
      <c r="V194" s="652"/>
      <c r="W194" s="678"/>
      <c r="X194" s="657" t="s">
        <v>723</v>
      </c>
      <c r="Y194" s="658">
        <v>1875.3491857700001</v>
      </c>
      <c r="Z194" s="658">
        <v>0.94737481999999995</v>
      </c>
      <c r="AA194" s="658">
        <v>1319.1515590500001</v>
      </c>
      <c r="AB194" s="658">
        <v>1306.7715346</v>
      </c>
      <c r="AC194" s="658">
        <v>6.82025317</v>
      </c>
      <c r="AD194" s="658">
        <v>6.7904236600000001</v>
      </c>
      <c r="AE194" s="658">
        <v>0.26978850999999998</v>
      </c>
      <c r="AF194" s="658">
        <v>10.284351689999999</v>
      </c>
      <c r="AG194" s="658">
        <v>10.256680340000001</v>
      </c>
      <c r="AH194" s="658">
        <v>0.16875809999999999</v>
      </c>
      <c r="AI194" s="658">
        <v>0.43928794999999998</v>
      </c>
      <c r="AJ194" s="659">
        <v>0.33398550999999999</v>
      </c>
      <c r="AK194" s="1"/>
    </row>
    <row r="195" spans="1:37" s="519" customFormat="1" ht="25.5">
      <c r="A195" s="680">
        <v>62006034</v>
      </c>
      <c r="B195" s="662" t="s">
        <v>843</v>
      </c>
      <c r="C195" s="646">
        <v>6</v>
      </c>
      <c r="D195" s="654" t="s">
        <v>984</v>
      </c>
      <c r="E195" s="647" t="s">
        <v>985</v>
      </c>
      <c r="F195" s="647" t="s">
        <v>708</v>
      </c>
      <c r="G195" s="648">
        <v>20.981826000000002</v>
      </c>
      <c r="H195" s="649">
        <v>3.5965738599999999</v>
      </c>
      <c r="I195" s="650">
        <v>13.7</v>
      </c>
      <c r="J195" s="650">
        <v>12.8</v>
      </c>
      <c r="K195" s="651">
        <v>633</v>
      </c>
      <c r="L195" s="651">
        <v>176.00083430512393</v>
      </c>
      <c r="M195" s="651">
        <v>633</v>
      </c>
      <c r="N195" s="651">
        <v>6</v>
      </c>
      <c r="O195" s="651">
        <v>577</v>
      </c>
      <c r="P195" s="651">
        <v>48.099999999999909</v>
      </c>
      <c r="Q195" s="651">
        <v>39.769746000000168</v>
      </c>
      <c r="R195" s="651">
        <v>0.10000000000000053</v>
      </c>
      <c r="S195" s="651">
        <v>0.19999999999999929</v>
      </c>
      <c r="T195" s="651">
        <v>-0.15999999999999837</v>
      </c>
      <c r="U195" s="651">
        <v>-1.036718</v>
      </c>
      <c r="V195" s="652"/>
      <c r="W195" s="678"/>
      <c r="X195" s="657" t="s">
        <v>723</v>
      </c>
      <c r="Y195" s="658">
        <v>2367.8847709699999</v>
      </c>
      <c r="Z195" s="658">
        <v>-0.94597796999999995</v>
      </c>
      <c r="AA195" s="658">
        <v>2029.4072752100001</v>
      </c>
      <c r="AB195" s="658">
        <v>2048.7883618199999</v>
      </c>
      <c r="AC195" s="658">
        <v>3.02621992</v>
      </c>
      <c r="AD195" s="658">
        <v>3.0319412099999998</v>
      </c>
      <c r="AE195" s="658">
        <v>0.15516970999999999</v>
      </c>
      <c r="AF195" s="658">
        <v>3.5965525600000001</v>
      </c>
      <c r="AG195" s="658">
        <v>3.59098045</v>
      </c>
      <c r="AH195" s="658">
        <v>-0.34452044999999998</v>
      </c>
      <c r="AI195" s="658">
        <v>-0.18870063000000001</v>
      </c>
      <c r="AJ195" s="659">
        <v>0.63449513999999996</v>
      </c>
      <c r="AK195" s="1"/>
    </row>
    <row r="196" spans="1:37" s="519" customFormat="1" ht="25.5">
      <c r="A196" s="680">
        <v>62006034</v>
      </c>
      <c r="B196" s="662" t="s">
        <v>844</v>
      </c>
      <c r="C196" s="646">
        <v>7</v>
      </c>
      <c r="D196" s="654" t="s">
        <v>984</v>
      </c>
      <c r="E196" s="647" t="s">
        <v>985</v>
      </c>
      <c r="F196" s="647" t="s">
        <v>708</v>
      </c>
      <c r="G196" s="648">
        <v>19.077400999999998</v>
      </c>
      <c r="H196" s="649">
        <v>3.8618394899999999</v>
      </c>
      <c r="I196" s="650">
        <v>12.8</v>
      </c>
      <c r="J196" s="650">
        <v>11.9</v>
      </c>
      <c r="K196" s="651">
        <v>611</v>
      </c>
      <c r="L196" s="651">
        <v>158.21475791061425</v>
      </c>
      <c r="M196" s="651">
        <v>613</v>
      </c>
      <c r="N196" s="651">
        <v>17</v>
      </c>
      <c r="O196" s="651">
        <v>510</v>
      </c>
      <c r="P196" s="651">
        <v>82.902912999999899</v>
      </c>
      <c r="Q196" s="651">
        <v>68.55957699999999</v>
      </c>
      <c r="R196" s="651">
        <v>9.9999999999999645E-2</v>
      </c>
      <c r="S196" s="651">
        <v>0.30000000000000071</v>
      </c>
      <c r="T196" s="651">
        <v>-0.26000000000000156</v>
      </c>
      <c r="U196" s="651">
        <v>-1.075008</v>
      </c>
      <c r="V196" s="652"/>
      <c r="W196" s="678"/>
      <c r="X196" s="657" t="s">
        <v>723</v>
      </c>
      <c r="Y196" s="658">
        <v>1475.70784604</v>
      </c>
      <c r="Z196" s="658">
        <v>-1.18566047</v>
      </c>
      <c r="AA196" s="658">
        <v>3375.6935360500001</v>
      </c>
      <c r="AB196" s="658">
        <v>3416.1980459500001</v>
      </c>
      <c r="AC196" s="658">
        <v>2.9824620999999998</v>
      </c>
      <c r="AD196" s="658">
        <v>2.9953058499999998</v>
      </c>
      <c r="AE196" s="658">
        <v>4.941255E-2</v>
      </c>
      <c r="AF196" s="658">
        <v>3.8617368399999998</v>
      </c>
      <c r="AG196" s="658">
        <v>3.8598295999999999</v>
      </c>
      <c r="AH196" s="658">
        <v>-0.48026760000000002</v>
      </c>
      <c r="AI196" s="658">
        <v>-0.42879568000000001</v>
      </c>
      <c r="AJ196" s="659">
        <v>0.72009193000000005</v>
      </c>
      <c r="AK196" s="1"/>
    </row>
    <row r="197" spans="1:37" s="519" customFormat="1" ht="25.5">
      <c r="A197" s="680">
        <v>62006034</v>
      </c>
      <c r="B197" s="662" t="s">
        <v>845</v>
      </c>
      <c r="C197" s="646" t="s">
        <v>1364</v>
      </c>
      <c r="D197" s="654" t="s">
        <v>984</v>
      </c>
      <c r="E197" s="647" t="s">
        <v>985</v>
      </c>
      <c r="F197" s="647" t="s">
        <v>708</v>
      </c>
      <c r="G197" s="648">
        <v>20.0296135</v>
      </c>
      <c r="H197" s="649">
        <v>7.4584133499999998</v>
      </c>
      <c r="I197" s="650">
        <v>13.7</v>
      </c>
      <c r="J197" s="650">
        <v>11.9</v>
      </c>
      <c r="K197" s="651">
        <v>1244</v>
      </c>
      <c r="L197" s="651">
        <v>166.79150666810389</v>
      </c>
      <c r="M197" s="651">
        <v>1246</v>
      </c>
      <c r="N197" s="651">
        <v>23</v>
      </c>
      <c r="O197" s="651">
        <v>1087</v>
      </c>
      <c r="P197" s="651">
        <v>131.00291299999981</v>
      </c>
      <c r="Q197" s="651">
        <v>108.32932300000016</v>
      </c>
      <c r="R197" s="651">
        <v>0.20000000000000018</v>
      </c>
      <c r="S197" s="651">
        <v>0.5</v>
      </c>
      <c r="T197" s="651">
        <v>-0.41999999999999993</v>
      </c>
      <c r="U197" s="651">
        <v>-1.055863</v>
      </c>
      <c r="V197" s="652"/>
      <c r="W197" s="678"/>
      <c r="X197" s="657" t="s">
        <v>723</v>
      </c>
      <c r="Y197" s="658"/>
      <c r="Z197" s="658"/>
      <c r="AA197" s="658"/>
      <c r="AB197" s="658"/>
      <c r="AC197" s="658"/>
      <c r="AD197" s="658"/>
      <c r="AE197" s="658"/>
      <c r="AF197" s="658"/>
      <c r="AG197" s="658"/>
      <c r="AH197" s="658"/>
      <c r="AI197" s="658"/>
      <c r="AJ197" s="659"/>
      <c r="AK197" s="1"/>
    </row>
    <row r="198" spans="1:37" s="519" customFormat="1" ht="38.25">
      <c r="A198" s="680">
        <v>62006035</v>
      </c>
      <c r="B198" s="662" t="s">
        <v>838</v>
      </c>
      <c r="C198" s="646">
        <v>1</v>
      </c>
      <c r="D198" s="654" t="s">
        <v>986</v>
      </c>
      <c r="E198" s="647" t="s">
        <v>987</v>
      </c>
      <c r="F198" s="647" t="s">
        <v>708</v>
      </c>
      <c r="G198" s="648">
        <v>26.403262999999999</v>
      </c>
      <c r="H198" s="649">
        <v>27.24736764</v>
      </c>
      <c r="I198" s="650">
        <v>11.9</v>
      </c>
      <c r="J198" s="650">
        <v>2.2999999999999998</v>
      </c>
      <c r="K198" s="651">
        <v>6047</v>
      </c>
      <c r="L198" s="651">
        <v>221.92969537074885</v>
      </c>
      <c r="M198" s="651">
        <v>6050</v>
      </c>
      <c r="N198" s="651">
        <v>1</v>
      </c>
      <c r="O198" s="651">
        <v>5895</v>
      </c>
      <c r="P198" s="651">
        <v>144.40000000000009</v>
      </c>
      <c r="Q198" s="651">
        <v>119.11038400000007</v>
      </c>
      <c r="R198" s="651">
        <v>9.9999999999999645E-2</v>
      </c>
      <c r="S198" s="651">
        <v>0.5</v>
      </c>
      <c r="T198" s="651">
        <v>-0.4599999999999973</v>
      </c>
      <c r="U198" s="651">
        <v>-1.055839</v>
      </c>
      <c r="V198" s="652"/>
      <c r="W198" s="678"/>
      <c r="X198" s="657" t="s">
        <v>723</v>
      </c>
      <c r="Y198" s="658">
        <v>80.994512610000001</v>
      </c>
      <c r="Z198" s="658">
        <v>10.896052470000001</v>
      </c>
      <c r="AA198" s="658">
        <v>644.47462685999994</v>
      </c>
      <c r="AB198" s="658">
        <v>581.15200000000004</v>
      </c>
      <c r="AC198" s="658">
        <v>20.818271249999999</v>
      </c>
      <c r="AD198" s="658">
        <v>21.597499429999999</v>
      </c>
      <c r="AE198" s="658">
        <v>-2.6050644799999998</v>
      </c>
      <c r="AF198" s="658">
        <v>27.247381010000002</v>
      </c>
      <c r="AG198" s="658">
        <v>27.9761785</v>
      </c>
      <c r="AH198" s="658">
        <v>-1.0404292900000001</v>
      </c>
      <c r="AI198" s="658">
        <v>-3.6079555399999998</v>
      </c>
      <c r="AJ198" s="659">
        <v>3.824847E-2</v>
      </c>
      <c r="AK198" s="1"/>
    </row>
    <row r="199" spans="1:37" s="519" customFormat="1" ht="25.5">
      <c r="A199" s="680">
        <v>62006036</v>
      </c>
      <c r="B199" s="662" t="s">
        <v>907</v>
      </c>
      <c r="C199" s="646">
        <v>1</v>
      </c>
      <c r="D199" s="654" t="s">
        <v>988</v>
      </c>
      <c r="E199" s="647" t="s">
        <v>989</v>
      </c>
      <c r="F199" s="647" t="s">
        <v>708</v>
      </c>
      <c r="G199" s="648">
        <v>-42.315147000000003</v>
      </c>
      <c r="H199" s="649">
        <v>1.483287E-2</v>
      </c>
      <c r="I199" s="650"/>
      <c r="J199" s="650"/>
      <c r="K199" s="651">
        <v>-78986</v>
      </c>
      <c r="L199" s="651"/>
      <c r="M199" s="651">
        <v>-79001</v>
      </c>
      <c r="N199" s="651">
        <v>-2</v>
      </c>
      <c r="O199" s="651">
        <v>27</v>
      </c>
      <c r="P199" s="651">
        <v>-79042.3</v>
      </c>
      <c r="Q199" s="651">
        <v>602.96</v>
      </c>
      <c r="R199" s="651">
        <v>-4.5</v>
      </c>
      <c r="S199" s="651">
        <v>8.9000000000000021</v>
      </c>
      <c r="T199" s="651">
        <v>-24.611648000000002</v>
      </c>
      <c r="U199" s="651">
        <v>3.9275899999999999</v>
      </c>
      <c r="V199" s="652">
        <v>85754.6</v>
      </c>
      <c r="W199" s="678">
        <v>-85208.6</v>
      </c>
      <c r="X199" s="657"/>
      <c r="Y199" s="658"/>
      <c r="Z199" s="658"/>
      <c r="AA199" s="658"/>
      <c r="AB199" s="658"/>
      <c r="AC199" s="658"/>
      <c r="AD199" s="658"/>
      <c r="AE199" s="658"/>
      <c r="AF199" s="658"/>
      <c r="AG199" s="658"/>
      <c r="AH199" s="658"/>
      <c r="AI199" s="658"/>
      <c r="AJ199" s="659"/>
      <c r="AK199" s="1"/>
    </row>
    <row r="200" spans="1:37" s="671" customFormat="1" ht="18.75">
      <c r="A200" s="664" t="s">
        <v>1249</v>
      </c>
      <c r="B200" s="675"/>
      <c r="C200" s="665"/>
      <c r="D200" s="666"/>
      <c r="E200" s="667"/>
      <c r="F200" s="667"/>
      <c r="G200" s="667"/>
      <c r="H200" s="665"/>
      <c r="I200" s="670"/>
      <c r="J200" s="670"/>
      <c r="K200" s="670"/>
      <c r="L200" s="670"/>
      <c r="M200" s="670"/>
      <c r="N200" s="670"/>
      <c r="O200" s="670"/>
      <c r="P200" s="670"/>
      <c r="Q200" s="670"/>
      <c r="R200" s="670"/>
      <c r="S200" s="670"/>
      <c r="T200" s="670"/>
      <c r="U200" s="670"/>
      <c r="V200" s="670"/>
      <c r="W200" s="679"/>
      <c r="X200" s="668"/>
      <c r="Y200" s="665"/>
      <c r="Z200" s="665"/>
      <c r="AA200" s="665"/>
      <c r="AB200" s="665"/>
      <c r="AC200" s="665"/>
      <c r="AD200" s="665"/>
      <c r="AE200" s="665"/>
      <c r="AF200" s="665"/>
      <c r="AG200" s="665"/>
      <c r="AH200" s="665"/>
      <c r="AI200" s="665"/>
      <c r="AJ200" s="669"/>
    </row>
    <row r="201" spans="1:37" s="519" customFormat="1" ht="25.5">
      <c r="A201" s="680">
        <v>62006039</v>
      </c>
      <c r="B201" s="662" t="s">
        <v>832</v>
      </c>
      <c r="C201" s="646">
        <v>1</v>
      </c>
      <c r="D201" s="654" t="s">
        <v>1001</v>
      </c>
      <c r="E201" s="647" t="s">
        <v>1002</v>
      </c>
      <c r="F201" s="647" t="s">
        <v>708</v>
      </c>
      <c r="G201" s="648">
        <v>23.075382000000001</v>
      </c>
      <c r="H201" s="649">
        <v>3.59734943</v>
      </c>
      <c r="I201" s="650">
        <v>97.3</v>
      </c>
      <c r="J201" s="650">
        <v>96.5</v>
      </c>
      <c r="K201" s="651">
        <v>696</v>
      </c>
      <c r="L201" s="651">
        <v>193.4757836410682</v>
      </c>
      <c r="M201" s="651">
        <v>696</v>
      </c>
      <c r="N201" s="651">
        <v>11</v>
      </c>
      <c r="O201" s="651">
        <v>629</v>
      </c>
      <c r="P201" s="651">
        <v>54.600000000000023</v>
      </c>
      <c r="Q201" s="651">
        <v>43.739813999999967</v>
      </c>
      <c r="R201" s="651">
        <v>9.9999999999999867E-2</v>
      </c>
      <c r="S201" s="651">
        <v>0.30000000000000027</v>
      </c>
      <c r="T201" s="651">
        <v>-0.85999999999999943</v>
      </c>
      <c r="U201" s="651">
        <v>-6.1207900000000004</v>
      </c>
      <c r="V201" s="652"/>
      <c r="W201" s="678"/>
      <c r="X201" s="657" t="s">
        <v>723</v>
      </c>
      <c r="Y201" s="658">
        <v>2371.7870424299999</v>
      </c>
      <c r="Z201" s="658">
        <v>-1.03996138</v>
      </c>
      <c r="AA201" s="658">
        <v>2027.5310124</v>
      </c>
      <c r="AB201" s="658">
        <v>2048.8381378499998</v>
      </c>
      <c r="AC201" s="658">
        <v>3.0209068000000001</v>
      </c>
      <c r="AD201" s="658">
        <v>3.0320140000000002</v>
      </c>
      <c r="AE201" s="658">
        <v>0.17695988000000001</v>
      </c>
      <c r="AF201" s="658">
        <v>3.59733524</v>
      </c>
      <c r="AG201" s="658">
        <v>3.5909806400000002</v>
      </c>
      <c r="AH201" s="658">
        <v>-0.54528829999999995</v>
      </c>
      <c r="AI201" s="658">
        <v>-0.36633085999999998</v>
      </c>
      <c r="AJ201" s="659">
        <v>0.63450318000000006</v>
      </c>
      <c r="AK201" s="1"/>
    </row>
    <row r="202" spans="1:37" s="519" customFormat="1" ht="25.5">
      <c r="A202" s="680">
        <v>62006039</v>
      </c>
      <c r="B202" s="662" t="s">
        <v>831</v>
      </c>
      <c r="C202" s="646">
        <v>2</v>
      </c>
      <c r="D202" s="654" t="s">
        <v>1001</v>
      </c>
      <c r="E202" s="647" t="s">
        <v>1002</v>
      </c>
      <c r="F202" s="647" t="s">
        <v>708</v>
      </c>
      <c r="G202" s="648">
        <v>20.765988</v>
      </c>
      <c r="H202" s="649">
        <v>3.8622477700000002</v>
      </c>
      <c r="I202" s="650">
        <v>96.5</v>
      </c>
      <c r="J202" s="650">
        <v>95.7</v>
      </c>
      <c r="K202" s="651">
        <v>652.55696200000011</v>
      </c>
      <c r="L202" s="651">
        <v>168.95781960668984</v>
      </c>
      <c r="M202" s="651">
        <v>652</v>
      </c>
      <c r="N202" s="651">
        <v>18</v>
      </c>
      <c r="O202" s="651">
        <v>543</v>
      </c>
      <c r="P202" s="651">
        <v>91</v>
      </c>
      <c r="Q202" s="651">
        <v>72.589411000000041</v>
      </c>
      <c r="R202" s="651">
        <v>0.20000000000000018</v>
      </c>
      <c r="S202" s="651">
        <v>0.59999999999999964</v>
      </c>
      <c r="T202" s="651">
        <v>-1.2799999999999994</v>
      </c>
      <c r="U202" s="651">
        <v>-5.2960960000000004</v>
      </c>
      <c r="V202" s="652"/>
      <c r="W202" s="678"/>
      <c r="X202" s="657" t="s">
        <v>723</v>
      </c>
      <c r="Y202" s="658">
        <v>1474.12989324</v>
      </c>
      <c r="Z202" s="658">
        <v>-1.2632794199999999</v>
      </c>
      <c r="AA202" s="658">
        <v>3372.9930755199998</v>
      </c>
      <c r="AB202" s="658">
        <v>3416.1485776099998</v>
      </c>
      <c r="AC202" s="658">
        <v>2.9797684200000001</v>
      </c>
      <c r="AD202" s="658">
        <v>2.9952472000000001</v>
      </c>
      <c r="AE202" s="658">
        <v>5.9961939999999998E-2</v>
      </c>
      <c r="AF202" s="658">
        <v>3.8621447199999999</v>
      </c>
      <c r="AG202" s="658">
        <v>3.8598303</v>
      </c>
      <c r="AH202" s="658">
        <v>-0.57973602999999996</v>
      </c>
      <c r="AI202" s="658">
        <v>-0.51677814</v>
      </c>
      <c r="AJ202" s="659">
        <v>0.72008899999999998</v>
      </c>
      <c r="AK202" s="1"/>
    </row>
    <row r="203" spans="1:37" s="519" customFormat="1" ht="25.5">
      <c r="A203" s="680">
        <v>62006039</v>
      </c>
      <c r="B203" s="662" t="s">
        <v>830</v>
      </c>
      <c r="C203" s="646" t="s">
        <v>1362</v>
      </c>
      <c r="D203" s="654" t="s">
        <v>1001</v>
      </c>
      <c r="E203" s="647" t="s">
        <v>1002</v>
      </c>
      <c r="F203" s="647" t="s">
        <v>708</v>
      </c>
      <c r="G203" s="648">
        <v>21.920684999999999</v>
      </c>
      <c r="H203" s="649">
        <v>7.4595972000000002</v>
      </c>
      <c r="I203" s="650">
        <v>97.3</v>
      </c>
      <c r="J203" s="650">
        <v>95.7</v>
      </c>
      <c r="K203" s="651">
        <v>1348.5569620000001</v>
      </c>
      <c r="L203" s="651">
        <v>180.78147195400845</v>
      </c>
      <c r="M203" s="651">
        <v>1348</v>
      </c>
      <c r="N203" s="651">
        <v>29</v>
      </c>
      <c r="O203" s="651">
        <v>1172</v>
      </c>
      <c r="P203" s="651">
        <v>145.60000000000002</v>
      </c>
      <c r="Q203" s="651">
        <v>116.32922500000001</v>
      </c>
      <c r="R203" s="651">
        <v>0.30000000000000004</v>
      </c>
      <c r="S203" s="651">
        <v>0.89999999999999991</v>
      </c>
      <c r="T203" s="651">
        <v>-2.1399999999999988</v>
      </c>
      <c r="U203" s="651">
        <v>-5.7084430000000008</v>
      </c>
      <c r="V203" s="652"/>
      <c r="W203" s="678"/>
      <c r="X203" s="657" t="s">
        <v>723</v>
      </c>
      <c r="Y203" s="658"/>
      <c r="Z203" s="658"/>
      <c r="AA203" s="658"/>
      <c r="AB203" s="658"/>
      <c r="AC203" s="658"/>
      <c r="AD203" s="658"/>
      <c r="AE203" s="658"/>
      <c r="AF203" s="658"/>
      <c r="AG203" s="658"/>
      <c r="AH203" s="658"/>
      <c r="AI203" s="658"/>
      <c r="AJ203" s="659"/>
      <c r="AK203" s="1"/>
    </row>
    <row r="204" spans="1:37" s="519" customFormat="1" ht="25.5">
      <c r="A204" s="680">
        <v>62006039</v>
      </c>
      <c r="B204" s="662" t="s">
        <v>828</v>
      </c>
      <c r="C204" s="646">
        <v>3</v>
      </c>
      <c r="D204" s="654" t="s">
        <v>1001</v>
      </c>
      <c r="E204" s="647" t="s">
        <v>1002</v>
      </c>
      <c r="F204" s="647" t="s">
        <v>708</v>
      </c>
      <c r="G204" s="648">
        <v>22.210775000000002</v>
      </c>
      <c r="H204" s="649">
        <v>3.59719904</v>
      </c>
      <c r="I204" s="650">
        <v>95.7</v>
      </c>
      <c r="J204" s="650">
        <v>95</v>
      </c>
      <c r="K204" s="651">
        <v>667</v>
      </c>
      <c r="L204" s="651">
        <v>185.42204436927682</v>
      </c>
      <c r="M204" s="651">
        <v>667</v>
      </c>
      <c r="N204" s="651">
        <v>7</v>
      </c>
      <c r="O204" s="651">
        <v>606</v>
      </c>
      <c r="P204" s="651">
        <v>52.100000000000023</v>
      </c>
      <c r="Q204" s="651">
        <v>42.149731000000031</v>
      </c>
      <c r="R204" s="651">
        <v>9.9999999999999867E-2</v>
      </c>
      <c r="S204" s="651">
        <v>0.29999999999999982</v>
      </c>
      <c r="T204" s="651">
        <v>-0.56999999999999851</v>
      </c>
      <c r="U204" s="651">
        <v>-4.0638769999999997</v>
      </c>
      <c r="V204" s="652"/>
      <c r="W204" s="678"/>
      <c r="X204" s="657" t="s">
        <v>723</v>
      </c>
      <c r="Y204" s="658">
        <v>2367.4310992300002</v>
      </c>
      <c r="Z204" s="658">
        <v>-0.98861591999999998</v>
      </c>
      <c r="AA204" s="658">
        <v>2028.4509931299999</v>
      </c>
      <c r="AB204" s="658">
        <v>2048.7048149799998</v>
      </c>
      <c r="AC204" s="658">
        <v>3.0235910399999999</v>
      </c>
      <c r="AD204" s="658">
        <v>3.0318318500000001</v>
      </c>
      <c r="AE204" s="658">
        <v>0.17302798</v>
      </c>
      <c r="AF204" s="658">
        <v>3.5971929500000002</v>
      </c>
      <c r="AG204" s="658">
        <v>3.5909795500000001</v>
      </c>
      <c r="AH204" s="658">
        <v>-0.44605001999999999</v>
      </c>
      <c r="AI204" s="658">
        <v>-0.27180964000000002</v>
      </c>
      <c r="AJ204" s="659">
        <v>0.63448055999999997</v>
      </c>
      <c r="AK204" s="1"/>
    </row>
    <row r="205" spans="1:37" s="519" customFormat="1" ht="25.5">
      <c r="A205" s="680">
        <v>62006039</v>
      </c>
      <c r="B205" s="662" t="s">
        <v>239</v>
      </c>
      <c r="C205" s="646">
        <v>4</v>
      </c>
      <c r="D205" s="654" t="s">
        <v>1001</v>
      </c>
      <c r="E205" s="647" t="s">
        <v>1002</v>
      </c>
      <c r="F205" s="647" t="s">
        <v>708</v>
      </c>
      <c r="G205" s="648">
        <v>21.598338999999999</v>
      </c>
      <c r="H205" s="649">
        <v>3.8637088899999998</v>
      </c>
      <c r="I205" s="650">
        <v>95</v>
      </c>
      <c r="J205" s="650">
        <v>94.2</v>
      </c>
      <c r="K205" s="651">
        <v>643</v>
      </c>
      <c r="L205" s="651">
        <v>166.42040544622915</v>
      </c>
      <c r="M205" s="651">
        <v>643</v>
      </c>
      <c r="N205" s="651">
        <v>18</v>
      </c>
      <c r="O205" s="651">
        <v>535</v>
      </c>
      <c r="P205" s="651">
        <v>89.700000000000045</v>
      </c>
      <c r="Q205" s="651">
        <v>72.619505999999944</v>
      </c>
      <c r="R205" s="651">
        <v>0.19999999999999996</v>
      </c>
      <c r="S205" s="651">
        <v>0.5</v>
      </c>
      <c r="T205" s="651">
        <v>-0.91000000000000014</v>
      </c>
      <c r="U205" s="651">
        <v>-3.7640820000000001</v>
      </c>
      <c r="V205" s="652"/>
      <c r="W205" s="678"/>
      <c r="X205" s="657" t="s">
        <v>723</v>
      </c>
      <c r="Y205" s="658">
        <v>1473.64792657</v>
      </c>
      <c r="Z205" s="658">
        <v>-1.3042773000000001</v>
      </c>
      <c r="AA205" s="658">
        <v>3371.4516982800001</v>
      </c>
      <c r="AB205" s="658">
        <v>3416.00588767</v>
      </c>
      <c r="AC205" s="658">
        <v>2.9816304900000001</v>
      </c>
      <c r="AD205" s="658">
        <v>2.99504467</v>
      </c>
      <c r="AE205" s="658">
        <v>9.7441609999999998E-2</v>
      </c>
      <c r="AF205" s="658">
        <v>3.8635902099999999</v>
      </c>
      <c r="AG205" s="658">
        <v>3.85982914</v>
      </c>
      <c r="AH205" s="658">
        <v>-0.54777403000000002</v>
      </c>
      <c r="AI205" s="658">
        <v>-0.44787905</v>
      </c>
      <c r="AJ205" s="659">
        <v>0.72009699999999999</v>
      </c>
      <c r="AK205" s="1"/>
    </row>
    <row r="206" spans="1:37" s="519" customFormat="1" ht="25.5">
      <c r="A206" s="680">
        <v>62006039</v>
      </c>
      <c r="B206" s="662" t="s">
        <v>833</v>
      </c>
      <c r="C206" s="646" t="s">
        <v>1365</v>
      </c>
      <c r="D206" s="654" t="s">
        <v>1001</v>
      </c>
      <c r="E206" s="647" t="s">
        <v>1002</v>
      </c>
      <c r="F206" s="647" t="s">
        <v>708</v>
      </c>
      <c r="G206" s="648">
        <v>21.904557</v>
      </c>
      <c r="H206" s="649">
        <v>7.4609079299999994</v>
      </c>
      <c r="I206" s="650">
        <v>95.7</v>
      </c>
      <c r="J206" s="650">
        <v>94.2</v>
      </c>
      <c r="K206" s="651">
        <v>1310</v>
      </c>
      <c r="L206" s="651">
        <v>175.58184771756058</v>
      </c>
      <c r="M206" s="651">
        <v>1310</v>
      </c>
      <c r="N206" s="651">
        <v>25</v>
      </c>
      <c r="O206" s="651">
        <v>1141</v>
      </c>
      <c r="P206" s="651">
        <v>141.80000000000007</v>
      </c>
      <c r="Q206" s="651">
        <v>114.76923699999998</v>
      </c>
      <c r="R206" s="651">
        <v>0.29999999999999982</v>
      </c>
      <c r="S206" s="651">
        <v>0.79999999999999982</v>
      </c>
      <c r="T206" s="651">
        <v>-1.4799999999999986</v>
      </c>
      <c r="U206" s="651">
        <v>-3.9139794999999999</v>
      </c>
      <c r="V206" s="652"/>
      <c r="W206" s="678"/>
      <c r="X206" s="657" t="s">
        <v>723</v>
      </c>
      <c r="Y206" s="658"/>
      <c r="Z206" s="658"/>
      <c r="AA206" s="658"/>
      <c r="AB206" s="658"/>
      <c r="AC206" s="658"/>
      <c r="AD206" s="658"/>
      <c r="AE206" s="658"/>
      <c r="AF206" s="658"/>
      <c r="AG206" s="658"/>
      <c r="AH206" s="658"/>
      <c r="AI206" s="658"/>
      <c r="AJ206" s="659"/>
      <c r="AK206" s="1"/>
    </row>
    <row r="207" spans="1:37" s="519" customFormat="1" ht="25.5">
      <c r="A207" s="680">
        <v>62006039</v>
      </c>
      <c r="B207" s="662" t="s">
        <v>829</v>
      </c>
      <c r="C207" s="646">
        <v>5</v>
      </c>
      <c r="D207" s="654" t="s">
        <v>1001</v>
      </c>
      <c r="E207" s="647" t="s">
        <v>1002</v>
      </c>
      <c r="F207" s="647" t="s">
        <v>708</v>
      </c>
      <c r="G207" s="648">
        <v>25.133178999999998</v>
      </c>
      <c r="H207" s="649">
        <v>10.28323432</v>
      </c>
      <c r="I207" s="650">
        <v>94.2</v>
      </c>
      <c r="J207" s="650">
        <v>92</v>
      </c>
      <c r="K207" s="651">
        <v>1904</v>
      </c>
      <c r="L207" s="651">
        <v>185.1557536034052</v>
      </c>
      <c r="M207" s="651">
        <v>1905</v>
      </c>
      <c r="N207" s="651">
        <v>1</v>
      </c>
      <c r="O207" s="651">
        <v>1815</v>
      </c>
      <c r="P207" s="651">
        <v>86.799999999999955</v>
      </c>
      <c r="Q207" s="651">
        <v>71.469576999999958</v>
      </c>
      <c r="R207" s="651">
        <v>0.10000000000000009</v>
      </c>
      <c r="S207" s="651">
        <v>0.5</v>
      </c>
      <c r="T207" s="651">
        <v>-0.73791199999999968</v>
      </c>
      <c r="U207" s="651">
        <v>-3.4580880000000001</v>
      </c>
      <c r="V207" s="652"/>
      <c r="W207" s="678"/>
      <c r="X207" s="657" t="s">
        <v>723</v>
      </c>
      <c r="Y207" s="658">
        <v>1872.34370326</v>
      </c>
      <c r="Z207" s="658">
        <v>-6.4311859999999998E-2</v>
      </c>
      <c r="AA207" s="658">
        <v>1305.86187081</v>
      </c>
      <c r="AB207" s="658">
        <v>1306.70223532</v>
      </c>
      <c r="AC207" s="658">
        <v>6.8035911999999996</v>
      </c>
      <c r="AD207" s="658">
        <v>6.7902272100000003</v>
      </c>
      <c r="AE207" s="658">
        <v>0.25970792999999998</v>
      </c>
      <c r="AF207" s="658">
        <v>10.28331788</v>
      </c>
      <c r="AG207" s="658">
        <v>10.256680469999999</v>
      </c>
      <c r="AH207" s="658">
        <v>-6.2772350000000005E-2</v>
      </c>
      <c r="AI207" s="658">
        <v>0.19681203999999999</v>
      </c>
      <c r="AJ207" s="659">
        <v>0.33397453999999999</v>
      </c>
      <c r="AK207" s="1"/>
    </row>
    <row r="208" spans="1:37" s="519" customFormat="1" ht="25.5">
      <c r="A208" s="680">
        <v>62006039</v>
      </c>
      <c r="B208" s="662" t="s">
        <v>836</v>
      </c>
      <c r="C208" s="646">
        <v>6</v>
      </c>
      <c r="D208" s="654" t="s">
        <v>1001</v>
      </c>
      <c r="E208" s="647" t="s">
        <v>1002</v>
      </c>
      <c r="F208" s="647" t="s">
        <v>708</v>
      </c>
      <c r="G208" s="648">
        <v>22.955960000000001</v>
      </c>
      <c r="H208" s="649">
        <v>1.77445114</v>
      </c>
      <c r="I208" s="650">
        <v>92</v>
      </c>
      <c r="J208" s="650">
        <v>89.7</v>
      </c>
      <c r="K208" s="651">
        <v>453</v>
      </c>
      <c r="L208" s="651">
        <v>255.29020765260407</v>
      </c>
      <c r="M208" s="651">
        <v>453</v>
      </c>
      <c r="N208" s="651">
        <v>38</v>
      </c>
      <c r="O208" s="651">
        <v>387</v>
      </c>
      <c r="P208" s="651">
        <v>26.300000000000068</v>
      </c>
      <c r="Q208" s="651">
        <v>21.659972999999809</v>
      </c>
      <c r="R208" s="651">
        <v>0.20000000000000018</v>
      </c>
      <c r="S208" s="651">
        <v>0</v>
      </c>
      <c r="T208" s="651">
        <v>-0.2099999999999973</v>
      </c>
      <c r="U208" s="651">
        <v>-3.2383989999999998</v>
      </c>
      <c r="V208" s="652"/>
      <c r="W208" s="678"/>
      <c r="X208" s="657" t="s">
        <v>723</v>
      </c>
      <c r="Y208" s="658">
        <v>5468.0560689399999</v>
      </c>
      <c r="Z208" s="658">
        <v>-4.3673166600000002</v>
      </c>
      <c r="AA208" s="658">
        <v>2351.8496651400001</v>
      </c>
      <c r="AB208" s="658">
        <v>2459.2530324200002</v>
      </c>
      <c r="AC208" s="658">
        <v>3.0120763699999999</v>
      </c>
      <c r="AD208" s="658">
        <v>3.09814882</v>
      </c>
      <c r="AE208" s="658">
        <v>0.13202785</v>
      </c>
      <c r="AF208" s="658">
        <v>1.7744441500000001</v>
      </c>
      <c r="AG208" s="658">
        <v>1.7721044699999999</v>
      </c>
      <c r="AH208" s="658">
        <v>-2.99337937</v>
      </c>
      <c r="AI208" s="658">
        <v>-2.77818977</v>
      </c>
      <c r="AJ208" s="659">
        <v>0.84358646999999998</v>
      </c>
      <c r="AK208" s="1"/>
    </row>
    <row r="209" spans="1:37" s="519" customFormat="1" ht="25.5">
      <c r="A209" s="680">
        <v>62006039</v>
      </c>
      <c r="B209" s="662" t="s">
        <v>837</v>
      </c>
      <c r="C209" s="646">
        <v>7</v>
      </c>
      <c r="D209" s="654" t="s">
        <v>1001</v>
      </c>
      <c r="E209" s="647" t="s">
        <v>1002</v>
      </c>
      <c r="F209" s="647" t="s">
        <v>708</v>
      </c>
      <c r="G209" s="648">
        <v>25.668281</v>
      </c>
      <c r="H209" s="649">
        <v>6.2508731400000004</v>
      </c>
      <c r="I209" s="650">
        <v>91.7</v>
      </c>
      <c r="J209" s="650">
        <v>89.9</v>
      </c>
      <c r="K209" s="651">
        <v>1500</v>
      </c>
      <c r="L209" s="651">
        <v>239.96647610736824</v>
      </c>
      <c r="M209" s="651">
        <v>1501</v>
      </c>
      <c r="N209" s="651">
        <v>17</v>
      </c>
      <c r="O209" s="651">
        <v>1442</v>
      </c>
      <c r="P209" s="651">
        <v>41.199999999999932</v>
      </c>
      <c r="Q209" s="651">
        <v>33.929677000000083</v>
      </c>
      <c r="R209" s="651">
        <v>0</v>
      </c>
      <c r="S209" s="651">
        <v>0.29999999999999982</v>
      </c>
      <c r="T209" s="651">
        <v>-0.33000000000000185</v>
      </c>
      <c r="U209" s="651">
        <v>-3.2323710000000001</v>
      </c>
      <c r="V209" s="652"/>
      <c r="W209" s="678"/>
      <c r="X209" s="657" t="s">
        <v>723</v>
      </c>
      <c r="Y209" s="658">
        <v>11259.172535920001</v>
      </c>
      <c r="Z209" s="658">
        <v>-1.082052</v>
      </c>
      <c r="AA209" s="658">
        <v>1125.8512635899999</v>
      </c>
      <c r="AB209" s="658">
        <v>1138.16682049</v>
      </c>
      <c r="AC209" s="658">
        <v>5.8899828999999997</v>
      </c>
      <c r="AD209" s="658">
        <v>5.89167489</v>
      </c>
      <c r="AE209" s="658">
        <v>0.25793263</v>
      </c>
      <c r="AF209" s="658">
        <v>6.2509397099999999</v>
      </c>
      <c r="AG209" s="658">
        <v>6.2348579800000001</v>
      </c>
      <c r="AH209" s="658">
        <v>-0.28673335999999999</v>
      </c>
      <c r="AI209" s="658">
        <v>-2.8718380000000002E-2</v>
      </c>
      <c r="AJ209" s="659">
        <v>0.41947925000000003</v>
      </c>
      <c r="AK209" s="1"/>
    </row>
    <row r="210" spans="1:37" s="519" customFormat="1" ht="25.5">
      <c r="A210" s="680">
        <v>62006039</v>
      </c>
      <c r="B210" s="662" t="s">
        <v>835</v>
      </c>
      <c r="C210" s="646" t="s">
        <v>1364</v>
      </c>
      <c r="D210" s="654" t="s">
        <v>1001</v>
      </c>
      <c r="E210" s="647" t="s">
        <v>1002</v>
      </c>
      <c r="F210" s="647" t="s">
        <v>708</v>
      </c>
      <c r="G210" s="648">
        <v>24.312120499999999</v>
      </c>
      <c r="H210" s="649">
        <v>8.0253242799999995</v>
      </c>
      <c r="I210" s="650">
        <v>92</v>
      </c>
      <c r="J210" s="650">
        <v>89.9</v>
      </c>
      <c r="K210" s="651">
        <v>1953</v>
      </c>
      <c r="L210" s="651">
        <v>243.35465233063456</v>
      </c>
      <c r="M210" s="651">
        <v>1954</v>
      </c>
      <c r="N210" s="651">
        <v>55</v>
      </c>
      <c r="O210" s="651">
        <v>1829</v>
      </c>
      <c r="P210" s="651">
        <v>67.5</v>
      </c>
      <c r="Q210" s="651">
        <v>55.589649999999892</v>
      </c>
      <c r="R210" s="651">
        <v>0.20000000000000018</v>
      </c>
      <c r="S210" s="651">
        <v>0.29999999999999982</v>
      </c>
      <c r="T210" s="651">
        <v>-0.53999999999999915</v>
      </c>
      <c r="U210" s="651">
        <v>-3.235385</v>
      </c>
      <c r="V210" s="652"/>
      <c r="W210" s="678"/>
      <c r="X210" s="657" t="s">
        <v>723</v>
      </c>
      <c r="Y210" s="658"/>
      <c r="Z210" s="658"/>
      <c r="AA210" s="658"/>
      <c r="AB210" s="658"/>
      <c r="AC210" s="658"/>
      <c r="AD210" s="658"/>
      <c r="AE210" s="658"/>
      <c r="AF210" s="658"/>
      <c r="AG210" s="658"/>
      <c r="AH210" s="658"/>
      <c r="AI210" s="658"/>
      <c r="AJ210" s="659"/>
      <c r="AK210" s="1"/>
    </row>
    <row r="211" spans="1:37" s="519" customFormat="1" ht="25.5">
      <c r="A211" s="680">
        <v>62006039</v>
      </c>
      <c r="B211" s="662" t="s">
        <v>990</v>
      </c>
      <c r="C211" s="646">
        <v>8</v>
      </c>
      <c r="D211" s="654" t="s">
        <v>1001</v>
      </c>
      <c r="E211" s="647" t="s">
        <v>1002</v>
      </c>
      <c r="F211" s="647" t="s">
        <v>708</v>
      </c>
      <c r="G211" s="648">
        <v>24.221505000000001</v>
      </c>
      <c r="H211" s="649">
        <v>10.28330886</v>
      </c>
      <c r="I211" s="650">
        <v>89.7</v>
      </c>
      <c r="J211" s="650">
        <v>87.6</v>
      </c>
      <c r="K211" s="651">
        <v>1857</v>
      </c>
      <c r="L211" s="651">
        <v>180.58389816757872</v>
      </c>
      <c r="M211" s="651">
        <v>1859</v>
      </c>
      <c r="N211" s="651">
        <v>2</v>
      </c>
      <c r="O211" s="651">
        <v>1774</v>
      </c>
      <c r="P211" s="651">
        <v>79.586079000000041</v>
      </c>
      <c r="Q211" s="651">
        <v>64.629574000000048</v>
      </c>
      <c r="R211" s="651">
        <v>9.9999999999999645E-2</v>
      </c>
      <c r="S211" s="651">
        <v>0.5</v>
      </c>
      <c r="T211" s="651">
        <v>-0.64999999999999858</v>
      </c>
      <c r="U211" s="651">
        <v>-3.0388269999999999</v>
      </c>
      <c r="V211" s="652"/>
      <c r="W211" s="678"/>
      <c r="X211" s="657" t="s">
        <v>723</v>
      </c>
      <c r="Y211" s="658">
        <v>1873.2560036499999</v>
      </c>
      <c r="Z211" s="658">
        <v>-0.60117122999999995</v>
      </c>
      <c r="AA211" s="658">
        <v>1298.8586242700001</v>
      </c>
      <c r="AB211" s="658">
        <v>1306.71421418</v>
      </c>
      <c r="AC211" s="658">
        <v>6.8029935699999999</v>
      </c>
      <c r="AD211" s="658">
        <v>6.79026437</v>
      </c>
      <c r="AE211" s="658">
        <v>0.26027146000000001</v>
      </c>
      <c r="AF211" s="658">
        <v>10.28337558</v>
      </c>
      <c r="AG211" s="658">
        <v>10.25668037</v>
      </c>
      <c r="AH211" s="658">
        <v>-7.2672609999999999E-2</v>
      </c>
      <c r="AI211" s="658">
        <v>0.18746261</v>
      </c>
      <c r="AJ211" s="659">
        <v>0.33397628000000001</v>
      </c>
      <c r="AK211" s="1"/>
    </row>
    <row r="212" spans="1:37" s="519" customFormat="1" ht="25.5">
      <c r="A212" s="680">
        <v>62006039</v>
      </c>
      <c r="B212" s="662" t="s">
        <v>841</v>
      </c>
      <c r="C212" s="646">
        <v>9</v>
      </c>
      <c r="D212" s="654" t="s">
        <v>1001</v>
      </c>
      <c r="E212" s="647" t="s">
        <v>1002</v>
      </c>
      <c r="F212" s="647" t="s">
        <v>708</v>
      </c>
      <c r="G212" s="648">
        <v>21.504238999999998</v>
      </c>
      <c r="H212" s="649">
        <v>3.5971307600000002</v>
      </c>
      <c r="I212" s="650">
        <v>87.6</v>
      </c>
      <c r="J212" s="650">
        <v>86.9</v>
      </c>
      <c r="K212" s="651">
        <v>640</v>
      </c>
      <c r="L212" s="651">
        <v>177.91958166124601</v>
      </c>
      <c r="M212" s="651">
        <v>641</v>
      </c>
      <c r="N212" s="651">
        <v>7</v>
      </c>
      <c r="O212" s="651">
        <v>581</v>
      </c>
      <c r="P212" s="651">
        <v>52.5</v>
      </c>
      <c r="Q212" s="651">
        <v>42.620000000000005</v>
      </c>
      <c r="R212" s="651">
        <v>0.20000000000000018</v>
      </c>
      <c r="S212" s="651">
        <v>0.29999999999999982</v>
      </c>
      <c r="T212" s="651">
        <v>-0.41000000000000014</v>
      </c>
      <c r="U212" s="651">
        <v>-2.9243160000000001</v>
      </c>
      <c r="V212" s="652"/>
      <c r="W212" s="678"/>
      <c r="X212" s="657" t="s">
        <v>723</v>
      </c>
      <c r="Y212" s="658">
        <v>2370.6764714699998</v>
      </c>
      <c r="Z212" s="658">
        <v>-1.0172322199999999</v>
      </c>
      <c r="AA212" s="658">
        <v>2027.8790386000001</v>
      </c>
      <c r="AB212" s="658">
        <v>2048.71927117</v>
      </c>
      <c r="AC212" s="658">
        <v>3.0224672699999999</v>
      </c>
      <c r="AD212" s="658">
        <v>3.0318399</v>
      </c>
      <c r="AE212" s="658">
        <v>0.17142861000000001</v>
      </c>
      <c r="AF212" s="658">
        <v>3.5971356800000001</v>
      </c>
      <c r="AG212" s="658">
        <v>3.59097971</v>
      </c>
      <c r="AH212" s="658">
        <v>-0.48205884999999998</v>
      </c>
      <c r="AI212" s="658">
        <v>-0.30914001000000002</v>
      </c>
      <c r="AJ212" s="659">
        <v>0.63448696999999998</v>
      </c>
      <c r="AK212" s="1"/>
    </row>
    <row r="213" spans="1:37" s="519" customFormat="1" ht="25.5">
      <c r="A213" s="680">
        <v>62006039</v>
      </c>
      <c r="B213" s="662" t="s">
        <v>234</v>
      </c>
      <c r="C213" s="646">
        <v>10</v>
      </c>
      <c r="D213" s="654" t="s">
        <v>1001</v>
      </c>
      <c r="E213" s="647" t="s">
        <v>1002</v>
      </c>
      <c r="F213" s="647" t="s">
        <v>708</v>
      </c>
      <c r="G213" s="648">
        <v>18.497786999999999</v>
      </c>
      <c r="H213" s="649">
        <v>3.8636914500000001</v>
      </c>
      <c r="I213" s="650">
        <v>86.9</v>
      </c>
      <c r="J213" s="650">
        <v>86.1</v>
      </c>
      <c r="K213" s="651">
        <v>634</v>
      </c>
      <c r="L213" s="651">
        <v>164.09177808440162</v>
      </c>
      <c r="M213" s="651">
        <v>635</v>
      </c>
      <c r="N213" s="651">
        <v>18</v>
      </c>
      <c r="O213" s="651">
        <v>525</v>
      </c>
      <c r="P213" s="651">
        <v>88.200000000000045</v>
      </c>
      <c r="Q213" s="651">
        <v>71.289999999999964</v>
      </c>
      <c r="R213" s="651">
        <v>0.10000000000000009</v>
      </c>
      <c r="S213" s="651">
        <v>0.5</v>
      </c>
      <c r="T213" s="651">
        <v>-0.66999999999999815</v>
      </c>
      <c r="U213" s="651">
        <v>-2.7879119999999999</v>
      </c>
      <c r="V213" s="652"/>
      <c r="W213" s="678"/>
      <c r="X213" s="657" t="s">
        <v>723</v>
      </c>
      <c r="Y213" s="658">
        <v>1475.2145315</v>
      </c>
      <c r="Z213" s="658">
        <v>-1.29027414</v>
      </c>
      <c r="AA213" s="658">
        <v>3372.1117028399999</v>
      </c>
      <c r="AB213" s="658">
        <v>3416.1899177800001</v>
      </c>
      <c r="AC213" s="658">
        <v>2.9820116200000002</v>
      </c>
      <c r="AD213" s="658">
        <v>2.9952671300000002</v>
      </c>
      <c r="AE213" s="658">
        <v>9.7933409999999999E-2</v>
      </c>
      <c r="AF213" s="658">
        <v>3.8636108899999999</v>
      </c>
      <c r="AG213" s="658">
        <v>3.8598308299999999</v>
      </c>
      <c r="AH213" s="658">
        <v>-0.54288444000000002</v>
      </c>
      <c r="AI213" s="658">
        <v>-0.44254850000000001</v>
      </c>
      <c r="AJ213" s="659">
        <v>0.72009480000000003</v>
      </c>
      <c r="AK213" s="1"/>
    </row>
    <row r="214" spans="1:37" s="519" customFormat="1" ht="25.5">
      <c r="A214" s="680">
        <v>62006039</v>
      </c>
      <c r="B214" s="662" t="s">
        <v>842</v>
      </c>
      <c r="C214" s="646" t="s">
        <v>1366</v>
      </c>
      <c r="D214" s="654" t="s">
        <v>1001</v>
      </c>
      <c r="E214" s="647" t="s">
        <v>1002</v>
      </c>
      <c r="F214" s="647" t="s">
        <v>708</v>
      </c>
      <c r="G214" s="648">
        <v>20.001013</v>
      </c>
      <c r="H214" s="649">
        <v>7.4608222099999999</v>
      </c>
      <c r="I214" s="650">
        <v>87.6</v>
      </c>
      <c r="J214" s="650">
        <v>86.1</v>
      </c>
      <c r="K214" s="651">
        <v>1274</v>
      </c>
      <c r="L214" s="651">
        <v>170.75865958746658</v>
      </c>
      <c r="M214" s="651">
        <v>1276</v>
      </c>
      <c r="N214" s="651">
        <v>25</v>
      </c>
      <c r="O214" s="651">
        <v>1106</v>
      </c>
      <c r="P214" s="651">
        <v>140.70000000000005</v>
      </c>
      <c r="Q214" s="651">
        <v>113.90999999999997</v>
      </c>
      <c r="R214" s="651">
        <v>0.30000000000000027</v>
      </c>
      <c r="S214" s="651">
        <v>0.79999999999999982</v>
      </c>
      <c r="T214" s="651">
        <v>-1.0799999999999983</v>
      </c>
      <c r="U214" s="651">
        <v>-2.8561139999999998</v>
      </c>
      <c r="V214" s="652"/>
      <c r="W214" s="678"/>
      <c r="X214" s="657" t="s">
        <v>723</v>
      </c>
      <c r="Y214" s="658"/>
      <c r="Z214" s="658"/>
      <c r="AA214" s="658"/>
      <c r="AB214" s="658"/>
      <c r="AC214" s="658"/>
      <c r="AD214" s="658"/>
      <c r="AE214" s="658"/>
      <c r="AF214" s="658"/>
      <c r="AG214" s="658"/>
      <c r="AH214" s="658"/>
      <c r="AI214" s="658"/>
      <c r="AJ214" s="659"/>
      <c r="AK214" s="1"/>
    </row>
    <row r="215" spans="1:37" s="519" customFormat="1" ht="25.5">
      <c r="A215" s="680">
        <v>62006039</v>
      </c>
      <c r="B215" s="662" t="s">
        <v>843</v>
      </c>
      <c r="C215" s="646">
        <v>11</v>
      </c>
      <c r="D215" s="654" t="s">
        <v>1001</v>
      </c>
      <c r="E215" s="647" t="s">
        <v>1002</v>
      </c>
      <c r="F215" s="647" t="s">
        <v>708</v>
      </c>
      <c r="G215" s="648">
        <v>22.043887999999999</v>
      </c>
      <c r="H215" s="649">
        <v>3.59689411</v>
      </c>
      <c r="I215" s="650">
        <v>86.1</v>
      </c>
      <c r="J215" s="650">
        <v>85.4</v>
      </c>
      <c r="K215" s="651">
        <v>657</v>
      </c>
      <c r="L215" s="651">
        <v>182.65758732608339</v>
      </c>
      <c r="M215" s="651">
        <v>658</v>
      </c>
      <c r="N215" s="651">
        <v>7</v>
      </c>
      <c r="O215" s="651">
        <v>598</v>
      </c>
      <c r="P215" s="651">
        <v>51.200000000000045</v>
      </c>
      <c r="Q215" s="651">
        <v>41.310510000000022</v>
      </c>
      <c r="R215" s="651">
        <v>0.10000000000000009</v>
      </c>
      <c r="S215" s="651">
        <v>0.29999999999999982</v>
      </c>
      <c r="T215" s="651">
        <v>-0.37000000000000099</v>
      </c>
      <c r="U215" s="651">
        <v>-2.6714410000000002</v>
      </c>
      <c r="V215" s="652"/>
      <c r="W215" s="678"/>
      <c r="X215" s="657" t="s">
        <v>723</v>
      </c>
      <c r="Y215" s="658">
        <v>2369.75724042</v>
      </c>
      <c r="Z215" s="658">
        <v>-0.99464443000000002</v>
      </c>
      <c r="AA215" s="658">
        <v>2028.47383896</v>
      </c>
      <c r="AB215" s="658">
        <v>2048.8526376999998</v>
      </c>
      <c r="AC215" s="658">
        <v>3.02176271</v>
      </c>
      <c r="AD215" s="658">
        <v>3.03200885</v>
      </c>
      <c r="AE215" s="658">
        <v>0.16423619</v>
      </c>
      <c r="AF215" s="658">
        <v>3.5968780300000001</v>
      </c>
      <c r="AG215" s="658">
        <v>3.5909803400000002</v>
      </c>
      <c r="AH215" s="658">
        <v>-0.50387119000000002</v>
      </c>
      <c r="AI215" s="658">
        <v>-0.33793225999999998</v>
      </c>
      <c r="AJ215" s="659">
        <v>0.63451186000000004</v>
      </c>
      <c r="AK215" s="1"/>
    </row>
    <row r="216" spans="1:37" s="519" customFormat="1" ht="25.5">
      <c r="A216" s="680">
        <v>62006039</v>
      </c>
      <c r="B216" s="662" t="s">
        <v>844</v>
      </c>
      <c r="C216" s="646">
        <v>12</v>
      </c>
      <c r="D216" s="654" t="s">
        <v>1001</v>
      </c>
      <c r="E216" s="647" t="s">
        <v>1002</v>
      </c>
      <c r="F216" s="647" t="s">
        <v>708</v>
      </c>
      <c r="G216" s="648">
        <v>21.617922</v>
      </c>
      <c r="H216" s="649">
        <v>3.8635915999999999</v>
      </c>
      <c r="I216" s="650">
        <v>85.4</v>
      </c>
      <c r="J216" s="650">
        <v>84.6</v>
      </c>
      <c r="K216" s="651">
        <v>635</v>
      </c>
      <c r="L216" s="651">
        <v>164.35484537237321</v>
      </c>
      <c r="M216" s="651">
        <v>636</v>
      </c>
      <c r="N216" s="651">
        <v>18</v>
      </c>
      <c r="O216" s="651">
        <v>527</v>
      </c>
      <c r="P216" s="651">
        <v>87.899999999999864</v>
      </c>
      <c r="Q216" s="651">
        <v>70.969535999999948</v>
      </c>
      <c r="R216" s="651">
        <v>0.19999999999999973</v>
      </c>
      <c r="S216" s="651">
        <v>0.5</v>
      </c>
      <c r="T216" s="651">
        <v>-0.62000000000000099</v>
      </c>
      <c r="U216" s="651">
        <v>-2.5544769999999999</v>
      </c>
      <c r="V216" s="652"/>
      <c r="W216" s="678"/>
      <c r="X216" s="657" t="s">
        <v>723</v>
      </c>
      <c r="Y216" s="658">
        <v>1478.82907348</v>
      </c>
      <c r="Z216" s="658">
        <v>-1.3134984599999999</v>
      </c>
      <c r="AA216" s="658">
        <v>3371.5830887299999</v>
      </c>
      <c r="AB216" s="658">
        <v>3416.45821484</v>
      </c>
      <c r="AC216" s="658">
        <v>2.9825400700000002</v>
      </c>
      <c r="AD216" s="658">
        <v>2.9956480700000001</v>
      </c>
      <c r="AE216" s="658">
        <v>9.4786709999999996E-2</v>
      </c>
      <c r="AF216" s="658">
        <v>3.8634908299999999</v>
      </c>
      <c r="AG216" s="658">
        <v>3.8598322199999999</v>
      </c>
      <c r="AH216" s="658">
        <v>-0.53469447999999997</v>
      </c>
      <c r="AI216" s="658">
        <v>-0.43756812</v>
      </c>
      <c r="AJ216" s="659">
        <v>0.72008234000000004</v>
      </c>
      <c r="AK216" s="1"/>
    </row>
    <row r="217" spans="1:37" s="519" customFormat="1" ht="25.5">
      <c r="A217" s="680">
        <v>62006039</v>
      </c>
      <c r="B217" s="662" t="s">
        <v>845</v>
      </c>
      <c r="C217" s="646" t="s">
        <v>1367</v>
      </c>
      <c r="D217" s="654" t="s">
        <v>1001</v>
      </c>
      <c r="E217" s="647" t="s">
        <v>1002</v>
      </c>
      <c r="F217" s="647" t="s">
        <v>708</v>
      </c>
      <c r="G217" s="648">
        <v>21.830905000000001</v>
      </c>
      <c r="H217" s="649">
        <v>7.4604857100000004</v>
      </c>
      <c r="I217" s="650">
        <v>86.1</v>
      </c>
      <c r="J217" s="650">
        <v>84.6</v>
      </c>
      <c r="K217" s="651">
        <v>1292</v>
      </c>
      <c r="L217" s="651">
        <v>173.17907308209291</v>
      </c>
      <c r="M217" s="651">
        <v>1294</v>
      </c>
      <c r="N217" s="651">
        <v>25</v>
      </c>
      <c r="O217" s="651">
        <v>1125</v>
      </c>
      <c r="P217" s="651">
        <v>139.09999999999991</v>
      </c>
      <c r="Q217" s="651">
        <v>112.28004599999997</v>
      </c>
      <c r="R217" s="651">
        <v>0.29999999999999982</v>
      </c>
      <c r="S217" s="651">
        <v>0.79999999999999982</v>
      </c>
      <c r="T217" s="651">
        <v>-0.99000000000000199</v>
      </c>
      <c r="U217" s="651">
        <v>-2.612959</v>
      </c>
      <c r="V217" s="652"/>
      <c r="W217" s="678"/>
      <c r="X217" s="657"/>
      <c r="Y217" s="658"/>
      <c r="Z217" s="658"/>
      <c r="AA217" s="658"/>
      <c r="AB217" s="658"/>
      <c r="AC217" s="658"/>
      <c r="AD217" s="658"/>
      <c r="AE217" s="658"/>
      <c r="AF217" s="658"/>
      <c r="AG217" s="658"/>
      <c r="AH217" s="658"/>
      <c r="AI217" s="658"/>
      <c r="AJ217" s="659"/>
      <c r="AK217" s="1"/>
    </row>
    <row r="218" spans="1:37" s="671" customFormat="1" ht="18.75">
      <c r="A218" s="664" t="s">
        <v>1250</v>
      </c>
      <c r="B218" s="675"/>
      <c r="C218" s="665"/>
      <c r="D218" s="666"/>
      <c r="E218" s="667"/>
      <c r="F218" s="667"/>
      <c r="G218" s="667"/>
      <c r="H218" s="665"/>
      <c r="I218" s="670"/>
      <c r="J218" s="670"/>
      <c r="K218" s="670"/>
      <c r="L218" s="670"/>
      <c r="M218" s="670"/>
      <c r="N218" s="670"/>
      <c r="O218" s="670"/>
      <c r="P218" s="670"/>
      <c r="Q218" s="670"/>
      <c r="R218" s="670"/>
      <c r="S218" s="670"/>
      <c r="T218" s="670"/>
      <c r="U218" s="670"/>
      <c r="V218" s="670"/>
      <c r="W218" s="679"/>
      <c r="X218" s="668"/>
      <c r="Y218" s="665"/>
      <c r="Z218" s="665"/>
      <c r="AA218" s="665"/>
      <c r="AB218" s="665"/>
      <c r="AC218" s="665"/>
      <c r="AD218" s="665"/>
      <c r="AE218" s="665"/>
      <c r="AF218" s="665"/>
      <c r="AG218" s="665"/>
      <c r="AH218" s="665"/>
      <c r="AI218" s="665"/>
      <c r="AJ218" s="669"/>
    </row>
    <row r="219" spans="1:37" s="519" customFormat="1" ht="25.5">
      <c r="A219" s="680">
        <v>62006040</v>
      </c>
      <c r="B219" s="662" t="s">
        <v>832</v>
      </c>
      <c r="C219" s="646">
        <v>1</v>
      </c>
      <c r="D219" s="654" t="s">
        <v>1015</v>
      </c>
      <c r="E219" s="647" t="s">
        <v>1016</v>
      </c>
      <c r="F219" s="647" t="s">
        <v>708</v>
      </c>
      <c r="G219" s="648">
        <v>23.716021999999999</v>
      </c>
      <c r="H219" s="649">
        <v>3.59361307</v>
      </c>
      <c r="I219" s="650">
        <v>100</v>
      </c>
      <c r="J219" s="650">
        <v>99</v>
      </c>
      <c r="K219" s="651">
        <v>845</v>
      </c>
      <c r="L219" s="651">
        <v>235.13939412514438</v>
      </c>
      <c r="M219" s="651">
        <v>847</v>
      </c>
      <c r="N219" s="651">
        <v>46</v>
      </c>
      <c r="O219" s="651">
        <v>740</v>
      </c>
      <c r="P219" s="651">
        <v>59.5</v>
      </c>
      <c r="Q219" s="651">
        <v>48.279744000000164</v>
      </c>
      <c r="R219" s="651">
        <v>0.19999999999999973</v>
      </c>
      <c r="S219" s="651">
        <v>0.40000000000000036</v>
      </c>
      <c r="T219" s="651">
        <v>-2.759999999999998</v>
      </c>
      <c r="U219" s="651">
        <v>-19.678512000000001</v>
      </c>
      <c r="V219" s="652"/>
      <c r="W219" s="678"/>
      <c r="X219" s="657" t="s">
        <v>723</v>
      </c>
      <c r="Y219" s="658">
        <v>2373.5432676099999</v>
      </c>
      <c r="Z219" s="658">
        <v>1.0112374399999999</v>
      </c>
      <c r="AA219" s="658">
        <v>2069.5760235600001</v>
      </c>
      <c r="AB219" s="658">
        <v>2048.8572122999999</v>
      </c>
      <c r="AC219" s="658">
        <v>3.0463640399999998</v>
      </c>
      <c r="AD219" s="658">
        <v>3.0320428800000001</v>
      </c>
      <c r="AE219" s="658">
        <v>7.1906460000000005E-2</v>
      </c>
      <c r="AF219" s="658">
        <v>3.5935630299999999</v>
      </c>
      <c r="AG219" s="658">
        <v>3.59098088</v>
      </c>
      <c r="AH219" s="658">
        <v>0.39853810000000001</v>
      </c>
      <c r="AI219" s="658">
        <v>0.47232696000000002</v>
      </c>
      <c r="AJ219" s="659">
        <v>0.63450525999999996</v>
      </c>
      <c r="AK219" s="1"/>
    </row>
    <row r="220" spans="1:37" s="519" customFormat="1" ht="25.5">
      <c r="A220" s="680">
        <v>62006040</v>
      </c>
      <c r="B220" s="662" t="s">
        <v>831</v>
      </c>
      <c r="C220" s="646">
        <v>2</v>
      </c>
      <c r="D220" s="654" t="s">
        <v>1015</v>
      </c>
      <c r="E220" s="647" t="s">
        <v>1016</v>
      </c>
      <c r="F220" s="647" t="s">
        <v>708</v>
      </c>
      <c r="G220" s="648">
        <v>21.873868000000002</v>
      </c>
      <c r="H220" s="649">
        <v>3.8647933499999998</v>
      </c>
      <c r="I220" s="650">
        <v>99</v>
      </c>
      <c r="J220" s="650">
        <v>98.2</v>
      </c>
      <c r="K220" s="651">
        <v>698</v>
      </c>
      <c r="L220" s="651">
        <v>180.60474048373118</v>
      </c>
      <c r="M220" s="651">
        <v>698</v>
      </c>
      <c r="N220" s="651">
        <v>34</v>
      </c>
      <c r="O220" s="651">
        <v>565</v>
      </c>
      <c r="P220" s="651">
        <v>98.77707300000111</v>
      </c>
      <c r="Q220" s="651">
        <v>79.709672999999839</v>
      </c>
      <c r="R220" s="651">
        <v>0.19999999999999973</v>
      </c>
      <c r="S220" s="651">
        <v>0.5</v>
      </c>
      <c r="T220" s="651">
        <v>-2.6999999999999957</v>
      </c>
      <c r="U220" s="651">
        <v>-11.236936</v>
      </c>
      <c r="V220" s="652"/>
      <c r="W220" s="678"/>
      <c r="X220" s="657" t="s">
        <v>723</v>
      </c>
      <c r="Y220" s="658">
        <v>1474.25399072</v>
      </c>
      <c r="Z220" s="658">
        <v>-1.4264077500000001</v>
      </c>
      <c r="AA220" s="658">
        <v>3367.4471565099998</v>
      </c>
      <c r="AB220" s="658">
        <v>3416.1757521999998</v>
      </c>
      <c r="AC220" s="658">
        <v>2.98270393</v>
      </c>
      <c r="AD220" s="658">
        <v>2.9952975199999998</v>
      </c>
      <c r="AE220" s="658">
        <v>0.12497951</v>
      </c>
      <c r="AF220" s="658">
        <v>3.8646546000000002</v>
      </c>
      <c r="AG220" s="658">
        <v>3.8598306099999999</v>
      </c>
      <c r="AH220" s="658">
        <v>-0.54772792000000003</v>
      </c>
      <c r="AI220" s="658">
        <v>-0.42044552000000002</v>
      </c>
      <c r="AJ220" s="659">
        <v>0.72008455000000005</v>
      </c>
      <c r="AK220" s="1"/>
    </row>
    <row r="221" spans="1:37" s="519" customFormat="1" ht="25.5">
      <c r="A221" s="680">
        <v>62006040</v>
      </c>
      <c r="B221" s="662" t="s">
        <v>830</v>
      </c>
      <c r="C221" s="646" t="s">
        <v>1362</v>
      </c>
      <c r="D221" s="654" t="s">
        <v>1015</v>
      </c>
      <c r="E221" s="647" t="s">
        <v>1016</v>
      </c>
      <c r="F221" s="647" t="s">
        <v>708</v>
      </c>
      <c r="G221" s="648">
        <v>22.794944999999998</v>
      </c>
      <c r="H221" s="649">
        <v>7.4584064199999993</v>
      </c>
      <c r="I221" s="650">
        <v>100</v>
      </c>
      <c r="J221" s="650">
        <v>98.2</v>
      </c>
      <c r="K221" s="651">
        <v>1543</v>
      </c>
      <c r="L221" s="651">
        <v>206.88065427252491</v>
      </c>
      <c r="M221" s="651">
        <v>1545</v>
      </c>
      <c r="N221" s="651">
        <v>80</v>
      </c>
      <c r="O221" s="651">
        <v>1305</v>
      </c>
      <c r="P221" s="651">
        <v>158.27707300000111</v>
      </c>
      <c r="Q221" s="651">
        <v>127.989417</v>
      </c>
      <c r="R221" s="651">
        <v>0.39999999999999947</v>
      </c>
      <c r="S221" s="651">
        <v>0.90000000000000036</v>
      </c>
      <c r="T221" s="651">
        <v>-5.4599999999999937</v>
      </c>
      <c r="U221" s="651">
        <v>-15.457724000000001</v>
      </c>
      <c r="V221" s="652"/>
      <c r="W221" s="678"/>
      <c r="X221" s="657" t="s">
        <v>723</v>
      </c>
      <c r="Y221" s="658"/>
      <c r="Z221" s="658"/>
      <c r="AA221" s="658"/>
      <c r="AB221" s="658"/>
      <c r="AC221" s="658"/>
      <c r="AD221" s="658"/>
      <c r="AE221" s="658"/>
      <c r="AF221" s="658"/>
      <c r="AG221" s="658"/>
      <c r="AH221" s="658"/>
      <c r="AI221" s="658"/>
      <c r="AJ221" s="659"/>
      <c r="AK221" s="1"/>
    </row>
    <row r="222" spans="1:37" s="519" customFormat="1" ht="25.5">
      <c r="A222" s="680">
        <v>62006040</v>
      </c>
      <c r="B222" s="662" t="s">
        <v>828</v>
      </c>
      <c r="C222" s="646">
        <v>3</v>
      </c>
      <c r="D222" s="654" t="s">
        <v>1015</v>
      </c>
      <c r="E222" s="647" t="s">
        <v>1016</v>
      </c>
      <c r="F222" s="647" t="s">
        <v>708</v>
      </c>
      <c r="G222" s="648">
        <v>22.478467999999999</v>
      </c>
      <c r="H222" s="649">
        <v>3.5972733300000002</v>
      </c>
      <c r="I222" s="650">
        <v>98.2</v>
      </c>
      <c r="J222" s="650">
        <v>97.4</v>
      </c>
      <c r="K222" s="651">
        <v>689</v>
      </c>
      <c r="L222" s="651">
        <v>191.53395830502544</v>
      </c>
      <c r="M222" s="651">
        <v>690</v>
      </c>
      <c r="N222" s="651">
        <v>14</v>
      </c>
      <c r="O222" s="651">
        <v>618</v>
      </c>
      <c r="P222" s="651">
        <v>56</v>
      </c>
      <c r="Q222" s="651">
        <v>45.081668000000036</v>
      </c>
      <c r="R222" s="651">
        <v>0.20000000000000018</v>
      </c>
      <c r="S222" s="651">
        <v>0.40000000000000036</v>
      </c>
      <c r="T222" s="651">
        <v>-1.0300000000000011</v>
      </c>
      <c r="U222" s="651">
        <v>-7.3232039999999996</v>
      </c>
      <c r="V222" s="652"/>
      <c r="W222" s="678"/>
      <c r="X222" s="657" t="s">
        <v>723</v>
      </c>
      <c r="Y222" s="658">
        <v>2367.89518666</v>
      </c>
      <c r="Z222" s="658">
        <v>-0.92177602000000003</v>
      </c>
      <c r="AA222" s="658">
        <v>2029.8333093799999</v>
      </c>
      <c r="AB222" s="658">
        <v>2048.7178996399998</v>
      </c>
      <c r="AC222" s="658">
        <v>3.0231310900000001</v>
      </c>
      <c r="AD222" s="658">
        <v>3.0318481799999999</v>
      </c>
      <c r="AE222" s="658">
        <v>0.17324262000000001</v>
      </c>
      <c r="AF222" s="658">
        <v>3.5972008400000002</v>
      </c>
      <c r="AG222" s="658">
        <v>3.5909797299999999</v>
      </c>
      <c r="AH222" s="658">
        <v>-0.46208866999999998</v>
      </c>
      <c r="AI222" s="658">
        <v>-0.28751746</v>
      </c>
      <c r="AJ222" s="659">
        <v>0.63448316999999999</v>
      </c>
      <c r="AK222" s="1"/>
    </row>
    <row r="223" spans="1:37" s="519" customFormat="1" ht="25.5">
      <c r="A223" s="680">
        <v>62006040</v>
      </c>
      <c r="B223" s="662" t="s">
        <v>239</v>
      </c>
      <c r="C223" s="646">
        <v>4</v>
      </c>
      <c r="D223" s="654" t="s">
        <v>1015</v>
      </c>
      <c r="E223" s="647" t="s">
        <v>1016</v>
      </c>
      <c r="F223" s="647" t="s">
        <v>708</v>
      </c>
      <c r="G223" s="648">
        <v>21.046562000000002</v>
      </c>
      <c r="H223" s="649">
        <v>3.8628575600000001</v>
      </c>
      <c r="I223" s="650">
        <v>97.4</v>
      </c>
      <c r="J223" s="650">
        <v>96.7</v>
      </c>
      <c r="K223" s="651">
        <v>646</v>
      </c>
      <c r="L223" s="651">
        <v>167.23370975138931</v>
      </c>
      <c r="M223" s="651">
        <v>647</v>
      </c>
      <c r="N223" s="651">
        <v>19</v>
      </c>
      <c r="O223" s="651">
        <v>536</v>
      </c>
      <c r="P223" s="651">
        <v>90</v>
      </c>
      <c r="Q223" s="651">
        <v>71.998414000000139</v>
      </c>
      <c r="R223" s="651">
        <v>0.20000000000000018</v>
      </c>
      <c r="S223" s="651">
        <v>0.5</v>
      </c>
      <c r="T223" s="651">
        <v>-1.1999999999999957</v>
      </c>
      <c r="U223" s="651">
        <v>-4.9501720000000002</v>
      </c>
      <c r="V223" s="652"/>
      <c r="W223" s="678"/>
      <c r="X223" s="657" t="s">
        <v>723</v>
      </c>
      <c r="Y223" s="658">
        <v>1473.4818520199999</v>
      </c>
      <c r="Z223" s="658">
        <v>-1.1453784499999999</v>
      </c>
      <c r="AA223" s="658">
        <v>3376.8986128800002</v>
      </c>
      <c r="AB223" s="658">
        <v>3416.0250275399999</v>
      </c>
      <c r="AC223" s="658">
        <v>2.9811612799999998</v>
      </c>
      <c r="AD223" s="658">
        <v>2.9950733899999999</v>
      </c>
      <c r="AE223" s="658">
        <v>7.4148790000000006E-2</v>
      </c>
      <c r="AF223" s="658">
        <v>3.8626917199999999</v>
      </c>
      <c r="AG223" s="658">
        <v>3.8598297000000001</v>
      </c>
      <c r="AH223" s="658">
        <v>-0.54116233999999996</v>
      </c>
      <c r="AI223" s="658">
        <v>-0.46449984999999999</v>
      </c>
      <c r="AJ223" s="659">
        <v>0.72009672000000002</v>
      </c>
      <c r="AK223" s="1"/>
    </row>
    <row r="224" spans="1:37" s="519" customFormat="1" ht="25.5">
      <c r="A224" s="680">
        <v>62006040</v>
      </c>
      <c r="B224" s="662" t="s">
        <v>833</v>
      </c>
      <c r="C224" s="646" t="s">
        <v>1365</v>
      </c>
      <c r="D224" s="654" t="s">
        <v>1015</v>
      </c>
      <c r="E224" s="647" t="s">
        <v>1016</v>
      </c>
      <c r="F224" s="647" t="s">
        <v>708</v>
      </c>
      <c r="G224" s="648">
        <v>21.762515</v>
      </c>
      <c r="H224" s="649">
        <v>7.4601308900000003</v>
      </c>
      <c r="I224" s="650">
        <v>98.2</v>
      </c>
      <c r="J224" s="650">
        <v>96.7</v>
      </c>
      <c r="K224" s="651">
        <v>1335</v>
      </c>
      <c r="L224" s="651">
        <v>178.95128378907035</v>
      </c>
      <c r="M224" s="651">
        <v>1337</v>
      </c>
      <c r="N224" s="651">
        <v>33</v>
      </c>
      <c r="O224" s="651">
        <v>1154</v>
      </c>
      <c r="P224" s="651">
        <v>146</v>
      </c>
      <c r="Q224" s="651">
        <v>117.08008200000017</v>
      </c>
      <c r="R224" s="651">
        <v>0.40000000000000036</v>
      </c>
      <c r="S224" s="651">
        <v>0.90000000000000036</v>
      </c>
      <c r="T224" s="651">
        <v>-2.2299999999999969</v>
      </c>
      <c r="U224" s="651">
        <v>-6.1366879999999995</v>
      </c>
      <c r="V224" s="652"/>
      <c r="W224" s="678"/>
      <c r="X224" s="657" t="s">
        <v>723</v>
      </c>
      <c r="Y224" s="658"/>
      <c r="Z224" s="658"/>
      <c r="AA224" s="658"/>
      <c r="AB224" s="658"/>
      <c r="AC224" s="658"/>
      <c r="AD224" s="658"/>
      <c r="AE224" s="658"/>
      <c r="AF224" s="658"/>
      <c r="AG224" s="658"/>
      <c r="AH224" s="658"/>
      <c r="AI224" s="658"/>
      <c r="AJ224" s="659"/>
      <c r="AK224" s="1"/>
    </row>
    <row r="225" spans="1:37" s="519" customFormat="1" ht="25.5">
      <c r="A225" s="680">
        <v>62006040</v>
      </c>
      <c r="B225" s="662" t="s">
        <v>829</v>
      </c>
      <c r="C225" s="646">
        <v>5</v>
      </c>
      <c r="D225" s="654" t="s">
        <v>1015</v>
      </c>
      <c r="E225" s="647" t="s">
        <v>1016</v>
      </c>
      <c r="F225" s="647" t="s">
        <v>708</v>
      </c>
      <c r="G225" s="648">
        <v>25.085394999999998</v>
      </c>
      <c r="H225" s="649">
        <v>10.28374228</v>
      </c>
      <c r="I225" s="650">
        <v>96.7</v>
      </c>
      <c r="J225" s="650">
        <v>94.5</v>
      </c>
      <c r="K225" s="651">
        <v>1902</v>
      </c>
      <c r="L225" s="651">
        <v>184.95212620205803</v>
      </c>
      <c r="M225" s="651">
        <v>1904</v>
      </c>
      <c r="N225" s="651">
        <v>3</v>
      </c>
      <c r="O225" s="651">
        <v>1818</v>
      </c>
      <c r="P225" s="651">
        <v>80</v>
      </c>
      <c r="Q225" s="651">
        <v>65.119790000000194</v>
      </c>
      <c r="R225" s="651">
        <v>0.20000000000000018</v>
      </c>
      <c r="S225" s="651">
        <v>0.59999999999999964</v>
      </c>
      <c r="T225" s="651">
        <v>-0.71000000000000085</v>
      </c>
      <c r="U225" s="651">
        <v>-3.3391099999999998</v>
      </c>
      <c r="V225" s="652"/>
      <c r="W225" s="678"/>
      <c r="X225" s="657" t="s">
        <v>723</v>
      </c>
      <c r="Y225" s="658">
        <v>1872.89630994</v>
      </c>
      <c r="Z225" s="658">
        <v>-0.52952045999999997</v>
      </c>
      <c r="AA225" s="658">
        <v>1299.7847823300001</v>
      </c>
      <c r="AB225" s="658">
        <v>1306.7040476100001</v>
      </c>
      <c r="AC225" s="658">
        <v>6.8042353799999997</v>
      </c>
      <c r="AD225" s="658">
        <v>6.7902313100000002</v>
      </c>
      <c r="AE225" s="658">
        <v>0.26459391999999998</v>
      </c>
      <c r="AF225" s="658">
        <v>10.283818979999999</v>
      </c>
      <c r="AG225" s="658">
        <v>10.256680429999999</v>
      </c>
      <c r="AH225" s="658">
        <v>-5.8235299999999997E-2</v>
      </c>
      <c r="AI225" s="658">
        <v>0.20623852000000001</v>
      </c>
      <c r="AJ225" s="659">
        <v>0.33397487999999997</v>
      </c>
      <c r="AK225" s="1"/>
    </row>
    <row r="226" spans="1:37" s="519" customFormat="1" ht="25.5">
      <c r="A226" s="680">
        <v>62006040</v>
      </c>
      <c r="B226" s="662" t="s">
        <v>836</v>
      </c>
      <c r="C226" s="646">
        <v>6</v>
      </c>
      <c r="D226" s="654" t="s">
        <v>1015</v>
      </c>
      <c r="E226" s="647" t="s">
        <v>1016</v>
      </c>
      <c r="F226" s="647" t="s">
        <v>708</v>
      </c>
      <c r="G226" s="648">
        <v>22.853017999999999</v>
      </c>
      <c r="H226" s="649">
        <v>1.7747570800000001</v>
      </c>
      <c r="I226" s="650">
        <v>94.5</v>
      </c>
      <c r="J226" s="650">
        <v>92.2</v>
      </c>
      <c r="K226" s="651">
        <v>462</v>
      </c>
      <c r="L226" s="651">
        <v>260.3173162154676</v>
      </c>
      <c r="M226" s="651">
        <v>462</v>
      </c>
      <c r="N226" s="651">
        <v>39</v>
      </c>
      <c r="O226" s="651">
        <v>397</v>
      </c>
      <c r="P226" s="651">
        <v>25.999999999998181</v>
      </c>
      <c r="Q226" s="651">
        <v>21.336876999999959</v>
      </c>
      <c r="R226" s="651">
        <v>0.20000000000000018</v>
      </c>
      <c r="S226" s="651">
        <v>0.19999999999999929</v>
      </c>
      <c r="T226" s="651">
        <v>-0.17999999999999972</v>
      </c>
      <c r="U226" s="651">
        <v>-2.888541</v>
      </c>
      <c r="V226" s="652"/>
      <c r="W226" s="678"/>
      <c r="X226" s="657" t="s">
        <v>723</v>
      </c>
      <c r="Y226" s="658">
        <v>5468.1117354600001</v>
      </c>
      <c r="Z226" s="658">
        <v>-4.3748271399999998</v>
      </c>
      <c r="AA226" s="658">
        <v>2351.6680688900001</v>
      </c>
      <c r="AB226" s="658">
        <v>2459.2562801099998</v>
      </c>
      <c r="AC226" s="658">
        <v>3.0122900700000002</v>
      </c>
      <c r="AD226" s="658">
        <v>3.09815642</v>
      </c>
      <c r="AE226" s="658">
        <v>0.1465979</v>
      </c>
      <c r="AF226" s="658">
        <v>1.7747025999999999</v>
      </c>
      <c r="AG226" s="658">
        <v>1.7721047299999999</v>
      </c>
      <c r="AH226" s="658">
        <v>-3.0013105000000002</v>
      </c>
      <c r="AI226" s="658">
        <v>-2.7715303699999998</v>
      </c>
      <c r="AJ226" s="659">
        <v>0.84358606000000003</v>
      </c>
      <c r="AK226" s="1"/>
    </row>
    <row r="227" spans="1:37" s="519" customFormat="1" ht="25.5">
      <c r="A227" s="680">
        <v>62006040</v>
      </c>
      <c r="B227" s="662" t="s">
        <v>837</v>
      </c>
      <c r="C227" s="646">
        <v>7</v>
      </c>
      <c r="D227" s="654" t="s">
        <v>1015</v>
      </c>
      <c r="E227" s="647" t="s">
        <v>1016</v>
      </c>
      <c r="F227" s="647" t="s">
        <v>708</v>
      </c>
      <c r="G227" s="648">
        <v>25.622209000000002</v>
      </c>
      <c r="H227" s="649">
        <v>6.2508972500000004</v>
      </c>
      <c r="I227" s="650">
        <v>94.1</v>
      </c>
      <c r="J227" s="650">
        <v>92.4</v>
      </c>
      <c r="K227" s="651">
        <v>1502</v>
      </c>
      <c r="L227" s="651">
        <v>240.28550461295774</v>
      </c>
      <c r="M227" s="651">
        <v>1504</v>
      </c>
      <c r="N227" s="651">
        <v>17</v>
      </c>
      <c r="O227" s="651">
        <v>1446</v>
      </c>
      <c r="P227" s="651">
        <v>38.300000000001091</v>
      </c>
      <c r="Q227" s="651">
        <v>31.172890999999936</v>
      </c>
      <c r="R227" s="651">
        <v>0</v>
      </c>
      <c r="S227" s="651">
        <v>0.20000000000000107</v>
      </c>
      <c r="T227" s="651">
        <v>-0.28999999999999915</v>
      </c>
      <c r="U227" s="651">
        <v>-2.87507</v>
      </c>
      <c r="V227" s="652"/>
      <c r="W227" s="678"/>
      <c r="X227" s="657" t="s">
        <v>723</v>
      </c>
      <c r="Y227" s="658">
        <v>11258.48371697</v>
      </c>
      <c r="Z227" s="658">
        <v>-0.99929727000000002</v>
      </c>
      <c r="AA227" s="658">
        <v>1126.7738802599999</v>
      </c>
      <c r="AB227" s="658">
        <v>1138.1473556999999</v>
      </c>
      <c r="AC227" s="658">
        <v>5.8896571299999998</v>
      </c>
      <c r="AD227" s="658">
        <v>5.8916275300000001</v>
      </c>
      <c r="AE227" s="658">
        <v>0.25848366</v>
      </c>
      <c r="AF227" s="658">
        <v>6.2509742700000004</v>
      </c>
      <c r="AG227" s="658">
        <v>6.2348581799999998</v>
      </c>
      <c r="AH227" s="658">
        <v>-0.29202538</v>
      </c>
      <c r="AI227" s="658">
        <v>-3.3444050000000003E-2</v>
      </c>
      <c r="AJ227" s="659">
        <v>0.41947275000000001</v>
      </c>
      <c r="AK227" s="1"/>
    </row>
    <row r="228" spans="1:37" s="519" customFormat="1" ht="25.5">
      <c r="A228" s="680">
        <v>62006040</v>
      </c>
      <c r="B228" s="662" t="s">
        <v>835</v>
      </c>
      <c r="C228" s="646" t="s">
        <v>1364</v>
      </c>
      <c r="D228" s="654" t="s">
        <v>1015</v>
      </c>
      <c r="E228" s="647" t="s">
        <v>1016</v>
      </c>
      <c r="F228" s="647" t="s">
        <v>708</v>
      </c>
      <c r="G228" s="648">
        <v>24.237613500000002</v>
      </c>
      <c r="H228" s="649">
        <v>8.0256543300000001</v>
      </c>
      <c r="I228" s="650">
        <v>94.5</v>
      </c>
      <c r="J228" s="650">
        <v>92.4</v>
      </c>
      <c r="K228" s="651">
        <v>1964</v>
      </c>
      <c r="L228" s="651">
        <v>244.71524927986775</v>
      </c>
      <c r="M228" s="651">
        <v>1966</v>
      </c>
      <c r="N228" s="651">
        <v>56</v>
      </c>
      <c r="O228" s="651">
        <v>1843</v>
      </c>
      <c r="P228" s="651">
        <v>64.299999999999272</v>
      </c>
      <c r="Q228" s="651">
        <v>52.509767999999895</v>
      </c>
      <c r="R228" s="651">
        <v>0.20000000000000018</v>
      </c>
      <c r="S228" s="651">
        <v>0.40000000000000036</v>
      </c>
      <c r="T228" s="651">
        <v>-0.46999999999999886</v>
      </c>
      <c r="U228" s="651">
        <v>-2.8818055</v>
      </c>
      <c r="V228" s="652"/>
      <c r="W228" s="678"/>
      <c r="X228" s="657" t="s">
        <v>723</v>
      </c>
      <c r="Y228" s="658"/>
      <c r="Z228" s="658"/>
      <c r="AA228" s="658"/>
      <c r="AB228" s="658"/>
      <c r="AC228" s="658"/>
      <c r="AD228" s="658"/>
      <c r="AE228" s="658"/>
      <c r="AF228" s="658"/>
      <c r="AG228" s="658"/>
      <c r="AH228" s="658"/>
      <c r="AI228" s="658"/>
      <c r="AJ228" s="659"/>
      <c r="AK228" s="1"/>
    </row>
    <row r="229" spans="1:37" s="519" customFormat="1" ht="25.5">
      <c r="A229" s="680">
        <v>62006040</v>
      </c>
      <c r="B229" s="662" t="s">
        <v>990</v>
      </c>
      <c r="C229" s="646">
        <v>8</v>
      </c>
      <c r="D229" s="654" t="s">
        <v>1015</v>
      </c>
      <c r="E229" s="647" t="s">
        <v>1016</v>
      </c>
      <c r="F229" s="647" t="s">
        <v>708</v>
      </c>
      <c r="G229" s="648">
        <v>24.039773</v>
      </c>
      <c r="H229" s="649">
        <v>10.284252110000001</v>
      </c>
      <c r="I229" s="650">
        <v>92.2</v>
      </c>
      <c r="J229" s="650">
        <v>90</v>
      </c>
      <c r="K229" s="651">
        <v>1857</v>
      </c>
      <c r="L229" s="651">
        <v>180.56733539178086</v>
      </c>
      <c r="M229" s="651">
        <v>1859</v>
      </c>
      <c r="N229" s="651">
        <v>2</v>
      </c>
      <c r="O229" s="651">
        <v>1775</v>
      </c>
      <c r="P229" s="651">
        <v>78.699181999998473</v>
      </c>
      <c r="Q229" s="651">
        <v>63.829766000000063</v>
      </c>
      <c r="R229" s="651">
        <v>9.9999999999999645E-2</v>
      </c>
      <c r="S229" s="651">
        <v>0.5</v>
      </c>
      <c r="T229" s="651">
        <v>-0.53999999999999915</v>
      </c>
      <c r="U229" s="651">
        <v>-2.555231</v>
      </c>
      <c r="V229" s="652"/>
      <c r="W229" s="678"/>
      <c r="X229" s="657" t="s">
        <v>723</v>
      </c>
      <c r="Y229" s="658">
        <v>1873.12939854</v>
      </c>
      <c r="Z229" s="658">
        <v>-0.50813598000000004</v>
      </c>
      <c r="AA229" s="658">
        <v>1300.0707290600001</v>
      </c>
      <c r="AB229" s="658">
        <v>1306.71059571</v>
      </c>
      <c r="AC229" s="658">
        <v>6.8011252300000002</v>
      </c>
      <c r="AD229" s="658">
        <v>6.7902538000000003</v>
      </c>
      <c r="AE229" s="658">
        <v>0.26928959000000002</v>
      </c>
      <c r="AF229" s="658">
        <v>10.28430049</v>
      </c>
      <c r="AG229" s="658">
        <v>10.256680319999999</v>
      </c>
      <c r="AH229" s="658">
        <v>-0.10901166</v>
      </c>
      <c r="AI229" s="658">
        <v>0.16010340000000001</v>
      </c>
      <c r="AJ229" s="659">
        <v>0.33397575000000002</v>
      </c>
      <c r="AK229" s="1"/>
    </row>
    <row r="230" spans="1:37" s="519" customFormat="1" ht="25.5">
      <c r="A230" s="680">
        <v>62006040</v>
      </c>
      <c r="B230" s="662" t="s">
        <v>841</v>
      </c>
      <c r="C230" s="646">
        <v>9</v>
      </c>
      <c r="D230" s="654" t="s">
        <v>1015</v>
      </c>
      <c r="E230" s="647" t="s">
        <v>1016</v>
      </c>
      <c r="F230" s="647" t="s">
        <v>708</v>
      </c>
      <c r="G230" s="648">
        <v>21.411667999999999</v>
      </c>
      <c r="H230" s="649">
        <v>3.59704004</v>
      </c>
      <c r="I230" s="650">
        <v>90</v>
      </c>
      <c r="J230" s="650">
        <v>89.3</v>
      </c>
      <c r="K230" s="651">
        <v>641</v>
      </c>
      <c r="L230" s="651">
        <v>178.20207528187538</v>
      </c>
      <c r="M230" s="651">
        <v>642</v>
      </c>
      <c r="N230" s="651">
        <v>6</v>
      </c>
      <c r="O230" s="651">
        <v>581.03699599999891</v>
      </c>
      <c r="P230" s="651">
        <v>52.299999999999272</v>
      </c>
      <c r="Q230" s="651">
        <v>42.49016800000004</v>
      </c>
      <c r="R230" s="651">
        <v>9.9999999999999645E-2</v>
      </c>
      <c r="S230" s="651">
        <v>0.30000000000000071</v>
      </c>
      <c r="T230" s="651">
        <v>-0.32999999999999829</v>
      </c>
      <c r="U230" s="651">
        <v>-2.3483230000000002</v>
      </c>
      <c r="V230" s="652"/>
      <c r="W230" s="678"/>
      <c r="X230" s="657" t="s">
        <v>723</v>
      </c>
      <c r="Y230" s="658">
        <v>2370.1068483099998</v>
      </c>
      <c r="Z230" s="658">
        <v>-0.97392224999999999</v>
      </c>
      <c r="AA230" s="658">
        <v>2028.7565734899999</v>
      </c>
      <c r="AB230" s="658">
        <v>2048.7094101900002</v>
      </c>
      <c r="AC230" s="658">
        <v>3.02402294</v>
      </c>
      <c r="AD230" s="658">
        <v>3.0318172200000002</v>
      </c>
      <c r="AE230" s="658">
        <v>0.1676802</v>
      </c>
      <c r="AF230" s="658">
        <v>3.59700051</v>
      </c>
      <c r="AG230" s="658">
        <v>3.5909791499999999</v>
      </c>
      <c r="AH230" s="658">
        <v>-0.42585780000000001</v>
      </c>
      <c r="AI230" s="658">
        <v>-0.2570828</v>
      </c>
      <c r="AJ230" s="659">
        <v>0.63448674999999999</v>
      </c>
      <c r="AK230" s="1"/>
    </row>
    <row r="231" spans="1:37" s="519" customFormat="1" ht="25.5">
      <c r="A231" s="680">
        <v>62006040</v>
      </c>
      <c r="B231" s="662" t="s">
        <v>234</v>
      </c>
      <c r="C231" s="646">
        <v>10</v>
      </c>
      <c r="D231" s="654" t="s">
        <v>1015</v>
      </c>
      <c r="E231" s="647" t="s">
        <v>1016</v>
      </c>
      <c r="F231" s="647" t="s">
        <v>708</v>
      </c>
      <c r="G231" s="648">
        <v>18.307133</v>
      </c>
      <c r="H231" s="649">
        <v>3.8637445600000002</v>
      </c>
      <c r="I231" s="650">
        <v>89.3</v>
      </c>
      <c r="J231" s="650">
        <v>88.6</v>
      </c>
      <c r="K231" s="651">
        <v>632</v>
      </c>
      <c r="L231" s="651">
        <v>163.57188995951637</v>
      </c>
      <c r="M231" s="651">
        <v>633</v>
      </c>
      <c r="N231" s="651">
        <v>19</v>
      </c>
      <c r="O231" s="651">
        <v>526</v>
      </c>
      <c r="P231" s="651">
        <v>87.400000000001455</v>
      </c>
      <c r="Q231" s="651">
        <v>70.519600000000082</v>
      </c>
      <c r="R231" s="651">
        <v>0.20000000000000018</v>
      </c>
      <c r="S231" s="651">
        <v>0.5</v>
      </c>
      <c r="T231" s="651">
        <v>-0.54999999999999716</v>
      </c>
      <c r="U231" s="651">
        <v>-2.2377739999999999</v>
      </c>
      <c r="V231" s="652"/>
      <c r="W231" s="678"/>
      <c r="X231" s="657" t="s">
        <v>723</v>
      </c>
      <c r="Y231" s="658">
        <v>1475.0298434700001</v>
      </c>
      <c r="Z231" s="658">
        <v>-1.3305439299999999</v>
      </c>
      <c r="AA231" s="658">
        <v>3370.6956695899999</v>
      </c>
      <c r="AB231" s="658">
        <v>3416.1490330900001</v>
      </c>
      <c r="AC231" s="658">
        <v>2.9815954100000002</v>
      </c>
      <c r="AD231" s="658">
        <v>2.9952188500000001</v>
      </c>
      <c r="AE231" s="658">
        <v>9.8927890000000004E-2</v>
      </c>
      <c r="AF231" s="658">
        <v>3.8636488400000002</v>
      </c>
      <c r="AG231" s="658">
        <v>3.8598303899999999</v>
      </c>
      <c r="AH231" s="658">
        <v>-0.55629751000000005</v>
      </c>
      <c r="AI231" s="658">
        <v>-0.45483937000000002</v>
      </c>
      <c r="AJ231" s="659">
        <v>0.72009604000000005</v>
      </c>
      <c r="AK231" s="1"/>
    </row>
    <row r="232" spans="1:37" s="519" customFormat="1" ht="25.5">
      <c r="A232" s="680">
        <v>62006040</v>
      </c>
      <c r="B232" s="662" t="s">
        <v>842</v>
      </c>
      <c r="C232" s="646" t="s">
        <v>1366</v>
      </c>
      <c r="D232" s="654" t="s">
        <v>1015</v>
      </c>
      <c r="E232" s="647" t="s">
        <v>1016</v>
      </c>
      <c r="F232" s="647" t="s">
        <v>708</v>
      </c>
      <c r="G232" s="648">
        <v>19.8594005</v>
      </c>
      <c r="H232" s="649">
        <v>7.4607846000000002</v>
      </c>
      <c r="I232" s="650">
        <v>90</v>
      </c>
      <c r="J232" s="650">
        <v>88.6</v>
      </c>
      <c r="K232" s="651">
        <v>1273</v>
      </c>
      <c r="L232" s="651">
        <v>170.62548622567121</v>
      </c>
      <c r="M232" s="651">
        <v>1275</v>
      </c>
      <c r="N232" s="651">
        <v>25</v>
      </c>
      <c r="O232" s="651">
        <v>1107.0369959999989</v>
      </c>
      <c r="P232" s="651">
        <v>139.70000000000073</v>
      </c>
      <c r="Q232" s="651">
        <v>113.00976800000012</v>
      </c>
      <c r="R232" s="651">
        <v>0.29999999999999982</v>
      </c>
      <c r="S232" s="651">
        <v>0.80000000000000071</v>
      </c>
      <c r="T232" s="651">
        <v>-0.87999999999999545</v>
      </c>
      <c r="U232" s="651">
        <v>-2.2930485000000003</v>
      </c>
      <c r="V232" s="652"/>
      <c r="W232" s="678"/>
      <c r="X232" s="657" t="s">
        <v>723</v>
      </c>
      <c r="Y232" s="658"/>
      <c r="Z232" s="658"/>
      <c r="AA232" s="658"/>
      <c r="AB232" s="658"/>
      <c r="AC232" s="658"/>
      <c r="AD232" s="658"/>
      <c r="AE232" s="658"/>
      <c r="AF232" s="658"/>
      <c r="AG232" s="658"/>
      <c r="AH232" s="658"/>
      <c r="AI232" s="658"/>
      <c r="AJ232" s="659"/>
      <c r="AK232" s="1"/>
    </row>
    <row r="233" spans="1:37" s="519" customFormat="1" ht="25.5">
      <c r="A233" s="680">
        <v>62006040</v>
      </c>
      <c r="B233" s="662" t="s">
        <v>843</v>
      </c>
      <c r="C233" s="646">
        <v>11</v>
      </c>
      <c r="D233" s="654" t="s">
        <v>1015</v>
      </c>
      <c r="E233" s="647" t="s">
        <v>1016</v>
      </c>
      <c r="F233" s="647" t="s">
        <v>708</v>
      </c>
      <c r="G233" s="648">
        <v>23.173051999999998</v>
      </c>
      <c r="H233" s="649">
        <v>3.59766896</v>
      </c>
      <c r="I233" s="650">
        <v>88.5</v>
      </c>
      <c r="J233" s="650">
        <v>87.7</v>
      </c>
      <c r="K233" s="651">
        <v>664</v>
      </c>
      <c r="L233" s="651">
        <v>184.56395165385089</v>
      </c>
      <c r="M233" s="651">
        <v>666</v>
      </c>
      <c r="N233" s="651">
        <v>7</v>
      </c>
      <c r="O233" s="651">
        <v>606</v>
      </c>
      <c r="P233" s="651">
        <v>50.899999999999636</v>
      </c>
      <c r="Q233" s="651">
        <v>41.06973499999981</v>
      </c>
      <c r="R233" s="651">
        <v>9.9999999999999645E-2</v>
      </c>
      <c r="S233" s="651">
        <v>0.30000000000000071</v>
      </c>
      <c r="T233" s="651">
        <v>-0.30000000000000426</v>
      </c>
      <c r="U233" s="651">
        <v>-2.0695739999999998</v>
      </c>
      <c r="V233" s="652"/>
      <c r="W233" s="678"/>
      <c r="X233" s="657" t="s">
        <v>723</v>
      </c>
      <c r="Y233" s="658">
        <v>2370.1664023899998</v>
      </c>
      <c r="Z233" s="658">
        <v>-0.94702900999999995</v>
      </c>
      <c r="AA233" s="658">
        <v>2029.50343828</v>
      </c>
      <c r="AB233" s="658">
        <v>2048.90718376</v>
      </c>
      <c r="AC233" s="658">
        <v>3.0227452700000002</v>
      </c>
      <c r="AD233" s="658">
        <v>3.0320768600000001</v>
      </c>
      <c r="AE233" s="658">
        <v>0.18578855999999999</v>
      </c>
      <c r="AF233" s="658">
        <v>3.5976526500000001</v>
      </c>
      <c r="AG233" s="658">
        <v>3.5909810100000001</v>
      </c>
      <c r="AH233" s="658">
        <v>-0.49507456999999999</v>
      </c>
      <c r="AI233" s="658">
        <v>-0.30776236000000001</v>
      </c>
      <c r="AJ233" s="659">
        <v>0.63452246999999995</v>
      </c>
      <c r="AK233" s="1"/>
    </row>
    <row r="234" spans="1:37" s="519" customFormat="1" ht="25.5">
      <c r="A234" s="680">
        <v>62006040</v>
      </c>
      <c r="B234" s="662" t="s">
        <v>844</v>
      </c>
      <c r="C234" s="646">
        <v>12</v>
      </c>
      <c r="D234" s="654" t="s">
        <v>1015</v>
      </c>
      <c r="E234" s="647" t="s">
        <v>1016</v>
      </c>
      <c r="F234" s="647" t="s">
        <v>708</v>
      </c>
      <c r="G234" s="648">
        <v>21.888480000000001</v>
      </c>
      <c r="H234" s="649">
        <v>3.8634460700000002</v>
      </c>
      <c r="I234" s="650">
        <v>87.7</v>
      </c>
      <c r="J234" s="650">
        <v>87</v>
      </c>
      <c r="K234" s="651">
        <v>637</v>
      </c>
      <c r="L234" s="651">
        <v>164.87870891905578</v>
      </c>
      <c r="M234" s="651">
        <v>638</v>
      </c>
      <c r="N234" s="651">
        <v>18</v>
      </c>
      <c r="O234" s="651">
        <v>530</v>
      </c>
      <c r="P234" s="651">
        <v>87.279636999999639</v>
      </c>
      <c r="Q234" s="651">
        <v>70.369542000000138</v>
      </c>
      <c r="R234" s="651">
        <v>9.9999999999999645E-2</v>
      </c>
      <c r="S234" s="651">
        <v>0.59999999999999964</v>
      </c>
      <c r="T234" s="651">
        <v>-0.48999999999999488</v>
      </c>
      <c r="U234" s="651">
        <v>-2.0213830000000002</v>
      </c>
      <c r="V234" s="652"/>
      <c r="W234" s="678"/>
      <c r="X234" s="657" t="s">
        <v>723</v>
      </c>
      <c r="Y234" s="658">
        <v>1479.7615407599999</v>
      </c>
      <c r="Z234" s="658">
        <v>-1.3009892300000001</v>
      </c>
      <c r="AA234" s="658">
        <v>3372.0947345</v>
      </c>
      <c r="AB234" s="658">
        <v>3416.54359892</v>
      </c>
      <c r="AC234" s="658">
        <v>2.98291503</v>
      </c>
      <c r="AD234" s="658">
        <v>2.9957516200000001</v>
      </c>
      <c r="AE234" s="658">
        <v>9.1012090000000004E-2</v>
      </c>
      <c r="AF234" s="658">
        <v>3.8633458799999998</v>
      </c>
      <c r="AG234" s="658">
        <v>3.8598329699999998</v>
      </c>
      <c r="AH234" s="658">
        <v>-0.52174083000000004</v>
      </c>
      <c r="AI234" s="658">
        <v>-0.42849312000000001</v>
      </c>
      <c r="AJ234" s="659">
        <v>0.72008181000000004</v>
      </c>
      <c r="AK234" s="1"/>
    </row>
    <row r="235" spans="1:37" s="519" customFormat="1" ht="25.5">
      <c r="A235" s="680">
        <v>62006040</v>
      </c>
      <c r="B235" s="662" t="s">
        <v>845</v>
      </c>
      <c r="C235" s="646" t="s">
        <v>1367</v>
      </c>
      <c r="D235" s="654" t="s">
        <v>1015</v>
      </c>
      <c r="E235" s="647" t="s">
        <v>1016</v>
      </c>
      <c r="F235" s="647" t="s">
        <v>708</v>
      </c>
      <c r="G235" s="648">
        <v>22.530766</v>
      </c>
      <c r="H235" s="649">
        <v>7.4611150300000002</v>
      </c>
      <c r="I235" s="650">
        <v>88.5</v>
      </c>
      <c r="J235" s="650">
        <v>87</v>
      </c>
      <c r="K235" s="651">
        <v>1301</v>
      </c>
      <c r="L235" s="651">
        <v>174.37072002896059</v>
      </c>
      <c r="M235" s="651">
        <v>1304</v>
      </c>
      <c r="N235" s="651">
        <v>25</v>
      </c>
      <c r="O235" s="651">
        <v>1136</v>
      </c>
      <c r="P235" s="651">
        <v>138.17963699999927</v>
      </c>
      <c r="Q235" s="651">
        <v>111.43927699999995</v>
      </c>
      <c r="R235" s="651">
        <v>0.19999999999999929</v>
      </c>
      <c r="S235" s="651">
        <v>0.90000000000000036</v>
      </c>
      <c r="T235" s="651">
        <v>-0.78999999999999915</v>
      </c>
      <c r="U235" s="651">
        <v>-2.0454784999999998</v>
      </c>
      <c r="V235" s="652"/>
      <c r="W235" s="678"/>
      <c r="X235" s="657" t="s">
        <v>723</v>
      </c>
      <c r="Y235" s="658"/>
      <c r="Z235" s="658"/>
      <c r="AA235" s="658"/>
      <c r="AB235" s="658"/>
      <c r="AC235" s="658"/>
      <c r="AD235" s="658"/>
      <c r="AE235" s="658"/>
      <c r="AF235" s="658"/>
      <c r="AG235" s="658"/>
      <c r="AH235" s="658"/>
      <c r="AI235" s="658"/>
      <c r="AJ235" s="659"/>
      <c r="AK235" s="1"/>
    </row>
    <row r="236" spans="1:37" s="519" customFormat="1" ht="25.5">
      <c r="A236" s="680">
        <v>62006041</v>
      </c>
      <c r="B236" s="662" t="s">
        <v>1003</v>
      </c>
      <c r="C236" s="646">
        <v>1</v>
      </c>
      <c r="D236" s="654" t="s">
        <v>1045</v>
      </c>
      <c r="E236" s="647" t="s">
        <v>1046</v>
      </c>
      <c r="F236" s="647" t="s">
        <v>708</v>
      </c>
      <c r="G236" s="648">
        <v>139.241263</v>
      </c>
      <c r="H236" s="649">
        <v>291.59607165</v>
      </c>
      <c r="I236" s="650">
        <v>86.9</v>
      </c>
      <c r="J236" s="650">
        <v>3</v>
      </c>
      <c r="K236" s="651">
        <v>64613</v>
      </c>
      <c r="L236" s="651">
        <v>221.5839178984358</v>
      </c>
      <c r="M236" s="651">
        <v>64656</v>
      </c>
      <c r="N236" s="651">
        <v>2</v>
      </c>
      <c r="O236" s="651">
        <v>62964</v>
      </c>
      <c r="P236" s="651">
        <v>1593.9064170000001</v>
      </c>
      <c r="Q236" s="651">
        <v>1300.8712829999999</v>
      </c>
      <c r="R236" s="651">
        <v>1.7000000000000002</v>
      </c>
      <c r="S236" s="651">
        <v>6.5999999999999979</v>
      </c>
      <c r="T236" s="651">
        <v>-7.2999999999999972</v>
      </c>
      <c r="U236" s="651">
        <v>-8.6450929999999993</v>
      </c>
      <c r="V236" s="652"/>
      <c r="W236" s="678"/>
      <c r="X236" s="657" t="s">
        <v>723</v>
      </c>
      <c r="Y236" s="658">
        <v>7.8689842399999996</v>
      </c>
      <c r="Z236" s="658">
        <v>126.77594007</v>
      </c>
      <c r="AA236" s="658">
        <v>1317.9129112400001</v>
      </c>
      <c r="AB236" s="658">
        <v>581.15200000000004</v>
      </c>
      <c r="AC236" s="658">
        <v>218.49833477999999</v>
      </c>
      <c r="AD236" s="658">
        <v>217.92417911999999</v>
      </c>
      <c r="AE236" s="658">
        <v>4.538201E-2</v>
      </c>
      <c r="AF236" s="658">
        <v>291.59859061999998</v>
      </c>
      <c r="AG236" s="658">
        <v>291.46631732999998</v>
      </c>
      <c r="AH236" s="658">
        <v>0.21751071</v>
      </c>
      <c r="AI236" s="658">
        <v>0.26346578999999998</v>
      </c>
      <c r="AJ236" s="659">
        <v>3.7906400000000001E-3</v>
      </c>
      <c r="AK236" s="1"/>
    </row>
    <row r="237" spans="1:37" s="519" customFormat="1" ht="25.5">
      <c r="A237" s="680">
        <v>62006042</v>
      </c>
      <c r="B237" s="662" t="s">
        <v>907</v>
      </c>
      <c r="C237" s="646">
        <v>1</v>
      </c>
      <c r="D237" s="654" t="s">
        <v>1197</v>
      </c>
      <c r="E237" s="647" t="s">
        <v>1198</v>
      </c>
      <c r="F237" s="647" t="s">
        <v>708</v>
      </c>
      <c r="G237" s="648">
        <v>-42.366683999999999</v>
      </c>
      <c r="H237" s="649">
        <v>1.0889039999999999E-2</v>
      </c>
      <c r="I237" s="650">
        <v>3</v>
      </c>
      <c r="J237" s="650">
        <v>99.9</v>
      </c>
      <c r="K237" s="651">
        <v>-78630</v>
      </c>
      <c r="L237" s="651"/>
      <c r="M237" s="651">
        <v>-78655</v>
      </c>
      <c r="N237" s="651">
        <v>1</v>
      </c>
      <c r="O237" s="651">
        <v>30</v>
      </c>
      <c r="P237" s="651">
        <v>-78681.600000000006</v>
      </c>
      <c r="Q237" s="651">
        <v>607.34000000000015</v>
      </c>
      <c r="R237" s="651">
        <v>-6.4</v>
      </c>
      <c r="S237" s="651">
        <v>6.6999999999999993</v>
      </c>
      <c r="T237" s="651">
        <v>-27.725249000000005</v>
      </c>
      <c r="U237" s="651">
        <v>4.4660450000000003</v>
      </c>
      <c r="V237" s="652">
        <v>85375.5</v>
      </c>
      <c r="W237" s="678">
        <v>-84843</v>
      </c>
      <c r="X237" s="657"/>
      <c r="Y237" s="658"/>
      <c r="Z237" s="658"/>
      <c r="AA237" s="658"/>
      <c r="AB237" s="658"/>
      <c r="AC237" s="658"/>
      <c r="AD237" s="658"/>
      <c r="AE237" s="658"/>
      <c r="AF237" s="658"/>
      <c r="AG237" s="658"/>
      <c r="AH237" s="658"/>
      <c r="AI237" s="658"/>
      <c r="AJ237" s="659"/>
      <c r="AK237" s="1"/>
    </row>
    <row r="238" spans="1:37" s="671" customFormat="1" ht="18.75">
      <c r="A238" s="664" t="s">
        <v>1255</v>
      </c>
      <c r="B238" s="675"/>
      <c r="C238" s="665"/>
      <c r="D238" s="666"/>
      <c r="E238" s="667"/>
      <c r="F238" s="667"/>
      <c r="G238" s="667"/>
      <c r="H238" s="665"/>
      <c r="I238" s="670"/>
      <c r="J238" s="670"/>
      <c r="K238" s="670"/>
      <c r="L238" s="670"/>
      <c r="M238" s="670"/>
      <c r="N238" s="670"/>
      <c r="O238" s="670"/>
      <c r="P238" s="670"/>
      <c r="Q238" s="670"/>
      <c r="R238" s="670"/>
      <c r="S238" s="670"/>
      <c r="T238" s="670"/>
      <c r="U238" s="670"/>
      <c r="V238" s="670"/>
      <c r="W238" s="679"/>
      <c r="X238" s="668"/>
      <c r="Y238" s="665"/>
      <c r="Z238" s="665"/>
      <c r="AA238" s="665"/>
      <c r="AB238" s="665"/>
      <c r="AC238" s="665"/>
      <c r="AD238" s="665"/>
      <c r="AE238" s="665"/>
      <c r="AF238" s="665"/>
      <c r="AG238" s="665"/>
      <c r="AH238" s="665"/>
      <c r="AI238" s="665"/>
      <c r="AJ238" s="669"/>
    </row>
    <row r="239" spans="1:37" s="663" customFormat="1" ht="38.25">
      <c r="A239" s="680">
        <v>62006043</v>
      </c>
      <c r="B239" s="662" t="s">
        <v>1254</v>
      </c>
      <c r="C239" s="646">
        <v>1</v>
      </c>
      <c r="D239" s="654" t="s">
        <v>1199</v>
      </c>
      <c r="E239" s="647" t="s">
        <v>1253</v>
      </c>
      <c r="F239" s="647" t="s">
        <v>708</v>
      </c>
      <c r="G239" s="648">
        <v>245.70521400000001</v>
      </c>
      <c r="H239" s="649">
        <v>1.1353419999999999E-2</v>
      </c>
      <c r="I239" s="650" t="s">
        <v>1200</v>
      </c>
      <c r="J239" s="650" t="s">
        <v>1201</v>
      </c>
      <c r="K239" s="651">
        <v>854</v>
      </c>
      <c r="L239" s="651"/>
      <c r="M239" s="651">
        <v>835</v>
      </c>
      <c r="N239" s="651">
        <v>0</v>
      </c>
      <c r="O239" s="651">
        <v>30</v>
      </c>
      <c r="P239" s="651">
        <v>809.7</v>
      </c>
      <c r="Q239" s="651">
        <v>561.1</v>
      </c>
      <c r="R239" s="651">
        <v>2.8</v>
      </c>
      <c r="S239" s="651">
        <v>9.4</v>
      </c>
      <c r="T239" s="651">
        <v>-20.78</v>
      </c>
      <c r="U239" s="651">
        <v>-58.173437</v>
      </c>
      <c r="V239" s="652"/>
      <c r="W239" s="678"/>
      <c r="X239" s="657"/>
      <c r="Y239" s="658"/>
      <c r="Z239" s="658"/>
      <c r="AA239" s="658"/>
      <c r="AB239" s="658"/>
      <c r="AC239" s="658"/>
      <c r="AD239" s="658"/>
      <c r="AE239" s="658"/>
      <c r="AF239" s="658"/>
      <c r="AG239" s="658"/>
      <c r="AH239" s="658"/>
      <c r="AI239" s="658"/>
      <c r="AJ239" s="659"/>
      <c r="AK239" s="658"/>
    </row>
    <row r="240" spans="1:37" s="671" customFormat="1" ht="18.75">
      <c r="A240" s="664" t="s">
        <v>1373</v>
      </c>
      <c r="B240" s="675"/>
      <c r="C240" s="665"/>
      <c r="D240" s="666"/>
      <c r="E240" s="667"/>
      <c r="F240" s="667"/>
      <c r="G240" s="667"/>
      <c r="H240" s="665"/>
      <c r="I240" s="670"/>
      <c r="J240" s="670"/>
      <c r="K240" s="670"/>
      <c r="L240" s="670"/>
      <c r="M240" s="670"/>
      <c r="N240" s="670"/>
      <c r="O240" s="670"/>
      <c r="P240" s="670"/>
      <c r="Q240" s="670"/>
      <c r="R240" s="670"/>
      <c r="S240" s="670"/>
      <c r="T240" s="670"/>
      <c r="U240" s="670"/>
      <c r="V240" s="670"/>
      <c r="W240" s="679"/>
      <c r="X240" s="668"/>
      <c r="Y240" s="665"/>
      <c r="Z240" s="665"/>
      <c r="AA240" s="665"/>
      <c r="AB240" s="665"/>
      <c r="AC240" s="665"/>
      <c r="AD240" s="665"/>
      <c r="AE240" s="665"/>
      <c r="AF240" s="665"/>
      <c r="AG240" s="665"/>
      <c r="AH240" s="665"/>
      <c r="AI240" s="665"/>
      <c r="AJ240" s="669"/>
    </row>
    <row r="241" spans="1:37" s="519" customFormat="1" ht="38.25">
      <c r="A241" s="680">
        <v>62007002</v>
      </c>
      <c r="B241" s="662" t="s">
        <v>832</v>
      </c>
      <c r="C241" s="646">
        <v>1</v>
      </c>
      <c r="D241" s="654" t="s">
        <v>1208</v>
      </c>
      <c r="E241" s="647" t="s">
        <v>1209</v>
      </c>
      <c r="F241" s="647" t="s">
        <v>708</v>
      </c>
      <c r="G241" s="648">
        <v>36.299714999999999</v>
      </c>
      <c r="H241" s="649">
        <v>3.5963170099999999</v>
      </c>
      <c r="I241" s="650">
        <v>99.4</v>
      </c>
      <c r="J241" s="650">
        <v>98.2</v>
      </c>
      <c r="K241" s="651">
        <v>1046</v>
      </c>
      <c r="L241" s="651">
        <v>290.8531136413917</v>
      </c>
      <c r="M241" s="651">
        <v>1045</v>
      </c>
      <c r="N241" s="651">
        <v>22</v>
      </c>
      <c r="O241" s="651">
        <v>585</v>
      </c>
      <c r="P241" s="651">
        <v>79.800000000000011</v>
      </c>
      <c r="Q241" s="651">
        <v>69.218234999999993</v>
      </c>
      <c r="R241" s="651">
        <v>0</v>
      </c>
      <c r="S241" s="651">
        <v>358.8</v>
      </c>
      <c r="T241" s="651">
        <v>-1.2699999999999996</v>
      </c>
      <c r="U241" s="651">
        <v>-9.1550469999999997</v>
      </c>
      <c r="V241" s="652"/>
      <c r="W241" s="678"/>
      <c r="X241" s="657" t="s">
        <v>723</v>
      </c>
      <c r="Y241" s="658">
        <v>2370.7729276</v>
      </c>
      <c r="Z241" s="658">
        <v>-0.76191365</v>
      </c>
      <c r="AA241" s="658">
        <v>2033.1790309600001</v>
      </c>
      <c r="AB241" s="658">
        <v>2048.78903425</v>
      </c>
      <c r="AC241" s="658">
        <v>3.0286518400000002</v>
      </c>
      <c r="AD241" s="658">
        <v>3.0319560999999999</v>
      </c>
      <c r="AE241" s="658">
        <v>0.14776992999999999</v>
      </c>
      <c r="AF241" s="658">
        <v>3.5962867799999998</v>
      </c>
      <c r="AG241" s="658">
        <v>3.5909803999999999</v>
      </c>
      <c r="AH241" s="658">
        <v>-0.25703118000000003</v>
      </c>
      <c r="AI241" s="658">
        <v>-0.10898114</v>
      </c>
      <c r="AJ241" s="659">
        <v>0.63449347</v>
      </c>
      <c r="AK241" s="1"/>
    </row>
    <row r="242" spans="1:37" s="519" customFormat="1" ht="38.25">
      <c r="A242" s="680">
        <v>62007002</v>
      </c>
      <c r="B242" s="662" t="s">
        <v>831</v>
      </c>
      <c r="C242" s="646">
        <v>2</v>
      </c>
      <c r="D242" s="654" t="s">
        <v>1208</v>
      </c>
      <c r="E242" s="647" t="s">
        <v>1209</v>
      </c>
      <c r="F242" s="647" t="s">
        <v>708</v>
      </c>
      <c r="G242" s="648">
        <v>34.003360000000001</v>
      </c>
      <c r="H242" s="649">
        <v>3.86220498</v>
      </c>
      <c r="I242" s="650">
        <v>98.2</v>
      </c>
      <c r="J242" s="650">
        <v>97.2</v>
      </c>
      <c r="K242" s="651">
        <v>866</v>
      </c>
      <c r="L242" s="651">
        <v>224.22424611963501</v>
      </c>
      <c r="M242" s="651">
        <v>863</v>
      </c>
      <c r="N242" s="651">
        <v>22</v>
      </c>
      <c r="O242" s="651">
        <v>482</v>
      </c>
      <c r="P242" s="651">
        <v>112.37209700000002</v>
      </c>
      <c r="Q242" s="651">
        <v>94.116803000000019</v>
      </c>
      <c r="R242" s="651">
        <v>-0.1</v>
      </c>
      <c r="S242" s="651">
        <v>248.07209699999999</v>
      </c>
      <c r="T242" s="651">
        <v>-1.1715060000000008</v>
      </c>
      <c r="U242" s="651">
        <v>-4.8404129999999999</v>
      </c>
      <c r="V242" s="652"/>
      <c r="W242" s="678"/>
      <c r="X242" s="657" t="s">
        <v>723</v>
      </c>
      <c r="Y242" s="658">
        <v>1474.2056678900001</v>
      </c>
      <c r="Z242" s="658">
        <v>-1.1731752799999999</v>
      </c>
      <c r="AA242" s="658">
        <v>3376.0293465899999</v>
      </c>
      <c r="AB242" s="658">
        <v>3416.1062609000001</v>
      </c>
      <c r="AC242" s="658">
        <v>2.9835159600000001</v>
      </c>
      <c r="AD242" s="658">
        <v>2.9951890900000002</v>
      </c>
      <c r="AE242" s="658">
        <v>5.79946E-2</v>
      </c>
      <c r="AF242" s="658">
        <v>3.8620686200000001</v>
      </c>
      <c r="AG242" s="658">
        <v>3.8598301300000002</v>
      </c>
      <c r="AH242" s="658">
        <v>-0.44947573000000002</v>
      </c>
      <c r="AI242" s="658">
        <v>-0.38972939000000001</v>
      </c>
      <c r="AJ242" s="659">
        <v>0.72009117</v>
      </c>
      <c r="AK242" s="1"/>
    </row>
    <row r="243" spans="1:37" s="519" customFormat="1" ht="38.25">
      <c r="A243" s="680">
        <v>62007002</v>
      </c>
      <c r="B243" s="662" t="s">
        <v>830</v>
      </c>
      <c r="C243" s="646" t="s">
        <v>1362</v>
      </c>
      <c r="D243" s="654" t="s">
        <v>1208</v>
      </c>
      <c r="E243" s="647" t="s">
        <v>1209</v>
      </c>
      <c r="F243" s="647" t="s">
        <v>708</v>
      </c>
      <c r="G243" s="648">
        <v>35.151537500000003</v>
      </c>
      <c r="H243" s="649">
        <v>7.4585219899999995</v>
      </c>
      <c r="I243" s="650">
        <v>99.4</v>
      </c>
      <c r="J243" s="650">
        <v>97.2</v>
      </c>
      <c r="K243" s="651">
        <v>1912</v>
      </c>
      <c r="L243" s="651">
        <v>256.35105756388606</v>
      </c>
      <c r="M243" s="651">
        <v>1908</v>
      </c>
      <c r="N243" s="651">
        <v>44</v>
      </c>
      <c r="O243" s="651">
        <v>1067</v>
      </c>
      <c r="P243" s="651">
        <v>192.17209700000004</v>
      </c>
      <c r="Q243" s="651">
        <v>163.335038</v>
      </c>
      <c r="R243" s="651">
        <v>-0.1</v>
      </c>
      <c r="S243" s="651">
        <v>606.87209699999994</v>
      </c>
      <c r="T243" s="651">
        <v>-2.4415060000000004</v>
      </c>
      <c r="U243" s="651">
        <v>-6.9977299999999998</v>
      </c>
      <c r="V243" s="652"/>
      <c r="W243" s="678"/>
      <c r="X243" s="657" t="s">
        <v>723</v>
      </c>
      <c r="Y243" s="658"/>
      <c r="Z243" s="658"/>
      <c r="AA243" s="658"/>
      <c r="AB243" s="658"/>
      <c r="AC243" s="658"/>
      <c r="AD243" s="658"/>
      <c r="AE243" s="658"/>
      <c r="AF243" s="658"/>
      <c r="AG243" s="658"/>
      <c r="AH243" s="658"/>
      <c r="AI243" s="658"/>
      <c r="AJ243" s="659"/>
      <c r="AK243" s="1"/>
    </row>
    <row r="244" spans="1:37" s="519" customFormat="1" ht="38.25">
      <c r="A244" s="680">
        <v>62007002</v>
      </c>
      <c r="B244" s="662" t="s">
        <v>829</v>
      </c>
      <c r="C244" s="646">
        <v>3</v>
      </c>
      <c r="D244" s="654" t="s">
        <v>1208</v>
      </c>
      <c r="E244" s="647" t="s">
        <v>1209</v>
      </c>
      <c r="F244" s="647" t="s">
        <v>708</v>
      </c>
      <c r="G244" s="648">
        <v>37.950699</v>
      </c>
      <c r="H244" s="649">
        <v>10.28326779</v>
      </c>
      <c r="I244" s="650">
        <v>97.2</v>
      </c>
      <c r="J244" s="650">
        <v>95.1</v>
      </c>
      <c r="K244" s="651">
        <v>1893</v>
      </c>
      <c r="L244" s="651">
        <v>184.08545208176477</v>
      </c>
      <c r="M244" s="651">
        <v>1889</v>
      </c>
      <c r="N244" s="651">
        <v>5</v>
      </c>
      <c r="O244" s="651">
        <v>1637</v>
      </c>
      <c r="P244" s="651">
        <v>92.700000000000045</v>
      </c>
      <c r="Q244" s="651">
        <v>77.097279999999984</v>
      </c>
      <c r="R244" s="651">
        <v>-0.1</v>
      </c>
      <c r="S244" s="651">
        <v>156.5</v>
      </c>
      <c r="T244" s="651">
        <v>-0.58999999999999986</v>
      </c>
      <c r="U244" s="651">
        <v>-2.7547299999999999</v>
      </c>
      <c r="V244" s="652"/>
      <c r="W244" s="678"/>
      <c r="X244" s="657" t="s">
        <v>723</v>
      </c>
      <c r="Y244" s="658">
        <v>1872.8260999399999</v>
      </c>
      <c r="Z244" s="658">
        <v>-0.15288958</v>
      </c>
      <c r="AA244" s="658">
        <v>1304.71639665</v>
      </c>
      <c r="AB244" s="658">
        <v>1306.71422656</v>
      </c>
      <c r="AC244" s="658">
        <v>6.8051632700000004</v>
      </c>
      <c r="AD244" s="658">
        <v>6.7902643400000002</v>
      </c>
      <c r="AE244" s="658">
        <v>0.26009885999999999</v>
      </c>
      <c r="AF244" s="658">
        <v>10.28335794</v>
      </c>
      <c r="AG244" s="658">
        <v>10.256680429999999</v>
      </c>
      <c r="AH244" s="658">
        <v>-4.059364E-2</v>
      </c>
      <c r="AI244" s="658">
        <v>0.21941615</v>
      </c>
      <c r="AJ244" s="659">
        <v>0.33397608000000001</v>
      </c>
      <c r="AK244" s="1"/>
    </row>
    <row r="245" spans="1:37" s="519" customFormat="1" ht="38.25">
      <c r="A245" s="680">
        <v>62007002</v>
      </c>
      <c r="B245" s="662" t="s">
        <v>828</v>
      </c>
      <c r="C245" s="646">
        <v>4</v>
      </c>
      <c r="D245" s="654" t="s">
        <v>1208</v>
      </c>
      <c r="E245" s="647" t="s">
        <v>1209</v>
      </c>
      <c r="F245" s="647" t="s">
        <v>708</v>
      </c>
      <c r="G245" s="648">
        <v>35.725670000000001</v>
      </c>
      <c r="H245" s="649">
        <v>3.5963880600000002</v>
      </c>
      <c r="I245" s="650">
        <v>95</v>
      </c>
      <c r="J245" s="650">
        <v>94.1</v>
      </c>
      <c r="K245" s="651">
        <v>832</v>
      </c>
      <c r="L245" s="651">
        <v>231.3432216210839</v>
      </c>
      <c r="M245" s="651">
        <v>830</v>
      </c>
      <c r="N245" s="651">
        <v>8</v>
      </c>
      <c r="O245" s="651">
        <v>532</v>
      </c>
      <c r="P245" s="651">
        <v>69.800000000000011</v>
      </c>
      <c r="Q245" s="651">
        <v>59.786806000000013</v>
      </c>
      <c r="R245" s="651">
        <v>-9.9999999999999978E-2</v>
      </c>
      <c r="S245" s="651">
        <v>221.10000000000002</v>
      </c>
      <c r="T245" s="651">
        <v>-0.29999999999999893</v>
      </c>
      <c r="U245" s="651">
        <v>-2.1267879999999999</v>
      </c>
      <c r="V245" s="652"/>
      <c r="W245" s="678"/>
      <c r="X245" s="657" t="s">
        <v>723</v>
      </c>
      <c r="Y245" s="658">
        <v>2363.0671437999999</v>
      </c>
      <c r="Z245" s="658">
        <v>-0.87333777999999995</v>
      </c>
      <c r="AA245" s="658">
        <v>2030.7507745</v>
      </c>
      <c r="AB245" s="658">
        <v>2048.6423420900001</v>
      </c>
      <c r="AC245" s="658">
        <v>3.0230653799999998</v>
      </c>
      <c r="AD245" s="658">
        <v>3.0317459699999998</v>
      </c>
      <c r="AE245" s="658">
        <v>0.15019645000000001</v>
      </c>
      <c r="AF245" s="658">
        <v>3.5963727799999998</v>
      </c>
      <c r="AG245" s="658">
        <v>3.5909792500000002</v>
      </c>
      <c r="AH245" s="658">
        <v>-0.43777306999999999</v>
      </c>
      <c r="AI245" s="658">
        <v>-0.28632317000000002</v>
      </c>
      <c r="AJ245" s="659">
        <v>0.63447023000000002</v>
      </c>
      <c r="AK245" s="1"/>
    </row>
    <row r="246" spans="1:37" s="519" customFormat="1" ht="38.25">
      <c r="A246" s="680">
        <v>62007002</v>
      </c>
      <c r="B246" s="662" t="s">
        <v>239</v>
      </c>
      <c r="C246" s="646">
        <v>5</v>
      </c>
      <c r="D246" s="654" t="s">
        <v>1208</v>
      </c>
      <c r="E246" s="647" t="s">
        <v>1209</v>
      </c>
      <c r="F246" s="647" t="s">
        <v>708</v>
      </c>
      <c r="G246" s="648">
        <v>33.944397000000002</v>
      </c>
      <c r="H246" s="649">
        <v>3.86431652</v>
      </c>
      <c r="I246" s="650">
        <v>94.1</v>
      </c>
      <c r="J246" s="650">
        <v>93.2</v>
      </c>
      <c r="K246" s="651">
        <v>784</v>
      </c>
      <c r="L246" s="651">
        <v>202.88193162810586</v>
      </c>
      <c r="M246" s="651">
        <v>781</v>
      </c>
      <c r="N246" s="651">
        <v>20</v>
      </c>
      <c r="O246" s="651">
        <v>469</v>
      </c>
      <c r="P246" s="651">
        <v>109.40000000000003</v>
      </c>
      <c r="Q246" s="651">
        <v>92.079523999999992</v>
      </c>
      <c r="R246" s="651">
        <v>-0.10000000000000003</v>
      </c>
      <c r="S246" s="651">
        <v>184.82935299999997</v>
      </c>
      <c r="T246" s="651">
        <v>-0.48000000000000043</v>
      </c>
      <c r="U246" s="651">
        <v>-2.0248789999999999</v>
      </c>
      <c r="V246" s="652"/>
      <c r="W246" s="678"/>
      <c r="X246" s="657" t="s">
        <v>723</v>
      </c>
      <c r="Y246" s="658">
        <v>1473.3563428499999</v>
      </c>
      <c r="Z246" s="658">
        <v>-1.51658318</v>
      </c>
      <c r="AA246" s="658">
        <v>3364.19579359</v>
      </c>
      <c r="AB246" s="658">
        <v>3416.0023101400002</v>
      </c>
      <c r="AC246" s="658">
        <v>2.9802606599999999</v>
      </c>
      <c r="AD246" s="658">
        <v>2.9950261399999998</v>
      </c>
      <c r="AE246" s="658">
        <v>0.11262811</v>
      </c>
      <c r="AF246" s="658">
        <v>3.8641765100000001</v>
      </c>
      <c r="AG246" s="658">
        <v>3.8598292500000002</v>
      </c>
      <c r="AH246" s="658">
        <v>-0.60862839999999996</v>
      </c>
      <c r="AI246" s="658">
        <v>-0.49299976000000001</v>
      </c>
      <c r="AJ246" s="659">
        <v>0.72010109</v>
      </c>
      <c r="AK246" s="1"/>
    </row>
    <row r="247" spans="1:37" s="519" customFormat="1" ht="38.25">
      <c r="A247" s="680">
        <v>62007002</v>
      </c>
      <c r="B247" s="662" t="s">
        <v>833</v>
      </c>
      <c r="C247" s="646" t="s">
        <v>1363</v>
      </c>
      <c r="D247" s="654" t="s">
        <v>1208</v>
      </c>
      <c r="E247" s="647" t="s">
        <v>1209</v>
      </c>
      <c r="F247" s="647" t="s">
        <v>708</v>
      </c>
      <c r="G247" s="648">
        <v>34.835033500000002</v>
      </c>
      <c r="H247" s="649">
        <v>7.4607045799999998</v>
      </c>
      <c r="I247" s="650">
        <v>95</v>
      </c>
      <c r="J247" s="650">
        <v>93.2</v>
      </c>
      <c r="K247" s="651">
        <v>1616</v>
      </c>
      <c r="L247" s="651">
        <v>216.60152639363722</v>
      </c>
      <c r="M247" s="651">
        <v>1611</v>
      </c>
      <c r="N247" s="651">
        <v>28</v>
      </c>
      <c r="O247" s="651">
        <v>1001</v>
      </c>
      <c r="P247" s="651">
        <v>179.20000000000005</v>
      </c>
      <c r="Q247" s="651">
        <v>151.86633</v>
      </c>
      <c r="R247" s="651">
        <v>-0.2</v>
      </c>
      <c r="S247" s="651">
        <v>405.92935299999999</v>
      </c>
      <c r="T247" s="651">
        <v>-0.77999999999999936</v>
      </c>
      <c r="U247" s="651">
        <v>-2.0758334999999999</v>
      </c>
      <c r="V247" s="652"/>
      <c r="W247" s="678"/>
      <c r="X247" s="657" t="s">
        <v>723</v>
      </c>
      <c r="Y247" s="658"/>
      <c r="Z247" s="658"/>
      <c r="AA247" s="658"/>
      <c r="AB247" s="658"/>
      <c r="AC247" s="658"/>
      <c r="AD247" s="658"/>
      <c r="AE247" s="658"/>
      <c r="AF247" s="658"/>
      <c r="AG247" s="658"/>
      <c r="AH247" s="658"/>
      <c r="AI247" s="658"/>
      <c r="AJ247" s="659"/>
      <c r="AK247" s="1"/>
    </row>
    <row r="248" spans="1:37" s="519" customFormat="1" ht="38.25">
      <c r="A248" s="680">
        <v>62007002</v>
      </c>
      <c r="B248" s="662" t="s">
        <v>836</v>
      </c>
      <c r="C248" s="646">
        <v>6</v>
      </c>
      <c r="D248" s="654" t="s">
        <v>1208</v>
      </c>
      <c r="E248" s="647" t="s">
        <v>1209</v>
      </c>
      <c r="F248" s="647" t="s">
        <v>708</v>
      </c>
      <c r="G248" s="648">
        <v>36.113672999999999</v>
      </c>
      <c r="H248" s="649">
        <v>1.77427687</v>
      </c>
      <c r="I248" s="650">
        <v>93.1</v>
      </c>
      <c r="J248" s="650">
        <v>90.8</v>
      </c>
      <c r="K248" s="651">
        <v>481</v>
      </c>
      <c r="L248" s="651">
        <v>271.09635938611996</v>
      </c>
      <c r="M248" s="651">
        <v>479</v>
      </c>
      <c r="N248" s="651">
        <v>39</v>
      </c>
      <c r="O248" s="651">
        <v>368</v>
      </c>
      <c r="P248" s="651">
        <v>29.654345000000035</v>
      </c>
      <c r="Q248" s="651">
        <v>25.055127999999911</v>
      </c>
      <c r="R248" s="651">
        <v>-9.9999999999999978E-2</v>
      </c>
      <c r="S248" s="651">
        <v>44.350614999999834</v>
      </c>
      <c r="T248" s="651">
        <v>-0.11999999999999922</v>
      </c>
      <c r="U248" s="651">
        <v>-1.87287</v>
      </c>
      <c r="V248" s="652"/>
      <c r="W248" s="678"/>
      <c r="X248" s="657" t="s">
        <v>723</v>
      </c>
      <c r="Y248" s="658">
        <v>5470.2974915599998</v>
      </c>
      <c r="Z248" s="658">
        <v>-4.2630120299999996</v>
      </c>
      <c r="AA248" s="658">
        <v>2354.4599456300002</v>
      </c>
      <c r="AB248" s="658">
        <v>2459.3002095100001</v>
      </c>
      <c r="AC248" s="658">
        <v>3.01129772</v>
      </c>
      <c r="AD248" s="658">
        <v>3.0981921400000001</v>
      </c>
      <c r="AE248" s="658">
        <v>0.12086049</v>
      </c>
      <c r="AF248" s="658">
        <v>1.7742457300000001</v>
      </c>
      <c r="AG248" s="658">
        <v>1.7721039599999999</v>
      </c>
      <c r="AH248" s="658">
        <v>-3.0099618299999999</v>
      </c>
      <c r="AI248" s="658">
        <v>-2.8046815</v>
      </c>
      <c r="AJ248" s="659">
        <v>0.84359141999999998</v>
      </c>
      <c r="AK248" s="1"/>
    </row>
    <row r="249" spans="1:37" s="519" customFormat="1" ht="38.25">
      <c r="A249" s="680">
        <v>62007002</v>
      </c>
      <c r="B249" s="662" t="s">
        <v>837</v>
      </c>
      <c r="C249" s="646">
        <v>7</v>
      </c>
      <c r="D249" s="654" t="s">
        <v>1208</v>
      </c>
      <c r="E249" s="647" t="s">
        <v>1209</v>
      </c>
      <c r="F249" s="647" t="s">
        <v>708</v>
      </c>
      <c r="G249" s="648">
        <v>39.266945999999997</v>
      </c>
      <c r="H249" s="649">
        <v>6.2501815199999999</v>
      </c>
      <c r="I249" s="650">
        <v>92.7</v>
      </c>
      <c r="J249" s="650">
        <v>91</v>
      </c>
      <c r="K249" s="651">
        <v>1475</v>
      </c>
      <c r="L249" s="651">
        <v>235.99314600386199</v>
      </c>
      <c r="M249" s="651">
        <v>1474</v>
      </c>
      <c r="N249" s="651">
        <v>17</v>
      </c>
      <c r="O249" s="651">
        <v>1347</v>
      </c>
      <c r="P249" s="651">
        <v>44.645655000000033</v>
      </c>
      <c r="Q249" s="651">
        <v>37.274499000000048</v>
      </c>
      <c r="R249" s="651">
        <v>0</v>
      </c>
      <c r="S249" s="651">
        <v>65.545655000000124</v>
      </c>
      <c r="T249" s="651">
        <v>-0.19000000000000128</v>
      </c>
      <c r="U249" s="651">
        <v>-1.89103</v>
      </c>
      <c r="V249" s="652"/>
      <c r="W249" s="678"/>
      <c r="X249" s="657" t="s">
        <v>723</v>
      </c>
      <c r="Y249" s="658">
        <v>11272.19229481</v>
      </c>
      <c r="Z249" s="658">
        <v>-1.0558707899999999</v>
      </c>
      <c r="AA249" s="658">
        <v>1126.3224480599999</v>
      </c>
      <c r="AB249" s="658">
        <v>1138.3418673799999</v>
      </c>
      <c r="AC249" s="658">
        <v>5.8847772799999998</v>
      </c>
      <c r="AD249" s="658">
        <v>5.89193078</v>
      </c>
      <c r="AE249" s="658">
        <v>0.24660348000000001</v>
      </c>
      <c r="AF249" s="658">
        <v>6.2502333200000004</v>
      </c>
      <c r="AG249" s="658">
        <v>6.2348579500000003</v>
      </c>
      <c r="AH249" s="658">
        <v>-0.36846265</v>
      </c>
      <c r="AI249" s="658">
        <v>-0.12141181</v>
      </c>
      <c r="AJ249" s="659">
        <v>0.41954553999999999</v>
      </c>
      <c r="AK249" s="1"/>
    </row>
    <row r="250" spans="1:37" s="519" customFormat="1" ht="38.25">
      <c r="A250" s="680">
        <v>62007002</v>
      </c>
      <c r="B250" s="662" t="s">
        <v>835</v>
      </c>
      <c r="C250" s="646" t="s">
        <v>1364</v>
      </c>
      <c r="D250" s="654" t="s">
        <v>1208</v>
      </c>
      <c r="E250" s="647" t="s">
        <v>1209</v>
      </c>
      <c r="F250" s="647" t="s">
        <v>708</v>
      </c>
      <c r="G250" s="648">
        <v>37.690309499999998</v>
      </c>
      <c r="H250" s="649">
        <v>8.0244583899999995</v>
      </c>
      <c r="I250" s="650">
        <v>93.1</v>
      </c>
      <c r="J250" s="650">
        <v>91</v>
      </c>
      <c r="K250" s="651">
        <v>1956</v>
      </c>
      <c r="L250" s="651">
        <v>243.75476884988871</v>
      </c>
      <c r="M250" s="651">
        <v>1953</v>
      </c>
      <c r="N250" s="651">
        <v>56</v>
      </c>
      <c r="O250" s="651">
        <v>1715</v>
      </c>
      <c r="P250" s="651">
        <v>74.300000000000068</v>
      </c>
      <c r="Q250" s="651">
        <v>62.329626999999959</v>
      </c>
      <c r="R250" s="651">
        <v>-9.9999999999999978E-2</v>
      </c>
      <c r="S250" s="651">
        <v>109.89626999999996</v>
      </c>
      <c r="T250" s="651">
        <v>-0.3100000000000005</v>
      </c>
      <c r="U250" s="651">
        <v>-1.88195</v>
      </c>
      <c r="V250" s="652"/>
      <c r="W250" s="678"/>
      <c r="X250" s="657" t="s">
        <v>723</v>
      </c>
      <c r="Y250" s="658"/>
      <c r="Z250" s="658"/>
      <c r="AA250" s="658"/>
      <c r="AB250" s="658"/>
      <c r="AC250" s="658"/>
      <c r="AD250" s="658"/>
      <c r="AE250" s="658"/>
      <c r="AF250" s="658"/>
      <c r="AG250" s="658"/>
      <c r="AH250" s="658"/>
      <c r="AI250" s="658"/>
      <c r="AJ250" s="659"/>
      <c r="AK250" s="1"/>
    </row>
    <row r="251" spans="1:37" s="519" customFormat="1" ht="38.25">
      <c r="A251" s="680">
        <v>62007003</v>
      </c>
      <c r="B251" s="662" t="s">
        <v>838</v>
      </c>
      <c r="C251" s="646">
        <v>1</v>
      </c>
      <c r="D251" s="654" t="s">
        <v>1222</v>
      </c>
      <c r="E251" s="647" t="s">
        <v>1223</v>
      </c>
      <c r="F251" s="647" t="s">
        <v>708</v>
      </c>
      <c r="G251" s="648">
        <v>2406.1682679999999</v>
      </c>
      <c r="H251" s="649">
        <v>240.66058111999999</v>
      </c>
      <c r="I251" s="650">
        <v>90.8</v>
      </c>
      <c r="J251" s="650">
        <v>24.8</v>
      </c>
      <c r="K251" s="651">
        <v>53059</v>
      </c>
      <c r="L251" s="651">
        <v>220.47233391139915</v>
      </c>
      <c r="M251" s="651">
        <v>53000</v>
      </c>
      <c r="N251" s="651">
        <v>31</v>
      </c>
      <c r="O251" s="651">
        <v>48774</v>
      </c>
      <c r="P251" s="651">
        <v>1577.897332</v>
      </c>
      <c r="Q251" s="651">
        <v>1324.2235340000002</v>
      </c>
      <c r="R251" s="651">
        <v>-0.30000000000000004</v>
      </c>
      <c r="S251" s="651">
        <v>2620.897332</v>
      </c>
      <c r="T251" s="651">
        <v>-6.259999999999998</v>
      </c>
      <c r="U251" s="651">
        <v>-103.420108</v>
      </c>
      <c r="V251" s="652"/>
      <c r="W251" s="678"/>
      <c r="X251" s="657" t="s">
        <v>723</v>
      </c>
      <c r="Y251" s="658">
        <v>9.5469114200000007</v>
      </c>
      <c r="Z251" s="658">
        <v>92.470154300000004</v>
      </c>
      <c r="AA251" s="658">
        <v>1118.54415113</v>
      </c>
      <c r="AB251" s="658">
        <v>581.15200000000004</v>
      </c>
      <c r="AC251" s="658">
        <v>180.60685190999999</v>
      </c>
      <c r="AD251" s="658">
        <v>179.40006278000001</v>
      </c>
      <c r="AE251" s="658">
        <v>0.30095861000000002</v>
      </c>
      <c r="AF251" s="658">
        <v>240.66262422</v>
      </c>
      <c r="AG251" s="658">
        <v>239.94050261999999</v>
      </c>
      <c r="AH251" s="658">
        <v>0.36923802999999999</v>
      </c>
      <c r="AI251" s="658">
        <v>0.67268044000000005</v>
      </c>
      <c r="AJ251" s="659">
        <v>4.6046300000000002E-3</v>
      </c>
      <c r="AK251" s="1"/>
    </row>
    <row r="252" spans="1:37" s="519" customFormat="1" ht="38.25">
      <c r="A252" s="680">
        <v>62007004</v>
      </c>
      <c r="B252" s="662" t="s">
        <v>1047</v>
      </c>
      <c r="C252" s="646">
        <v>1</v>
      </c>
      <c r="D252" s="654" t="s">
        <v>1224</v>
      </c>
      <c r="E252" s="647" t="s">
        <v>1225</v>
      </c>
      <c r="F252" s="647" t="s">
        <v>708</v>
      </c>
      <c r="G252" s="648">
        <v>35.548025000000003</v>
      </c>
      <c r="H252" s="649">
        <v>3.58475309</v>
      </c>
      <c r="I252" s="650">
        <v>24.8</v>
      </c>
      <c r="J252" s="650">
        <v>23.8</v>
      </c>
      <c r="K252" s="651">
        <v>741</v>
      </c>
      <c r="L252" s="651">
        <v>206.70879734146487</v>
      </c>
      <c r="M252" s="651">
        <v>739</v>
      </c>
      <c r="N252" s="651">
        <v>11</v>
      </c>
      <c r="O252" s="651">
        <v>487</v>
      </c>
      <c r="P252" s="651">
        <v>76.691800000000057</v>
      </c>
      <c r="Q252" s="651">
        <v>65.879709000000048</v>
      </c>
      <c r="R252" s="651">
        <v>0</v>
      </c>
      <c r="S252" s="651">
        <v>165.5</v>
      </c>
      <c r="T252" s="651">
        <v>-0.26000000000000156</v>
      </c>
      <c r="U252" s="651">
        <v>-1.6096429999999999</v>
      </c>
      <c r="V252" s="652"/>
      <c r="W252" s="678"/>
      <c r="X252" s="657" t="s">
        <v>723</v>
      </c>
      <c r="Y252" s="658">
        <v>2321.4373020899998</v>
      </c>
      <c r="Z252" s="658">
        <v>-1.9597093699999999</v>
      </c>
      <c r="AA252" s="658">
        <v>2481.9591493299999</v>
      </c>
      <c r="AB252" s="658">
        <v>2531.5705751700002</v>
      </c>
      <c r="AC252" s="658">
        <v>3.1721709300000001</v>
      </c>
      <c r="AD252" s="658">
        <v>3.1996053500000001</v>
      </c>
      <c r="AE252" s="658">
        <v>0.14399302999999999</v>
      </c>
      <c r="AF252" s="658">
        <v>3.58462864</v>
      </c>
      <c r="AG252" s="658">
        <v>3.5794744500000002</v>
      </c>
      <c r="AH252" s="658">
        <v>-1.0100852</v>
      </c>
      <c r="AI252" s="658">
        <v>-0.85743137000000003</v>
      </c>
      <c r="AJ252" s="659">
        <v>0.71689778000000004</v>
      </c>
      <c r="AK252" s="1"/>
    </row>
    <row r="253" spans="1:37" s="519" customFormat="1" ht="38.25">
      <c r="A253" s="680">
        <v>62007004</v>
      </c>
      <c r="B253" s="662" t="s">
        <v>1049</v>
      </c>
      <c r="C253" s="646">
        <v>2</v>
      </c>
      <c r="D253" s="654" t="s">
        <v>1224</v>
      </c>
      <c r="E253" s="647" t="s">
        <v>1225</v>
      </c>
      <c r="F253" s="647" t="s">
        <v>708</v>
      </c>
      <c r="G253" s="648">
        <v>35.623418000000001</v>
      </c>
      <c r="H253" s="649">
        <v>3.58557499</v>
      </c>
      <c r="I253" s="650">
        <v>23.7</v>
      </c>
      <c r="J253" s="650">
        <v>22.6</v>
      </c>
      <c r="K253" s="651">
        <v>803</v>
      </c>
      <c r="L253" s="651">
        <v>223.95292309867435</v>
      </c>
      <c r="M253" s="651">
        <v>801</v>
      </c>
      <c r="N253" s="651">
        <v>11</v>
      </c>
      <c r="O253" s="651">
        <v>493</v>
      </c>
      <c r="P253" s="651">
        <v>80.099999999999909</v>
      </c>
      <c r="Q253" s="651">
        <v>69.599681000000146</v>
      </c>
      <c r="R253" s="651">
        <v>-9.9999999999999978E-2</v>
      </c>
      <c r="S253" s="651">
        <v>217.89999999999964</v>
      </c>
      <c r="T253" s="651">
        <v>-0.25</v>
      </c>
      <c r="U253" s="651">
        <v>-1.5008280000000001</v>
      </c>
      <c r="V253" s="652"/>
      <c r="W253" s="678"/>
      <c r="X253" s="657" t="s">
        <v>723</v>
      </c>
      <c r="Y253" s="658">
        <v>2318.5647141700001</v>
      </c>
      <c r="Z253" s="658">
        <v>-1.7923425900000001</v>
      </c>
      <c r="AA253" s="658">
        <v>2485.93740088</v>
      </c>
      <c r="AB253" s="658">
        <v>2531.3070960700002</v>
      </c>
      <c r="AC253" s="658">
        <v>3.1745317200000001</v>
      </c>
      <c r="AD253" s="658">
        <v>3.19935378</v>
      </c>
      <c r="AE253" s="658">
        <v>0.16614598999999999</v>
      </c>
      <c r="AF253" s="658">
        <v>3.5854211899999999</v>
      </c>
      <c r="AG253" s="658">
        <v>3.57947404</v>
      </c>
      <c r="AH253" s="658">
        <v>-0.94935767000000004</v>
      </c>
      <c r="AI253" s="658">
        <v>-0.77584613000000002</v>
      </c>
      <c r="AJ253" s="659">
        <v>0.71687752999999999</v>
      </c>
      <c r="AK253" s="1"/>
    </row>
    <row r="254" spans="1:37" s="519" customFormat="1" ht="38.25">
      <c r="A254" s="680">
        <v>62007004</v>
      </c>
      <c r="B254" s="662" t="s">
        <v>829</v>
      </c>
      <c r="C254" s="646">
        <v>3</v>
      </c>
      <c r="D254" s="654" t="s">
        <v>1224</v>
      </c>
      <c r="E254" s="647" t="s">
        <v>1225</v>
      </c>
      <c r="F254" s="647" t="s">
        <v>708</v>
      </c>
      <c r="G254" s="648">
        <v>37.697535999999999</v>
      </c>
      <c r="H254" s="649">
        <v>10.28292987</v>
      </c>
      <c r="I254" s="650">
        <v>22.6</v>
      </c>
      <c r="J254" s="650">
        <v>20</v>
      </c>
      <c r="K254" s="651">
        <v>1836</v>
      </c>
      <c r="L254" s="651">
        <v>178.54833429881205</v>
      </c>
      <c r="M254" s="651">
        <v>1833</v>
      </c>
      <c r="N254" s="651">
        <v>3</v>
      </c>
      <c r="O254" s="651">
        <v>1613</v>
      </c>
      <c r="P254" s="651">
        <v>88.800000000000182</v>
      </c>
      <c r="Q254" s="651">
        <v>75.909156000000166</v>
      </c>
      <c r="R254" s="651">
        <v>-9.9999999999999978E-2</v>
      </c>
      <c r="S254" s="651">
        <v>129.59999999999945</v>
      </c>
      <c r="T254" s="651">
        <v>-0.30000000000000071</v>
      </c>
      <c r="U254" s="651">
        <v>-1.447597</v>
      </c>
      <c r="V254" s="652"/>
      <c r="W254" s="678"/>
      <c r="X254" s="657" t="s">
        <v>723</v>
      </c>
      <c r="Y254" s="658">
        <v>1873.1227794700001</v>
      </c>
      <c r="Z254" s="658">
        <v>-0.66857949999999999</v>
      </c>
      <c r="AA254" s="658">
        <v>1297.9892292899999</v>
      </c>
      <c r="AB254" s="658">
        <v>1306.7257296099999</v>
      </c>
      <c r="AC254" s="658">
        <v>6.7991890599999998</v>
      </c>
      <c r="AD254" s="658">
        <v>6.7902879</v>
      </c>
      <c r="AE254" s="658">
        <v>0.25656343999999998</v>
      </c>
      <c r="AF254" s="658">
        <v>10.28299531</v>
      </c>
      <c r="AG254" s="658">
        <v>10.25668042</v>
      </c>
      <c r="AH254" s="658">
        <v>-0.12531266999999999</v>
      </c>
      <c r="AI254" s="658">
        <v>0.13108649999999999</v>
      </c>
      <c r="AJ254" s="659">
        <v>0.33397833999999998</v>
      </c>
      <c r="AK254" s="1"/>
    </row>
    <row r="255" spans="1:37" s="519" customFormat="1" ht="38.25">
      <c r="A255" s="680">
        <v>62007004</v>
      </c>
      <c r="B255" s="662" t="s">
        <v>828</v>
      </c>
      <c r="C255" s="646">
        <v>4</v>
      </c>
      <c r="D255" s="654" t="s">
        <v>1224</v>
      </c>
      <c r="E255" s="647" t="s">
        <v>1225</v>
      </c>
      <c r="F255" s="647" t="s">
        <v>708</v>
      </c>
      <c r="G255" s="648">
        <v>35.345008</v>
      </c>
      <c r="H255" s="649">
        <v>3.5963594099999998</v>
      </c>
      <c r="I255" s="650">
        <v>20</v>
      </c>
      <c r="J255" s="650">
        <v>18.899999999999999</v>
      </c>
      <c r="K255" s="651">
        <v>781</v>
      </c>
      <c r="L255" s="651">
        <v>217.16405702621364</v>
      </c>
      <c r="M255" s="651">
        <v>780</v>
      </c>
      <c r="N255" s="651">
        <v>7</v>
      </c>
      <c r="O255" s="651">
        <v>524</v>
      </c>
      <c r="P255" s="651">
        <v>66.600000000000364</v>
      </c>
      <c r="Q255" s="651">
        <v>57.978751999999986</v>
      </c>
      <c r="R255" s="651">
        <v>0</v>
      </c>
      <c r="S255" s="651">
        <v>182.30000000000018</v>
      </c>
      <c r="T255" s="651">
        <v>-0.21000000000000085</v>
      </c>
      <c r="U255" s="651">
        <v>-1.4081999999999999</v>
      </c>
      <c r="V255" s="652"/>
      <c r="W255" s="678"/>
      <c r="X255" s="657" t="s">
        <v>723</v>
      </c>
      <c r="Y255" s="658">
        <v>2364.1719929599999</v>
      </c>
      <c r="Z255" s="658">
        <v>-1.0511172600000001</v>
      </c>
      <c r="AA255" s="658">
        <v>2027.1163083599999</v>
      </c>
      <c r="AB255" s="658">
        <v>2048.6500224000001</v>
      </c>
      <c r="AC255" s="658">
        <v>3.0199004399999998</v>
      </c>
      <c r="AD255" s="658">
        <v>3.0317548900000002</v>
      </c>
      <c r="AE255" s="658">
        <v>0.14624306000000001</v>
      </c>
      <c r="AF255" s="658">
        <v>3.5962312299999999</v>
      </c>
      <c r="AG255" s="658">
        <v>3.5909796799999998</v>
      </c>
      <c r="AH255" s="658">
        <v>-0.53936161000000005</v>
      </c>
      <c r="AI255" s="658">
        <v>-0.39100959000000002</v>
      </c>
      <c r="AJ255" s="659">
        <v>0.63447176999999999</v>
      </c>
      <c r="AK255" s="1"/>
    </row>
    <row r="256" spans="1:37" s="519" customFormat="1" ht="38.25">
      <c r="A256" s="680">
        <v>62007004</v>
      </c>
      <c r="B256" s="662" t="s">
        <v>239</v>
      </c>
      <c r="C256" s="646">
        <v>5</v>
      </c>
      <c r="D256" s="654" t="s">
        <v>1224</v>
      </c>
      <c r="E256" s="647" t="s">
        <v>1225</v>
      </c>
      <c r="F256" s="647" t="s">
        <v>708</v>
      </c>
      <c r="G256" s="648">
        <v>33.075409999999998</v>
      </c>
      <c r="H256" s="649">
        <v>3.8631632900000001</v>
      </c>
      <c r="I256" s="650">
        <v>18.899999999999999</v>
      </c>
      <c r="J256" s="650">
        <v>17.8</v>
      </c>
      <c r="K256" s="651">
        <v>744</v>
      </c>
      <c r="L256" s="651">
        <v>192.58828689066362</v>
      </c>
      <c r="M256" s="651">
        <v>741</v>
      </c>
      <c r="N256" s="651">
        <v>18</v>
      </c>
      <c r="O256" s="651">
        <v>457</v>
      </c>
      <c r="P256" s="651">
        <v>103.79999999999973</v>
      </c>
      <c r="Q256" s="651">
        <v>88.969548000000032</v>
      </c>
      <c r="R256" s="651">
        <v>-9.9999999999999867E-2</v>
      </c>
      <c r="S256" s="651">
        <v>163.39999999999964</v>
      </c>
      <c r="T256" s="651">
        <v>-0.33999999999999986</v>
      </c>
      <c r="U256" s="651">
        <v>-1.441883</v>
      </c>
      <c r="V256" s="652"/>
      <c r="W256" s="678"/>
      <c r="X256" s="657" t="s">
        <v>723</v>
      </c>
      <c r="Y256" s="658">
        <v>1474.96263746</v>
      </c>
      <c r="Z256" s="658">
        <v>-1.4251459799999999</v>
      </c>
      <c r="AA256" s="658">
        <v>3367.3106283799998</v>
      </c>
      <c r="AB256" s="658">
        <v>3415.99352284</v>
      </c>
      <c r="AC256" s="658">
        <v>2.9783218100000002</v>
      </c>
      <c r="AD256" s="658">
        <v>2.9950109299999998</v>
      </c>
      <c r="AE256" s="658">
        <v>8.0021739999999994E-2</v>
      </c>
      <c r="AF256" s="658">
        <v>3.8629179599999999</v>
      </c>
      <c r="AG256" s="658">
        <v>3.8598292600000002</v>
      </c>
      <c r="AH256" s="658">
        <v>-0.64082333000000002</v>
      </c>
      <c r="AI256" s="658">
        <v>-0.55723073000000001</v>
      </c>
      <c r="AJ256" s="659">
        <v>0.72010156999999997</v>
      </c>
      <c r="AK256" s="1"/>
    </row>
    <row r="257" spans="1:37" s="519" customFormat="1" ht="38.25">
      <c r="A257" s="680">
        <v>62007004</v>
      </c>
      <c r="B257" s="662" t="s">
        <v>833</v>
      </c>
      <c r="C257" s="646" t="s">
        <v>1363</v>
      </c>
      <c r="D257" s="654" t="s">
        <v>1224</v>
      </c>
      <c r="E257" s="647" t="s">
        <v>1225</v>
      </c>
      <c r="F257" s="647" t="s">
        <v>708</v>
      </c>
      <c r="G257" s="648">
        <v>34.210208999999999</v>
      </c>
      <c r="H257" s="649">
        <v>7.4595227</v>
      </c>
      <c r="I257" s="650">
        <v>20</v>
      </c>
      <c r="J257" s="650">
        <v>17.8</v>
      </c>
      <c r="K257" s="651">
        <v>1525</v>
      </c>
      <c r="L257" s="651">
        <v>204.43667260373107</v>
      </c>
      <c r="M257" s="651">
        <v>1521</v>
      </c>
      <c r="N257" s="651">
        <v>25</v>
      </c>
      <c r="O257" s="651">
        <v>981</v>
      </c>
      <c r="P257" s="651">
        <v>170.40000000000009</v>
      </c>
      <c r="Q257" s="651">
        <v>146.94830000000002</v>
      </c>
      <c r="R257" s="651">
        <v>-9.9999999999999867E-2</v>
      </c>
      <c r="S257" s="651">
        <v>345.69999999999982</v>
      </c>
      <c r="T257" s="651">
        <v>-0.55000000000000071</v>
      </c>
      <c r="U257" s="651">
        <v>-1.4250414999999998</v>
      </c>
      <c r="V257" s="652"/>
      <c r="W257" s="678"/>
      <c r="X257" s="657" t="s">
        <v>723</v>
      </c>
      <c r="Y257" s="658"/>
      <c r="Z257" s="658"/>
      <c r="AA257" s="658"/>
      <c r="AB257" s="658"/>
      <c r="AC257" s="658"/>
      <c r="AD257" s="658"/>
      <c r="AE257" s="658"/>
      <c r="AF257" s="658"/>
      <c r="AG257" s="658"/>
      <c r="AH257" s="658"/>
      <c r="AI257" s="658"/>
      <c r="AJ257" s="659"/>
      <c r="AK257" s="1"/>
    </row>
    <row r="258" spans="1:37" s="519" customFormat="1" ht="38.25">
      <c r="A258" s="680">
        <v>62007005</v>
      </c>
      <c r="B258" s="662" t="s">
        <v>838</v>
      </c>
      <c r="C258" s="646">
        <v>1</v>
      </c>
      <c r="D258" s="654" t="s">
        <v>1226</v>
      </c>
      <c r="E258" s="647" t="s">
        <v>1227</v>
      </c>
      <c r="F258" s="647" t="s">
        <v>708</v>
      </c>
      <c r="G258" s="648">
        <v>38.768559000000003</v>
      </c>
      <c r="H258" s="649">
        <v>47.531046449999998</v>
      </c>
      <c r="I258" s="650">
        <v>17.8</v>
      </c>
      <c r="J258" s="650">
        <v>2.1</v>
      </c>
      <c r="K258" s="651">
        <v>10329</v>
      </c>
      <c r="L258" s="651">
        <v>217.31059531511747</v>
      </c>
      <c r="M258" s="651">
        <v>10312</v>
      </c>
      <c r="N258" s="651">
        <v>5</v>
      </c>
      <c r="O258" s="651">
        <v>9555</v>
      </c>
      <c r="P258" s="651">
        <v>297.70000000000027</v>
      </c>
      <c r="Q258" s="651">
        <v>254.34115500000007</v>
      </c>
      <c r="R258" s="651">
        <v>-0.19999999999999996</v>
      </c>
      <c r="S258" s="651">
        <v>463.31154800000058</v>
      </c>
      <c r="T258" s="651">
        <v>1.4100000000000001</v>
      </c>
      <c r="U258" s="651">
        <v>3.8609870000000002</v>
      </c>
      <c r="V258" s="652"/>
      <c r="W258" s="678"/>
      <c r="X258" s="657" t="s">
        <v>723</v>
      </c>
      <c r="Y258" s="658">
        <v>46.648055849999999</v>
      </c>
      <c r="Z258" s="658">
        <v>15.008322100000001</v>
      </c>
      <c r="AA258" s="658">
        <v>668.37316406000002</v>
      </c>
      <c r="AB258" s="658">
        <v>581.15200000000004</v>
      </c>
      <c r="AC258" s="658">
        <v>35.888485770000003</v>
      </c>
      <c r="AD258" s="658">
        <v>37.16016905</v>
      </c>
      <c r="AE258" s="658">
        <v>-2.7248089000000002</v>
      </c>
      <c r="AF258" s="658">
        <v>47.531426019999998</v>
      </c>
      <c r="AG258" s="658">
        <v>48.86284517</v>
      </c>
      <c r="AH258" s="658">
        <v>-0.72206914</v>
      </c>
      <c r="AI258" s="658">
        <v>-3.4221676300000001</v>
      </c>
      <c r="AJ258" s="659">
        <v>2.223002E-2</v>
      </c>
      <c r="AK258" s="1"/>
    </row>
    <row r="259" spans="1:37" s="519" customFormat="1" ht="25.5">
      <c r="A259" s="680">
        <v>62007006</v>
      </c>
      <c r="B259" s="662" t="s">
        <v>907</v>
      </c>
      <c r="C259" s="646">
        <v>1</v>
      </c>
      <c r="D259" s="654" t="s">
        <v>1228</v>
      </c>
      <c r="E259" s="647" t="s">
        <v>1229</v>
      </c>
      <c r="F259" s="647" t="s">
        <v>708</v>
      </c>
      <c r="G259" s="648">
        <v>-41.124222000000003</v>
      </c>
      <c r="H259" s="649">
        <v>8.7576400000000006E-3</v>
      </c>
      <c r="I259" s="650">
        <v>2.1</v>
      </c>
      <c r="J259" s="650">
        <v>99.6</v>
      </c>
      <c r="K259" s="651">
        <v>-78582</v>
      </c>
      <c r="L259" s="651"/>
      <c r="M259" s="651">
        <v>-78570</v>
      </c>
      <c r="N259" s="651">
        <v>27</v>
      </c>
      <c r="O259" s="651">
        <v>16</v>
      </c>
      <c r="P259" s="651">
        <v>-78697.799999999988</v>
      </c>
      <c r="Q259" s="651">
        <v>788.17000000000007</v>
      </c>
      <c r="R259" s="651">
        <v>-12.5</v>
      </c>
      <c r="S259" s="651">
        <v>16.599999999999454</v>
      </c>
      <c r="T259" s="651">
        <v>-40.323682000000005</v>
      </c>
      <c r="U259" s="651">
        <v>4.9429699999999999</v>
      </c>
      <c r="V259" s="652">
        <v>86098.099999999991</v>
      </c>
      <c r="W259" s="678">
        <v>-85185.1</v>
      </c>
      <c r="X259" s="657"/>
      <c r="Y259" s="658"/>
      <c r="Z259" s="658"/>
      <c r="AA259" s="658"/>
      <c r="AB259" s="658"/>
      <c r="AC259" s="658"/>
      <c r="AD259" s="658"/>
      <c r="AE259" s="658"/>
      <c r="AF259" s="658"/>
      <c r="AG259" s="658"/>
      <c r="AH259" s="658"/>
      <c r="AI259" s="658"/>
      <c r="AJ259" s="659"/>
      <c r="AK259" s="1"/>
    </row>
    <row r="260" spans="1:37" s="671" customFormat="1" ht="18.75">
      <c r="A260" s="664" t="s">
        <v>1374</v>
      </c>
      <c r="B260" s="675"/>
      <c r="C260" s="665"/>
      <c r="D260" s="666"/>
      <c r="E260" s="667"/>
      <c r="F260" s="667"/>
      <c r="G260" s="667"/>
      <c r="H260" s="665"/>
      <c r="I260" s="670"/>
      <c r="J260" s="670"/>
      <c r="K260" s="670"/>
      <c r="L260" s="670"/>
      <c r="M260" s="670"/>
      <c r="N260" s="670"/>
      <c r="O260" s="670"/>
      <c r="P260" s="670"/>
      <c r="Q260" s="670"/>
      <c r="R260" s="670"/>
      <c r="S260" s="670"/>
      <c r="T260" s="670"/>
      <c r="U260" s="670"/>
      <c r="V260" s="670"/>
      <c r="W260" s="679"/>
      <c r="X260" s="668"/>
      <c r="Y260" s="665"/>
      <c r="Z260" s="665"/>
      <c r="AA260" s="665"/>
      <c r="AB260" s="665"/>
      <c r="AC260" s="665"/>
      <c r="AD260" s="665"/>
      <c r="AE260" s="665"/>
      <c r="AF260" s="665"/>
      <c r="AG260" s="665"/>
      <c r="AH260" s="665"/>
      <c r="AI260" s="665"/>
      <c r="AJ260" s="669"/>
    </row>
    <row r="261" spans="1:37" s="519" customFormat="1" ht="25.5">
      <c r="A261" s="680">
        <v>62007007</v>
      </c>
      <c r="B261" s="662" t="s">
        <v>1050</v>
      </c>
      <c r="C261" s="646">
        <v>1</v>
      </c>
      <c r="D261" s="654" t="s">
        <v>1231</v>
      </c>
      <c r="E261" s="647" t="s">
        <v>1232</v>
      </c>
      <c r="F261" s="647" t="s">
        <v>708</v>
      </c>
      <c r="G261" s="648">
        <v>23.401595</v>
      </c>
      <c r="H261" s="649">
        <v>9.8331093700000007</v>
      </c>
      <c r="I261" s="650">
        <v>99.4</v>
      </c>
      <c r="J261" s="650">
        <v>96.7</v>
      </c>
      <c r="K261" s="651">
        <v>2405.0824480000001</v>
      </c>
      <c r="L261" s="651">
        <v>244.59022649922991</v>
      </c>
      <c r="M261" s="651">
        <v>2418.0824480000001</v>
      </c>
      <c r="N261" s="651">
        <v>44</v>
      </c>
      <c r="O261" s="651">
        <v>2193</v>
      </c>
      <c r="P261" s="651">
        <v>165.7</v>
      </c>
      <c r="Q261" s="651">
        <v>134.26926699999999</v>
      </c>
      <c r="R261" s="651">
        <v>-0.6</v>
      </c>
      <c r="S261" s="651">
        <v>1.6</v>
      </c>
      <c r="T261" s="651">
        <v>-4.0199999999999996</v>
      </c>
      <c r="U261" s="651">
        <v>-10.126628999999999</v>
      </c>
      <c r="V261" s="652"/>
      <c r="W261" s="678"/>
      <c r="X261" s="657" t="s">
        <v>723</v>
      </c>
      <c r="Y261" s="658">
        <v>3590.8068287000001</v>
      </c>
      <c r="Z261" s="658">
        <v>-0.88108931000000001</v>
      </c>
      <c r="AA261" s="658">
        <v>7216.5150075600004</v>
      </c>
      <c r="AB261" s="658">
        <v>7280.6641608899999</v>
      </c>
      <c r="AC261" s="658">
        <v>10.018354929999999</v>
      </c>
      <c r="AD261" s="658">
        <v>10.03850293</v>
      </c>
      <c r="AE261" s="658">
        <v>0.17297013</v>
      </c>
      <c r="AF261" s="658">
        <v>9.8329681999999998</v>
      </c>
      <c r="AG261" s="658">
        <v>9.8159894699999999</v>
      </c>
      <c r="AH261" s="658">
        <v>-0.37442887000000002</v>
      </c>
      <c r="AI261" s="658">
        <v>-0.20070722999999999</v>
      </c>
      <c r="AJ261" s="659">
        <v>0.68622114999999995</v>
      </c>
      <c r="AK261" s="1"/>
    </row>
    <row r="262" spans="1:37" s="519" customFormat="1" ht="25.5">
      <c r="A262" s="680">
        <v>62007007</v>
      </c>
      <c r="B262" s="662" t="s">
        <v>1051</v>
      </c>
      <c r="C262" s="646">
        <v>2</v>
      </c>
      <c r="D262" s="654" t="s">
        <v>1231</v>
      </c>
      <c r="E262" s="647" t="s">
        <v>1232</v>
      </c>
      <c r="F262" s="647" t="s">
        <v>708</v>
      </c>
      <c r="G262" s="648">
        <v>21.232724999999999</v>
      </c>
      <c r="H262" s="649">
        <v>9.8403884000000001</v>
      </c>
      <c r="I262" s="650">
        <v>96.7</v>
      </c>
      <c r="J262" s="650">
        <v>94.2</v>
      </c>
      <c r="K262" s="651">
        <v>2108</v>
      </c>
      <c r="L262" s="651">
        <v>214.21918671421545</v>
      </c>
      <c r="M262" s="651">
        <v>2119</v>
      </c>
      <c r="N262" s="651">
        <v>30</v>
      </c>
      <c r="O262" s="651">
        <v>1920</v>
      </c>
      <c r="P262" s="651">
        <v>154.40000000000003</v>
      </c>
      <c r="Q262" s="651">
        <v>124.21929600000001</v>
      </c>
      <c r="R262" s="651">
        <v>-0.60000000000000009</v>
      </c>
      <c r="S262" s="651">
        <v>1.4999999999999998</v>
      </c>
      <c r="T262" s="651">
        <v>-2.1500000000000004</v>
      </c>
      <c r="U262" s="651">
        <v>-5.3591870000000004</v>
      </c>
      <c r="V262" s="652"/>
      <c r="W262" s="678"/>
      <c r="X262" s="657" t="s">
        <v>723</v>
      </c>
      <c r="Y262" s="658">
        <v>3535.0678357299998</v>
      </c>
      <c r="Z262" s="658">
        <v>-2.09357719</v>
      </c>
      <c r="AA262" s="658">
        <v>7127.2670623499998</v>
      </c>
      <c r="AB262" s="658">
        <v>7279.6726278799997</v>
      </c>
      <c r="AC262" s="658">
        <v>9.9871699399999994</v>
      </c>
      <c r="AD262" s="658">
        <v>10.03726546</v>
      </c>
      <c r="AE262" s="658">
        <v>0.24731860999999999</v>
      </c>
      <c r="AF262" s="658">
        <v>9.84027064</v>
      </c>
      <c r="AG262" s="658">
        <v>9.8159938600000007</v>
      </c>
      <c r="AH262" s="658">
        <v>-0.75015794999999996</v>
      </c>
      <c r="AI262" s="658">
        <v>-0.49909533</v>
      </c>
      <c r="AJ262" s="659">
        <v>0.68619516999999997</v>
      </c>
      <c r="AK262" s="1"/>
    </row>
    <row r="263" spans="1:37" s="519" customFormat="1" ht="38.25">
      <c r="A263" s="680">
        <v>62007008</v>
      </c>
      <c r="B263" s="662" t="s">
        <v>1052</v>
      </c>
      <c r="C263" s="646">
        <v>1</v>
      </c>
      <c r="D263" s="654" t="s">
        <v>1233</v>
      </c>
      <c r="E263" s="647" t="s">
        <v>1234</v>
      </c>
      <c r="F263" s="647" t="s">
        <v>708</v>
      </c>
      <c r="G263" s="648">
        <v>24.811001000000001</v>
      </c>
      <c r="H263" s="649">
        <v>10.27446834</v>
      </c>
      <c r="I263" s="650">
        <v>94.2</v>
      </c>
      <c r="J263" s="650">
        <v>92</v>
      </c>
      <c r="K263" s="651">
        <v>1891</v>
      </c>
      <c r="L263" s="651">
        <v>184.04845267156665</v>
      </c>
      <c r="M263" s="651">
        <v>1898</v>
      </c>
      <c r="N263" s="651">
        <v>2</v>
      </c>
      <c r="O263" s="651">
        <v>1794</v>
      </c>
      <c r="P263" s="651">
        <v>93.635860999999977</v>
      </c>
      <c r="Q263" s="651">
        <v>77.289549000000022</v>
      </c>
      <c r="R263" s="651">
        <v>-0.40000000000000013</v>
      </c>
      <c r="S263" s="651">
        <v>0.79999999999999982</v>
      </c>
      <c r="T263" s="651">
        <v>-0.62000000000000011</v>
      </c>
      <c r="U263" s="651">
        <v>-2.89601</v>
      </c>
      <c r="V263" s="652"/>
      <c r="W263" s="678"/>
      <c r="X263" s="657" t="s">
        <v>723</v>
      </c>
      <c r="Y263" s="658">
        <v>1883.3169500399999</v>
      </c>
      <c r="Z263" s="658">
        <v>-0.39699082000000002</v>
      </c>
      <c r="AA263" s="658">
        <v>1301.5910181700001</v>
      </c>
      <c r="AB263" s="658">
        <v>1306.7788100499999</v>
      </c>
      <c r="AC263" s="658">
        <v>6.8067537500000004</v>
      </c>
      <c r="AD263" s="658">
        <v>6.7835034600000004</v>
      </c>
      <c r="AE263" s="658">
        <v>0.34657294999999999</v>
      </c>
      <c r="AF263" s="658">
        <v>10.274546920000001</v>
      </c>
      <c r="AG263" s="658">
        <v>10.23906111</v>
      </c>
      <c r="AH263" s="658">
        <v>-3.81241E-3</v>
      </c>
      <c r="AI263" s="658">
        <v>0.34274747</v>
      </c>
      <c r="AJ263" s="659">
        <v>0.33432783999999999</v>
      </c>
      <c r="AK263" s="1"/>
    </row>
    <row r="264" spans="1:37" s="519" customFormat="1" ht="38.25">
      <c r="A264" s="680">
        <v>62007008</v>
      </c>
      <c r="B264" s="662" t="s">
        <v>1053</v>
      </c>
      <c r="C264" s="646">
        <v>2</v>
      </c>
      <c r="D264" s="654" t="s">
        <v>1233</v>
      </c>
      <c r="E264" s="647" t="s">
        <v>1234</v>
      </c>
      <c r="F264" s="647" t="s">
        <v>708</v>
      </c>
      <c r="G264" s="648">
        <v>24.803372</v>
      </c>
      <c r="H264" s="649">
        <v>10.267234459999999</v>
      </c>
      <c r="I264" s="650">
        <v>92</v>
      </c>
      <c r="J264" s="650">
        <v>89.8</v>
      </c>
      <c r="K264" s="651">
        <v>1856</v>
      </c>
      <c r="L264" s="651">
        <v>180.76922341948742</v>
      </c>
      <c r="M264" s="651">
        <v>1863</v>
      </c>
      <c r="N264" s="651">
        <v>2</v>
      </c>
      <c r="O264" s="651">
        <v>1758</v>
      </c>
      <c r="P264" s="651">
        <v>94.200000000000045</v>
      </c>
      <c r="Q264" s="651">
        <v>77.759563000000014</v>
      </c>
      <c r="R264" s="651">
        <v>-0.30000000000000004</v>
      </c>
      <c r="S264" s="651">
        <v>0.90000000000000036</v>
      </c>
      <c r="T264" s="651">
        <v>-0.54</v>
      </c>
      <c r="U264" s="651">
        <v>-2.513509</v>
      </c>
      <c r="V264" s="652"/>
      <c r="W264" s="678"/>
      <c r="X264" s="657" t="s">
        <v>723</v>
      </c>
      <c r="Y264" s="658">
        <v>1880.22818297</v>
      </c>
      <c r="Z264" s="658">
        <v>-0.44671263</v>
      </c>
      <c r="AA264" s="658">
        <v>1300.9096754699999</v>
      </c>
      <c r="AB264" s="658">
        <v>1306.7470797200001</v>
      </c>
      <c r="AC264" s="658">
        <v>6.8005542300000004</v>
      </c>
      <c r="AD264" s="658">
        <v>6.7834108500000001</v>
      </c>
      <c r="AE264" s="658">
        <v>0.27589327000000002</v>
      </c>
      <c r="AF264" s="658">
        <v>10.267309770000001</v>
      </c>
      <c r="AG264" s="658">
        <v>10.239060889999999</v>
      </c>
      <c r="AH264" s="658">
        <v>-2.3109709999999999E-2</v>
      </c>
      <c r="AI264" s="658">
        <v>0.25272516</v>
      </c>
      <c r="AJ264" s="659">
        <v>0.33432300999999998</v>
      </c>
      <c r="AK264" s="1"/>
    </row>
    <row r="265" spans="1:37" s="519" customFormat="1" ht="38.25">
      <c r="A265" s="680">
        <v>62007008</v>
      </c>
      <c r="B265" s="662" t="s">
        <v>1054</v>
      </c>
      <c r="C265" s="646">
        <v>3</v>
      </c>
      <c r="D265" s="654" t="s">
        <v>1233</v>
      </c>
      <c r="E265" s="647" t="s">
        <v>1234</v>
      </c>
      <c r="F265" s="647" t="s">
        <v>708</v>
      </c>
      <c r="G265" s="648">
        <v>24.654156</v>
      </c>
      <c r="H265" s="649">
        <v>10.265042619999999</v>
      </c>
      <c r="I265" s="650">
        <v>89.8</v>
      </c>
      <c r="J265" s="650">
        <v>87.7</v>
      </c>
      <c r="K265" s="651">
        <v>1850</v>
      </c>
      <c r="L265" s="651">
        <v>180.22331406549972</v>
      </c>
      <c r="M265" s="651">
        <v>1857</v>
      </c>
      <c r="N265" s="651">
        <v>2</v>
      </c>
      <c r="O265" s="651">
        <v>1752</v>
      </c>
      <c r="P265" s="651">
        <v>94.351503999999977</v>
      </c>
      <c r="Q265" s="651">
        <v>77.999568999999951</v>
      </c>
      <c r="R265" s="651">
        <v>-0.39999999999999991</v>
      </c>
      <c r="S265" s="651">
        <v>0.79999999999999982</v>
      </c>
      <c r="T265" s="651">
        <v>-0.49000000000000021</v>
      </c>
      <c r="U265" s="651">
        <v>-2.2712159999999999</v>
      </c>
      <c r="V265" s="652"/>
      <c r="W265" s="678"/>
      <c r="X265" s="657" t="s">
        <v>723</v>
      </c>
      <c r="Y265" s="658">
        <v>1877.19841352</v>
      </c>
      <c r="Z265" s="658">
        <v>-0.30029533000000003</v>
      </c>
      <c r="AA265" s="658">
        <v>1302.79937182</v>
      </c>
      <c r="AB265" s="658">
        <v>1306.72340121</v>
      </c>
      <c r="AC265" s="658">
        <v>6.7961617700000003</v>
      </c>
      <c r="AD265" s="658">
        <v>6.7833416900000003</v>
      </c>
      <c r="AE265" s="658">
        <v>0.25451827999999999</v>
      </c>
      <c r="AF265" s="658">
        <v>10.265121239999999</v>
      </c>
      <c r="AG265" s="658">
        <v>10.23906096</v>
      </c>
      <c r="AH265" s="658">
        <v>-6.5401200000000007E-2</v>
      </c>
      <c r="AI265" s="658">
        <v>0.18899347</v>
      </c>
      <c r="AJ265" s="659">
        <v>0.33431973999999998</v>
      </c>
      <c r="AK265" s="1"/>
    </row>
    <row r="266" spans="1:37" s="519" customFormat="1" ht="25.5">
      <c r="A266" s="680">
        <v>62007009</v>
      </c>
      <c r="B266" s="662" t="s">
        <v>1055</v>
      </c>
      <c r="C266" s="646">
        <v>1</v>
      </c>
      <c r="D266" s="654" t="s">
        <v>1236</v>
      </c>
      <c r="E266" s="647" t="s">
        <v>1237</v>
      </c>
      <c r="F266" s="647" t="s">
        <v>708</v>
      </c>
      <c r="G266" s="648">
        <v>22.450612</v>
      </c>
      <c r="H266" s="649">
        <v>1.9039899999999999E-3</v>
      </c>
      <c r="I266" s="650">
        <v>86.6</v>
      </c>
      <c r="J266" s="650">
        <v>85.7</v>
      </c>
      <c r="K266" s="651">
        <v>727</v>
      </c>
      <c r="L266" s="651"/>
      <c r="M266" s="651">
        <v>732</v>
      </c>
      <c r="N266" s="651">
        <v>0</v>
      </c>
      <c r="O266" s="651">
        <v>3</v>
      </c>
      <c r="P266" s="651">
        <v>234.70000000000002</v>
      </c>
      <c r="Q266" s="651">
        <v>187.56</v>
      </c>
      <c r="R266" s="651">
        <v>352.2</v>
      </c>
      <c r="S266" s="651">
        <v>136.19999999999999</v>
      </c>
      <c r="T266" s="651">
        <v>-7.5600000000000023</v>
      </c>
      <c r="U266" s="651">
        <v>-11.878424000000001</v>
      </c>
      <c r="V266" s="652"/>
      <c r="W266" s="678"/>
      <c r="X266" s="657"/>
      <c r="Y266" s="658"/>
      <c r="Z266" s="658"/>
      <c r="AA266" s="658"/>
      <c r="AB266" s="658"/>
      <c r="AC266" s="658"/>
      <c r="AD266" s="658"/>
      <c r="AE266" s="658"/>
      <c r="AF266" s="658"/>
      <c r="AG266" s="658"/>
      <c r="AH266" s="658"/>
      <c r="AI266" s="658"/>
      <c r="AJ266" s="659"/>
      <c r="AK266" s="1"/>
    </row>
    <row r="267" spans="1:37" s="671" customFormat="1" ht="19.5" thickBot="1">
      <c r="A267" s="681" t="s">
        <v>1056</v>
      </c>
      <c r="B267" s="682"/>
      <c r="C267" s="673"/>
      <c r="D267" s="683"/>
      <c r="E267" s="684"/>
      <c r="F267" s="684"/>
      <c r="G267" s="684"/>
      <c r="H267" s="673"/>
      <c r="I267" s="673"/>
      <c r="J267" s="673"/>
      <c r="K267" s="673"/>
      <c r="L267" s="673"/>
      <c r="M267" s="673"/>
      <c r="N267" s="673"/>
      <c r="O267" s="673"/>
      <c r="P267" s="673"/>
      <c r="Q267" s="673"/>
      <c r="R267" s="673"/>
      <c r="S267" s="673"/>
      <c r="T267" s="673"/>
      <c r="U267" s="673"/>
      <c r="V267" s="673"/>
      <c r="W267" s="674"/>
      <c r="X267" s="672"/>
      <c r="Y267" s="673"/>
      <c r="Z267" s="673"/>
      <c r="AA267" s="673"/>
      <c r="AB267" s="673"/>
      <c r="AC267" s="673"/>
      <c r="AD267" s="673"/>
      <c r="AE267" s="673"/>
      <c r="AF267" s="673"/>
      <c r="AG267" s="673"/>
      <c r="AH267" s="673"/>
      <c r="AI267" s="673"/>
      <c r="AJ267" s="674"/>
    </row>
  </sheetData>
  <mergeCells count="6">
    <mergeCell ref="B5:C5"/>
    <mergeCell ref="B4:C4"/>
    <mergeCell ref="Y6:AJ6"/>
    <mergeCell ref="B2:D2"/>
    <mergeCell ref="B3:D3"/>
    <mergeCell ref="K6:W6"/>
  </mergeCells>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0EE3A-2241-4AE7-A446-9C8719CFF179}">
  <dimension ref="A1:K190"/>
  <sheetViews>
    <sheetView topLeftCell="E1" workbookViewId="0">
      <selection activeCell="J33" sqref="J33"/>
    </sheetView>
  </sheetViews>
  <sheetFormatPr defaultRowHeight="15"/>
  <cols>
    <col min="1" max="1" width="52.28515625" bestFit="1" customWidth="1"/>
    <col min="2" max="2" width="52.28515625" style="514" bestFit="1" customWidth="1"/>
    <col min="3" max="3" width="52.28515625" bestFit="1" customWidth="1"/>
    <col min="4" max="4" width="37" bestFit="1" customWidth="1"/>
    <col min="5" max="5" width="29.7109375" bestFit="1" customWidth="1"/>
    <col min="6" max="6" width="29.28515625" bestFit="1" customWidth="1"/>
    <col min="7" max="7" width="29.42578125" bestFit="1" customWidth="1"/>
    <col min="8" max="8" width="28.85546875" bestFit="1" customWidth="1"/>
    <col min="9" max="9" width="41.85546875" bestFit="1" customWidth="1"/>
    <col min="10" max="10" width="37.42578125" bestFit="1" customWidth="1"/>
    <col min="11" max="12" width="33.5703125" bestFit="1" customWidth="1"/>
    <col min="278" max="278" width="52.28515625" bestFit="1" customWidth="1"/>
  </cols>
  <sheetData>
    <row r="1" spans="1:11" s="715" customFormat="1" ht="33.75">
      <c r="A1" s="717" t="s">
        <v>407</v>
      </c>
      <c r="B1" s="717" t="s">
        <v>407</v>
      </c>
      <c r="C1" s="717" t="s">
        <v>407</v>
      </c>
      <c r="D1" s="717" t="s">
        <v>407</v>
      </c>
      <c r="E1" s="717" t="s">
        <v>407</v>
      </c>
      <c r="F1" s="717" t="s">
        <v>407</v>
      </c>
      <c r="G1" s="717" t="s">
        <v>407</v>
      </c>
      <c r="H1" s="717" t="s">
        <v>407</v>
      </c>
      <c r="I1" s="717" t="s">
        <v>407</v>
      </c>
      <c r="J1" s="717" t="s">
        <v>407</v>
      </c>
      <c r="K1" s="717" t="s">
        <v>407</v>
      </c>
    </row>
    <row r="2" spans="1:11">
      <c r="A2" s="716" t="s">
        <v>1696</v>
      </c>
      <c r="B2" s="716" t="s">
        <v>1686</v>
      </c>
      <c r="C2" s="716" t="s">
        <v>1691</v>
      </c>
      <c r="D2" s="716" t="s">
        <v>1687</v>
      </c>
      <c r="E2" s="716" t="s">
        <v>1688</v>
      </c>
      <c r="F2" s="716" t="s">
        <v>1689</v>
      </c>
      <c r="G2" s="716" t="s">
        <v>1690</v>
      </c>
      <c r="H2" s="716" t="s">
        <v>1692</v>
      </c>
      <c r="I2" s="716" t="s">
        <v>1693</v>
      </c>
      <c r="J2" s="716" t="s">
        <v>1694</v>
      </c>
      <c r="K2" s="716" t="s">
        <v>1695</v>
      </c>
    </row>
    <row r="3" spans="1:11">
      <c r="A3" s="715" t="s">
        <v>1380</v>
      </c>
      <c r="B3" s="715" t="s">
        <v>1401</v>
      </c>
      <c r="C3" s="715" t="s">
        <v>1478</v>
      </c>
      <c r="D3" s="715" t="s">
        <v>1658</v>
      </c>
      <c r="E3" s="715" t="s">
        <v>1499</v>
      </c>
      <c r="F3" s="715" t="s">
        <v>1553</v>
      </c>
      <c r="G3" s="715" t="s">
        <v>1574</v>
      </c>
      <c r="H3" s="715" t="s">
        <v>1586</v>
      </c>
      <c r="I3" s="715" t="s">
        <v>1591</v>
      </c>
      <c r="J3" s="715" t="s">
        <v>1609</v>
      </c>
      <c r="K3" s="715" t="s">
        <v>1525</v>
      </c>
    </row>
    <row r="4" spans="1:11">
      <c r="A4" s="715" t="s">
        <v>1381</v>
      </c>
      <c r="B4" s="715" t="s">
        <v>1402</v>
      </c>
      <c r="C4" s="715" t="s">
        <v>1479</v>
      </c>
      <c r="D4" s="715" t="s">
        <v>1659</v>
      </c>
      <c r="E4" s="715" t="s">
        <v>1500</v>
      </c>
      <c r="F4" s="715" t="s">
        <v>1557</v>
      </c>
      <c r="G4" s="715" t="s">
        <v>1567</v>
      </c>
      <c r="H4" s="715" t="s">
        <v>1587</v>
      </c>
      <c r="I4" s="715" t="s">
        <v>1592</v>
      </c>
      <c r="J4" s="715" t="s">
        <v>1677</v>
      </c>
      <c r="K4" s="715" t="s">
        <v>1526</v>
      </c>
    </row>
    <row r="5" spans="1:11">
      <c r="A5" s="715" t="s">
        <v>1382</v>
      </c>
      <c r="B5" s="715" t="s">
        <v>1403</v>
      </c>
      <c r="C5" s="715" t="s">
        <v>1480</v>
      </c>
      <c r="D5" s="715" t="s">
        <v>1656</v>
      </c>
      <c r="E5" s="715" t="s">
        <v>1501</v>
      </c>
      <c r="F5" s="715" t="s">
        <v>1558</v>
      </c>
      <c r="G5" s="715" t="s">
        <v>1568</v>
      </c>
      <c r="H5" s="715" t="s">
        <v>1588</v>
      </c>
      <c r="I5" s="715" t="s">
        <v>1593</v>
      </c>
      <c r="J5" s="715" t="s">
        <v>1648</v>
      </c>
      <c r="K5" s="715" t="s">
        <v>1527</v>
      </c>
    </row>
    <row r="6" spans="1:11">
      <c r="A6" s="715" t="s">
        <v>1383</v>
      </c>
      <c r="B6" s="715" t="s">
        <v>1404</v>
      </c>
      <c r="C6" s="715" t="s">
        <v>1481</v>
      </c>
      <c r="D6" s="715" t="s">
        <v>1657</v>
      </c>
      <c r="F6" s="715" t="s">
        <v>1559</v>
      </c>
      <c r="G6" s="715" t="s">
        <v>1569</v>
      </c>
      <c r="I6" s="715" t="s">
        <v>1594</v>
      </c>
      <c r="J6" s="715" t="s">
        <v>1649</v>
      </c>
      <c r="K6" s="715" t="s">
        <v>1528</v>
      </c>
    </row>
    <row r="7" spans="1:11">
      <c r="A7" s="715" t="s">
        <v>1384</v>
      </c>
      <c r="B7" s="715" t="s">
        <v>1405</v>
      </c>
      <c r="C7" s="715" t="s">
        <v>1482</v>
      </c>
      <c r="D7" s="715" t="s">
        <v>1541</v>
      </c>
      <c r="F7" s="715" t="s">
        <v>1560</v>
      </c>
      <c r="G7" s="715" t="s">
        <v>1570</v>
      </c>
      <c r="I7" s="715" t="s">
        <v>1595</v>
      </c>
      <c r="J7" s="715" t="s">
        <v>1678</v>
      </c>
      <c r="K7" s="715" t="s">
        <v>1529</v>
      </c>
    </row>
    <row r="8" spans="1:11">
      <c r="A8" s="715" t="s">
        <v>1385</v>
      </c>
      <c r="B8" s="715" t="s">
        <v>1406</v>
      </c>
      <c r="C8" s="715" t="s">
        <v>1483</v>
      </c>
      <c r="D8" s="715" t="s">
        <v>1542</v>
      </c>
      <c r="F8" s="715" t="s">
        <v>1561</v>
      </c>
      <c r="G8" s="715" t="s">
        <v>1571</v>
      </c>
      <c r="I8" s="715" t="s">
        <v>1660</v>
      </c>
      <c r="J8" s="715" t="s">
        <v>1679</v>
      </c>
      <c r="K8" s="715" t="s">
        <v>1532</v>
      </c>
    </row>
    <row r="9" spans="1:11">
      <c r="A9" s="715" t="s">
        <v>1386</v>
      </c>
      <c r="B9" s="715" t="s">
        <v>1407</v>
      </c>
      <c r="C9" s="715" t="s">
        <v>1484</v>
      </c>
      <c r="D9" s="715" t="s">
        <v>1543</v>
      </c>
      <c r="F9" s="715" t="s">
        <v>1562</v>
      </c>
      <c r="G9" s="715" t="s">
        <v>1572</v>
      </c>
      <c r="I9" s="715" t="s">
        <v>1596</v>
      </c>
      <c r="J9" s="715" t="s">
        <v>1680</v>
      </c>
      <c r="K9" s="715" t="s">
        <v>1520</v>
      </c>
    </row>
    <row r="10" spans="1:11">
      <c r="A10" s="715" t="s">
        <v>1387</v>
      </c>
      <c r="B10" s="715" t="s">
        <v>1408</v>
      </c>
      <c r="C10" s="715" t="s">
        <v>1485</v>
      </c>
      <c r="D10" s="715" t="s">
        <v>1544</v>
      </c>
      <c r="F10" s="715" t="s">
        <v>1555</v>
      </c>
      <c r="G10" s="715" t="s">
        <v>1564</v>
      </c>
      <c r="I10" s="715" t="s">
        <v>1597</v>
      </c>
      <c r="J10" s="715" t="s">
        <v>1670</v>
      </c>
      <c r="K10" s="715" t="s">
        <v>1521</v>
      </c>
    </row>
    <row r="11" spans="1:11">
      <c r="A11" s="715" t="s">
        <v>1388</v>
      </c>
      <c r="B11" s="715" t="s">
        <v>1409</v>
      </c>
      <c r="C11" s="715" t="s">
        <v>1486</v>
      </c>
      <c r="D11" s="715" t="s">
        <v>1545</v>
      </c>
      <c r="F11" s="715" t="s">
        <v>1556</v>
      </c>
      <c r="G11" s="715" t="s">
        <v>1565</v>
      </c>
      <c r="I11" s="715" t="s">
        <v>1598</v>
      </c>
      <c r="J11" s="715" t="s">
        <v>1671</v>
      </c>
      <c r="K11" s="715" t="s">
        <v>1522</v>
      </c>
    </row>
    <row r="12" spans="1:11">
      <c r="A12" s="715" t="s">
        <v>1389</v>
      </c>
      <c r="B12" s="715" t="s">
        <v>1410</v>
      </c>
      <c r="C12" s="715" t="s">
        <v>1487</v>
      </c>
      <c r="D12" s="715" t="s">
        <v>1546</v>
      </c>
      <c r="F12" s="715" t="s">
        <v>1655</v>
      </c>
      <c r="G12" s="715" t="s">
        <v>1566</v>
      </c>
      <c r="I12" s="715" t="s">
        <v>1599</v>
      </c>
      <c r="J12" s="715" t="s">
        <v>1672</v>
      </c>
      <c r="K12" s="715" t="s">
        <v>1523</v>
      </c>
    </row>
    <row r="13" spans="1:11">
      <c r="A13" s="715" t="s">
        <v>1390</v>
      </c>
      <c r="B13" s="715" t="s">
        <v>1411</v>
      </c>
      <c r="C13" s="715" t="s">
        <v>1488</v>
      </c>
      <c r="D13" s="715" t="s">
        <v>1547</v>
      </c>
      <c r="F13" s="715" t="s">
        <v>1563</v>
      </c>
      <c r="G13" s="715" t="s">
        <v>1573</v>
      </c>
      <c r="I13" s="715" t="s">
        <v>1600</v>
      </c>
      <c r="J13" s="715" t="s">
        <v>1673</v>
      </c>
      <c r="K13" s="715" t="s">
        <v>1524</v>
      </c>
    </row>
    <row r="14" spans="1:11">
      <c r="A14" s="715" t="s">
        <v>1391</v>
      </c>
      <c r="B14" s="715" t="s">
        <v>1412</v>
      </c>
      <c r="C14" s="715" t="s">
        <v>1489</v>
      </c>
      <c r="D14" s="715" t="s">
        <v>1548</v>
      </c>
      <c r="F14" s="715" t="s">
        <v>1554</v>
      </c>
      <c r="G14" s="715" t="s">
        <v>1575</v>
      </c>
      <c r="I14" s="715" t="s">
        <v>1601</v>
      </c>
      <c r="J14" s="715" t="s">
        <v>1661</v>
      </c>
      <c r="K14" s="715" t="s">
        <v>1530</v>
      </c>
    </row>
    <row r="15" spans="1:11">
      <c r="A15" s="715" t="s">
        <v>1392</v>
      </c>
      <c r="B15" s="715" t="s">
        <v>1413</v>
      </c>
      <c r="C15" s="715" t="s">
        <v>1490</v>
      </c>
      <c r="D15" s="715" t="s">
        <v>1549</v>
      </c>
      <c r="I15" s="715" t="s">
        <v>1602</v>
      </c>
      <c r="J15" s="715" t="s">
        <v>1662</v>
      </c>
      <c r="K15" s="715" t="s">
        <v>1531</v>
      </c>
    </row>
    <row r="16" spans="1:11">
      <c r="A16" s="715" t="s">
        <v>1393</v>
      </c>
      <c r="B16" s="715" t="s">
        <v>1414</v>
      </c>
      <c r="C16" s="715" t="s">
        <v>1491</v>
      </c>
      <c r="D16" s="715" t="s">
        <v>1550</v>
      </c>
      <c r="I16" s="715" t="s">
        <v>1603</v>
      </c>
      <c r="J16" s="715" t="s">
        <v>1663</v>
      </c>
      <c r="K16" s="715" t="s">
        <v>1534</v>
      </c>
    </row>
    <row r="17" spans="1:11">
      <c r="A17" s="715" t="s">
        <v>1394</v>
      </c>
      <c r="B17" s="715" t="s">
        <v>1415</v>
      </c>
      <c r="C17" s="715" t="s">
        <v>1492</v>
      </c>
      <c r="D17" s="715" t="s">
        <v>1551</v>
      </c>
      <c r="I17" s="715" t="s">
        <v>1604</v>
      </c>
      <c r="J17" s="715" t="s">
        <v>1674</v>
      </c>
      <c r="K17" s="715" t="s">
        <v>1535</v>
      </c>
    </row>
    <row r="18" spans="1:11">
      <c r="A18" s="715" t="s">
        <v>1395</v>
      </c>
      <c r="B18" s="715" t="s">
        <v>1416</v>
      </c>
      <c r="C18" s="715" t="s">
        <v>1493</v>
      </c>
      <c r="D18" s="715" t="s">
        <v>1552</v>
      </c>
      <c r="I18" s="715" t="s">
        <v>1605</v>
      </c>
      <c r="J18" s="715" t="s">
        <v>1675</v>
      </c>
      <c r="K18" s="715" t="s">
        <v>1536</v>
      </c>
    </row>
    <row r="19" spans="1:11">
      <c r="A19" s="715" t="s">
        <v>1396</v>
      </c>
      <c r="B19" s="715" t="s">
        <v>1417</v>
      </c>
      <c r="C19" s="715" t="s">
        <v>1494</v>
      </c>
      <c r="D19" s="715" t="s">
        <v>1582</v>
      </c>
      <c r="I19" s="715" t="s">
        <v>1606</v>
      </c>
      <c r="J19" s="715" t="s">
        <v>1676</v>
      </c>
      <c r="K19" s="715" t="s">
        <v>1516</v>
      </c>
    </row>
    <row r="20" spans="1:11">
      <c r="A20" s="715" t="s">
        <v>1397</v>
      </c>
      <c r="B20" s="715" t="s">
        <v>1418</v>
      </c>
      <c r="C20" s="715" t="s">
        <v>1495</v>
      </c>
      <c r="D20" s="715" t="s">
        <v>1583</v>
      </c>
      <c r="I20" s="715" t="s">
        <v>1607</v>
      </c>
      <c r="J20" s="715" t="s">
        <v>1650</v>
      </c>
      <c r="K20" s="715" t="s">
        <v>1517</v>
      </c>
    </row>
    <row r="21" spans="1:11">
      <c r="A21" s="715" t="s">
        <v>1398</v>
      </c>
      <c r="B21" s="715" t="s">
        <v>1419</v>
      </c>
      <c r="C21" s="715" t="s">
        <v>1496</v>
      </c>
      <c r="D21" s="715" t="s">
        <v>1584</v>
      </c>
      <c r="I21" s="715" t="s">
        <v>1608</v>
      </c>
      <c r="J21" s="715" t="s">
        <v>1651</v>
      </c>
      <c r="K21" s="715" t="s">
        <v>1518</v>
      </c>
    </row>
    <row r="22" spans="1:11">
      <c r="A22" s="715" t="s">
        <v>1399</v>
      </c>
      <c r="B22" s="715" t="s">
        <v>1420</v>
      </c>
      <c r="C22" s="715" t="s">
        <v>1497</v>
      </c>
      <c r="D22" s="715" t="s">
        <v>1585</v>
      </c>
      <c r="I22" s="715" t="s">
        <v>1668</v>
      </c>
      <c r="J22" s="715" t="s">
        <v>1669</v>
      </c>
      <c r="K22" s="715" t="s">
        <v>1519</v>
      </c>
    </row>
    <row r="23" spans="1:11">
      <c r="A23" s="715" t="s">
        <v>1400</v>
      </c>
      <c r="B23" s="715" t="s">
        <v>1421</v>
      </c>
      <c r="C23" s="715" t="s">
        <v>1498</v>
      </c>
      <c r="D23" s="715" t="s">
        <v>1537</v>
      </c>
      <c r="I23" s="715" t="s">
        <v>1645</v>
      </c>
      <c r="J23" s="715" t="s">
        <v>1652</v>
      </c>
      <c r="K23" s="715" t="s">
        <v>1589</v>
      </c>
    </row>
    <row r="24" spans="1:11">
      <c r="B24" s="715" t="s">
        <v>1422</v>
      </c>
      <c r="D24" s="715" t="s">
        <v>1538</v>
      </c>
      <c r="I24" s="715" t="s">
        <v>1646</v>
      </c>
      <c r="J24" s="715" t="s">
        <v>1653</v>
      </c>
      <c r="K24" s="715" t="s">
        <v>1590</v>
      </c>
    </row>
    <row r="25" spans="1:11">
      <c r="B25" s="715" t="s">
        <v>1423</v>
      </c>
      <c r="D25" s="715" t="s">
        <v>1539</v>
      </c>
      <c r="I25" s="715" t="s">
        <v>1509</v>
      </c>
      <c r="J25" s="715" t="s">
        <v>1654</v>
      </c>
      <c r="K25" s="715" t="s">
        <v>1504</v>
      </c>
    </row>
    <row r="26" spans="1:11">
      <c r="B26" s="715" t="s">
        <v>1424</v>
      </c>
      <c r="D26" s="715" t="s">
        <v>1540</v>
      </c>
      <c r="I26" s="715" t="s">
        <v>1644</v>
      </c>
      <c r="J26" s="715" t="s">
        <v>1647</v>
      </c>
      <c r="K26" s="715" t="s">
        <v>1505</v>
      </c>
    </row>
    <row r="27" spans="1:11">
      <c r="B27" s="715" t="s">
        <v>1425</v>
      </c>
      <c r="D27" s="715" t="s">
        <v>1502</v>
      </c>
      <c r="I27" s="715" t="s">
        <v>1643</v>
      </c>
      <c r="K27" s="715" t="s">
        <v>1506</v>
      </c>
    </row>
    <row r="28" spans="1:11">
      <c r="B28" s="715" t="s">
        <v>1426</v>
      </c>
      <c r="D28" s="715" t="s">
        <v>1664</v>
      </c>
      <c r="I28" s="715" t="s">
        <v>1510</v>
      </c>
      <c r="K28" s="715" t="s">
        <v>1507</v>
      </c>
    </row>
    <row r="29" spans="1:11">
      <c r="B29" s="715" t="s">
        <v>1427</v>
      </c>
      <c r="D29" s="715" t="s">
        <v>1665</v>
      </c>
      <c r="I29" s="715" t="s">
        <v>1642</v>
      </c>
      <c r="K29" s="715" t="s">
        <v>1508</v>
      </c>
    </row>
    <row r="30" spans="1:11">
      <c r="B30" s="715" t="s">
        <v>1428</v>
      </c>
      <c r="D30" s="715" t="s">
        <v>1666</v>
      </c>
      <c r="I30" s="715" t="s">
        <v>1641</v>
      </c>
      <c r="K30" s="715" t="s">
        <v>1533</v>
      </c>
    </row>
    <row r="31" spans="1:11">
      <c r="B31" s="715" t="s">
        <v>1429</v>
      </c>
      <c r="D31" s="715" t="s">
        <v>1576</v>
      </c>
      <c r="I31" s="715" t="s">
        <v>1640</v>
      </c>
      <c r="K31" s="715" t="s">
        <v>1503</v>
      </c>
    </row>
    <row r="32" spans="1:11">
      <c r="B32" s="715" t="s">
        <v>1430</v>
      </c>
      <c r="D32" s="715" t="s">
        <v>1577</v>
      </c>
      <c r="I32" s="715" t="s">
        <v>1511</v>
      </c>
    </row>
    <row r="33" spans="2:9">
      <c r="B33" s="715" t="s">
        <v>1431</v>
      </c>
      <c r="D33" s="715" t="s">
        <v>1578</v>
      </c>
      <c r="I33" s="715" t="s">
        <v>1639</v>
      </c>
    </row>
    <row r="34" spans="2:9">
      <c r="B34" s="715" t="s">
        <v>1432</v>
      </c>
      <c r="D34" s="715" t="s">
        <v>1579</v>
      </c>
      <c r="I34" s="715" t="s">
        <v>1638</v>
      </c>
    </row>
    <row r="35" spans="2:9">
      <c r="B35" s="715" t="s">
        <v>1433</v>
      </c>
      <c r="D35" s="715" t="s">
        <v>1580</v>
      </c>
      <c r="I35" s="715" t="s">
        <v>1637</v>
      </c>
    </row>
    <row r="36" spans="2:9">
      <c r="B36" s="715" t="s">
        <v>1434</v>
      </c>
      <c r="D36" s="715" t="s">
        <v>1581</v>
      </c>
      <c r="I36" s="715" t="s">
        <v>1512</v>
      </c>
    </row>
    <row r="37" spans="2:9">
      <c r="B37" s="715" t="s">
        <v>1435</v>
      </c>
      <c r="I37" s="715" t="s">
        <v>1636</v>
      </c>
    </row>
    <row r="38" spans="2:9">
      <c r="B38" s="715" t="s">
        <v>1436</v>
      </c>
      <c r="I38" s="715" t="s">
        <v>1635</v>
      </c>
    </row>
    <row r="39" spans="2:9">
      <c r="B39" s="715" t="s">
        <v>1437</v>
      </c>
      <c r="I39" s="715" t="s">
        <v>1634</v>
      </c>
    </row>
    <row r="40" spans="2:9">
      <c r="B40" s="715" t="s">
        <v>1438</v>
      </c>
      <c r="I40" s="715" t="s">
        <v>1633</v>
      </c>
    </row>
    <row r="41" spans="2:9">
      <c r="B41" s="715" t="s">
        <v>1439</v>
      </c>
      <c r="I41" s="715" t="s">
        <v>1632</v>
      </c>
    </row>
    <row r="42" spans="2:9">
      <c r="B42" s="715" t="s">
        <v>1440</v>
      </c>
      <c r="I42" s="715" t="s">
        <v>1631</v>
      </c>
    </row>
    <row r="43" spans="2:9">
      <c r="B43" s="715" t="s">
        <v>1441</v>
      </c>
      <c r="I43" s="715" t="s">
        <v>1630</v>
      </c>
    </row>
    <row r="44" spans="2:9">
      <c r="B44" s="715" t="s">
        <v>1442</v>
      </c>
      <c r="I44" s="715" t="s">
        <v>1513</v>
      </c>
    </row>
    <row r="45" spans="2:9">
      <c r="B45" s="715" t="s">
        <v>1443</v>
      </c>
      <c r="I45" s="715" t="s">
        <v>1629</v>
      </c>
    </row>
    <row r="46" spans="2:9">
      <c r="B46" s="715" t="s">
        <v>1444</v>
      </c>
      <c r="I46" s="715" t="s">
        <v>1628</v>
      </c>
    </row>
    <row r="47" spans="2:9">
      <c r="B47" s="715" t="s">
        <v>1445</v>
      </c>
      <c r="I47" s="715" t="s">
        <v>1627</v>
      </c>
    </row>
    <row r="48" spans="2:9">
      <c r="B48" s="715" t="s">
        <v>1446</v>
      </c>
      <c r="I48" s="715" t="s">
        <v>1626</v>
      </c>
    </row>
    <row r="49" spans="2:9">
      <c r="B49" s="715" t="s">
        <v>1447</v>
      </c>
      <c r="I49" s="715" t="s">
        <v>1625</v>
      </c>
    </row>
    <row r="50" spans="2:9">
      <c r="B50" s="715" t="s">
        <v>1448</v>
      </c>
      <c r="I50" s="715" t="s">
        <v>1624</v>
      </c>
    </row>
    <row r="51" spans="2:9">
      <c r="B51" s="715" t="s">
        <v>1449</v>
      </c>
      <c r="I51" s="715" t="s">
        <v>1623</v>
      </c>
    </row>
    <row r="52" spans="2:9">
      <c r="B52" s="715" t="s">
        <v>1450</v>
      </c>
      <c r="I52" s="715" t="s">
        <v>1621</v>
      </c>
    </row>
    <row r="53" spans="2:9">
      <c r="B53" s="715" t="s">
        <v>1451</v>
      </c>
      <c r="I53" s="715" t="s">
        <v>1622</v>
      </c>
    </row>
    <row r="54" spans="2:9">
      <c r="B54" s="715" t="s">
        <v>1452</v>
      </c>
      <c r="I54" s="715" t="s">
        <v>1620</v>
      </c>
    </row>
    <row r="55" spans="2:9">
      <c r="B55" s="715" t="s">
        <v>1453</v>
      </c>
      <c r="I55" s="715" t="s">
        <v>1619</v>
      </c>
    </row>
    <row r="56" spans="2:9">
      <c r="B56" s="715" t="s">
        <v>1454</v>
      </c>
      <c r="I56" s="715" t="s">
        <v>1618</v>
      </c>
    </row>
    <row r="57" spans="2:9">
      <c r="B57" s="715" t="s">
        <v>1455</v>
      </c>
      <c r="I57" s="715" t="s">
        <v>1617</v>
      </c>
    </row>
    <row r="58" spans="2:9">
      <c r="B58" s="715" t="s">
        <v>1456</v>
      </c>
      <c r="I58" s="715" t="s">
        <v>1616</v>
      </c>
    </row>
    <row r="59" spans="2:9">
      <c r="B59" s="715" t="s">
        <v>1457</v>
      </c>
      <c r="I59" s="715" t="s">
        <v>1614</v>
      </c>
    </row>
    <row r="60" spans="2:9">
      <c r="B60" s="715" t="s">
        <v>1458</v>
      </c>
      <c r="I60" s="715" t="s">
        <v>1615</v>
      </c>
    </row>
    <row r="61" spans="2:9">
      <c r="B61" s="715" t="s">
        <v>1459</v>
      </c>
      <c r="I61" s="715" t="s">
        <v>1613</v>
      </c>
    </row>
    <row r="62" spans="2:9">
      <c r="B62" s="715" t="s">
        <v>1460</v>
      </c>
      <c r="I62" s="715" t="s">
        <v>1612</v>
      </c>
    </row>
    <row r="63" spans="2:9">
      <c r="B63" s="715" t="s">
        <v>1461</v>
      </c>
      <c r="I63" s="715" t="s">
        <v>1611</v>
      </c>
    </row>
    <row r="64" spans="2:9">
      <c r="B64" s="715" t="s">
        <v>1462</v>
      </c>
      <c r="I64" s="715" t="s">
        <v>1610</v>
      </c>
    </row>
    <row r="65" spans="2:9">
      <c r="B65" s="715" t="s">
        <v>1463</v>
      </c>
      <c r="I65" s="715" t="s">
        <v>1514</v>
      </c>
    </row>
    <row r="66" spans="2:9">
      <c r="B66" s="715" t="s">
        <v>1464</v>
      </c>
      <c r="I66" s="715" t="s">
        <v>1515</v>
      </c>
    </row>
    <row r="67" spans="2:9">
      <c r="B67" s="715" t="s">
        <v>1465</v>
      </c>
      <c r="I67" s="715" t="s">
        <v>1667</v>
      </c>
    </row>
    <row r="68" spans="2:9">
      <c r="B68" s="715" t="s">
        <v>1466</v>
      </c>
    </row>
    <row r="69" spans="2:9">
      <c r="B69" s="715" t="s">
        <v>1467</v>
      </c>
    </row>
    <row r="70" spans="2:9">
      <c r="B70" s="715" t="s">
        <v>1468</v>
      </c>
    </row>
    <row r="71" spans="2:9">
      <c r="B71" s="715" t="s">
        <v>1469</v>
      </c>
    </row>
    <row r="72" spans="2:9">
      <c r="B72" s="715" t="s">
        <v>1470</v>
      </c>
    </row>
    <row r="73" spans="2:9">
      <c r="B73" s="715" t="s">
        <v>1471</v>
      </c>
    </row>
    <row r="74" spans="2:9">
      <c r="B74" s="715" t="s">
        <v>1472</v>
      </c>
    </row>
    <row r="75" spans="2:9">
      <c r="B75" s="715" t="s">
        <v>1473</v>
      </c>
    </row>
    <row r="76" spans="2:9">
      <c r="B76" s="715" t="s">
        <v>1474</v>
      </c>
    </row>
    <row r="77" spans="2:9">
      <c r="B77" s="715" t="s">
        <v>1475</v>
      </c>
    </row>
    <row r="78" spans="2:9">
      <c r="B78" s="715" t="s">
        <v>1476</v>
      </c>
    </row>
    <row r="79" spans="2:9">
      <c r="B79" s="715" t="s">
        <v>1477</v>
      </c>
    </row>
    <row r="185" spans="4:4">
      <c r="D185" s="715"/>
    </row>
    <row r="186" spans="4:4">
      <c r="D186" s="715" t="s">
        <v>1681</v>
      </c>
    </row>
    <row r="187" spans="4:4">
      <c r="D187" s="715" t="s">
        <v>1682</v>
      </c>
    </row>
    <row r="188" spans="4:4">
      <c r="D188" s="715" t="s">
        <v>1683</v>
      </c>
    </row>
    <row r="189" spans="4:4">
      <c r="D189" s="715" t="s">
        <v>1684</v>
      </c>
    </row>
    <row r="190" spans="4:4">
      <c r="D190" s="715" t="s">
        <v>1685</v>
      </c>
    </row>
  </sheetData>
  <sortState xmlns:xlrd2="http://schemas.microsoft.com/office/spreadsheetml/2017/richdata2" ref="D3:D184">
    <sortCondition ref="D3:D184"/>
  </sortState>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0A615-7E30-483A-9A2D-14E102B21907}">
  <sheetPr>
    <tabColor theme="6" tint="0.59999389629810485"/>
    <pageSetUpPr fitToPage="1"/>
  </sheetPr>
  <dimension ref="A1:H36"/>
  <sheetViews>
    <sheetView workbookViewId="0">
      <selection activeCell="M14" sqref="M14"/>
    </sheetView>
  </sheetViews>
  <sheetFormatPr defaultColWidth="9" defaultRowHeight="15"/>
  <cols>
    <col min="1" max="1" width="14.85546875" style="613" customWidth="1"/>
    <col min="2" max="2" width="11.7109375" style="613" bestFit="1" customWidth="1"/>
    <col min="3" max="3" width="12.7109375" style="613" bestFit="1" customWidth="1"/>
    <col min="4" max="4" width="10.140625" style="613" bestFit="1" customWidth="1"/>
    <col min="5" max="7" width="9" style="613"/>
    <col min="8" max="8" width="15.42578125" style="613" customWidth="1"/>
    <col min="9" max="16384" width="9" style="613"/>
  </cols>
  <sheetData>
    <row r="1" spans="1:8">
      <c r="A1" s="612" t="s">
        <v>1324</v>
      </c>
    </row>
    <row r="2" spans="1:8">
      <c r="A2" s="612" t="s">
        <v>1325</v>
      </c>
      <c r="B2" s="614" t="s">
        <v>1326</v>
      </c>
      <c r="G2" s="613" t="s">
        <v>1327</v>
      </c>
    </row>
    <row r="3" spans="1:8">
      <c r="A3" s="612" t="s">
        <v>1328</v>
      </c>
      <c r="B3" s="614" t="s">
        <v>1326</v>
      </c>
    </row>
    <row r="4" spans="1:8">
      <c r="A4" s="612" t="s">
        <v>248</v>
      </c>
      <c r="B4" s="614" t="s">
        <v>1326</v>
      </c>
      <c r="G4" s="613" t="s">
        <v>1329</v>
      </c>
      <c r="H4" s="615" t="s">
        <v>1330</v>
      </c>
    </row>
    <row r="5" spans="1:8">
      <c r="A5" s="612" t="s">
        <v>5</v>
      </c>
      <c r="B5" s="614" t="s">
        <v>1326</v>
      </c>
      <c r="E5" s="616"/>
    </row>
    <row r="6" spans="1:8">
      <c r="A6" s="617" t="s">
        <v>141</v>
      </c>
      <c r="B6" s="614" t="s">
        <v>1326</v>
      </c>
    </row>
    <row r="7" spans="1:8">
      <c r="A7" s="617" t="s">
        <v>1331</v>
      </c>
      <c r="B7" s="616" t="s">
        <v>1332</v>
      </c>
    </row>
    <row r="8" spans="1:8">
      <c r="A8" s="612" t="s">
        <v>1333</v>
      </c>
      <c r="B8" s="613" t="s">
        <v>1334</v>
      </c>
    </row>
    <row r="9" spans="1:8">
      <c r="A9" s="612" t="s">
        <v>1335</v>
      </c>
      <c r="B9" s="618" t="s">
        <v>1336</v>
      </c>
    </row>
    <row r="10" spans="1:8">
      <c r="A10" s="612"/>
      <c r="H10" s="613" t="s">
        <v>1337</v>
      </c>
    </row>
    <row r="11" spans="1:8">
      <c r="A11" s="613" t="s">
        <v>1</v>
      </c>
      <c r="B11" s="613" t="s">
        <v>1338</v>
      </c>
      <c r="C11" s="613" t="s">
        <v>1339</v>
      </c>
      <c r="D11" s="619" t="s">
        <v>1340</v>
      </c>
      <c r="E11" s="619" t="s">
        <v>1341</v>
      </c>
      <c r="F11" s="619" t="s">
        <v>1342</v>
      </c>
      <c r="H11" s="619" t="s">
        <v>1343</v>
      </c>
    </row>
    <row r="12" spans="1:8">
      <c r="A12" s="613" t="s">
        <v>1262</v>
      </c>
      <c r="B12" s="620">
        <f>'J1634 Calcs_new'!I31</f>
        <v>1517</v>
      </c>
      <c r="C12" s="642">
        <f>'J1634 Calcs_new'!J31</f>
        <v>7.45767604</v>
      </c>
      <c r="D12" s="621">
        <f t="shared" ref="D12:D17" si="0">B12/C12</f>
        <v>203.41457470979122</v>
      </c>
      <c r="E12" s="621">
        <f>D12*$B$25</f>
        <v>50.853643677447806</v>
      </c>
      <c r="F12" s="621">
        <f>D12*B26</f>
        <v>4.0537013758621354</v>
      </c>
      <c r="H12" s="620">
        <v>85754.6</v>
      </c>
    </row>
    <row r="13" spans="1:8">
      <c r="A13" s="613" t="s">
        <v>1263</v>
      </c>
      <c r="B13" s="620">
        <f>'J1634 Calcs_new'!I33</f>
        <v>1302</v>
      </c>
      <c r="C13" s="642">
        <f>'J1634 Calcs_new'!J33</f>
        <v>7.4586936799999997</v>
      </c>
      <c r="D13" s="621">
        <f t="shared" si="0"/>
        <v>174.5613985316528</v>
      </c>
      <c r="E13" s="621">
        <f>D13*$B$25</f>
        <v>43.6403496329132</v>
      </c>
      <c r="F13" s="621">
        <f>D13*$C$26</f>
        <v>57.027563718597925</v>
      </c>
    </row>
    <row r="14" spans="1:8">
      <c r="A14" s="613" t="s">
        <v>1264</v>
      </c>
      <c r="B14" s="620">
        <f>'J1634 Calcs_new'!I36</f>
        <v>1250</v>
      </c>
      <c r="C14" s="642">
        <f>'J1634 Calcs_new'!J36</f>
        <v>7.4586554600000001</v>
      </c>
      <c r="D14" s="621">
        <f t="shared" si="0"/>
        <v>167.59052710017522</v>
      </c>
      <c r="E14" s="621">
        <f>D14*$B$25</f>
        <v>41.897631775043806</v>
      </c>
      <c r="F14" s="621">
        <f>D14*$C$26</f>
        <v>54.750245720021866</v>
      </c>
    </row>
    <row r="15" spans="1:8">
      <c r="A15" s="613" t="s">
        <v>1265</v>
      </c>
      <c r="B15" s="620">
        <f>'J1634 Calcs_new'!I38</f>
        <v>1244</v>
      </c>
      <c r="C15" s="642">
        <f>'J1634 Calcs_new'!J38</f>
        <v>7.4584133499999998</v>
      </c>
      <c r="D15" s="621">
        <f t="shared" si="0"/>
        <v>166.79150666810389</v>
      </c>
      <c r="E15" s="621">
        <f>D15*$B$25</f>
        <v>41.697876667025973</v>
      </c>
      <c r="F15" s="621">
        <f>D15*$C$26</f>
        <v>54.48921327535944</v>
      </c>
    </row>
    <row r="16" spans="1:8">
      <c r="A16" s="613" t="s">
        <v>1266</v>
      </c>
      <c r="B16" s="620">
        <f>'J1634 Calcs_new'!I32</f>
        <v>1935</v>
      </c>
      <c r="C16" s="642">
        <f>'J1634 Calcs_new'!J32</f>
        <v>10.28394114</v>
      </c>
      <c r="D16" s="621">
        <f t="shared" si="0"/>
        <v>188.15743630364653</v>
      </c>
      <c r="E16" s="621">
        <f>D16*$F$25</f>
        <v>94.078718151823267</v>
      </c>
      <c r="F16" s="621"/>
    </row>
    <row r="17" spans="1:8">
      <c r="A17" s="613" t="s">
        <v>1267</v>
      </c>
      <c r="B17" s="620">
        <f>'J1634 Calcs_new'!I37</f>
        <v>1845</v>
      </c>
      <c r="C17" s="642">
        <f>'J1634 Calcs_new'!J37</f>
        <v>10.284345050000001</v>
      </c>
      <c r="D17" s="621">
        <f t="shared" si="0"/>
        <v>179.39888160403564</v>
      </c>
      <c r="E17" s="621">
        <f>D17*$F$25</f>
        <v>89.699440802017818</v>
      </c>
      <c r="F17" s="621"/>
    </row>
    <row r="18" spans="1:8">
      <c r="A18" s="613" t="s">
        <v>1344</v>
      </c>
      <c r="B18" s="620">
        <f>'J1634 Calcs_new'!G36-'J1634 Calcs_new'!H33</f>
        <v>60858</v>
      </c>
      <c r="C18" s="642">
        <f>TestSummary!R207+TestSummary!R208+TestSummary!R211</f>
        <v>270.82086157999998</v>
      </c>
    </row>
    <row r="19" spans="1:8">
      <c r="A19" s="613" t="s">
        <v>1268</v>
      </c>
      <c r="B19" s="620">
        <f>TestSummary!X219</f>
        <v>6047</v>
      </c>
      <c r="C19" s="642">
        <f>TestSummary!R219</f>
        <v>27.24736764</v>
      </c>
    </row>
    <row r="20" spans="1:8">
      <c r="A20" s="622" t="s">
        <v>1345</v>
      </c>
      <c r="B20" s="623">
        <v>76123</v>
      </c>
      <c r="C20" s="624">
        <f>SUM(C12:C19)</f>
        <v>348.46995393999998</v>
      </c>
    </row>
    <row r="21" spans="1:8" ht="35.25" customHeight="1">
      <c r="B21" s="751" t="s">
        <v>1360</v>
      </c>
      <c r="C21" s="751"/>
      <c r="D21" s="751"/>
      <c r="E21" s="751"/>
      <c r="F21" s="751"/>
      <c r="G21" s="751"/>
      <c r="H21" s="751"/>
    </row>
    <row r="22" spans="1:8">
      <c r="B22" s="643"/>
    </row>
    <row r="23" spans="1:8">
      <c r="B23" s="643"/>
    </row>
    <row r="24" spans="1:8">
      <c r="A24" s="619" t="s">
        <v>1346</v>
      </c>
      <c r="B24" s="625" t="s">
        <v>1262</v>
      </c>
      <c r="C24" s="625" t="s">
        <v>1263</v>
      </c>
      <c r="D24" s="625" t="s">
        <v>1264</v>
      </c>
      <c r="E24" s="625" t="s">
        <v>1265</v>
      </c>
      <c r="F24" s="625" t="s">
        <v>1266</v>
      </c>
      <c r="G24" s="625" t="s">
        <v>1267</v>
      </c>
    </row>
    <row r="25" spans="1:8">
      <c r="A25" s="619" t="s">
        <v>1347</v>
      </c>
      <c r="B25" s="626">
        <v>0.25</v>
      </c>
      <c r="C25" s="626">
        <v>0.25</v>
      </c>
      <c r="D25" s="626">
        <v>0.25</v>
      </c>
      <c r="E25" s="626">
        <v>0.25</v>
      </c>
      <c r="F25" s="626">
        <v>0.5</v>
      </c>
      <c r="G25" s="626">
        <v>0.5</v>
      </c>
    </row>
    <row r="26" spans="1:8">
      <c r="A26" s="619" t="s">
        <v>1348</v>
      </c>
      <c r="B26" s="626">
        <f>B12/B20</f>
        <v>1.992827397764145E-2</v>
      </c>
      <c r="C26" s="626">
        <f>(1-B26)/3</f>
        <v>0.32669057534078622</v>
      </c>
      <c r="D26" s="626">
        <f>C26</f>
        <v>0.32669057534078622</v>
      </c>
      <c r="E26" s="626">
        <f>C26</f>
        <v>0.32669057534078622</v>
      </c>
      <c r="F26" s="627" t="s">
        <v>1349</v>
      </c>
      <c r="G26" s="627" t="s">
        <v>1349</v>
      </c>
    </row>
    <row r="27" spans="1:8" ht="15.75" thickBot="1">
      <c r="A27" s="619"/>
      <c r="B27" s="628"/>
      <c r="C27" s="628"/>
      <c r="D27" s="628"/>
      <c r="E27" s="628"/>
      <c r="F27" s="625"/>
      <c r="G27" s="625"/>
      <c r="H27" s="629" t="s">
        <v>1350</v>
      </c>
    </row>
    <row r="28" spans="1:8">
      <c r="A28" s="619" t="s">
        <v>1351</v>
      </c>
      <c r="B28" s="613" t="s">
        <v>282</v>
      </c>
      <c r="C28" s="613" t="s">
        <v>307</v>
      </c>
      <c r="D28" s="630" t="s">
        <v>1352</v>
      </c>
      <c r="E28" s="743" t="s">
        <v>1353</v>
      </c>
      <c r="F28" s="744"/>
      <c r="H28" s="631" t="s">
        <v>1353</v>
      </c>
    </row>
    <row r="29" spans="1:8">
      <c r="A29" s="619" t="s">
        <v>1354</v>
      </c>
      <c r="B29" s="623">
        <f>B20/SUM(E12:E15)</f>
        <v>427.44237729308469</v>
      </c>
      <c r="C29" s="632">
        <f>$H$12/B29</f>
        <v>200.62259746698112</v>
      </c>
      <c r="D29" s="633"/>
      <c r="E29" s="745"/>
      <c r="F29" s="746"/>
      <c r="H29" s="634"/>
    </row>
    <row r="30" spans="1:8">
      <c r="A30" s="635" t="s">
        <v>1355</v>
      </c>
      <c r="B30" s="636">
        <f>B20/SUM(F12:F15)</f>
        <v>446.93915204262737</v>
      </c>
      <c r="C30" s="637">
        <f t="shared" ref="C30:C31" si="1">$H$12/B30</f>
        <v>191.87086118564312</v>
      </c>
      <c r="D30" s="638">
        <f>33.705/C30*1000</f>
        <v>175.66502694428934</v>
      </c>
      <c r="E30" s="747">
        <f>1/(D30/(33.705*100))</f>
        <v>19.187086118564313</v>
      </c>
      <c r="F30" s="748"/>
      <c r="H30" s="639">
        <f>(H12/B30)/10</f>
        <v>19.187086118564313</v>
      </c>
    </row>
    <row r="31" spans="1:8" ht="15.75" thickBot="1">
      <c r="A31" s="635" t="s">
        <v>56</v>
      </c>
      <c r="B31" s="636">
        <f>B20/SUM(E16:E17)</f>
        <v>414.21135369584124</v>
      </c>
      <c r="C31" s="637">
        <f t="shared" si="1"/>
        <v>207.03102229054375</v>
      </c>
      <c r="D31" s="640">
        <f>33.705/C31*1000</f>
        <v>162.80168849622441</v>
      </c>
      <c r="E31" s="749">
        <f>1/(D31/(33.705*100))</f>
        <v>20.703102229054377</v>
      </c>
      <c r="F31" s="750"/>
      <c r="H31" s="641">
        <f>(H12/B31)/10</f>
        <v>20.703102229054373</v>
      </c>
    </row>
    <row r="33" spans="1:1">
      <c r="A33" s="619" t="s">
        <v>1356</v>
      </c>
    </row>
    <row r="34" spans="1:1">
      <c r="A34" s="619" t="s">
        <v>1357</v>
      </c>
    </row>
    <row r="35" spans="1:1">
      <c r="A35" s="619" t="s">
        <v>1358</v>
      </c>
    </row>
    <row r="36" spans="1:1">
      <c r="A36" s="619" t="s">
        <v>1359</v>
      </c>
    </row>
  </sheetData>
  <mergeCells count="5">
    <mergeCell ref="E28:F28"/>
    <mergeCell ref="E29:F29"/>
    <mergeCell ref="E30:F30"/>
    <mergeCell ref="E31:F31"/>
    <mergeCell ref="B21:H21"/>
  </mergeCells>
  <printOptions horizontalCentered="1"/>
  <pageMargins left="0.45" right="0.45" top="0.75" bottom="0.75" header="0.3" footer="0.3"/>
  <pageSetup orientation="landscape" r:id="rId1"/>
  <headerFooter>
    <oddHeader xml:space="preserve">&amp;L&amp;G&amp;C&amp;"-,Bold"EPA Generic Multicycle Test Data Calculator for Electric Vehicle (2016-03-08)&amp;ROffice of Transportation and Air Quality
January 2020
</oddHead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4D192-4BB5-4549-800A-05C4CB3E9880}">
  <sheetPr codeName="Sheet11">
    <tabColor theme="6" tint="0.39997558519241921"/>
  </sheetPr>
  <dimension ref="A1:BJ110"/>
  <sheetViews>
    <sheetView topLeftCell="A4" zoomScale="70" zoomScaleNormal="70" workbookViewId="0">
      <pane xSplit="2" topLeftCell="N1" activePane="topRight" state="frozen"/>
      <selection activeCell="A13" sqref="A13"/>
      <selection pane="topRight" activeCell="R17" sqref="R17"/>
    </sheetView>
  </sheetViews>
  <sheetFormatPr defaultColWidth="9.140625" defaultRowHeight="15"/>
  <cols>
    <col min="1" max="1" width="9.140625" style="512"/>
    <col min="2" max="2" width="9" style="512" customWidth="1"/>
    <col min="3" max="3" width="22.42578125" style="512" bestFit="1" customWidth="1"/>
    <col min="4" max="4" width="50.5703125" style="512" customWidth="1"/>
    <col min="5" max="5" width="21" style="512" customWidth="1"/>
    <col min="6" max="6" width="27" style="512" customWidth="1"/>
    <col min="7" max="7" width="9.140625" style="512" bestFit="1" customWidth="1"/>
    <col min="8" max="9" width="9" style="512" customWidth="1"/>
    <col min="10" max="10" width="9" style="561" customWidth="1"/>
    <col min="11" max="11" width="19.28515625" style="512" customWidth="1"/>
    <col min="12" max="14" width="9" style="512" customWidth="1"/>
    <col min="15" max="15" width="13" style="512" customWidth="1"/>
    <col min="16" max="16" width="9" style="512" customWidth="1"/>
    <col min="17" max="17" width="27.42578125" style="512" customWidth="1"/>
    <col min="18" max="18" width="11.42578125" style="597" customWidth="1"/>
    <col min="19" max="19" width="11.5703125" style="512" customWidth="1"/>
    <col min="20" max="20" width="10" style="512" customWidth="1"/>
    <col min="21" max="21" width="9.140625" style="512" customWidth="1"/>
    <col min="22" max="22" width="14.5703125" style="512" customWidth="1"/>
    <col min="23" max="23" width="14" style="512" customWidth="1"/>
    <col min="24" max="25" width="9.140625" style="512" customWidth="1"/>
    <col min="26" max="26" width="13.85546875" style="512" customWidth="1"/>
    <col min="27" max="27" width="12.85546875" style="512" customWidth="1"/>
    <col min="28" max="31" width="9.140625" style="512" customWidth="1"/>
    <col min="32" max="32" width="16.85546875" style="512" customWidth="1"/>
    <col min="33" max="38" width="9.140625" style="512" customWidth="1"/>
    <col min="39" max="39" width="11.7109375" style="512" customWidth="1"/>
    <col min="40" max="40" width="11.140625" style="512" customWidth="1"/>
    <col min="41" max="43" width="9.140625" style="512"/>
    <col min="44" max="44" width="10.85546875" style="512" customWidth="1"/>
    <col min="45" max="45" width="11.7109375" style="512" bestFit="1" customWidth="1"/>
    <col min="46" max="57" width="9.140625" style="512"/>
    <col min="58" max="58" width="9.85546875" style="512" bestFit="1" customWidth="1"/>
    <col min="59" max="16384" width="9.140625" style="512"/>
  </cols>
  <sheetData>
    <row r="1" spans="1:47">
      <c r="B1" s="514"/>
      <c r="C1" s="514"/>
      <c r="D1" s="514"/>
      <c r="E1" s="514"/>
      <c r="F1" s="514"/>
      <c r="G1" s="514"/>
      <c r="K1" s="19"/>
      <c r="L1" s="19"/>
      <c r="M1" s="19"/>
      <c r="N1" s="19"/>
      <c r="O1" s="19"/>
    </row>
    <row r="2" spans="1:47">
      <c r="B2" s="514"/>
      <c r="C2" s="514"/>
      <c r="D2" s="514"/>
      <c r="E2" s="514"/>
      <c r="J2" s="602"/>
    </row>
    <row r="3" spans="1:47">
      <c r="B3" s="4"/>
      <c r="C3" s="4"/>
      <c r="D3" s="4"/>
      <c r="E3" s="4"/>
      <c r="F3" s="4"/>
      <c r="J3" s="602"/>
      <c r="AJ3" s="599" t="s">
        <v>1295</v>
      </c>
    </row>
    <row r="4" spans="1:47">
      <c r="B4" s="4"/>
      <c r="C4" s="4"/>
      <c r="D4" s="4"/>
      <c r="E4" s="4"/>
      <c r="F4" s="4"/>
      <c r="J4" s="602"/>
    </row>
    <row r="5" spans="1:47" ht="15.75" thickBot="1">
      <c r="B5" s="512">
        <v>1</v>
      </c>
      <c r="C5" s="512">
        <v>2</v>
      </c>
      <c r="D5" s="512">
        <v>7</v>
      </c>
      <c r="E5" s="512">
        <v>9</v>
      </c>
      <c r="F5" s="512">
        <v>10</v>
      </c>
      <c r="G5" s="512">
        <v>22</v>
      </c>
      <c r="H5" s="512">
        <v>23</v>
      </c>
      <c r="I5" s="512">
        <v>24</v>
      </c>
      <c r="J5" s="602">
        <v>18</v>
      </c>
      <c r="K5" s="19">
        <v>25</v>
      </c>
      <c r="L5" s="19">
        <v>29</v>
      </c>
      <c r="M5" s="19">
        <v>41</v>
      </c>
      <c r="N5" s="19">
        <v>49</v>
      </c>
      <c r="O5" s="19">
        <v>53</v>
      </c>
    </row>
    <row r="6" spans="1:47" ht="96" customHeight="1">
      <c r="A6" s="512">
        <v>7</v>
      </c>
      <c r="B6" s="163" t="str">
        <f>INDEX(TestSummary!$A$1:$CF$296,'J1634 Calcs_new'!$A6,'J1634 Calcs_new'!B$5)</f>
        <v>Test ID [#]</v>
      </c>
      <c r="C6" s="164" t="str">
        <f>INDEX(TestSummary!$A$1:$CF$296,'J1634 Calcs_new'!$A6,'J1634 Calcs_new'!C$5)</f>
        <v>Cycle</v>
      </c>
      <c r="D6" s="165" t="str">
        <f>INDEX(TestSummary!$A$1:$CF$296,'J1634 Calcs_new'!$A6,'J1634 Calcs_new'!D$5)</f>
        <v>Start Comments</v>
      </c>
      <c r="E6" s="166" t="str">
        <f>INDEX(TestSummary!$A$1:$CF$296,'J1634 Calcs_new'!$A6,'J1634 Calcs_new'!E$5)</f>
        <v>SPECIAL COMMENTS</v>
      </c>
      <c r="F6" s="166" t="str">
        <f>INDEX(TestSummary!$A$1:$CF$296,'J1634 Calcs_new'!$A6,'J1634 Calcs_new'!F$5)</f>
        <v>Test Cell Temp [C]</v>
      </c>
      <c r="G6" s="167" t="str">
        <f>INDEX(TestSummary!$A$1:$CF$296,'J1634 Calcs_new'!$A6,'J1634 Calcs_new'!G$5)</f>
        <v xml:space="preserve">HV Batt (500A)
Start 
WP1 [Wh]
</v>
      </c>
      <c r="H6" s="167" t="str">
        <f>INDEX(TestSummary!$A$1:$CF$296,'J1634 Calcs_new'!$A6,'J1634 Calcs_new'!H$5)</f>
        <v>HV Batt Out (500A) End
WP1 [Wh]</v>
      </c>
      <c r="I6" s="167" t="str">
        <f>INDEX(TestSummary!$A$1:$CF$296,'J1634 Calcs_new'!$A6,'J1634 Calcs_new'!I$5)</f>
        <v>HV Batt (500A)
Δ [Wh]</v>
      </c>
      <c r="J6" s="603" t="str">
        <f>INDEX(TestSummary!$A$1:$CF$296,'J1634 Calcs_new'!$A6,'J1634 Calcs_new'!J$5)</f>
        <v>Cycle Distance [mi]</v>
      </c>
      <c r="K6" s="169" t="str">
        <f>INDEX(TestSummary!$A$1:$CF$296,'J1634 Calcs_new'!$A6,'J1634 Calcs_new'!K$5)</f>
        <v>HV Batt (500A) Energy consumption
[Wh/mi]</v>
      </c>
      <c r="L6" s="169" t="str">
        <f>INDEX(TestSummary!$A$1:$CF$296,'J1634 Calcs_new'!$A6,'J1634 Calcs_new'!L$5)</f>
        <v>HV Batt (1000A) Δ WP2 [Wh/mi]</v>
      </c>
      <c r="M6" s="169" t="str">
        <f>INDEX(TestSummary!$A$1:$CF$296,'J1634 Calcs_new'!$A6,'J1634 Calcs_new'!M$5)</f>
        <v>DCDC In (Pos) Δ WP7 [Wh/mi]</v>
      </c>
      <c r="N6" s="169" t="str">
        <f>INDEX(TestSummary!$A$1:$CF$296,'J1634 Calcs_new'!$A6,'J1634 Calcs_new'!N$5)</f>
        <v>PTC Heater Δ WP5 [Wh/mi]</v>
      </c>
      <c r="O6" s="169" t="str">
        <f>INDEX(TestSummary!$A$1:$CF$296,'J1634 Calcs_new'!$A6,'J1634 Calcs_new'!O$5)</f>
        <v>AC Compressor Δ WP6 [Wh/mi]</v>
      </c>
      <c r="Q6" s="512" t="s">
        <v>292</v>
      </c>
      <c r="T6" s="512" t="s">
        <v>417</v>
      </c>
      <c r="AF6" s="512" t="s">
        <v>293</v>
      </c>
      <c r="AG6" s="598" t="s">
        <v>1322</v>
      </c>
      <c r="AH6" s="598" t="s">
        <v>1297</v>
      </c>
      <c r="AI6" s="598" t="s">
        <v>1298</v>
      </c>
      <c r="AJ6" s="598" t="s">
        <v>1323</v>
      </c>
      <c r="AK6" s="598" t="s">
        <v>1301</v>
      </c>
      <c r="AL6" s="598" t="s">
        <v>1321</v>
      </c>
    </row>
    <row r="7" spans="1:47">
      <c r="B7" s="519"/>
      <c r="C7" s="170"/>
      <c r="D7" s="171"/>
      <c r="E7" s="170"/>
      <c r="F7" s="170"/>
      <c r="G7" s="482"/>
      <c r="H7" s="482"/>
      <c r="I7" s="482"/>
      <c r="J7" s="482"/>
      <c r="K7" s="482"/>
      <c r="L7" s="482"/>
      <c r="M7" s="482"/>
      <c r="N7" s="482"/>
      <c r="O7" s="482"/>
      <c r="AF7" s="512" t="s">
        <v>1316</v>
      </c>
      <c r="AG7" s="143">
        <f>K10</f>
        <v>700.68688138001437</v>
      </c>
      <c r="AH7" s="143">
        <f>K17</f>
        <v>469.0965060193933</v>
      </c>
      <c r="AI7" s="143">
        <f>K64</f>
        <v>298.10994621343252</v>
      </c>
      <c r="AJ7" s="143">
        <f>K31</f>
        <v>203.41457470979122</v>
      </c>
      <c r="AK7" s="143">
        <f>K41</f>
        <v>256.35105756388606</v>
      </c>
      <c r="AL7" s="143">
        <f>K71</f>
        <v>220.08670870744461</v>
      </c>
    </row>
    <row r="8" spans="1:47" ht="17.25" customHeight="1" thickBot="1">
      <c r="AF8" s="512" t="s">
        <v>1317</v>
      </c>
      <c r="AG8" s="143">
        <f>K11</f>
        <v>321.66363412204487</v>
      </c>
      <c r="AH8" s="143">
        <f>K18</f>
        <v>278.10190061988408</v>
      </c>
      <c r="AI8" s="143">
        <f>K65</f>
        <v>253.5955850198836</v>
      </c>
      <c r="AJ8" s="143">
        <f>K32</f>
        <v>188.15743630364653</v>
      </c>
      <c r="AK8" s="143">
        <f>K42</f>
        <v>184.08545208176477</v>
      </c>
      <c r="AL8" s="143">
        <f>K72</f>
        <v>187.27883066559775</v>
      </c>
      <c r="AR8" s="162"/>
    </row>
    <row r="9" spans="1:47" ht="16.5" thickBot="1">
      <c r="B9" s="119" t="s">
        <v>411</v>
      </c>
      <c r="C9" s="174"/>
      <c r="D9" s="174"/>
      <c r="E9" s="158"/>
      <c r="F9" s="158"/>
      <c r="G9" s="174"/>
      <c r="H9" s="174"/>
      <c r="I9" s="174"/>
      <c r="J9" s="604"/>
      <c r="K9" s="174"/>
      <c r="L9" s="174"/>
      <c r="M9" s="174"/>
      <c r="N9" s="174"/>
      <c r="O9" s="174"/>
      <c r="Q9" s="175" t="s">
        <v>294</v>
      </c>
      <c r="R9" s="597" t="s">
        <v>311</v>
      </c>
      <c r="S9" s="512" t="s">
        <v>312</v>
      </c>
      <c r="T9" s="176" t="s">
        <v>295</v>
      </c>
      <c r="U9" s="177"/>
      <c r="V9" s="177"/>
      <c r="W9" s="177"/>
      <c r="X9" s="177"/>
      <c r="Y9" s="177"/>
      <c r="Z9" s="177"/>
      <c r="AA9" s="177"/>
      <c r="AB9" s="177"/>
      <c r="AC9" s="178"/>
      <c r="AF9" s="512" t="s">
        <v>1318</v>
      </c>
      <c r="AG9" s="143">
        <f>K12</f>
        <v>419.65296629742369</v>
      </c>
      <c r="AH9" s="143">
        <f>K19</f>
        <v>328.74062524614067</v>
      </c>
      <c r="AI9" s="143">
        <f>K66</f>
        <v>296.69309151463682</v>
      </c>
      <c r="AJ9" s="143">
        <f>K33</f>
        <v>174.5613985316528</v>
      </c>
      <c r="AK9" s="143">
        <f>K43</f>
        <v>216.60152639363722</v>
      </c>
      <c r="AL9" s="143">
        <f>K73</f>
        <v>202.83206270718966</v>
      </c>
      <c r="AN9" s="143"/>
      <c r="AO9" s="143"/>
      <c r="AP9" s="143"/>
      <c r="AR9" s="162"/>
      <c r="AS9" s="189"/>
      <c r="AT9" s="189"/>
      <c r="AU9" s="189"/>
    </row>
    <row r="10" spans="1:47" s="8" customFormat="1" ht="27" customHeight="1">
      <c r="A10" s="8">
        <v>154</v>
      </c>
      <c r="B10" s="362">
        <f>INDEX(TestSummary!$A$1:$CF$296,'J1634 Calcs_new'!$A10,'J1634 Calcs_new'!B$5)</f>
        <v>62006017</v>
      </c>
      <c r="C10" s="362" t="str">
        <f>INDEX(TestSummary!$A$1:$CF$296,'J1634 Calcs_new'!$A10,'J1634 Calcs_new'!C$5)</f>
        <v>UDDS 1 , Combined</v>
      </c>
      <c r="D10" s="363" t="str">
        <f>INDEX(TestSummary!$A$1:$CF$296,'J1634 Calcs_new'!$A10,'J1634 Calcs_new'!D$5)</f>
        <v xml:space="preserve">J1634 MCT in deep cold (0°F) Test Cell, HVAC-AUTO-72°F, charged over weekend and soaked at 0°F, </v>
      </c>
      <c r="E10" s="524">
        <f>INDEX(TestSummary!$A$1:$CF$296,'J1634 Calcs_new'!$A10,'J1634 Calcs_new'!E$5)</f>
        <v>0</v>
      </c>
      <c r="F10" s="524">
        <f>INDEX(TestSummary!$A$1:$CF$296,'J1634 Calcs_new'!$A10,'J1634 Calcs_new'!F$5)</f>
        <v>-17.21322</v>
      </c>
      <c r="G10" s="364">
        <f>INDEX(TestSummary!$A$1:$CF$296,'J1634 Calcs_new'!$A10,'J1634 Calcs_new'!G$5)</f>
        <v>-8918</v>
      </c>
      <c r="H10" s="364">
        <f>INDEX(TestSummary!$A$1:$CF$296,'J1634 Calcs_new'!$A10,'J1634 Calcs_new'!H$5)</f>
        <v>-3689</v>
      </c>
      <c r="I10" s="364">
        <f>INDEX(TestSummary!$A$1:$CF$296,'J1634 Calcs_new'!$A10,'J1634 Calcs_new'!I$5)</f>
        <v>5229</v>
      </c>
      <c r="J10" s="605">
        <f>INDEX(TestSummary!$A$1:$CF$296,'J1634 Calcs_new'!$A10,'J1634 Calcs_new'!J$5)</f>
        <v>7.46267718</v>
      </c>
      <c r="K10" s="366">
        <f>INDEX(TestSummary!$A$1:$CF$296,'J1634 Calcs_new'!$A10,'J1634 Calcs_new'!K$5)</f>
        <v>700.68688138001437</v>
      </c>
      <c r="L10" s="366">
        <f>INDEX(TestSummary!$A$1:$CF$296,'J1634 Calcs_new'!$A10,'J1634 Calcs_new'!L$5)</f>
        <v>702.56288373980021</v>
      </c>
      <c r="M10" s="366">
        <f>INDEX(TestSummary!$A$1:$CF$296,'J1634 Calcs_new'!$A10,'J1634 Calcs_new'!M$5)</f>
        <v>33.352641953621458</v>
      </c>
      <c r="N10" s="366">
        <f>INDEX(TestSummary!$A$1:$CF$296,'J1634 Calcs_new'!$A10,'J1634 Calcs_new'!N$5)</f>
        <v>217.93767233543929</v>
      </c>
      <c r="O10" s="366">
        <f>INDEX(TestSummary!$A$1:$CF$296,'J1634 Calcs_new'!$A10,'J1634 Calcs_new'!O$5)</f>
        <v>0.18760023597858561</v>
      </c>
      <c r="Q10" s="182" t="s">
        <v>297</v>
      </c>
      <c r="R10" s="367">
        <f>TestSummary!BL174</f>
        <v>85982.900000000009</v>
      </c>
      <c r="S10" s="367">
        <f>$R$31</f>
        <v>85754.6</v>
      </c>
      <c r="T10" s="368" t="s">
        <v>16</v>
      </c>
      <c r="U10" s="369" t="s">
        <v>1</v>
      </c>
      <c r="V10" s="369" t="s">
        <v>420</v>
      </c>
      <c r="W10" s="370" t="s">
        <v>298</v>
      </c>
      <c r="X10" s="369" t="s">
        <v>299</v>
      </c>
      <c r="Y10" s="370" t="s">
        <v>300</v>
      </c>
      <c r="Z10" s="371" t="s">
        <v>301</v>
      </c>
      <c r="AA10" s="372" t="s">
        <v>302</v>
      </c>
      <c r="AB10" s="371" t="s">
        <v>303</v>
      </c>
      <c r="AC10" s="373"/>
      <c r="AF10" s="8" t="s">
        <v>224</v>
      </c>
      <c r="AG10" s="374">
        <f>K13</f>
        <v>384.62255313857463</v>
      </c>
      <c r="AH10" s="374">
        <f>K20</f>
        <v>348.80172626287606</v>
      </c>
      <c r="AI10" s="143">
        <f>K67</f>
        <v>315.5139080067076</v>
      </c>
      <c r="AJ10" s="374">
        <f>K34</f>
        <v>248.82556482745954</v>
      </c>
      <c r="AK10" s="374">
        <f>K44</f>
        <v>243.75476884988871</v>
      </c>
      <c r="AL10" s="143">
        <f>K74</f>
        <v>256.30866318237582</v>
      </c>
      <c r="AN10" s="374"/>
      <c r="AO10" s="374"/>
      <c r="AP10" s="374"/>
      <c r="AR10" s="375"/>
    </row>
    <row r="11" spans="1:47">
      <c r="A11" s="512">
        <v>155</v>
      </c>
      <c r="B11" s="465">
        <f>INDEX(TestSummary!$A$1:$CF$296,'J1634 Calcs_new'!$A11,'J1634 Calcs_new'!B$5)</f>
        <v>62006017</v>
      </c>
      <c r="C11" s="465" t="str">
        <f>INDEX(TestSummary!$A$1:$CF$296,'J1634 Calcs_new'!$A11,'J1634 Calcs_new'!C$5)</f>
        <v>HWY 1</v>
      </c>
      <c r="D11" s="513" t="str">
        <f>INDEX(TestSummary!$A$1:$CF$296,'J1634 Calcs_new'!$A11,'J1634 Calcs_new'!D$5)</f>
        <v xml:space="preserve">J1634 MCT in deep cold (0°F) Test Cell, HVAC-AUTO-72°F, charged over weekend and soaked at 0°F, </v>
      </c>
      <c r="E11" s="521">
        <f>INDEX(TestSummary!$A$1:$CF$296,'J1634 Calcs_new'!$A11,'J1634 Calcs_new'!E$5)</f>
        <v>0</v>
      </c>
      <c r="F11" s="521">
        <f>INDEX(TestSummary!$A$1:$CF$296,'J1634 Calcs_new'!$A11,'J1634 Calcs_new'!F$5)</f>
        <v>-14.521599</v>
      </c>
      <c r="G11" s="179">
        <f>INDEX(TestSummary!$A$1:$CF$296,'J1634 Calcs_new'!$A11,'J1634 Calcs_new'!G$5)</f>
        <v>-3675</v>
      </c>
      <c r="H11" s="179">
        <f>INDEX(TestSummary!$A$1:$CF$296,'J1634 Calcs_new'!$A11,'J1634 Calcs_new'!H$5)</f>
        <v>-368</v>
      </c>
      <c r="I11" s="179">
        <f>INDEX(TestSummary!$A$1:$CF$296,'J1634 Calcs_new'!$A11,'J1634 Calcs_new'!I$5)</f>
        <v>3307</v>
      </c>
      <c r="J11" s="606">
        <f>INDEX(TestSummary!$A$1:$CF$296,'J1634 Calcs_new'!$A11,'J1634 Calcs_new'!J$5)</f>
        <v>10.280925939999999</v>
      </c>
      <c r="K11" s="181">
        <f>INDEX(TestSummary!$A$1:$CF$296,'J1634 Calcs_new'!$A11,'J1634 Calcs_new'!K$5)</f>
        <v>321.66363412204487</v>
      </c>
      <c r="L11" s="181">
        <f>INDEX(TestSummary!$A$1:$CF$296,'J1634 Calcs_new'!$A11,'J1634 Calcs_new'!L$5)</f>
        <v>321.76090162555926</v>
      </c>
      <c r="M11" s="181">
        <f>INDEX(TestSummary!$A$1:$CF$296,'J1634 Calcs_new'!$A11,'J1634 Calcs_new'!M$5)</f>
        <v>10.307849372563423</v>
      </c>
      <c r="N11" s="181">
        <f>INDEX(TestSummary!$A$1:$CF$296,'J1634 Calcs_new'!$A11,'J1634 Calcs_new'!N$5)</f>
        <v>52.417044451542871</v>
      </c>
      <c r="O11" s="181">
        <f>INDEX(TestSummary!$A$1:$CF$296,'J1634 Calcs_new'!$A11,'J1634 Calcs_new'!O$5)</f>
        <v>7.7814002811502039E-2</v>
      </c>
      <c r="Q11" s="190" t="s">
        <v>304</v>
      </c>
      <c r="R11" s="191">
        <f>TestSummary!W173</f>
        <v>61212</v>
      </c>
      <c r="S11" s="191">
        <f>$R$34</f>
        <v>76123</v>
      </c>
      <c r="T11" s="183" t="s">
        <v>305</v>
      </c>
      <c r="U11" s="184" t="s">
        <v>58</v>
      </c>
      <c r="V11" s="184">
        <v>1</v>
      </c>
      <c r="W11" s="192"/>
      <c r="X11" s="192">
        <f>I10/R11</f>
        <v>8.5424426583022933E-2</v>
      </c>
      <c r="Y11" s="192">
        <f>(1-X11)/V11</f>
        <v>0.91457557341697704</v>
      </c>
      <c r="Z11" s="193">
        <f>X11*K10+Y11*K12*V11</f>
        <v>443.66012734373595</v>
      </c>
      <c r="AA11" s="193">
        <f>S11/Z11</f>
        <v>171.57953872429457</v>
      </c>
      <c r="AB11" s="194">
        <f>Z11/W14</f>
        <v>623.1978102885663</v>
      </c>
      <c r="AC11" s="188"/>
      <c r="AG11" s="45"/>
      <c r="AH11" s="45"/>
      <c r="AI11" s="45"/>
      <c r="AJ11" s="45"/>
      <c r="AK11" s="45"/>
      <c r="AN11" s="143"/>
      <c r="AO11" s="143"/>
      <c r="AP11" s="143"/>
      <c r="AR11" s="162"/>
    </row>
    <row r="12" spans="1:47">
      <c r="A12" s="512">
        <v>158</v>
      </c>
      <c r="B12" s="465">
        <f>INDEX(TestSummary!$A$1:$CF$296,'J1634 Calcs_new'!$A12,'J1634 Calcs_new'!B$5)</f>
        <v>62006017</v>
      </c>
      <c r="C12" s="465" t="str">
        <f>INDEX(TestSummary!$A$1:$CF$296,'J1634 Calcs_new'!$A12,'J1634 Calcs_new'!C$5)</f>
        <v>UDDS 2, combined</v>
      </c>
      <c r="D12" s="513" t="str">
        <f>INDEX(TestSummary!$A$1:$CF$296,'J1634 Calcs_new'!$A12,'J1634 Calcs_new'!D$5)</f>
        <v xml:space="preserve">J1634 MCT in deep cold (0°F) Test Cell, HVAC-AUTO-72°F, charged over weekend and soaked at 0°F, </v>
      </c>
      <c r="E12" s="521">
        <f>INDEX(TestSummary!$A$1:$CF$296,'J1634 Calcs_new'!$A12,'J1634 Calcs_new'!E$5)</f>
        <v>0</v>
      </c>
      <c r="F12" s="521">
        <f>INDEX(TestSummary!$A$1:$CF$296,'J1634 Calcs_new'!$A12,'J1634 Calcs_new'!F$5)</f>
        <v>-17.803893000000002</v>
      </c>
      <c r="G12" s="179">
        <f>INDEX(TestSummary!$A$1:$CF$296,'J1634 Calcs_new'!$A12,'J1634 Calcs_new'!G$5)</f>
        <v>-319</v>
      </c>
      <c r="H12" s="179">
        <f>INDEX(TestSummary!$A$1:$CF$296,'J1634 Calcs_new'!$A12,'J1634 Calcs_new'!H$5)</f>
        <v>2812</v>
      </c>
      <c r="I12" s="179">
        <f>INDEX(TestSummary!$A$1:$CF$296,'J1634 Calcs_new'!$A12,'J1634 Calcs_new'!I$5)</f>
        <v>3131</v>
      </c>
      <c r="J12" s="606">
        <f>INDEX(TestSummary!$A$1:$CF$296,'J1634 Calcs_new'!$A12,'J1634 Calcs_new'!J$5)</f>
        <v>7.4609266499999993</v>
      </c>
      <c r="K12" s="181">
        <f>INDEX(TestSummary!$A$1:$CF$296,'J1634 Calcs_new'!$A12,'J1634 Calcs_new'!K$5)</f>
        <v>419.65296629742369</v>
      </c>
      <c r="L12" s="181">
        <f>INDEX(TestSummary!$A$1:$CF$296,'J1634 Calcs_new'!$A12,'J1634 Calcs_new'!L$5)</f>
        <v>419.29468774498673</v>
      </c>
      <c r="M12" s="181">
        <f>INDEX(TestSummary!$A$1:$CF$296,'J1634 Calcs_new'!$A12,'J1634 Calcs_new'!M$5)</f>
        <v>23.258861685766512</v>
      </c>
      <c r="N12" s="181">
        <f>INDEX(TestSummary!$A$1:$CF$296,'J1634 Calcs_new'!$A12,'J1634 Calcs_new'!N$5)</f>
        <v>139.66469352704331</v>
      </c>
      <c r="O12" s="181">
        <f>INDEX(TestSummary!$A$1:$CF$296,'J1634 Calcs_new'!$A12,'J1634 Calcs_new'!O$5)</f>
        <v>0.18764425193752557</v>
      </c>
      <c r="T12" s="183" t="s">
        <v>305</v>
      </c>
      <c r="U12" s="184" t="s">
        <v>56</v>
      </c>
      <c r="V12" s="184">
        <v>1</v>
      </c>
      <c r="W12" s="192">
        <f>1/V12</f>
        <v>1</v>
      </c>
      <c r="X12" s="192"/>
      <c r="Y12" s="192"/>
      <c r="Z12" s="193">
        <f>W12*K11*V12</f>
        <v>321.66363412204487</v>
      </c>
      <c r="AA12" s="193">
        <f>S11/Z12</f>
        <v>236.65404455114</v>
      </c>
      <c r="AB12" s="194">
        <f>Z12/W14</f>
        <v>451.83251791074258</v>
      </c>
      <c r="AC12" s="188"/>
      <c r="AF12" s="512" t="s">
        <v>307</v>
      </c>
      <c r="AG12" s="45"/>
      <c r="AH12" s="45"/>
      <c r="AI12" s="45"/>
      <c r="AJ12" s="45"/>
      <c r="AK12" s="45"/>
    </row>
    <row r="13" spans="1:47">
      <c r="A13" s="519">
        <v>161</v>
      </c>
      <c r="B13" s="465">
        <f>INDEX(TestSummary!$A$1:$CF$296,'J1634 Calcs_new'!$A13,'J1634 Calcs_new'!B$5)</f>
        <v>62006017</v>
      </c>
      <c r="C13" s="465" t="str">
        <f>INDEX(TestSummary!$A$1:$CF$296,'J1634 Calcs_new'!$A13,'J1634 Calcs_new'!C$5)</f>
        <v>US06 1, combined</v>
      </c>
      <c r="D13" s="513" t="str">
        <f>INDEX(TestSummary!$A$1:$CF$296,'J1634 Calcs_new'!$A13,'J1634 Calcs_new'!D$5)</f>
        <v xml:space="preserve">J1634 MCT in deep cold (0°F) Test Cell, HVAC-AUTO-72°F, charged over weekend and soaked at 0°F, </v>
      </c>
      <c r="E13" s="521">
        <f>INDEX(TestSummary!$A$1:$CF$296,'J1634 Calcs_new'!$A13,'J1634 Calcs_new'!E$5)</f>
        <v>0</v>
      </c>
      <c r="F13" s="521">
        <f>INDEX(TestSummary!$A$1:$CF$296,'J1634 Calcs_new'!$A13,'J1634 Calcs_new'!F$5)</f>
        <v>-12.8787935</v>
      </c>
      <c r="G13" s="179">
        <f>INDEX(TestSummary!$A$1:$CF$296,'J1634 Calcs_new'!$A13,'J1634 Calcs_new'!G$5)</f>
        <v>2874.6264299999998</v>
      </c>
      <c r="H13" s="179">
        <f>INDEX(TestSummary!$A$1:$CF$296,'J1634 Calcs_new'!$A13,'J1634 Calcs_new'!H$5)</f>
        <v>5637</v>
      </c>
      <c r="I13" s="179">
        <f>INDEX(TestSummary!$A$1:$CF$296,'J1634 Calcs_new'!$A13,'J1634 Calcs_new'!I$5)</f>
        <v>3085.3735700000002</v>
      </c>
      <c r="J13" s="606">
        <f>INDEX(TestSummary!$A$1:$CF$296,'J1634 Calcs_new'!$A13,'J1634 Calcs_new'!J$5)</f>
        <v>8.0218217700000007</v>
      </c>
      <c r="K13" s="181">
        <f>INDEX(TestSummary!$A$1:$CF$296,'J1634 Calcs_new'!$A13,'J1634 Calcs_new'!K$5)</f>
        <v>384.62255313857463</v>
      </c>
      <c r="L13" s="181">
        <f>INDEX(TestSummary!$A$1:$CF$296,'J1634 Calcs_new'!$A13,'J1634 Calcs_new'!L$5)</f>
        <v>385.44860365303276</v>
      </c>
      <c r="M13" s="181">
        <f>INDEX(TestSummary!$A$1:$CF$296,'J1634 Calcs_new'!$A13,'J1634 Calcs_new'!M$5)</f>
        <v>9.212371219262284</v>
      </c>
      <c r="N13" s="181">
        <f>INDEX(TestSummary!$A$1:$CF$296,'J1634 Calcs_new'!$A13,'J1634 Calcs_new'!N$5)</f>
        <v>41.643736370373119</v>
      </c>
      <c r="O13" s="181">
        <f>INDEX(TestSummary!$A$1:$CF$296,'J1634 Calcs_new'!$A13,'J1634 Calcs_new'!O$5)</f>
        <v>6.2329981185807369E-2</v>
      </c>
      <c r="T13" s="183" t="s">
        <v>305</v>
      </c>
      <c r="U13" s="184" t="s">
        <v>224</v>
      </c>
      <c r="V13" s="184">
        <v>1</v>
      </c>
      <c r="W13" s="192">
        <f>1/V13</f>
        <v>1</v>
      </c>
      <c r="X13" s="192"/>
      <c r="Y13" s="192"/>
      <c r="Z13" s="193">
        <f>W13*K13*V13</f>
        <v>384.62255313857463</v>
      </c>
      <c r="AA13" s="193">
        <f>S11/Z13</f>
        <v>197.91611120779453</v>
      </c>
      <c r="AB13" s="194">
        <f>Z13/W14</f>
        <v>540.26926949386973</v>
      </c>
      <c r="AC13" s="188"/>
      <c r="AF13" s="512" t="s">
        <v>58</v>
      </c>
      <c r="AG13" s="143">
        <f>AB11</f>
        <v>623.1978102885663</v>
      </c>
      <c r="AH13" s="143">
        <f>AB18</f>
        <v>345.61076559747676</v>
      </c>
      <c r="AI13" s="143">
        <f>AB66</f>
        <v>363.33201755539949</v>
      </c>
      <c r="AJ13" s="143">
        <f>AB32</f>
        <v>191.87086118564312</v>
      </c>
      <c r="AK13" s="143">
        <f>AB43</f>
        <v>246.52071759330829</v>
      </c>
      <c r="AL13" s="143">
        <f>AB73</f>
        <v>230.21071488348849</v>
      </c>
      <c r="AS13" s="189"/>
    </row>
    <row r="14" spans="1:47" ht="15.75" thickBot="1">
      <c r="B14" s="472"/>
      <c r="C14" s="472"/>
      <c r="D14" s="20"/>
      <c r="E14" s="155"/>
      <c r="F14" s="155"/>
      <c r="G14" s="202"/>
      <c r="H14" s="202"/>
      <c r="I14" s="202"/>
      <c r="J14" s="607"/>
      <c r="K14" s="204"/>
      <c r="L14" s="204"/>
      <c r="M14" s="204"/>
      <c r="N14" s="204"/>
      <c r="O14" s="204"/>
      <c r="T14" s="195" t="s">
        <v>305</v>
      </c>
      <c r="U14" s="196" t="s">
        <v>308</v>
      </c>
      <c r="V14" s="196"/>
      <c r="W14" s="376">
        <f>R11/R10</f>
        <v>0.71190899585847878</v>
      </c>
      <c r="X14" s="197"/>
      <c r="Y14" s="197"/>
      <c r="Z14" s="198" t="s">
        <v>293</v>
      </c>
      <c r="AA14" s="198" t="s">
        <v>309</v>
      </c>
      <c r="AB14" s="199" t="s">
        <v>307</v>
      </c>
      <c r="AC14" s="200"/>
      <c r="AF14" s="512" t="s">
        <v>1317</v>
      </c>
      <c r="AG14" s="143">
        <f>AB12</f>
        <v>451.83251791074258</v>
      </c>
      <c r="AH14" s="143">
        <f>AB19</f>
        <v>297.79189838158862</v>
      </c>
      <c r="AI14" s="143">
        <f>AB67</f>
        <v>310.51009517643644</v>
      </c>
      <c r="AJ14" s="143">
        <f>AB33</f>
        <v>207.03102229054375</v>
      </c>
      <c r="AK14" s="143">
        <f>AB44</f>
        <v>208.55032582279784</v>
      </c>
      <c r="AL14" s="143">
        <f>AB74</f>
        <v>212.16810298336404</v>
      </c>
    </row>
    <row r="15" spans="1:47" ht="15.75" thickBot="1">
      <c r="AF15" s="512" t="s">
        <v>224</v>
      </c>
      <c r="AG15" s="143">
        <f>AB13</f>
        <v>540.26926949386973</v>
      </c>
      <c r="AH15" s="143">
        <f>AB20</f>
        <v>375.81766958367479</v>
      </c>
      <c r="AI15" s="143">
        <f>AB68</f>
        <v>386.32476033433574</v>
      </c>
      <c r="AJ15" s="143">
        <f>AB34</f>
        <v>274.27312209401856</v>
      </c>
      <c r="AK15" s="143">
        <f>AB45</f>
        <v>276.14966793750625</v>
      </c>
      <c r="AL15" s="143">
        <f>AB75</f>
        <v>290.37196917737981</v>
      </c>
    </row>
    <row r="16" spans="1:47" ht="16.5" thickBot="1">
      <c r="B16" s="119" t="s">
        <v>416</v>
      </c>
      <c r="C16" s="174"/>
      <c r="D16" s="174"/>
      <c r="E16" s="158"/>
      <c r="F16" s="158"/>
      <c r="G16" s="174"/>
      <c r="H16" s="174"/>
      <c r="I16" s="174"/>
      <c r="J16" s="604"/>
      <c r="K16" s="174"/>
      <c r="L16" s="174"/>
      <c r="M16" s="174"/>
      <c r="N16" s="174"/>
      <c r="O16" s="174"/>
      <c r="Q16" s="175" t="s">
        <v>294</v>
      </c>
      <c r="R16" s="597" t="s">
        <v>311</v>
      </c>
      <c r="S16" s="512" t="s">
        <v>312</v>
      </c>
      <c r="T16" s="176" t="s">
        <v>295</v>
      </c>
      <c r="U16" s="177"/>
      <c r="V16" s="177"/>
      <c r="W16" s="177"/>
      <c r="X16" s="177"/>
      <c r="Y16" s="177"/>
      <c r="Z16" s="177"/>
      <c r="AA16" s="177"/>
      <c r="AB16" s="177"/>
      <c r="AC16" s="178"/>
      <c r="AG16" s="45"/>
      <c r="AH16" s="45"/>
      <c r="AI16" s="45"/>
      <c r="AJ16" s="45"/>
      <c r="AK16" s="45"/>
    </row>
    <row r="17" spans="1:47">
      <c r="A17" s="512">
        <v>117</v>
      </c>
      <c r="B17" s="465">
        <f>INDEX(TestSummary!$A$1:$CF$296,'J1634 Calcs_new'!$A17,'J1634 Calcs_new'!B$5)</f>
        <v>62006009</v>
      </c>
      <c r="C17" s="465" t="str">
        <f>INDEX(TestSummary!$A$1:$CF$296,'J1634 Calcs_new'!$A17,'J1634 Calcs_new'!C$5)</f>
        <v>UDDS 1 , Combined</v>
      </c>
      <c r="D17" s="513" t="str">
        <f>INDEX(TestSummary!$A$1:$CF$296,'J1634 Calcs_new'!$A17,'J1634 Calcs_new'!D$5)</f>
        <v>J1634 MCT Cold, 20°F Test Cell, HVAC-AUTO-72°F, charge NOT plugged in overnight</v>
      </c>
      <c r="E17" s="521">
        <f>INDEX(TestSummary!$A$1:$CF$296,'J1634 Calcs_new'!$A17,'J1634 Calcs_new'!E$5)</f>
        <v>0</v>
      </c>
      <c r="F17" s="521">
        <f>INDEX(TestSummary!$A$1:$CF$296,'J1634 Calcs_new'!$A17,'J1634 Calcs_new'!F$5)</f>
        <v>-5.8730845</v>
      </c>
      <c r="G17" s="179">
        <f>INDEX(TestSummary!$A$1:$CF$296,'J1634 Calcs_new'!$A17,'J1634 Calcs_new'!G$5)</f>
        <v>23</v>
      </c>
      <c r="H17" s="179">
        <f>INDEX(TestSummary!$A$1:$CF$296,'J1634 Calcs_new'!$A17,'J1634 Calcs_new'!H$5)</f>
        <v>3523</v>
      </c>
      <c r="I17" s="179">
        <f>INDEX(TestSummary!$A$1:$CF$296,'J1634 Calcs_new'!$A17,'J1634 Calcs_new'!I$5)</f>
        <v>3499.7818429999998</v>
      </c>
      <c r="J17" s="606">
        <f>INDEX(TestSummary!$A$1:$CF$296,'J1634 Calcs_new'!$A17,'J1634 Calcs_new'!J$5)</f>
        <v>7.4606862300000003</v>
      </c>
      <c r="K17" s="181">
        <f>INDEX(TestSummary!$A$1:$CF$296,'J1634 Calcs_new'!$A17,'J1634 Calcs_new'!K$5)</f>
        <v>469.0965060193933</v>
      </c>
      <c r="L17" s="181">
        <f>INDEX(TestSummary!$A$1:$CF$296,'J1634 Calcs_new'!$A17,'J1634 Calcs_new'!L$5)</f>
        <v>470.19803431674404</v>
      </c>
      <c r="M17" s="181">
        <f>INDEX(TestSummary!$A$1:$CF$296,'J1634 Calcs_new'!$A17,'J1634 Calcs_new'!M$5)</f>
        <v>28.512370771555684</v>
      </c>
      <c r="N17" s="181">
        <f>INDEX(TestSummary!$A$1:$CF$296,'J1634 Calcs_new'!$A17,'J1634 Calcs_new'!N$5)</f>
        <v>154.38258284720814</v>
      </c>
      <c r="O17" s="181">
        <f>INDEX(TestSummary!$A$1:$CF$296,'J1634 Calcs_new'!$A17,'J1634 Calcs_new'!O$5)</f>
        <v>0.12063233491592637</v>
      </c>
      <c r="Q17" s="182" t="s">
        <v>297</v>
      </c>
      <c r="R17" s="205">
        <f>TestSummary!BL137</f>
        <v>84074</v>
      </c>
      <c r="S17" s="205">
        <f>$R$31</f>
        <v>85754.6</v>
      </c>
      <c r="T17" s="183" t="s">
        <v>16</v>
      </c>
      <c r="U17" s="184" t="s">
        <v>1</v>
      </c>
      <c r="V17" s="184" t="s">
        <v>420</v>
      </c>
      <c r="W17" s="185" t="s">
        <v>298</v>
      </c>
      <c r="X17" s="184" t="s">
        <v>299</v>
      </c>
      <c r="Y17" s="185" t="s">
        <v>300</v>
      </c>
      <c r="Z17" s="186" t="s">
        <v>301</v>
      </c>
      <c r="AA17" s="187" t="s">
        <v>302</v>
      </c>
      <c r="AB17" s="186" t="s">
        <v>303</v>
      </c>
      <c r="AC17" s="188"/>
      <c r="AF17" s="512" t="s">
        <v>418</v>
      </c>
      <c r="AG17" s="520"/>
      <c r="AH17" s="520"/>
      <c r="AI17" s="520"/>
      <c r="AJ17" s="520"/>
    </row>
    <row r="18" spans="1:47">
      <c r="A18" s="512">
        <v>118</v>
      </c>
      <c r="B18" s="465">
        <f>INDEX(TestSummary!$A$1:$CF$296,'J1634 Calcs_new'!$A18,'J1634 Calcs_new'!B$5)</f>
        <v>62006009</v>
      </c>
      <c r="C18" s="465" t="str">
        <f>INDEX(TestSummary!$A$1:$CF$296,'J1634 Calcs_new'!$A18,'J1634 Calcs_new'!C$5)</f>
        <v>HWY 1</v>
      </c>
      <c r="D18" s="513" t="str">
        <f>INDEX(TestSummary!$A$1:$CF$296,'J1634 Calcs_new'!$A18,'J1634 Calcs_new'!D$5)</f>
        <v>J1634 MCT Cold, 20°F Test Cell, HVAC-AUTO-72°F, charge NOT plugged in overnight</v>
      </c>
      <c r="E18" s="521">
        <f>INDEX(TestSummary!$A$1:$CF$296,'J1634 Calcs_new'!$A18,'J1634 Calcs_new'!E$5)</f>
        <v>0</v>
      </c>
      <c r="F18" s="521">
        <f>INDEX(TestSummary!$A$1:$CF$296,'J1634 Calcs_new'!$A18,'J1634 Calcs_new'!F$5)</f>
        <v>-4.2884739999999999</v>
      </c>
      <c r="G18" s="179">
        <f>INDEX(TestSummary!$A$1:$CF$296,'J1634 Calcs_new'!$A18,'J1634 Calcs_new'!G$5)</f>
        <v>3534</v>
      </c>
      <c r="H18" s="179">
        <f>INDEX(TestSummary!$A$1:$CF$296,'J1634 Calcs_new'!$A18,'J1634 Calcs_new'!H$5)</f>
        <v>6393</v>
      </c>
      <c r="I18" s="179">
        <f>INDEX(TestSummary!$A$1:$CF$296,'J1634 Calcs_new'!$A18,'J1634 Calcs_new'!I$5)</f>
        <v>2859</v>
      </c>
      <c r="J18" s="606">
        <f>INDEX(TestSummary!$A$1:$CF$296,'J1634 Calcs_new'!$A18,'J1634 Calcs_new'!J$5)</f>
        <v>10.280404389999999</v>
      </c>
      <c r="K18" s="181">
        <f>INDEX(TestSummary!$A$1:$CF$296,'J1634 Calcs_new'!$A18,'J1634 Calcs_new'!K$5)</f>
        <v>278.10190061988408</v>
      </c>
      <c r="L18" s="181">
        <f>INDEX(TestSummary!$A$1:$CF$296,'J1634 Calcs_new'!$A18,'J1634 Calcs_new'!L$5)</f>
        <v>278.58826281054496</v>
      </c>
      <c r="M18" s="181">
        <f>INDEX(TestSummary!$A$1:$CF$296,'J1634 Calcs_new'!$A18,'J1634 Calcs_new'!M$5)</f>
        <v>11.419784236717176</v>
      </c>
      <c r="N18" s="181">
        <f>INDEX(TestSummary!$A$1:$CF$296,'J1634 Calcs_new'!$A18,'J1634 Calcs_new'!N$5)</f>
        <v>36.85875317984452</v>
      </c>
      <c r="O18" s="181">
        <f>INDEX(TestSummary!$A$1:$CF$296,'J1634 Calcs_new'!$A18,'J1634 Calcs_new'!O$5)</f>
        <v>5.83634628793041E-2</v>
      </c>
      <c r="Q18" s="190" t="s">
        <v>304</v>
      </c>
      <c r="R18" s="191">
        <f>TestSummary!W136</f>
        <v>74150</v>
      </c>
      <c r="S18" s="191">
        <f>$R$34</f>
        <v>76123</v>
      </c>
      <c r="T18" s="183" t="s">
        <v>305</v>
      </c>
      <c r="U18" s="184" t="s">
        <v>58</v>
      </c>
      <c r="V18" s="184">
        <v>3</v>
      </c>
      <c r="W18" s="192"/>
      <c r="X18" s="192">
        <f>I17/R18</f>
        <v>4.7198676237356706E-2</v>
      </c>
      <c r="Y18" s="192">
        <f>(1-X18)/V18</f>
        <v>0.31760044125421444</v>
      </c>
      <c r="Z18" s="193">
        <f>X18*K17+(Y18*K19)+(Y18*K22)+(Y18*K24)</f>
        <v>304.81526118720296</v>
      </c>
      <c r="AA18" s="193">
        <f>S18/Z18</f>
        <v>249.73487122499714</v>
      </c>
      <c r="AB18" s="194">
        <f>Z18/W21</f>
        <v>345.61076559747676</v>
      </c>
      <c r="AC18" s="188"/>
      <c r="AF18" s="512" t="s">
        <v>58</v>
      </c>
      <c r="AG18" s="201">
        <f t="shared" ref="AG18:AL20" si="0">AG13/$AJ13-1</f>
        <v>2.2480065312553958</v>
      </c>
      <c r="AH18" s="201">
        <f t="shared" si="0"/>
        <v>0.80126759978985973</v>
      </c>
      <c r="AI18" s="201">
        <f t="shared" si="0"/>
        <v>0.89362790842878681</v>
      </c>
      <c r="AJ18" s="201">
        <f t="shared" si="0"/>
        <v>0</v>
      </c>
      <c r="AK18" s="201">
        <f t="shared" si="0"/>
        <v>0.28482624234843623</v>
      </c>
      <c r="AL18" s="201">
        <f t="shared" si="0"/>
        <v>0.19982113730521056</v>
      </c>
    </row>
    <row r="19" spans="1:47">
      <c r="A19" s="512">
        <v>121</v>
      </c>
      <c r="B19" s="465">
        <f>INDEX(TestSummary!$A$1:$CF$296,'J1634 Calcs_new'!$A19,'J1634 Calcs_new'!B$5)</f>
        <v>62006009</v>
      </c>
      <c r="C19" s="465" t="str">
        <f>INDEX(TestSummary!$A$1:$CF$296,'J1634 Calcs_new'!$A19,'J1634 Calcs_new'!C$5)</f>
        <v>UDDS 2, combined</v>
      </c>
      <c r="D19" s="513" t="str">
        <f>INDEX(TestSummary!$A$1:$CF$296,'J1634 Calcs_new'!$A19,'J1634 Calcs_new'!D$5)</f>
        <v>J1634 MCT Cold, 20°F Test Cell, HVAC-AUTO-72°F, charge NOT plugged in overnight</v>
      </c>
      <c r="E19" s="521">
        <f>INDEX(TestSummary!$A$1:$CF$296,'J1634 Calcs_new'!$A19,'J1634 Calcs_new'!E$5)</f>
        <v>0</v>
      </c>
      <c r="F19" s="521">
        <f>INDEX(TestSummary!$A$1:$CF$296,'J1634 Calcs_new'!$A19,'J1634 Calcs_new'!F$5)</f>
        <v>-6.7439245000000003</v>
      </c>
      <c r="G19" s="179">
        <f>INDEX(TestSummary!$A$1:$CF$296,'J1634 Calcs_new'!$A19,'J1634 Calcs_new'!G$5)</f>
        <v>6444</v>
      </c>
      <c r="H19" s="179">
        <f>INDEX(TestSummary!$A$1:$CF$296,'J1634 Calcs_new'!$A19,'J1634 Calcs_new'!H$5)</f>
        <v>8896</v>
      </c>
      <c r="I19" s="179">
        <f>INDEX(TestSummary!$A$1:$CF$296,'J1634 Calcs_new'!$A19,'J1634 Calcs_new'!I$5)</f>
        <v>2452</v>
      </c>
      <c r="J19" s="606">
        <f>INDEX(TestSummary!$A$1:$CF$296,'J1634 Calcs_new'!$A19,'J1634 Calcs_new'!J$5)</f>
        <v>7.4587678300000002</v>
      </c>
      <c r="K19" s="181">
        <f>INDEX(TestSummary!$A$1:$CF$296,'J1634 Calcs_new'!$A19,'J1634 Calcs_new'!K$5)</f>
        <v>328.74062524614067</v>
      </c>
      <c r="L19" s="181">
        <f>INDEX(TestSummary!$A$1:$CF$296,'J1634 Calcs_new'!$A19,'J1634 Calcs_new'!L$5)</f>
        <v>329.9472588624601</v>
      </c>
      <c r="M19" s="181">
        <f>INDEX(TestSummary!$A$1:$CF$296,'J1634 Calcs_new'!$A19,'J1634 Calcs_new'!M$5)</f>
        <v>22.859003509162719</v>
      </c>
      <c r="N19" s="181">
        <f>INDEX(TestSummary!$A$1:$CF$296,'J1634 Calcs_new'!$A19,'J1634 Calcs_new'!N$5)</f>
        <v>98.97077289775352</v>
      </c>
      <c r="O19" s="181">
        <f>INDEX(TestSummary!$A$1:$CF$296,'J1634 Calcs_new'!$A19,'J1634 Calcs_new'!O$5)</f>
        <v>0.10725632145061684</v>
      </c>
      <c r="T19" s="183" t="s">
        <v>305</v>
      </c>
      <c r="U19" s="184" t="s">
        <v>56</v>
      </c>
      <c r="V19" s="184">
        <v>2</v>
      </c>
      <c r="W19" s="192">
        <f>1/V19</f>
        <v>0.5</v>
      </c>
      <c r="X19" s="192"/>
      <c r="Y19" s="192"/>
      <c r="Z19" s="193">
        <f>W19*(K18+K24)</f>
        <v>262.64087904696811</v>
      </c>
      <c r="AA19" s="193">
        <f>S18/Z19</f>
        <v>289.83683071814158</v>
      </c>
      <c r="AB19" s="194">
        <f>Z19/W21</f>
        <v>297.79189838158862</v>
      </c>
      <c r="AC19" s="188"/>
      <c r="AF19" s="512" t="s">
        <v>1317</v>
      </c>
      <c r="AG19" s="201">
        <f t="shared" si="0"/>
        <v>1.182438713347262</v>
      </c>
      <c r="AH19" s="201">
        <f t="shared" si="0"/>
        <v>0.43839263839248521</v>
      </c>
      <c r="AI19" s="201">
        <f t="shared" si="0"/>
        <v>0.49982399613847228</v>
      </c>
      <c r="AJ19" s="201">
        <f>AJ14/$AJ13-1</f>
        <v>7.9012315946362044E-2</v>
      </c>
      <c r="AK19" s="201">
        <f>AK14/$AJ14-1</f>
        <v>7.3385307933317989E-3</v>
      </c>
      <c r="AL19" s="201">
        <f t="shared" si="0"/>
        <v>2.4813096298249349E-2</v>
      </c>
    </row>
    <row r="20" spans="1:47">
      <c r="A20" s="519">
        <v>124</v>
      </c>
      <c r="B20" s="465">
        <f>INDEX(TestSummary!$A$1:$CF$296,'J1634 Calcs_new'!$A20,'J1634 Calcs_new'!B$5)</f>
        <v>62006009</v>
      </c>
      <c r="C20" s="465" t="str">
        <f>INDEX(TestSummary!$A$1:$CF$296,'J1634 Calcs_new'!$A20,'J1634 Calcs_new'!C$5)</f>
        <v>US06 1, combined</v>
      </c>
      <c r="D20" s="513" t="str">
        <f>INDEX(TestSummary!$A$1:$CF$296,'J1634 Calcs_new'!$A20,'J1634 Calcs_new'!D$5)</f>
        <v>J1634 MCT Cold, 20°F Test Cell, HVAC-AUTO-72°F, charge NOT plugged in overnight</v>
      </c>
      <c r="E20" s="521">
        <f>INDEX(TestSummary!$A$1:$CF$296,'J1634 Calcs_new'!$A20,'J1634 Calcs_new'!E$5)</f>
        <v>0</v>
      </c>
      <c r="F20" s="521">
        <f>INDEX(TestSummary!$A$1:$CF$296,'J1634 Calcs_new'!$A20,'J1634 Calcs_new'!F$5)</f>
        <v>-3.5318399999999999</v>
      </c>
      <c r="G20" s="179">
        <f>INDEX(TestSummary!$A$1:$CF$296,'J1634 Calcs_new'!$A20,'J1634 Calcs_new'!G$5)</f>
        <v>8945</v>
      </c>
      <c r="H20" s="179">
        <f>INDEX(TestSummary!$A$1:$CF$296,'J1634 Calcs_new'!$A20,'J1634 Calcs_new'!H$5)</f>
        <v>11466</v>
      </c>
      <c r="I20" s="179">
        <f>INDEX(TestSummary!$A$1:$CF$296,'J1634 Calcs_new'!$A20,'J1634 Calcs_new'!I$5)</f>
        <v>2798</v>
      </c>
      <c r="J20" s="606">
        <f>INDEX(TestSummary!$A$1:$CF$296,'J1634 Calcs_new'!$A20,'J1634 Calcs_new'!J$5)</f>
        <v>8.0217492899999989</v>
      </c>
      <c r="K20" s="181">
        <f>INDEX(TestSummary!$A$1:$CF$296,'J1634 Calcs_new'!$A20,'J1634 Calcs_new'!K$5)</f>
        <v>348.80172626287606</v>
      </c>
      <c r="L20" s="181">
        <f>INDEX(TestSummary!$A$1:$CF$296,'J1634 Calcs_new'!$A20,'J1634 Calcs_new'!L$5)</f>
        <v>349.42503170651952</v>
      </c>
      <c r="M20" s="181">
        <f>INDEX(TestSummary!$A$1:$CF$296,'J1634 Calcs_new'!$A20,'J1634 Calcs_new'!M$5)</f>
        <v>9.4243783078890058</v>
      </c>
      <c r="N20" s="181">
        <f>INDEX(TestSummary!$A$1:$CF$296,'J1634 Calcs_new'!$A20,'J1634 Calcs_new'!N$5)</f>
        <v>30.683658027911243</v>
      </c>
      <c r="O20" s="181">
        <f>INDEX(TestSummary!$A$1:$CF$296,'J1634 Calcs_new'!$A20,'J1634 Calcs_new'!O$5)</f>
        <v>3.7398326618607133E-2</v>
      </c>
      <c r="T20" s="183" t="s">
        <v>305</v>
      </c>
      <c r="U20" s="184" t="s">
        <v>224</v>
      </c>
      <c r="V20" s="184">
        <v>2</v>
      </c>
      <c r="W20" s="192">
        <f>1/V20</f>
        <v>0.5</v>
      </c>
      <c r="X20" s="192"/>
      <c r="Y20" s="192"/>
      <c r="Z20" s="193">
        <f>W20*(K20+K22)</f>
        <v>331.45657634499946</v>
      </c>
      <c r="AA20" s="193">
        <f>S18/Z20</f>
        <v>229.66205962607515</v>
      </c>
      <c r="AB20" s="194">
        <f>Z20/W21</f>
        <v>375.81766958367479</v>
      </c>
      <c r="AC20" s="188"/>
      <c r="AF20" s="512" t="s">
        <v>224</v>
      </c>
      <c r="AG20" s="201">
        <f t="shared" si="0"/>
        <v>0.96982214432469949</v>
      </c>
      <c r="AH20" s="201">
        <f t="shared" si="0"/>
        <v>0.37023149302558189</v>
      </c>
      <c r="AI20" s="201">
        <f t="shared" si="0"/>
        <v>0.40854035344340733</v>
      </c>
      <c r="AJ20" s="201">
        <f>AJ15/$AJ14-1</f>
        <v>0.32479238647195796</v>
      </c>
      <c r="AK20" s="201">
        <f>AK15/$AJ15-1</f>
        <v>6.8418874921489792E-3</v>
      </c>
      <c r="AL20" s="201">
        <f t="shared" si="0"/>
        <v>5.8696408020041835E-2</v>
      </c>
    </row>
    <row r="21" spans="1:47" ht="18" customHeight="1" thickBot="1">
      <c r="A21" s="519">
        <v>125</v>
      </c>
      <c r="B21" s="465">
        <f>INDEX(TestSummary!$A$1:$CF$296,'J1634 Calcs_new'!$A21,'J1634 Calcs_new'!B$5)</f>
        <v>62006010</v>
      </c>
      <c r="C21" s="465" t="str">
        <f>INDEX(TestSummary!$A$1:$CF$296,'J1634 Calcs_new'!$A21,'J1634 Calcs_new'!C$5)</f>
        <v>SSS 65mph depletion</v>
      </c>
      <c r="D21" s="513" t="str">
        <f>INDEX(TestSummary!$A$1:$CF$296,'J1634 Calcs_new'!$A21,'J1634 Calcs_new'!D$5)</f>
        <v>J1634 MCT Cold, 20°F Test Cell, HVAC-AUTO-72°F, middle deplete</v>
      </c>
      <c r="E21" s="521">
        <f>INDEX(TestSummary!$A$1:$CF$296,'J1634 Calcs_new'!$A21,'J1634 Calcs_new'!E$5)</f>
        <v>0</v>
      </c>
      <c r="F21" s="521">
        <f>INDEX(TestSummary!$A$1:$CF$296,'J1634 Calcs_new'!$A21,'J1634 Calcs_new'!F$5)</f>
        <v>-4.9143400000000002</v>
      </c>
      <c r="G21" s="179">
        <f>INDEX(TestSummary!$A$1:$CF$296,'J1634 Calcs_new'!$A21,'J1634 Calcs_new'!G$5)</f>
        <v>11796</v>
      </c>
      <c r="H21" s="179">
        <f>INDEX(TestSummary!$A$1:$CF$296,'J1634 Calcs_new'!$A21,'J1634 Calcs_new'!H$5)</f>
        <v>61180</v>
      </c>
      <c r="I21" s="179">
        <f>INDEX(TestSummary!$A$1:$CF$296,'J1634 Calcs_new'!$A21,'J1634 Calcs_new'!I$5)</f>
        <v>49384</v>
      </c>
      <c r="J21" s="606">
        <f>INDEX(TestSummary!$A$1:$CF$296,'J1634 Calcs_new'!$A21,'J1634 Calcs_new'!J$5)</f>
        <v>171.55677721999999</v>
      </c>
      <c r="K21" s="181">
        <f>INDEX(TestSummary!$A$1:$CF$296,'J1634 Calcs_new'!$A21,'J1634 Calcs_new'!K$5)</f>
        <v>287.85805376065809</v>
      </c>
      <c r="L21" s="181">
        <f>INDEX(TestSummary!$A$1:$CF$296,'J1634 Calcs_new'!$A21,'J1634 Calcs_new'!L$5)</f>
        <v>288.20196322874244</v>
      </c>
      <c r="M21" s="181">
        <f>INDEX(TestSummary!$A$1:$CF$296,'J1634 Calcs_new'!$A21,'J1634 Calcs_new'!M$5)</f>
        <v>6.3594106725432926</v>
      </c>
      <c r="N21" s="181">
        <f>INDEX(TestSummary!$A$1:$CF$296,'J1634 Calcs_new'!$A21,'J1634 Calcs_new'!N$5)</f>
        <v>24.653645682421502</v>
      </c>
      <c r="O21" s="181">
        <f>INDEX(TestSummary!$A$1:$CF$296,'J1634 Calcs_new'!$A21,'J1634 Calcs_new'!O$5)</f>
        <v>2.331589614131363E-2</v>
      </c>
      <c r="T21" s="195" t="s">
        <v>305</v>
      </c>
      <c r="U21" s="196" t="s">
        <v>308</v>
      </c>
      <c r="V21" s="196"/>
      <c r="W21" s="376">
        <f>R18/R17</f>
        <v>0.88196112948117134</v>
      </c>
      <c r="X21" s="197"/>
      <c r="Y21" s="197"/>
      <c r="Z21" s="198" t="s">
        <v>293</v>
      </c>
      <c r="AA21" s="198" t="s">
        <v>309</v>
      </c>
      <c r="AB21" s="199" t="s">
        <v>307</v>
      </c>
      <c r="AC21" s="200"/>
      <c r="AG21" s="201"/>
      <c r="AH21" s="201"/>
      <c r="AI21" s="201"/>
      <c r="AJ21" s="201"/>
      <c r="AK21" s="201"/>
      <c r="AL21" s="201"/>
    </row>
    <row r="22" spans="1:47">
      <c r="A22" s="519">
        <v>128</v>
      </c>
      <c r="B22" s="465">
        <f>INDEX(TestSummary!$A$1:$CF$296,'J1634 Calcs_new'!$A22,'J1634 Calcs_new'!B$5)</f>
        <v>62006011</v>
      </c>
      <c r="C22" s="465" t="str">
        <f>INDEX(TestSummary!$A$1:$CF$296,'J1634 Calcs_new'!$A22,'J1634 Calcs_new'!C$5)</f>
        <v>US06 2, combined</v>
      </c>
      <c r="D22" s="513" t="str">
        <f>INDEX(TestSummary!$A$1:$CF$296,'J1634 Calcs_new'!$A22,'J1634 Calcs_new'!D$5)</f>
        <v>J1634 MCT Cold, 20°F Test Cell, HVAC-AUTO-72°F, second half</v>
      </c>
      <c r="E22" s="521">
        <f>INDEX(TestSummary!$A$1:$CF$296,'J1634 Calcs_new'!$A22,'J1634 Calcs_new'!E$5)</f>
        <v>0</v>
      </c>
      <c r="F22" s="521">
        <f>INDEX(TestSummary!$A$1:$CF$296,'J1634 Calcs_new'!$A22,'J1634 Calcs_new'!F$5)</f>
        <v>-6.8317999999999994</v>
      </c>
      <c r="G22" s="179">
        <f>INDEX(TestSummary!$A$1:$CF$296,'J1634 Calcs_new'!$A22,'J1634 Calcs_new'!G$5)</f>
        <v>61218</v>
      </c>
      <c r="H22" s="179">
        <f>INDEX(TestSummary!$A$1:$CF$296,'J1634 Calcs_new'!$A22,'J1634 Calcs_new'!H$5)</f>
        <v>63539</v>
      </c>
      <c r="I22" s="179">
        <f>INDEX(TestSummary!$A$1:$CF$296,'J1634 Calcs_new'!$A22,'J1634 Calcs_new'!I$5)</f>
        <v>2521</v>
      </c>
      <c r="J22" s="606">
        <f>INDEX(TestSummary!$A$1:$CF$296,'J1634 Calcs_new'!$A22,'J1634 Calcs_new'!J$5)</f>
        <v>8.0258143699999991</v>
      </c>
      <c r="K22" s="181">
        <f>INDEX(TestSummary!$A$1:$CF$296,'J1634 Calcs_new'!$A22,'J1634 Calcs_new'!K$5)</f>
        <v>314.11142642712286</v>
      </c>
      <c r="L22" s="181">
        <f>INDEX(TestSummary!$A$1:$CF$296,'J1634 Calcs_new'!$A22,'J1634 Calcs_new'!L$5)</f>
        <v>314.73441616616913</v>
      </c>
      <c r="M22" s="181">
        <f>INDEX(TestSummary!$A$1:$CF$296,'J1634 Calcs_new'!$A22,'J1634 Calcs_new'!M$5)</f>
        <v>8.2110047606296526</v>
      </c>
      <c r="N22" s="181">
        <f>INDEX(TestSummary!$A$1:$CF$296,'J1634 Calcs_new'!$A22,'J1634 Calcs_new'!N$5)</f>
        <v>33.804803661313699</v>
      </c>
      <c r="O22" s="181">
        <f>INDEX(TestSummary!$A$1:$CF$296,'J1634 Calcs_new'!$A22,'J1634 Calcs_new'!O$5)</f>
        <v>1.245979478092521E-2</v>
      </c>
      <c r="AF22" s="512" t="s">
        <v>1282</v>
      </c>
      <c r="AG22" s="520"/>
      <c r="AH22" s="520"/>
      <c r="AI22" s="520"/>
      <c r="AJ22" s="520"/>
    </row>
    <row r="23" spans="1:47">
      <c r="A23" s="519">
        <v>131</v>
      </c>
      <c r="B23" s="465">
        <f>INDEX(TestSummary!$A$1:$CF$296,'J1634 Calcs_new'!$A23,'J1634 Calcs_new'!B$5)</f>
        <v>62006011</v>
      </c>
      <c r="C23" s="465" t="str">
        <f>INDEX(TestSummary!$A$1:$CF$296,'J1634 Calcs_new'!$A23,'J1634 Calcs_new'!C$5)</f>
        <v>UDDS 3, combined</v>
      </c>
      <c r="D23" s="513" t="str">
        <f>INDEX(TestSummary!$A$1:$CF$296,'J1634 Calcs_new'!$A23,'J1634 Calcs_new'!D$5)</f>
        <v>J1634 MCT Cold, 20°F Test Cell, HVAC-AUTO-72°F, second half</v>
      </c>
      <c r="E23" s="521">
        <f>INDEX(TestSummary!$A$1:$CF$296,'J1634 Calcs_new'!$A23,'J1634 Calcs_new'!E$5)</f>
        <v>0</v>
      </c>
      <c r="F23" s="521">
        <f>INDEX(TestSummary!$A$1:$CF$296,'J1634 Calcs_new'!$A23,'J1634 Calcs_new'!F$5)</f>
        <v>-6.4201765000000002</v>
      </c>
      <c r="G23" s="179">
        <f>INDEX(TestSummary!$A$1:$CF$296,'J1634 Calcs_new'!$A23,'J1634 Calcs_new'!G$5)</f>
        <v>63784</v>
      </c>
      <c r="H23" s="179">
        <f>INDEX(TestSummary!$A$1:$CF$296,'J1634 Calcs_new'!$A23,'J1634 Calcs_new'!H$5)</f>
        <v>65926</v>
      </c>
      <c r="I23" s="179">
        <f>INDEX(TestSummary!$A$1:$CF$296,'J1634 Calcs_new'!$A23,'J1634 Calcs_new'!I$5)</f>
        <v>2142</v>
      </c>
      <c r="J23" s="606">
        <f>INDEX(TestSummary!$A$1:$CF$296,'J1634 Calcs_new'!$A23,'J1634 Calcs_new'!J$5)</f>
        <v>7.4617118500000004</v>
      </c>
      <c r="K23" s="181">
        <f>INDEX(TestSummary!$A$1:$CF$296,'J1634 Calcs_new'!$A23,'J1634 Calcs_new'!K$5)</f>
        <v>287.06549422703853</v>
      </c>
      <c r="L23" s="181">
        <f>INDEX(TestSummary!$A$1:$CF$296,'J1634 Calcs_new'!$A23,'J1634 Calcs_new'!L$5)</f>
        <v>288.40566927011525</v>
      </c>
      <c r="M23" s="181">
        <f>INDEX(TestSummary!$A$1:$CF$296,'J1634 Calcs_new'!$A23,'J1634 Calcs_new'!M$5)</f>
        <v>20.035616893997318</v>
      </c>
      <c r="N23" s="181">
        <f>INDEX(TestSummary!$A$1:$CF$296,'J1634 Calcs_new'!$A23,'J1634 Calcs_new'!N$5)</f>
        <v>73.937457126543933</v>
      </c>
      <c r="O23" s="181">
        <f>INDEX(TestSummary!$A$1:$CF$296,'J1634 Calcs_new'!$A23,'J1634 Calcs_new'!O$5)</f>
        <v>2.6803500861535018E-2</v>
      </c>
      <c r="R23" s="609"/>
      <c r="AG23" s="520"/>
      <c r="AH23" s="520"/>
      <c r="AI23" s="520"/>
      <c r="AJ23" s="520"/>
    </row>
    <row r="24" spans="1:47">
      <c r="A24" s="519">
        <v>132</v>
      </c>
      <c r="B24" s="465">
        <f>INDEX(TestSummary!$A$1:$CF$296,'J1634 Calcs_new'!$A24,'J1634 Calcs_new'!B$5)</f>
        <v>62006011</v>
      </c>
      <c r="C24" s="465" t="str">
        <f>INDEX(TestSummary!$A$1:$CF$296,'J1634 Calcs_new'!$A24,'J1634 Calcs_new'!C$5)</f>
        <v>HWY</v>
      </c>
      <c r="D24" s="513" t="str">
        <f>INDEX(TestSummary!$A$1:$CF$296,'J1634 Calcs_new'!$A24,'J1634 Calcs_new'!D$5)</f>
        <v>J1634 MCT Cold, 20°F Test Cell, HVAC-AUTO-72°F, second half</v>
      </c>
      <c r="E24" s="521">
        <f>INDEX(TestSummary!$A$1:$CF$296,'J1634 Calcs_new'!$A24,'J1634 Calcs_new'!E$5)</f>
        <v>0</v>
      </c>
      <c r="F24" s="521">
        <f>INDEX(TestSummary!$A$1:$CF$296,'J1634 Calcs_new'!$A24,'J1634 Calcs_new'!F$5)</f>
        <v>-4.939953</v>
      </c>
      <c r="G24" s="179">
        <f>INDEX(TestSummary!$A$1:$CF$296,'J1634 Calcs_new'!$A24,'J1634 Calcs_new'!G$5)</f>
        <v>65933</v>
      </c>
      <c r="H24" s="179">
        <f>INDEX(TestSummary!$A$1:$CF$296,'J1634 Calcs_new'!$A24,'J1634 Calcs_new'!H$5)</f>
        <v>68475</v>
      </c>
      <c r="I24" s="179">
        <f>INDEX(TestSummary!$A$1:$CF$296,'J1634 Calcs_new'!$A24,'J1634 Calcs_new'!I$5)</f>
        <v>2542</v>
      </c>
      <c r="J24" s="606">
        <f>INDEX(TestSummary!$A$1:$CF$296,'J1634 Calcs_new'!$A24,'J1634 Calcs_new'!J$5)</f>
        <v>10.284009490000001</v>
      </c>
      <c r="K24" s="181">
        <f>INDEX(TestSummary!$A$1:$CF$296,'J1634 Calcs_new'!$A24,'J1634 Calcs_new'!K$5)</f>
        <v>247.17985747405217</v>
      </c>
      <c r="L24" s="181">
        <f>INDEX(TestSummary!$A$1:$CF$296,'J1634 Calcs_new'!$A24,'J1634 Calcs_new'!L$5)</f>
        <v>247.56881082963682</v>
      </c>
      <c r="M24" s="181">
        <f>INDEX(TestSummary!$A$1:$CF$296,'J1634 Calcs_new'!$A24,'J1634 Calcs_new'!M$5)</f>
        <v>7.9152007861478628</v>
      </c>
      <c r="N24" s="181">
        <f>INDEX(TestSummary!$A$1:$CF$296,'J1634 Calcs_new'!$A24,'J1634 Calcs_new'!N$5)</f>
        <v>24.571816298469763</v>
      </c>
      <c r="O24" s="181">
        <f>INDEX(TestSummary!$A$1:$CF$296,'J1634 Calcs_new'!$A24,'J1634 Calcs_new'!O$5)</f>
        <v>9.7238338896164945E-3</v>
      </c>
      <c r="R24" s="609"/>
      <c r="AG24" s="520"/>
      <c r="AH24" s="520"/>
      <c r="AI24" s="520"/>
      <c r="AJ24" s="520"/>
    </row>
    <row r="25" spans="1:47">
      <c r="A25" s="519">
        <v>135</v>
      </c>
      <c r="B25" s="465">
        <f>INDEX(TestSummary!$A$1:$CF$296,'J1634 Calcs_new'!$A25,'J1634 Calcs_new'!B$5)</f>
        <v>62006011</v>
      </c>
      <c r="C25" s="465" t="str">
        <f>INDEX(TestSummary!$A$1:$CF$296,'J1634 Calcs_new'!$A25,'J1634 Calcs_new'!C$5)</f>
        <v>UDDS 4, combined</v>
      </c>
      <c r="D25" s="513" t="str">
        <f>INDEX(TestSummary!$A$1:$CF$296,'J1634 Calcs_new'!$A25,'J1634 Calcs_new'!D$5)</f>
        <v>J1634 MCT Cold, 20°F Test Cell, HVAC-AUTO-72°F, second half</v>
      </c>
      <c r="E25" s="521">
        <f>INDEX(TestSummary!$A$1:$CF$296,'J1634 Calcs_new'!$A25,'J1634 Calcs_new'!E$5)</f>
        <v>0</v>
      </c>
      <c r="F25" s="521">
        <f>INDEX(TestSummary!$A$1:$CF$296,'J1634 Calcs_new'!$A25,'J1634 Calcs_new'!F$5)</f>
        <v>-6.7294520000000002</v>
      </c>
      <c r="G25" s="179">
        <f>INDEX(TestSummary!$A$1:$CF$296,'J1634 Calcs_new'!$A25,'J1634 Calcs_new'!G$5)</f>
        <v>68519</v>
      </c>
      <c r="H25" s="179">
        <f>INDEX(TestSummary!$A$1:$CF$296,'J1634 Calcs_new'!$A25,'J1634 Calcs_new'!H$5)</f>
        <v>70655</v>
      </c>
      <c r="I25" s="179">
        <f>INDEX(TestSummary!$A$1:$CF$296,'J1634 Calcs_new'!$A25,'J1634 Calcs_new'!I$5)</f>
        <v>2136</v>
      </c>
      <c r="J25" s="606">
        <f>INDEX(TestSummary!$A$1:$CF$296,'J1634 Calcs_new'!$A25,'J1634 Calcs_new'!J$5)</f>
        <v>7.4619885500000001</v>
      </c>
      <c r="K25" s="181">
        <f>INDEX(TestSummary!$A$1:$CF$296,'J1634 Calcs_new'!$A25,'J1634 Calcs_new'!K$5)</f>
        <v>286.25077426579543</v>
      </c>
      <c r="L25" s="181">
        <f>INDEX(TestSummary!$A$1:$CF$296,'J1634 Calcs_new'!$A25,'J1634 Calcs_new'!L$5)</f>
        <v>287.18886200917581</v>
      </c>
      <c r="M25" s="181">
        <f>INDEX(TestSummary!$A$1:$CF$296,'J1634 Calcs_new'!$A25,'J1634 Calcs_new'!M$5)</f>
        <v>19.928779440434838</v>
      </c>
      <c r="N25" s="181">
        <f>INDEX(TestSummary!$A$1:$CF$296,'J1634 Calcs_new'!$A25,'J1634 Calcs_new'!N$5)</f>
        <v>74.21614175486765</v>
      </c>
      <c r="O25" s="181">
        <f>INDEX(TestSummary!$A$1:$CF$296,'J1634 Calcs_new'!$A25,'J1634 Calcs_new'!O$5)</f>
        <v>1.3401253476863034E-2</v>
      </c>
      <c r="R25" s="609"/>
      <c r="AG25" s="520"/>
      <c r="AH25" s="520"/>
      <c r="AI25" s="520"/>
      <c r="AJ25" s="520"/>
    </row>
    <row r="26" spans="1:47">
      <c r="R26" s="609"/>
      <c r="AG26" s="520"/>
      <c r="AH26" s="520"/>
      <c r="AI26" s="520"/>
      <c r="AJ26" s="520"/>
    </row>
    <row r="27" spans="1:47">
      <c r="R27" s="609"/>
      <c r="AG27" s="520"/>
      <c r="AH27" s="520"/>
      <c r="AI27" s="520"/>
      <c r="AJ27" s="520"/>
    </row>
    <row r="28" spans="1:47">
      <c r="R28" s="609"/>
      <c r="AG28" s="520"/>
      <c r="AH28" s="520"/>
      <c r="AI28" s="520"/>
      <c r="AJ28" s="520"/>
    </row>
    <row r="29" spans="1:47" ht="15.75" thickBot="1">
      <c r="R29" s="609"/>
      <c r="AG29" s="520"/>
      <c r="AH29" s="520"/>
      <c r="AI29" s="520"/>
      <c r="AJ29" s="520"/>
    </row>
    <row r="30" spans="1:47" ht="16.5" thickBot="1">
      <c r="B30" s="119" t="s">
        <v>22</v>
      </c>
      <c r="C30" s="174"/>
      <c r="D30" s="174"/>
      <c r="E30" s="158"/>
      <c r="F30" s="158"/>
      <c r="G30" s="753" t="s">
        <v>1361</v>
      </c>
      <c r="H30" s="753"/>
      <c r="I30" s="753"/>
      <c r="J30" s="753"/>
      <c r="K30" s="753"/>
      <c r="L30" s="753"/>
      <c r="M30" s="753"/>
      <c r="N30" s="753"/>
      <c r="O30" s="753"/>
      <c r="Q30" s="175" t="s">
        <v>294</v>
      </c>
      <c r="R30" s="597" t="s">
        <v>311</v>
      </c>
      <c r="S30" s="512" t="s">
        <v>312</v>
      </c>
      <c r="T30" s="176" t="s">
        <v>295</v>
      </c>
      <c r="U30" s="177"/>
      <c r="V30" s="177"/>
      <c r="W30" s="177"/>
      <c r="X30" s="177"/>
      <c r="Y30" s="177"/>
      <c r="Z30" s="177"/>
      <c r="AA30" s="177"/>
      <c r="AB30" s="177"/>
      <c r="AC30" s="178"/>
      <c r="AF30" s="512" t="s">
        <v>58</v>
      </c>
      <c r="AG30" s="201">
        <f t="shared" ref="AG30:AL33" si="1">AG7/$AJ7-1</f>
        <v>2.4446247638826999</v>
      </c>
      <c r="AH30" s="201">
        <f t="shared" si="1"/>
        <v>1.3061105955099177</v>
      </c>
      <c r="AI30" s="201">
        <f t="shared" si="1"/>
        <v>0.46552894077890872</v>
      </c>
      <c r="AJ30" s="201">
        <f t="shared" si="1"/>
        <v>0</v>
      </c>
      <c r="AK30" s="201">
        <f t="shared" si="1"/>
        <v>0.2602393802391918</v>
      </c>
      <c r="AL30" s="201">
        <f t="shared" si="1"/>
        <v>8.1961354152912946E-2</v>
      </c>
    </row>
    <row r="31" spans="1:47" ht="17.25" customHeight="1">
      <c r="A31" s="512">
        <v>200</v>
      </c>
      <c r="B31" s="465">
        <f>INDEX(TestSummary!$A$1:$CF$296,'J1634 Calcs_new'!$A31,'J1634 Calcs_new'!B$5)</f>
        <v>62006032</v>
      </c>
      <c r="C31" s="465" t="str">
        <f>INDEX(TestSummary!$A$1:$CF$296,'J1634 Calcs_new'!$A31,'J1634 Calcs_new'!C$5)</f>
        <v>UDDS 1 , Combined</v>
      </c>
      <c r="D31" s="513" t="str">
        <f>INDEX(TestSummary!$A$1:$CF$296,'J1634 Calcs_new'!$A31,'J1634 Calcs_new'!D$5)</f>
        <v>J1634MCT, 72°F Tesrt Cell</v>
      </c>
      <c r="E31" s="521">
        <f>INDEX(TestSummary!$A$1:$CF$296,'J1634 Calcs_new'!$A31,'J1634 Calcs_new'!E$5)</f>
        <v>0</v>
      </c>
      <c r="F31" s="521">
        <f>INDEX(TestSummary!$A$1:$CF$296,'J1634 Calcs_new'!$A31,'J1634 Calcs_new'!F$5)</f>
        <v>22.951995500000002</v>
      </c>
      <c r="G31" s="179">
        <f>INDEX(TestSummary!$A$1:$CF$296,'J1634 Calcs_new'!$A31,'J1634 Calcs_new'!G$5)</f>
        <v>22</v>
      </c>
      <c r="H31" s="179">
        <f>INDEX(TestSummary!$A$1:$CF$296,'J1634 Calcs_new'!$A31,'J1634 Calcs_new'!H$5)</f>
        <v>1539</v>
      </c>
      <c r="I31" s="179">
        <f>INDEX(TestSummary!$A$1:$CF$296,'J1634 Calcs_new'!$A31,'J1634 Calcs_new'!I$5)</f>
        <v>1517</v>
      </c>
      <c r="J31" s="606">
        <f>INDEX(TestSummary!$A$1:$CF$296,'J1634 Calcs_new'!$A31,'J1634 Calcs_new'!J$5)</f>
        <v>7.45767604</v>
      </c>
      <c r="K31" s="181">
        <f>INDEX(TestSummary!$A$1:$CF$296,'J1634 Calcs_new'!$A31,'J1634 Calcs_new'!K$5)</f>
        <v>203.41457470979122</v>
      </c>
      <c r="L31" s="181">
        <f>INDEX(TestSummary!$A$1:$CF$296,'J1634 Calcs_new'!$A31,'J1634 Calcs_new'!L$5)</f>
        <v>203.95093482768127</v>
      </c>
      <c r="M31" s="181">
        <f>INDEX(TestSummary!$A$1:$CF$296,'J1634 Calcs_new'!$A31,'J1634 Calcs_new'!M$5)</f>
        <v>21.025860356358415</v>
      </c>
      <c r="N31" s="181">
        <f>INDEX(TestSummary!$A$1:$CF$296,'J1634 Calcs_new'!$A31,'J1634 Calcs_new'!N$5)</f>
        <v>6.7045014736252878E-2</v>
      </c>
      <c r="O31" s="181">
        <f>INDEX(TestSummary!$A$1:$CF$296,'J1634 Calcs_new'!$A31,'J1634 Calcs_new'!O$5)</f>
        <v>0.14749903241975634</v>
      </c>
      <c r="Q31" s="182" t="s">
        <v>297</v>
      </c>
      <c r="R31" s="205">
        <f>TestSummary!BL220</f>
        <v>85754.6</v>
      </c>
      <c r="S31" s="205">
        <f>$R$31</f>
        <v>85754.6</v>
      </c>
      <c r="T31" s="183" t="s">
        <v>16</v>
      </c>
      <c r="U31" s="184" t="s">
        <v>1</v>
      </c>
      <c r="V31" s="184" t="s">
        <v>420</v>
      </c>
      <c r="W31" s="185" t="s">
        <v>298</v>
      </c>
      <c r="X31" s="184" t="s">
        <v>299</v>
      </c>
      <c r="Y31" s="185" t="s">
        <v>300</v>
      </c>
      <c r="Z31" s="186" t="s">
        <v>301</v>
      </c>
      <c r="AA31" s="187" t="s">
        <v>302</v>
      </c>
      <c r="AB31" s="186" t="s">
        <v>303</v>
      </c>
      <c r="AC31" s="188"/>
      <c r="AF31" s="512" t="s">
        <v>56</v>
      </c>
      <c r="AG31" s="201">
        <f t="shared" si="1"/>
        <v>0.70954515772072591</v>
      </c>
      <c r="AH31" s="201">
        <f t="shared" si="1"/>
        <v>0.47802768831887188</v>
      </c>
      <c r="AI31" s="201">
        <f t="shared" si="1"/>
        <v>0.34778401535315173</v>
      </c>
      <c r="AJ31" s="201">
        <f t="shared" si="1"/>
        <v>0</v>
      </c>
      <c r="AK31" s="201">
        <f t="shared" si="1"/>
        <v>-2.1641367473302697E-2</v>
      </c>
      <c r="AL31" s="201">
        <f t="shared" si="1"/>
        <v>-4.6695238588970733E-3</v>
      </c>
      <c r="AR31" s="162"/>
    </row>
    <row r="32" spans="1:47">
      <c r="A32" s="512">
        <v>201</v>
      </c>
      <c r="B32" s="465">
        <f>INDEX(TestSummary!$A$1:$CF$296,'J1634 Calcs_new'!$A32,'J1634 Calcs_new'!B$5)</f>
        <v>62006032</v>
      </c>
      <c r="C32" s="465" t="str">
        <f>INDEX(TestSummary!$A$1:$CF$296,'J1634 Calcs_new'!$A32,'J1634 Calcs_new'!C$5)</f>
        <v>HWY 1</v>
      </c>
      <c r="D32" s="513" t="str">
        <f>INDEX(TestSummary!$A$1:$CF$296,'J1634 Calcs_new'!$A32,'J1634 Calcs_new'!D$5)</f>
        <v>J1634MCT, 72°F Tesrt Cell</v>
      </c>
      <c r="E32" s="521">
        <f>INDEX(TestSummary!$A$1:$CF$296,'J1634 Calcs_new'!$A32,'J1634 Calcs_new'!E$5)</f>
        <v>0</v>
      </c>
      <c r="F32" s="521">
        <f>INDEX(TestSummary!$A$1:$CF$296,'J1634 Calcs_new'!$A32,'J1634 Calcs_new'!F$5)</f>
        <v>24.704509000000002</v>
      </c>
      <c r="G32" s="179">
        <f>INDEX(TestSummary!$A$1:$CF$296,'J1634 Calcs_new'!$A32,'J1634 Calcs_new'!G$5)</f>
        <v>1541</v>
      </c>
      <c r="H32" s="179">
        <f>INDEX(TestSummary!$A$1:$CF$296,'J1634 Calcs_new'!$A32,'J1634 Calcs_new'!H$5)</f>
        <v>3476</v>
      </c>
      <c r="I32" s="179">
        <f>INDEX(TestSummary!$A$1:$CF$296,'J1634 Calcs_new'!$A32,'J1634 Calcs_new'!I$5)</f>
        <v>1935</v>
      </c>
      <c r="J32" s="606">
        <f>INDEX(TestSummary!$A$1:$CF$296,'J1634 Calcs_new'!$A32,'J1634 Calcs_new'!J$5)</f>
        <v>10.28394114</v>
      </c>
      <c r="K32" s="181">
        <f>INDEX(TestSummary!$A$1:$CF$296,'J1634 Calcs_new'!$A32,'J1634 Calcs_new'!K$5)</f>
        <v>188.15743630364653</v>
      </c>
      <c r="L32" s="181">
        <f>INDEX(TestSummary!$A$1:$CF$296,'J1634 Calcs_new'!$A32,'J1634 Calcs_new'!L$5)</f>
        <v>188.35191427398621</v>
      </c>
      <c r="M32" s="181">
        <f>INDEX(TestSummary!$A$1:$CF$296,'J1634 Calcs_new'!$A32,'J1634 Calcs_new'!M$5)</f>
        <v>8.1777986527838102</v>
      </c>
      <c r="N32" s="181">
        <f>INDEX(TestSummary!$A$1:$CF$296,'J1634 Calcs_new'!$A32,'J1634 Calcs_new'!N$5)</f>
        <v>9.7238985169843146E-3</v>
      </c>
      <c r="O32" s="181">
        <f>INDEX(TestSummary!$A$1:$CF$296,'J1634 Calcs_new'!$A32,'J1634 Calcs_new'!O$5)</f>
        <v>4.8619492584921584E-2</v>
      </c>
      <c r="Q32" s="190" t="s">
        <v>304</v>
      </c>
      <c r="R32" s="191">
        <f>TestSummary!W219</f>
        <v>76123</v>
      </c>
      <c r="S32" s="191">
        <f>R32</f>
        <v>76123</v>
      </c>
      <c r="T32" s="183" t="s">
        <v>305</v>
      </c>
      <c r="U32" s="184" t="s">
        <v>58</v>
      </c>
      <c r="V32" s="184">
        <v>3</v>
      </c>
      <c r="W32" s="192"/>
      <c r="X32" s="192">
        <f>I31/R32</f>
        <v>1.992827397764145E-2</v>
      </c>
      <c r="Y32" s="192">
        <f>(1-X32)/V32</f>
        <v>0.32669057534078622</v>
      </c>
      <c r="Z32" s="193">
        <f>X32*K31+(Y32*K33)+(Y32*K36)+(Y32*K38)</f>
        <v>170.32072408984138</v>
      </c>
      <c r="AA32" s="193">
        <f>S32/Z32</f>
        <v>446.93915204262737</v>
      </c>
      <c r="AB32" s="601">
        <f>Z32/W35</f>
        <v>191.87086118564312</v>
      </c>
      <c r="AC32" s="188"/>
      <c r="AF32" s="512" t="s">
        <v>1283</v>
      </c>
      <c r="AG32" s="201">
        <f t="shared" si="1"/>
        <v>1.4040421870321405</v>
      </c>
      <c r="AH32" s="201">
        <f t="shared" si="1"/>
        <v>0.88323780636147298</v>
      </c>
      <c r="AI32" s="201">
        <f t="shared" si="1"/>
        <v>0.69964891442387356</v>
      </c>
      <c r="AJ32" s="201">
        <f t="shared" si="1"/>
        <v>0</v>
      </c>
      <c r="AK32" s="201">
        <f t="shared" si="1"/>
        <v>0.24083290014637093</v>
      </c>
      <c r="AL32" s="201">
        <f t="shared" si="1"/>
        <v>0.1619525531608903</v>
      </c>
      <c r="AN32" s="143"/>
      <c r="AO32" s="143"/>
      <c r="AP32" s="143"/>
      <c r="AR32" s="162"/>
      <c r="AS32" s="189"/>
      <c r="AT32" s="189"/>
      <c r="AU32" s="189"/>
    </row>
    <row r="33" spans="1:62">
      <c r="A33" s="512">
        <v>204</v>
      </c>
      <c r="B33" s="465">
        <f>INDEX(TestSummary!$A$1:$CF$296,'J1634 Calcs_new'!$A33,'J1634 Calcs_new'!B$5)</f>
        <v>62006032</v>
      </c>
      <c r="C33" s="465" t="str">
        <f>INDEX(TestSummary!$A$1:$CF$296,'J1634 Calcs_new'!$A33,'J1634 Calcs_new'!C$5)</f>
        <v>UDDS 2, combined</v>
      </c>
      <c r="D33" s="513" t="str">
        <f>INDEX(TestSummary!$A$1:$CF$296,'J1634 Calcs_new'!$A33,'J1634 Calcs_new'!D$5)</f>
        <v>J1634MCT, 72°F Tesrt Cell</v>
      </c>
      <c r="E33" s="521">
        <f>INDEX(TestSummary!$A$1:$CF$296,'J1634 Calcs_new'!$A33,'J1634 Calcs_new'!E$5)</f>
        <v>0</v>
      </c>
      <c r="F33" s="521">
        <f>INDEX(TestSummary!$A$1:$CF$296,'J1634 Calcs_new'!$A33,'J1634 Calcs_new'!F$5)</f>
        <v>20.117266499999999</v>
      </c>
      <c r="G33" s="179">
        <f>INDEX(TestSummary!$A$1:$CF$296,'J1634 Calcs_new'!$A33,'J1634 Calcs_new'!G$5)</f>
        <v>3518</v>
      </c>
      <c r="H33" s="179">
        <f>INDEX(TestSummary!$A$1:$CF$296,'J1634 Calcs_new'!$A33,'J1634 Calcs_new'!H$5)</f>
        <v>4820</v>
      </c>
      <c r="I33" s="179">
        <f>INDEX(TestSummary!$A$1:$CF$296,'J1634 Calcs_new'!$A33,'J1634 Calcs_new'!I$5)</f>
        <v>1302</v>
      </c>
      <c r="J33" s="606">
        <f>INDEX(TestSummary!$A$1:$CF$296,'J1634 Calcs_new'!$A33,'J1634 Calcs_new'!J$5)</f>
        <v>7.4586936799999997</v>
      </c>
      <c r="K33" s="181">
        <f>INDEX(TestSummary!$A$1:$CF$296,'J1634 Calcs_new'!$A33,'J1634 Calcs_new'!K$5)</f>
        <v>174.5613985316528</v>
      </c>
      <c r="L33" s="181">
        <f>INDEX(TestSummary!$A$1:$CF$296,'J1634 Calcs_new'!$A33,'J1634 Calcs_new'!L$5)</f>
        <v>174.96361373564278</v>
      </c>
      <c r="M33" s="181">
        <f>INDEX(TestSummary!$A$1:$CF$296,'J1634 Calcs_new'!$A33,'J1634 Calcs_new'!M$5)</f>
        <v>18.959288994423481</v>
      </c>
      <c r="N33" s="181">
        <f>INDEX(TestSummary!$A$1:$CF$296,'J1634 Calcs_new'!$A33,'J1634 Calcs_new'!N$5)</f>
        <v>5.362869386533111E-2</v>
      </c>
      <c r="O33" s="181">
        <f>INDEX(TestSummary!$A$1:$CF$296,'J1634 Calcs_new'!$A33,'J1634 Calcs_new'!O$5)</f>
        <v>0.13407173466332781</v>
      </c>
      <c r="T33" s="183" t="s">
        <v>305</v>
      </c>
      <c r="U33" s="184" t="s">
        <v>56</v>
      </c>
      <c r="V33" s="184">
        <v>2</v>
      </c>
      <c r="W33" s="192">
        <f>1/V33</f>
        <v>0.5</v>
      </c>
      <c r="X33" s="192"/>
      <c r="Y33" s="192"/>
      <c r="Z33" s="193">
        <f>W33*(K32+K37)</f>
        <v>183.77815895384109</v>
      </c>
      <c r="AA33" s="193">
        <f>S32/Z33</f>
        <v>414.21135369584124</v>
      </c>
      <c r="AB33" s="194">
        <f>Z33/W35</f>
        <v>207.03102229054375</v>
      </c>
      <c r="AC33" s="188"/>
      <c r="AF33" s="512" t="s">
        <v>224</v>
      </c>
      <c r="AG33" s="201">
        <f t="shared" si="1"/>
        <v>0.54575175346343263</v>
      </c>
      <c r="AH33" s="201">
        <f t="shared" si="1"/>
        <v>0.4017921611259756</v>
      </c>
      <c r="AI33" s="201">
        <f t="shared" si="1"/>
        <v>0.26801242559417493</v>
      </c>
      <c r="AJ33" s="201">
        <f t="shared" si="1"/>
        <v>0</v>
      </c>
      <c r="AK33" s="201">
        <f t="shared" si="1"/>
        <v>-2.037891878628717E-2</v>
      </c>
      <c r="AL33" s="201">
        <f t="shared" si="1"/>
        <v>3.0073671731058571E-2</v>
      </c>
      <c r="AN33" s="143"/>
      <c r="AO33" s="143"/>
      <c r="AP33" s="143"/>
      <c r="AR33" s="162"/>
    </row>
    <row r="34" spans="1:62">
      <c r="A34" s="519">
        <v>207</v>
      </c>
      <c r="B34" s="465">
        <f>INDEX(TestSummary!$A$1:$CF$296,'J1634 Calcs_new'!$A34,'J1634 Calcs_new'!B$5)</f>
        <v>62006032</v>
      </c>
      <c r="C34" s="465" t="str">
        <f>INDEX(TestSummary!$A$1:$CF$296,'J1634 Calcs_new'!$A34,'J1634 Calcs_new'!C$5)</f>
        <v>US06 1, combined</v>
      </c>
      <c r="D34" s="513" t="str">
        <f>INDEX(TestSummary!$A$1:$CF$296,'J1634 Calcs_new'!$A34,'J1634 Calcs_new'!D$5)</f>
        <v>J1634MCT, 72°F Tesrt Cell</v>
      </c>
      <c r="E34" s="521">
        <f>INDEX(TestSummary!$A$1:$CF$296,'J1634 Calcs_new'!$A34,'J1634 Calcs_new'!E$5)</f>
        <v>0</v>
      </c>
      <c r="F34" s="521">
        <f>INDEX(TestSummary!$A$1:$CF$296,'J1634 Calcs_new'!$A34,'J1634 Calcs_new'!F$5)</f>
        <v>24.892365499999997</v>
      </c>
      <c r="G34" s="179">
        <f>INDEX(TestSummary!$A$1:$CF$296,'J1634 Calcs_new'!$A34,'J1634 Calcs_new'!G$5)</f>
        <v>4830</v>
      </c>
      <c r="H34" s="179">
        <f>INDEX(TestSummary!$A$1:$CF$296,'J1634 Calcs_new'!$A34,'J1634 Calcs_new'!H$5)</f>
        <v>6676</v>
      </c>
      <c r="I34" s="179">
        <f>INDEX(TestSummary!$A$1:$CF$296,'J1634 Calcs_new'!$A34,'J1634 Calcs_new'!I$5)</f>
        <v>1997</v>
      </c>
      <c r="J34" s="606">
        <f>INDEX(TestSummary!$A$1:$CF$296,'J1634 Calcs_new'!$A34,'J1634 Calcs_new'!J$5)</f>
        <v>8.0257026699999994</v>
      </c>
      <c r="K34" s="181">
        <f>INDEX(TestSummary!$A$1:$CF$296,'J1634 Calcs_new'!$A34,'J1634 Calcs_new'!K$5)</f>
        <v>248.82556482745954</v>
      </c>
      <c r="L34" s="181">
        <f>INDEX(TestSummary!$A$1:$CF$296,'J1634 Calcs_new'!$A34,'J1634 Calcs_new'!L$5)</f>
        <v>249.19936387326945</v>
      </c>
      <c r="M34" s="181">
        <f>INDEX(TestSummary!$A$1:$CF$296,'J1634 Calcs_new'!$A34,'J1634 Calcs_new'!M$5)</f>
        <v>7.7002603436840271</v>
      </c>
      <c r="N34" s="181">
        <f>INDEX(TestSummary!$A$1:$CF$296,'J1634 Calcs_new'!$A34,'J1634 Calcs_new'!N$5)</f>
        <v>2.4919936387326938E-2</v>
      </c>
      <c r="O34" s="181">
        <f>INDEX(TestSummary!$A$1:$CF$296,'J1634 Calcs_new'!$A34,'J1634 Calcs_new'!O$5)</f>
        <v>4.9839872774653932E-2</v>
      </c>
      <c r="Q34" s="190" t="s">
        <v>1257</v>
      </c>
      <c r="R34" s="191">
        <f>TestSummary!W219</f>
        <v>76123</v>
      </c>
      <c r="S34" s="191">
        <f>$R$34</f>
        <v>76123</v>
      </c>
      <c r="T34" s="183" t="s">
        <v>305</v>
      </c>
      <c r="U34" s="184" t="s">
        <v>224</v>
      </c>
      <c r="V34" s="184">
        <v>2</v>
      </c>
      <c r="W34" s="192">
        <f>1/V34</f>
        <v>0.5</v>
      </c>
      <c r="X34" s="192"/>
      <c r="Y34" s="192"/>
      <c r="Z34" s="193">
        <f>W34*(K34+K35)</f>
        <v>243.46790578188197</v>
      </c>
      <c r="AA34" s="193">
        <f>S32/Z34</f>
        <v>312.66133314588524</v>
      </c>
      <c r="AB34" s="194">
        <f>Z34/W35</f>
        <v>274.27312209401856</v>
      </c>
      <c r="AC34" s="188"/>
      <c r="AG34" s="201"/>
      <c r="AH34" s="201"/>
      <c r="AI34" s="201"/>
      <c r="AJ34" s="201"/>
      <c r="AK34" s="201"/>
      <c r="AL34" s="201"/>
      <c r="AN34" s="143"/>
      <c r="AO34" s="143"/>
      <c r="AP34" s="143"/>
      <c r="AR34" s="162"/>
    </row>
    <row r="35" spans="1:62" ht="15.75" thickBot="1">
      <c r="A35" s="519">
        <v>211</v>
      </c>
      <c r="B35" s="465">
        <f>INDEX(TestSummary!$A$1:$CF$296,'J1634 Calcs_new'!$A35,'J1634 Calcs_new'!B$5)</f>
        <v>62006034</v>
      </c>
      <c r="C35" s="465" t="str">
        <f>INDEX(TestSummary!$A$1:$CF$296,'J1634 Calcs_new'!$A35,'J1634 Calcs_new'!C$5)</f>
        <v>US06 2, combined</v>
      </c>
      <c r="D35" s="513" t="str">
        <f>INDEX(TestSummary!$A$1:$CF$296,'J1634 Calcs_new'!$A35,'J1634 Calcs_new'!D$5)</f>
        <v>J1634MCT, 72°F Test Cell, US06/UDDS/HWY/UDDS</v>
      </c>
      <c r="E35" s="521">
        <f>INDEX(TestSummary!$A$1:$CF$296,'J1634 Calcs_new'!$A35,'J1634 Calcs_new'!E$5)</f>
        <v>0</v>
      </c>
      <c r="F35" s="521">
        <f>INDEX(TestSummary!$A$1:$CF$296,'J1634 Calcs_new'!$A35,'J1634 Calcs_new'!F$5)</f>
        <v>24.059113500000002</v>
      </c>
      <c r="G35" s="179">
        <f>INDEX(TestSummary!$A$1:$CF$296,'J1634 Calcs_new'!$A35,'J1634 Calcs_new'!G$5)</f>
        <v>63728</v>
      </c>
      <c r="H35" s="179">
        <f>INDEX(TestSummary!$A$1:$CF$296,'J1634 Calcs_new'!$A35,'J1634 Calcs_new'!H$5)</f>
        <v>65492</v>
      </c>
      <c r="I35" s="179">
        <f>INDEX(TestSummary!$A$1:$CF$296,'J1634 Calcs_new'!$A35,'J1634 Calcs_new'!I$5)</f>
        <v>1911</v>
      </c>
      <c r="J35" s="606">
        <f>INDEX(TestSummary!$A$1:$CF$296,'J1634 Calcs_new'!$A35,'J1634 Calcs_new'!J$5)</f>
        <v>8.02569409</v>
      </c>
      <c r="K35" s="181">
        <f>INDEX(TestSummary!$A$1:$CF$296,'J1634 Calcs_new'!$A35,'J1634 Calcs_new'!K$5)</f>
        <v>238.11024673630439</v>
      </c>
      <c r="L35" s="181">
        <f>INDEX(TestSummary!$A$1:$CF$296,'J1634 Calcs_new'!$A35,'J1634 Calcs_new'!L$5)</f>
        <v>238.23484655144637</v>
      </c>
      <c r="M35" s="181">
        <f>INDEX(TestSummary!$A$1:$CF$296,'J1634 Calcs_new'!$A35,'J1634 Calcs_new'!M$5)</f>
        <v>7.3015491673194504</v>
      </c>
      <c r="N35" s="181">
        <f>INDEX(TestSummary!$A$1:$CF$296,'J1634 Calcs_new'!$A35,'J1634 Calcs_new'!N$5)</f>
        <v>1.2459981514196942E-2</v>
      </c>
      <c r="O35" s="181">
        <f>INDEX(TestSummary!$A$1:$CF$296,'J1634 Calcs_new'!$A35,'J1634 Calcs_new'!O$5)</f>
        <v>3.7379944542590825E-2</v>
      </c>
      <c r="P35" s="45"/>
      <c r="T35" s="195" t="s">
        <v>305</v>
      </c>
      <c r="U35" s="196" t="s">
        <v>308</v>
      </c>
      <c r="V35" s="196"/>
      <c r="W35" s="376">
        <f>R32/R31</f>
        <v>0.88768415921711485</v>
      </c>
      <c r="X35" s="197"/>
      <c r="Y35" s="197"/>
      <c r="Z35" s="198" t="s">
        <v>293</v>
      </c>
      <c r="AA35" s="198" t="s">
        <v>309</v>
      </c>
      <c r="AB35" s="199" t="s">
        <v>307</v>
      </c>
      <c r="AC35" s="200"/>
      <c r="AF35" s="512" t="s">
        <v>310</v>
      </c>
      <c r="AG35" s="45"/>
      <c r="AH35" s="45"/>
      <c r="AI35" s="45"/>
      <c r="AJ35" s="45"/>
      <c r="AK35" s="45"/>
    </row>
    <row r="36" spans="1:62">
      <c r="A36" s="519">
        <v>214</v>
      </c>
      <c r="B36" s="465">
        <f>INDEX(TestSummary!$A$1:$CF$296,'J1634 Calcs_new'!$A36,'J1634 Calcs_new'!B$5)</f>
        <v>62006034</v>
      </c>
      <c r="C36" s="465" t="str">
        <f>INDEX(TestSummary!$A$1:$CF$296,'J1634 Calcs_new'!$A36,'J1634 Calcs_new'!C$5)</f>
        <v>UDDS 3, combined</v>
      </c>
      <c r="D36" s="513" t="str">
        <f>INDEX(TestSummary!$A$1:$CF$296,'J1634 Calcs_new'!$A36,'J1634 Calcs_new'!D$5)</f>
        <v>J1634MCT, 72°F Test Cell, US06/UDDS/HWY/UDDS</v>
      </c>
      <c r="E36" s="521">
        <f>INDEX(TestSummary!$A$1:$CF$296,'J1634 Calcs_new'!$A36,'J1634 Calcs_new'!E$5)</f>
        <v>0</v>
      </c>
      <c r="F36" s="521">
        <f>INDEX(TestSummary!$A$1:$CF$296,'J1634 Calcs_new'!$A36,'J1634 Calcs_new'!F$5)</f>
        <v>20.501139000000002</v>
      </c>
      <c r="G36" s="179">
        <f>INDEX(TestSummary!$A$1:$CF$296,'J1634 Calcs_new'!$A36,'J1634 Calcs_new'!G$5)</f>
        <v>65678</v>
      </c>
      <c r="H36" s="179">
        <f>INDEX(TestSummary!$A$1:$CF$296,'J1634 Calcs_new'!$A36,'J1634 Calcs_new'!H$5)</f>
        <v>66928</v>
      </c>
      <c r="I36" s="179">
        <f>INDEX(TestSummary!$A$1:$CF$296,'J1634 Calcs_new'!$A36,'J1634 Calcs_new'!I$5)</f>
        <v>1250</v>
      </c>
      <c r="J36" s="606">
        <f>INDEX(TestSummary!$A$1:$CF$296,'J1634 Calcs_new'!$A36,'J1634 Calcs_new'!J$5)</f>
        <v>7.4586554600000001</v>
      </c>
      <c r="K36" s="181">
        <f>INDEX(TestSummary!$A$1:$CF$296,'J1634 Calcs_new'!$A36,'J1634 Calcs_new'!K$5)</f>
        <v>167.59052710017522</v>
      </c>
      <c r="L36" s="181">
        <f>INDEX(TestSummary!$A$1:$CF$296,'J1634 Calcs_new'!$A36,'J1634 Calcs_new'!L$5)</f>
        <v>167.72459952185537</v>
      </c>
      <c r="M36" s="181">
        <f>INDEX(TestSummary!$A$1:$CF$296,'J1634 Calcs_new'!$A36,'J1634 Calcs_new'!M$5)</f>
        <v>17.720066533278384</v>
      </c>
      <c r="N36" s="181">
        <f>INDEX(TestSummary!$A$1:$CF$296,'J1634 Calcs_new'!$A36,'J1634 Calcs_new'!N$5)</f>
        <v>4.022172650404203E-2</v>
      </c>
      <c r="O36" s="181">
        <f>INDEX(TestSummary!$A$1:$CF$296,'J1634 Calcs_new'!$A36,'J1634 Calcs_new'!O$5)</f>
        <v>8.0443453008084059E-2</v>
      </c>
      <c r="AF36" s="512" t="s">
        <v>58</v>
      </c>
      <c r="AG36" s="143">
        <f>AA11</f>
        <v>171.57953872429457</v>
      </c>
      <c r="AH36" s="143">
        <f>AA18</f>
        <v>249.73487122499714</v>
      </c>
      <c r="AI36" s="143">
        <f>AA66</f>
        <v>256.53478443642973</v>
      </c>
      <c r="AJ36" s="143">
        <f>AA32</f>
        <v>446.93915204262737</v>
      </c>
      <c r="AK36" s="143">
        <f>AA43</f>
        <v>349.82744365534592</v>
      </c>
      <c r="AL36" s="143">
        <f>AA73</f>
        <v>374.61207002200189</v>
      </c>
      <c r="AN36" s="201">
        <f>(AN42-AN41)/AN41</f>
        <v>-0.10964146636229366</v>
      </c>
      <c r="AR36" s="201">
        <f>(AR42-AR41)/AR41</f>
        <v>-6.2084257206208429E-2</v>
      </c>
      <c r="AS36" s="189"/>
      <c r="AV36" s="201">
        <f>(AV42-AV41)/AV41</f>
        <v>-0.14172709294660515</v>
      </c>
      <c r="AZ36" s="201">
        <f>(AZ42-AZ41)/AZ41</f>
        <v>-9.3226022803487588E-2</v>
      </c>
    </row>
    <row r="37" spans="1:62">
      <c r="A37" s="519">
        <v>215</v>
      </c>
      <c r="B37" s="465">
        <f>INDEX(TestSummary!$A$1:$CF$296,'J1634 Calcs_new'!$A37,'J1634 Calcs_new'!B$5)</f>
        <v>62006034</v>
      </c>
      <c r="C37" s="465" t="str">
        <f>INDEX(TestSummary!$A$1:$CF$296,'J1634 Calcs_new'!$A37,'J1634 Calcs_new'!C$5)</f>
        <v>HWY</v>
      </c>
      <c r="D37" s="513" t="str">
        <f>INDEX(TestSummary!$A$1:$CF$296,'J1634 Calcs_new'!$A37,'J1634 Calcs_new'!D$5)</f>
        <v>J1634MCT, 72°F Test Cell, US06/UDDS/HWY/UDDS</v>
      </c>
      <c r="E37" s="521">
        <f>INDEX(TestSummary!$A$1:$CF$296,'J1634 Calcs_new'!$A37,'J1634 Calcs_new'!E$5)</f>
        <v>0</v>
      </c>
      <c r="F37" s="521">
        <f>INDEX(TestSummary!$A$1:$CF$296,'J1634 Calcs_new'!$A37,'J1634 Calcs_new'!F$5)</f>
        <v>25.32254</v>
      </c>
      <c r="G37" s="179">
        <f>INDEX(TestSummary!$A$1:$CF$296,'J1634 Calcs_new'!$A37,'J1634 Calcs_new'!G$5)</f>
        <v>66930</v>
      </c>
      <c r="H37" s="179">
        <f>INDEX(TestSummary!$A$1:$CF$296,'J1634 Calcs_new'!$A37,'J1634 Calcs_new'!H$5)</f>
        <v>68775</v>
      </c>
      <c r="I37" s="179">
        <f>INDEX(TestSummary!$A$1:$CF$296,'J1634 Calcs_new'!$A37,'J1634 Calcs_new'!I$5)</f>
        <v>1845</v>
      </c>
      <c r="J37" s="606">
        <f>INDEX(TestSummary!$A$1:$CF$296,'J1634 Calcs_new'!$A37,'J1634 Calcs_new'!J$5)</f>
        <v>10.284345050000001</v>
      </c>
      <c r="K37" s="181">
        <f>INDEX(TestSummary!$A$1:$CF$296,'J1634 Calcs_new'!$A37,'J1634 Calcs_new'!K$5)</f>
        <v>179.39888160403564</v>
      </c>
      <c r="L37" s="181">
        <f>INDEX(TestSummary!$A$1:$CF$296,'J1634 Calcs_new'!$A37,'J1634 Calcs_new'!L$5)</f>
        <v>179.59335193639774</v>
      </c>
      <c r="M37" s="181">
        <f>INDEX(TestSummary!$A$1:$CF$296,'J1634 Calcs_new'!$A37,'J1634 Calcs_new'!M$5)</f>
        <v>7.185025165992462</v>
      </c>
      <c r="N37" s="181">
        <f>INDEX(TestSummary!$A$1:$CF$296,'J1634 Calcs_new'!$A37,'J1634 Calcs_new'!N$5)</f>
        <v>0</v>
      </c>
      <c r="O37" s="181">
        <f>INDEX(TestSummary!$A$1:$CF$296,'J1634 Calcs_new'!$A37,'J1634 Calcs_new'!O$5)</f>
        <v>2.9170549854314633E-2</v>
      </c>
      <c r="AF37" s="512" t="s">
        <v>1317</v>
      </c>
      <c r="AG37" s="143">
        <f>AA12</f>
        <v>236.65404455114</v>
      </c>
      <c r="AH37" s="143">
        <f>AA19</f>
        <v>289.83683071814158</v>
      </c>
      <c r="AI37" s="143">
        <f>AA67</f>
        <v>300.17478417075534</v>
      </c>
      <c r="AJ37" s="143">
        <f>AA33</f>
        <v>414.21135369584124</v>
      </c>
      <c r="AK37" s="143">
        <f>AA44</f>
        <v>413.51991229697302</v>
      </c>
      <c r="AL37" s="143">
        <f>AA74</f>
        <v>406.46879163787645</v>
      </c>
    </row>
    <row r="38" spans="1:62">
      <c r="A38" s="519">
        <v>218</v>
      </c>
      <c r="B38" s="465">
        <f>INDEX(TestSummary!$A$1:$CF$296,'J1634 Calcs_new'!$A38,'J1634 Calcs_new'!B$5)</f>
        <v>62006034</v>
      </c>
      <c r="C38" s="465" t="str">
        <f>INDEX(TestSummary!$A$1:$CF$296,'J1634 Calcs_new'!$A38,'J1634 Calcs_new'!C$5)</f>
        <v>UDDS 4, combined</v>
      </c>
      <c r="D38" s="513" t="str">
        <f>INDEX(TestSummary!$A$1:$CF$296,'J1634 Calcs_new'!$A38,'J1634 Calcs_new'!D$5)</f>
        <v>J1634MCT, 72°F Test Cell, US06/UDDS/HWY/UDDS</v>
      </c>
      <c r="E38" s="521">
        <f>INDEX(TestSummary!$A$1:$CF$296,'J1634 Calcs_new'!$A38,'J1634 Calcs_new'!E$5)</f>
        <v>0</v>
      </c>
      <c r="F38" s="521">
        <f>INDEX(TestSummary!$A$1:$CF$296,'J1634 Calcs_new'!$A38,'J1634 Calcs_new'!F$5)</f>
        <v>20.0296135</v>
      </c>
      <c r="G38" s="179">
        <f>INDEX(TestSummary!$A$1:$CF$296,'J1634 Calcs_new'!$A38,'J1634 Calcs_new'!G$5)</f>
        <v>68814</v>
      </c>
      <c r="H38" s="179">
        <f>INDEX(TestSummary!$A$1:$CF$296,'J1634 Calcs_new'!$A38,'J1634 Calcs_new'!H$5)</f>
        <v>70058</v>
      </c>
      <c r="I38" s="179">
        <f>INDEX(TestSummary!$A$1:$CF$296,'J1634 Calcs_new'!$A38,'J1634 Calcs_new'!I$5)</f>
        <v>1244</v>
      </c>
      <c r="J38" s="606">
        <f>INDEX(TestSummary!$A$1:$CF$296,'J1634 Calcs_new'!$A38,'J1634 Calcs_new'!J$5)</f>
        <v>7.4584133499999998</v>
      </c>
      <c r="K38" s="181">
        <f>INDEX(TestSummary!$A$1:$CF$296,'J1634 Calcs_new'!$A38,'J1634 Calcs_new'!K$5)</f>
        <v>166.79150666810389</v>
      </c>
      <c r="L38" s="181">
        <f>INDEX(TestSummary!$A$1:$CF$296,'J1634 Calcs_new'!$A38,'J1634 Calcs_new'!L$5)</f>
        <v>167.05966021580181</v>
      </c>
      <c r="M38" s="181">
        <f>INDEX(TestSummary!$A$1:$CF$296,'J1634 Calcs_new'!$A38,'J1634 Calcs_new'!M$5)</f>
        <v>17.564447939855707</v>
      </c>
      <c r="N38" s="181">
        <f>INDEX(TestSummary!$A$1:$CF$296,'J1634 Calcs_new'!$A38,'J1634 Calcs_new'!N$5)</f>
        <v>2.6815354769791647E-2</v>
      </c>
      <c r="O38" s="181">
        <f>INDEX(TestSummary!$A$1:$CF$296,'J1634 Calcs_new'!$A38,'J1634 Calcs_new'!O$5)</f>
        <v>6.7038386924479054E-2</v>
      </c>
      <c r="AF38" s="512" t="s">
        <v>224</v>
      </c>
      <c r="AG38" s="143">
        <f>AA13</f>
        <v>197.91611120779453</v>
      </c>
      <c r="AH38" s="143">
        <f>AA20</f>
        <v>229.66205962607515</v>
      </c>
      <c r="AI38" s="143">
        <f>AA68</f>
        <v>241.26670193689745</v>
      </c>
      <c r="AJ38" s="143">
        <f>AA34</f>
        <v>312.66133314588524</v>
      </c>
      <c r="AK38" s="143">
        <f>AA45</f>
        <v>312.29337731184557</v>
      </c>
      <c r="AL38" s="143">
        <f>AA75</f>
        <v>296.99737439555395</v>
      </c>
    </row>
    <row r="39" spans="1:62">
      <c r="AN39" s="752" t="s">
        <v>1273</v>
      </c>
      <c r="AO39" s="752"/>
      <c r="AP39" s="752"/>
      <c r="AR39" s="752" t="s">
        <v>1279</v>
      </c>
      <c r="AS39" s="752"/>
      <c r="AT39" s="752"/>
      <c r="AV39" s="752" t="s">
        <v>1278</v>
      </c>
      <c r="AW39" s="752"/>
      <c r="AX39" s="752"/>
      <c r="AZ39" s="752" t="s">
        <v>1281</v>
      </c>
      <c r="BA39" s="752"/>
      <c r="BB39" s="752"/>
    </row>
    <row r="40" spans="1:62" ht="16.5" thickBot="1">
      <c r="B40" s="119" t="s">
        <v>1258</v>
      </c>
      <c r="C40" s="174"/>
      <c r="D40" s="174"/>
      <c r="E40" s="158"/>
      <c r="F40" s="158"/>
      <c r="G40" s="174"/>
      <c r="H40" s="174"/>
      <c r="I40" s="174"/>
      <c r="J40" s="604"/>
      <c r="K40" s="174"/>
      <c r="L40" s="174"/>
      <c r="M40" s="174"/>
      <c r="N40" s="174"/>
      <c r="O40" s="174"/>
      <c r="AF40" s="512" t="s">
        <v>419</v>
      </c>
      <c r="AG40" s="520"/>
      <c r="AH40" s="520"/>
      <c r="AI40" s="520"/>
      <c r="AJ40" s="520"/>
      <c r="AN40" s="512" t="s">
        <v>1269</v>
      </c>
      <c r="AO40" s="512" t="s">
        <v>1270</v>
      </c>
      <c r="AP40" s="512" t="s">
        <v>1271</v>
      </c>
      <c r="AR40" s="512" t="s">
        <v>1269</v>
      </c>
      <c r="AS40" s="512" t="s">
        <v>1270</v>
      </c>
      <c r="AT40" s="512" t="s">
        <v>1271</v>
      </c>
      <c r="AV40" s="512" t="s">
        <v>1269</v>
      </c>
      <c r="AW40" s="512" t="s">
        <v>1270</v>
      </c>
      <c r="AX40" s="512" t="s">
        <v>1271</v>
      </c>
      <c r="AZ40" s="512" t="s">
        <v>1269</v>
      </c>
      <c r="BA40" s="512" t="s">
        <v>1270</v>
      </c>
      <c r="BB40" s="512" t="s">
        <v>1271</v>
      </c>
      <c r="BF40" s="512" t="s">
        <v>1274</v>
      </c>
      <c r="BG40" s="512" t="s">
        <v>1275</v>
      </c>
      <c r="BI40" s="512" t="s">
        <v>101</v>
      </c>
      <c r="BJ40" s="512" t="s">
        <v>219</v>
      </c>
    </row>
    <row r="41" spans="1:62" ht="15.75" thickBot="1">
      <c r="A41" s="512">
        <v>272</v>
      </c>
      <c r="B41" s="465">
        <f>INDEX(TestSummary!$A$1:$CF$296,'J1634 Calcs_new'!$A41,'J1634 Calcs_new'!B$5)</f>
        <v>62007002</v>
      </c>
      <c r="C41" s="465" t="str">
        <f>INDEX(TestSummary!$A$1:$CF$296,'J1634 Calcs_new'!$A41,'J1634 Calcs_new'!C$5)</f>
        <v>UDDS 1 , Combined</v>
      </c>
      <c r="D41" s="513" t="str">
        <f>INDEX(TestSummary!$A$1:$CF$296,'J1634 Calcs_new'!$A41,'J1634 Calcs_new'!D$5)</f>
        <v>J1634 MCT Test in hot test cell 95°F with solar @ 850W/m^2-HVAC AUTO-72°F, solar lights on 30 minutes prior to test</v>
      </c>
      <c r="E41" s="521">
        <f>INDEX(TestSummary!$A$1:$CF$296,'J1634 Calcs_new'!$A41,'J1634 Calcs_new'!E$5)</f>
        <v>0</v>
      </c>
      <c r="F41" s="521">
        <f>INDEX(TestSummary!$A$1:$CF$296,'J1634 Calcs_new'!$A41,'J1634 Calcs_new'!F$5)</f>
        <v>35.151537500000003</v>
      </c>
      <c r="G41" s="179">
        <f>INDEX(TestSummary!$A$1:$CF$296,'J1634 Calcs_new'!$A41,'J1634 Calcs_new'!G$5)</f>
        <v>70</v>
      </c>
      <c r="H41" s="179">
        <f>INDEX(TestSummary!$A$1:$CF$296,'J1634 Calcs_new'!$A41,'J1634 Calcs_new'!H$5)</f>
        <v>1982</v>
      </c>
      <c r="I41" s="179">
        <f>INDEX(TestSummary!$A$1:$CF$296,'J1634 Calcs_new'!$A41,'J1634 Calcs_new'!I$5)</f>
        <v>1912</v>
      </c>
      <c r="J41" s="606">
        <f>INDEX(TestSummary!$A$1:$CF$296,'J1634 Calcs_new'!$A41,'J1634 Calcs_new'!J$5)</f>
        <v>7.4585219899999995</v>
      </c>
      <c r="K41" s="181">
        <f>INDEX(TestSummary!$A$1:$CF$296,'J1634 Calcs_new'!$A41,'J1634 Calcs_new'!K$5)</f>
        <v>256.35105756388606</v>
      </c>
      <c r="L41" s="181">
        <f>INDEX(TestSummary!$A$1:$CF$296,'J1634 Calcs_new'!$A41,'J1634 Calcs_new'!L$5)</f>
        <v>255.81475828027962</v>
      </c>
      <c r="M41" s="181">
        <f>INDEX(TestSummary!$A$1:$CF$296,'J1634 Calcs_new'!$A41,'J1634 Calcs_new'!M$5)</f>
        <v>25.76543948756261</v>
      </c>
      <c r="N41" s="181">
        <f>INDEX(TestSummary!$A$1:$CF$296,'J1634 Calcs_new'!$A41,'J1634 Calcs_new'!N$5)</f>
        <v>-1.3407482090161406E-2</v>
      </c>
      <c r="O41" s="181">
        <f>INDEX(TestSummary!$A$1:$CF$296,'J1634 Calcs_new'!$A41,'J1634 Calcs_new'!O$5)</f>
        <v>81.366267715461944</v>
      </c>
      <c r="Q41" s="175" t="s">
        <v>294</v>
      </c>
      <c r="R41" s="597" t="s">
        <v>311</v>
      </c>
      <c r="S41" s="512" t="s">
        <v>312</v>
      </c>
      <c r="T41" s="176" t="s">
        <v>295</v>
      </c>
      <c r="U41" s="177"/>
      <c r="V41" s="177"/>
      <c r="W41" s="177"/>
      <c r="X41" s="177"/>
      <c r="Y41" s="177"/>
      <c r="Z41" s="177"/>
      <c r="AA41" s="177"/>
      <c r="AB41" s="177"/>
      <c r="AC41" s="178"/>
      <c r="AF41" s="512" t="s">
        <v>58</v>
      </c>
      <c r="AG41" s="201">
        <f t="shared" ref="AG41:AH43" si="2">(AG36/$AJ36)</f>
        <v>0.38389910111954112</v>
      </c>
      <c r="AH41" s="201">
        <f t="shared" si="2"/>
        <v>0.55876704934809196</v>
      </c>
      <c r="AI41" s="201"/>
      <c r="AJ41" s="201">
        <f>(AJ36/$AJ36)</f>
        <v>1</v>
      </c>
      <c r="AK41" s="201">
        <f>(AK36/$AJ36)</f>
        <v>0.78271827844247732</v>
      </c>
      <c r="AM41" s="512" t="s">
        <v>1262</v>
      </c>
      <c r="AN41" s="512">
        <v>1489.4</v>
      </c>
      <c r="AO41" s="512">
        <v>7.4589999999999996</v>
      </c>
      <c r="AP41" s="512">
        <f>AN41/AO41</f>
        <v>199.67824105107925</v>
      </c>
      <c r="AR41" s="512">
        <v>1353</v>
      </c>
      <c r="AS41" s="512">
        <v>7.4550000000000001</v>
      </c>
      <c r="AT41" s="512">
        <f>AR41/AS41</f>
        <v>181.48893360160966</v>
      </c>
      <c r="AV41" s="45">
        <f>I31</f>
        <v>1517</v>
      </c>
      <c r="AW41" s="561">
        <f>J31</f>
        <v>7.45767604</v>
      </c>
      <c r="AX41" s="512">
        <f t="shared" ref="AX41:AX46" si="3">AV41/AW41</f>
        <v>203.41457470979122</v>
      </c>
      <c r="AZ41" s="45">
        <f>I52</f>
        <v>1491</v>
      </c>
      <c r="BA41" s="45">
        <f>J52</f>
        <v>7.4649109500000002</v>
      </c>
      <c r="BB41" s="512">
        <f t="shared" ref="BB41:BB46" si="4">AZ41/BA41</f>
        <v>199.73446568709571</v>
      </c>
      <c r="BF41" s="563">
        <f t="shared" ref="BF41:BF46" si="5">(AX41-AP41)/AP41</f>
        <v>1.8711771693522616E-2</v>
      </c>
      <c r="BG41" s="563">
        <f t="shared" ref="BG41:BG46" si="6">(AX41-AT41)/AT41</f>
        <v>0.1208097963499583</v>
      </c>
      <c r="BH41" s="512" t="s">
        <v>58</v>
      </c>
      <c r="BI41" s="512">
        <v>455.32</v>
      </c>
    </row>
    <row r="42" spans="1:62">
      <c r="A42" s="512">
        <v>273</v>
      </c>
      <c r="B42" s="465">
        <f>INDEX(TestSummary!$A$1:$CF$296,'J1634 Calcs_new'!$A42,'J1634 Calcs_new'!B$5)</f>
        <v>62007002</v>
      </c>
      <c r="C42" s="465" t="str">
        <f>INDEX(TestSummary!$A$1:$CF$296,'J1634 Calcs_new'!$A42,'J1634 Calcs_new'!C$5)</f>
        <v>HWY 1</v>
      </c>
      <c r="D42" s="513" t="str">
        <f>INDEX(TestSummary!$A$1:$CF$296,'J1634 Calcs_new'!$A42,'J1634 Calcs_new'!D$5)</f>
        <v>J1634 MCT Test in hot test cell 95°F with solar @ 850W/m^2-HVAC AUTO-72°F, solar lights on 30 minutes prior to test</v>
      </c>
      <c r="E42" s="521">
        <f>INDEX(TestSummary!$A$1:$CF$296,'J1634 Calcs_new'!$A42,'J1634 Calcs_new'!E$5)</f>
        <v>0</v>
      </c>
      <c r="F42" s="521">
        <f>INDEX(TestSummary!$A$1:$CF$296,'J1634 Calcs_new'!$A42,'J1634 Calcs_new'!F$5)</f>
        <v>37.950699</v>
      </c>
      <c r="G42" s="179">
        <f>INDEX(TestSummary!$A$1:$CF$296,'J1634 Calcs_new'!$A42,'J1634 Calcs_new'!G$5)</f>
        <v>1989</v>
      </c>
      <c r="H42" s="179">
        <f>INDEX(TestSummary!$A$1:$CF$296,'J1634 Calcs_new'!$A42,'J1634 Calcs_new'!H$5)</f>
        <v>3882</v>
      </c>
      <c r="I42" s="179">
        <f>INDEX(TestSummary!$A$1:$CF$296,'J1634 Calcs_new'!$A42,'J1634 Calcs_new'!I$5)</f>
        <v>1893</v>
      </c>
      <c r="J42" s="606">
        <f>INDEX(TestSummary!$A$1:$CF$296,'J1634 Calcs_new'!$A42,'J1634 Calcs_new'!J$5)</f>
        <v>10.28326779</v>
      </c>
      <c r="K42" s="181">
        <f>INDEX(TestSummary!$A$1:$CF$296,'J1634 Calcs_new'!$A42,'J1634 Calcs_new'!K$5)</f>
        <v>184.08545208176477</v>
      </c>
      <c r="L42" s="181">
        <f>INDEX(TestSummary!$A$1:$CF$296,'J1634 Calcs_new'!$A42,'J1634 Calcs_new'!L$5)</f>
        <v>183.69647067218892</v>
      </c>
      <c r="M42" s="181">
        <f>INDEX(TestSummary!$A$1:$CF$296,'J1634 Calcs_new'!$A42,'J1634 Calcs_new'!M$5)</f>
        <v>9.0146441669200215</v>
      </c>
      <c r="N42" s="181">
        <f>INDEX(TestSummary!$A$1:$CF$296,'J1634 Calcs_new'!$A42,'J1634 Calcs_new'!N$5)</f>
        <v>-9.7245352393959209E-3</v>
      </c>
      <c r="O42" s="181">
        <f>INDEX(TestSummary!$A$1:$CF$296,'J1634 Calcs_new'!$A42,'J1634 Calcs_new'!O$5)</f>
        <v>15.218897649654615</v>
      </c>
      <c r="Q42" s="182" t="s">
        <v>297</v>
      </c>
      <c r="R42" s="205">
        <f>TestSummary!BL288</f>
        <v>86098.099999999991</v>
      </c>
      <c r="S42" s="205">
        <f>$R$31</f>
        <v>85754.6</v>
      </c>
      <c r="T42" s="183" t="s">
        <v>16</v>
      </c>
      <c r="U42" s="184" t="s">
        <v>1</v>
      </c>
      <c r="V42" s="184" t="s">
        <v>420</v>
      </c>
      <c r="W42" s="185" t="s">
        <v>298</v>
      </c>
      <c r="X42" s="184" t="s">
        <v>299</v>
      </c>
      <c r="Y42" s="185" t="s">
        <v>300</v>
      </c>
      <c r="Z42" s="186" t="s">
        <v>301</v>
      </c>
      <c r="AA42" s="187" t="s">
        <v>302</v>
      </c>
      <c r="AB42" s="186" t="s">
        <v>303</v>
      </c>
      <c r="AC42" s="188"/>
      <c r="AF42" s="512" t="s">
        <v>56</v>
      </c>
      <c r="AG42" s="201">
        <f t="shared" si="2"/>
        <v>0.57133645043664594</v>
      </c>
      <c r="AH42" s="201">
        <f t="shared" si="2"/>
        <v>0.69973173871755123</v>
      </c>
      <c r="AI42" s="201"/>
      <c r="AJ42" s="201">
        <f>(AJ37/$AJ36)</f>
        <v>0.92677348091521716</v>
      </c>
      <c r="AK42" s="201">
        <f>(AK37/$AJ37)</f>
        <v>0.99833070389621437</v>
      </c>
      <c r="AM42" s="512" t="s">
        <v>1263</v>
      </c>
      <c r="AN42" s="512">
        <v>1326.1</v>
      </c>
      <c r="AO42" s="512">
        <v>7.4530000000000003</v>
      </c>
      <c r="AP42" s="512">
        <f t="shared" ref="AP42:AP48" si="7">AN42/AO42</f>
        <v>177.92835099959746</v>
      </c>
      <c r="AR42" s="512">
        <v>1269</v>
      </c>
      <c r="AS42" s="512">
        <v>7.4589999999999996</v>
      </c>
      <c r="AT42" s="512">
        <f t="shared" ref="AT42:AT48" si="8">AR42/AS42</f>
        <v>170.13004424185547</v>
      </c>
      <c r="AV42" s="189">
        <f>I33</f>
        <v>1302</v>
      </c>
      <c r="AW42" s="561">
        <f>J33</f>
        <v>7.4586936799999997</v>
      </c>
      <c r="AX42" s="512">
        <f t="shared" si="3"/>
        <v>174.5613985316528</v>
      </c>
      <c r="AZ42" s="189">
        <f>I54</f>
        <v>1352</v>
      </c>
      <c r="BA42" s="189">
        <f>J54</f>
        <v>7.4686171799999999</v>
      </c>
      <c r="BB42" s="512">
        <f t="shared" si="4"/>
        <v>181.0241397323835</v>
      </c>
      <c r="BF42" s="563">
        <f t="shared" si="5"/>
        <v>-1.8923080268148353E-2</v>
      </c>
      <c r="BG42" s="563">
        <f t="shared" si="6"/>
        <v>2.6046864970526603E-2</v>
      </c>
      <c r="BI42" s="512">
        <v>422.7</v>
      </c>
    </row>
    <row r="43" spans="1:62">
      <c r="A43" s="512">
        <v>276</v>
      </c>
      <c r="B43" s="465">
        <f>INDEX(TestSummary!$A$1:$CF$296,'J1634 Calcs_new'!$A43,'J1634 Calcs_new'!B$5)</f>
        <v>62007002</v>
      </c>
      <c r="C43" s="465" t="str">
        <f>INDEX(TestSummary!$A$1:$CF$296,'J1634 Calcs_new'!$A43,'J1634 Calcs_new'!C$5)</f>
        <v>UDDS 2, combined</v>
      </c>
      <c r="D43" s="513" t="str">
        <f>INDEX(TestSummary!$A$1:$CF$296,'J1634 Calcs_new'!$A43,'J1634 Calcs_new'!D$5)</f>
        <v>J1634 MCT Test in hot test cell 95°F with solar @ 850W/m^2-HVAC AUTO-72°F, solar lights on 30 minutes prior to test</v>
      </c>
      <c r="E43" s="521">
        <f>INDEX(TestSummary!$A$1:$CF$296,'J1634 Calcs_new'!$A43,'J1634 Calcs_new'!E$5)</f>
        <v>0</v>
      </c>
      <c r="F43" s="521">
        <f>INDEX(TestSummary!$A$1:$CF$296,'J1634 Calcs_new'!$A43,'J1634 Calcs_new'!F$5)</f>
        <v>34.835033500000002</v>
      </c>
      <c r="G43" s="179">
        <f>INDEX(TestSummary!$A$1:$CF$296,'J1634 Calcs_new'!$A43,'J1634 Calcs_new'!G$5)</f>
        <v>3926</v>
      </c>
      <c r="H43" s="179">
        <f>INDEX(TestSummary!$A$1:$CF$296,'J1634 Calcs_new'!$A43,'J1634 Calcs_new'!H$5)</f>
        <v>5542</v>
      </c>
      <c r="I43" s="179">
        <f>INDEX(TestSummary!$A$1:$CF$296,'J1634 Calcs_new'!$A43,'J1634 Calcs_new'!I$5)</f>
        <v>1616</v>
      </c>
      <c r="J43" s="606">
        <f>INDEX(TestSummary!$A$1:$CF$296,'J1634 Calcs_new'!$A43,'J1634 Calcs_new'!J$5)</f>
        <v>7.4607045799999998</v>
      </c>
      <c r="K43" s="181">
        <f>INDEX(TestSummary!$A$1:$CF$296,'J1634 Calcs_new'!$A43,'J1634 Calcs_new'!K$5)</f>
        <v>216.60152639363722</v>
      </c>
      <c r="L43" s="181">
        <f>INDEX(TestSummary!$A$1:$CF$296,'J1634 Calcs_new'!$A43,'J1634 Calcs_new'!L$5)</f>
        <v>215.93134840355788</v>
      </c>
      <c r="M43" s="181">
        <f>INDEX(TestSummary!$A$1:$CF$296,'J1634 Calcs_new'!$A43,'J1634 Calcs_new'!M$5)</f>
        <v>24.019179164442946</v>
      </c>
      <c r="N43" s="181">
        <f>INDEX(TestSummary!$A$1:$CF$296,'J1634 Calcs_new'!$A43,'J1634 Calcs_new'!N$5)</f>
        <v>-2.6807119603172926E-2</v>
      </c>
      <c r="O43" s="181">
        <f>INDEX(TestSummary!$A$1:$CF$296,'J1634 Calcs_new'!$A43,'J1634 Calcs_new'!O$5)</f>
        <v>54.408983581548007</v>
      </c>
      <c r="Q43" s="190" t="s">
        <v>304</v>
      </c>
      <c r="R43" s="191">
        <f>TestSummary!W287</f>
        <v>75998</v>
      </c>
      <c r="S43" s="191">
        <f>$R$34</f>
        <v>76123</v>
      </c>
      <c r="T43" s="183" t="s">
        <v>305</v>
      </c>
      <c r="U43" s="184" t="s">
        <v>58</v>
      </c>
      <c r="V43" s="184">
        <v>1</v>
      </c>
      <c r="W43" s="192"/>
      <c r="X43" s="192">
        <f>I41/R43</f>
        <v>2.5158556804126424E-2</v>
      </c>
      <c r="Y43" s="192">
        <f>(1-X43)/V43</f>
        <v>0.97484144319587362</v>
      </c>
      <c r="Z43" s="193">
        <f>X43*K41+Y43*K43*V43</f>
        <v>217.60156723152133</v>
      </c>
      <c r="AA43" s="193">
        <f>S43/Z43</f>
        <v>349.82744365534592</v>
      </c>
      <c r="AB43" s="194">
        <f>Z43/W46</f>
        <v>246.52071759330829</v>
      </c>
      <c r="AC43" s="188"/>
      <c r="AF43" s="512" t="s">
        <v>224</v>
      </c>
      <c r="AG43" s="201">
        <f t="shared" si="2"/>
        <v>0.63300475698876546</v>
      </c>
      <c r="AH43" s="201">
        <f t="shared" si="2"/>
        <v>0.73453937305038197</v>
      </c>
      <c r="AI43" s="201"/>
      <c r="AJ43" s="201">
        <f>(AJ38/$AJ37)</f>
        <v>0.7548352558570256</v>
      </c>
      <c r="AK43" s="201">
        <f>(AK38/$AJ38)</f>
        <v>0.99882314889936208</v>
      </c>
      <c r="AM43" s="512" t="s">
        <v>1264</v>
      </c>
      <c r="AN43" s="512">
        <v>1271.5</v>
      </c>
      <c r="AO43" s="512">
        <v>7.4669999999999996</v>
      </c>
      <c r="AP43" s="512">
        <f t="shared" si="7"/>
        <v>170.28257667068436</v>
      </c>
      <c r="AR43" s="512">
        <v>1252</v>
      </c>
      <c r="AS43" s="512">
        <v>7.4429999999999996</v>
      </c>
      <c r="AT43" s="512">
        <f t="shared" si="8"/>
        <v>168.21174257691791</v>
      </c>
      <c r="AV43" s="45">
        <f>I36</f>
        <v>1250</v>
      </c>
      <c r="AW43" s="561">
        <f>J36</f>
        <v>7.4586554600000001</v>
      </c>
      <c r="AX43" s="512">
        <f t="shared" si="3"/>
        <v>167.59052710017522</v>
      </c>
      <c r="AZ43" s="45">
        <f>I57</f>
        <v>1273</v>
      </c>
      <c r="BA43" s="45">
        <f>J57</f>
        <v>7.4616087699999998</v>
      </c>
      <c r="BB43" s="512">
        <f t="shared" si="4"/>
        <v>170.60663983324872</v>
      </c>
      <c r="BF43" s="563">
        <f t="shared" si="5"/>
        <v>-1.5809307230036772E-2</v>
      </c>
      <c r="BG43" s="563">
        <f t="shared" si="6"/>
        <v>-3.6930565442458855E-3</v>
      </c>
    </row>
    <row r="44" spans="1:62">
      <c r="A44" s="519">
        <v>279</v>
      </c>
      <c r="B44" s="465">
        <f>INDEX(TestSummary!$A$1:$CF$296,'J1634 Calcs_new'!$A44,'J1634 Calcs_new'!B$5)</f>
        <v>62007002</v>
      </c>
      <c r="C44" s="465" t="str">
        <f>INDEX(TestSummary!$A$1:$CF$296,'J1634 Calcs_new'!$A44,'J1634 Calcs_new'!C$5)</f>
        <v>US06 1, combined</v>
      </c>
      <c r="D44" s="513" t="str">
        <f>INDEX(TestSummary!$A$1:$CF$296,'J1634 Calcs_new'!$A44,'J1634 Calcs_new'!D$5)</f>
        <v>J1634 MCT Test in hot test cell 95°F with solar @ 850W/m^2-HVAC AUTO-72°F, solar lights on 30 minutes prior to test</v>
      </c>
      <c r="E44" s="521">
        <f>INDEX(TestSummary!$A$1:$CF$296,'J1634 Calcs_new'!$A44,'J1634 Calcs_new'!E$5)</f>
        <v>0</v>
      </c>
      <c r="F44" s="521">
        <f>INDEX(TestSummary!$A$1:$CF$296,'J1634 Calcs_new'!$A44,'J1634 Calcs_new'!F$5)</f>
        <v>37.690309499999998</v>
      </c>
      <c r="G44" s="179">
        <f>INDEX(TestSummary!$A$1:$CF$296,'J1634 Calcs_new'!$A44,'J1634 Calcs_new'!G$5)</f>
        <v>5573</v>
      </c>
      <c r="H44" s="179">
        <f>INDEX(TestSummary!$A$1:$CF$296,'J1634 Calcs_new'!$A44,'J1634 Calcs_new'!H$5)</f>
        <v>7361</v>
      </c>
      <c r="I44" s="179">
        <f>INDEX(TestSummary!$A$1:$CF$296,'J1634 Calcs_new'!$A44,'J1634 Calcs_new'!I$5)</f>
        <v>1956</v>
      </c>
      <c r="J44" s="606">
        <f>INDEX(TestSummary!$A$1:$CF$296,'J1634 Calcs_new'!$A44,'J1634 Calcs_new'!J$5)</f>
        <v>8.0244583899999995</v>
      </c>
      <c r="K44" s="181">
        <f>INDEX(TestSummary!$A$1:$CF$296,'J1634 Calcs_new'!$A44,'J1634 Calcs_new'!K$5)</f>
        <v>243.75476884988871</v>
      </c>
      <c r="L44" s="181">
        <f>INDEX(TestSummary!$A$1:$CF$296,'J1634 Calcs_new'!$A44,'J1634 Calcs_new'!L$5)</f>
        <v>243.38091184245025</v>
      </c>
      <c r="M44" s="181">
        <f>INDEX(TestSummary!$A$1:$CF$296,'J1634 Calcs_new'!$A44,'J1634 Calcs_new'!M$5)</f>
        <v>9.2591918842263539</v>
      </c>
      <c r="N44" s="181">
        <f>INDEX(TestSummary!$A$1:$CF$296,'J1634 Calcs_new'!$A44,'J1634 Calcs_new'!N$5)</f>
        <v>-1.2461900247949317E-2</v>
      </c>
      <c r="O44" s="181">
        <f>INDEX(TestSummary!$A$1:$CF$296,'J1634 Calcs_new'!$A44,'J1634 Calcs_new'!O$5)</f>
        <v>13.695163543617049</v>
      </c>
      <c r="T44" s="183" t="s">
        <v>305</v>
      </c>
      <c r="U44" s="184" t="s">
        <v>56</v>
      </c>
      <c r="V44" s="184">
        <v>1</v>
      </c>
      <c r="W44" s="192">
        <f>1/V44</f>
        <v>1</v>
      </c>
      <c r="X44" s="192"/>
      <c r="Y44" s="192"/>
      <c r="Z44" s="193">
        <f>W44*K42*V44</f>
        <v>184.08545208176477</v>
      </c>
      <c r="AA44" s="193">
        <f>S43/Z44</f>
        <v>413.51991229697302</v>
      </c>
      <c r="AB44" s="194">
        <f>Z44/W46</f>
        <v>208.55032582279784</v>
      </c>
      <c r="AC44" s="188"/>
      <c r="AM44" s="512" t="s">
        <v>1265</v>
      </c>
      <c r="AN44" s="512">
        <v>1285.5999999999999</v>
      </c>
      <c r="AO44" s="512">
        <v>7.4630000000000001</v>
      </c>
      <c r="AP44" s="512">
        <f t="shared" si="7"/>
        <v>172.2631649470722</v>
      </c>
      <c r="AR44" s="512">
        <v>1261</v>
      </c>
      <c r="AS44" s="512">
        <v>7.452</v>
      </c>
      <c r="AT44" s="512">
        <f t="shared" si="8"/>
        <v>169.2163177670424</v>
      </c>
      <c r="AV44" s="45">
        <f>I38</f>
        <v>1244</v>
      </c>
      <c r="AW44" s="561">
        <f>J38</f>
        <v>7.4584133499999998</v>
      </c>
      <c r="AX44" s="512">
        <f t="shared" si="3"/>
        <v>166.79150666810389</v>
      </c>
      <c r="AZ44" s="45">
        <f>I59</f>
        <v>1260</v>
      </c>
      <c r="BA44" s="45">
        <f>J59</f>
        <v>7.4600788500000004</v>
      </c>
      <c r="BB44" s="512">
        <f t="shared" si="4"/>
        <v>168.89901907672194</v>
      </c>
      <c r="BF44" s="563">
        <f t="shared" si="5"/>
        <v>-3.1763367871764522E-2</v>
      </c>
      <c r="BG44" s="563">
        <f t="shared" si="6"/>
        <v>-1.4329652901895118E-2</v>
      </c>
    </row>
    <row r="45" spans="1:62">
      <c r="B45" s="472"/>
      <c r="C45" s="472"/>
      <c r="D45" s="20"/>
      <c r="E45" s="155"/>
      <c r="F45" s="155"/>
      <c r="G45" s="202"/>
      <c r="H45" s="202"/>
      <c r="I45" s="202"/>
      <c r="J45" s="607"/>
      <c r="K45" s="204"/>
      <c r="L45" s="204"/>
      <c r="M45" s="204"/>
      <c r="N45" s="204"/>
      <c r="O45" s="204"/>
      <c r="T45" s="183" t="s">
        <v>305</v>
      </c>
      <c r="U45" s="184" t="s">
        <v>224</v>
      </c>
      <c r="V45" s="184">
        <v>1</v>
      </c>
      <c r="W45" s="192">
        <f>1/V45</f>
        <v>1</v>
      </c>
      <c r="X45" s="192"/>
      <c r="Y45" s="192"/>
      <c r="Z45" s="193">
        <f>W45*K44*V45</f>
        <v>243.75476884988871</v>
      </c>
      <c r="AA45" s="193">
        <f>S43/Z45</f>
        <v>312.29337731184557</v>
      </c>
      <c r="AB45" s="194">
        <f>Z45/W46</f>
        <v>276.14966793750625</v>
      </c>
      <c r="AC45" s="188"/>
      <c r="AM45" s="512" t="s">
        <v>1266</v>
      </c>
      <c r="AN45" s="512">
        <v>1950.9</v>
      </c>
      <c r="AO45" s="512">
        <v>10.266</v>
      </c>
      <c r="AP45" s="512">
        <f t="shared" si="7"/>
        <v>190.03506721215663</v>
      </c>
      <c r="AR45" s="512">
        <v>1844</v>
      </c>
      <c r="AS45" s="512">
        <v>10.262</v>
      </c>
      <c r="AT45" s="512">
        <f t="shared" si="8"/>
        <v>179.69206782303644</v>
      </c>
      <c r="AV45" s="45">
        <f>I32</f>
        <v>1935</v>
      </c>
      <c r="AW45" s="561">
        <f>J32</f>
        <v>10.28394114</v>
      </c>
      <c r="AX45" s="512">
        <f t="shared" si="3"/>
        <v>188.15743630364653</v>
      </c>
      <c r="AZ45" s="45">
        <f>I53</f>
        <v>1956</v>
      </c>
      <c r="BA45" s="45">
        <f>J53</f>
        <v>10.293208849999999</v>
      </c>
      <c r="BB45" s="512">
        <f t="shared" si="4"/>
        <v>190.02820485858501</v>
      </c>
      <c r="BF45" s="563">
        <f t="shared" si="5"/>
        <v>-9.8804443624812537E-3</v>
      </c>
      <c r="BG45" s="563">
        <f t="shared" si="6"/>
        <v>4.7110418301529719E-2</v>
      </c>
    </row>
    <row r="46" spans="1:62" ht="15.75" thickBot="1">
      <c r="T46" s="195" t="s">
        <v>305</v>
      </c>
      <c r="U46" s="196" t="s">
        <v>308</v>
      </c>
      <c r="V46" s="196"/>
      <c r="W46" s="376">
        <f>R43/R42</f>
        <v>0.88269079108598225</v>
      </c>
      <c r="X46" s="197"/>
      <c r="Y46" s="197"/>
      <c r="Z46" s="198" t="s">
        <v>293</v>
      </c>
      <c r="AA46" s="198" t="s">
        <v>309</v>
      </c>
      <c r="AB46" s="199" t="s">
        <v>307</v>
      </c>
      <c r="AC46" s="200"/>
      <c r="AM46" s="512" t="s">
        <v>1267</v>
      </c>
      <c r="AN46" s="512">
        <v>1895.5</v>
      </c>
      <c r="AO46" s="512">
        <v>10.257999999999999</v>
      </c>
      <c r="AP46" s="512">
        <f t="shared" si="7"/>
        <v>184.78260869565219</v>
      </c>
      <c r="AR46" s="512">
        <v>1863</v>
      </c>
      <c r="AS46" s="512">
        <v>10.266999999999999</v>
      </c>
      <c r="AT46" s="512">
        <f t="shared" si="8"/>
        <v>181.45514756014416</v>
      </c>
      <c r="AV46" s="45">
        <f>I37</f>
        <v>1845</v>
      </c>
      <c r="AW46" s="561">
        <f>J37</f>
        <v>10.284345050000001</v>
      </c>
      <c r="AX46" s="512">
        <f t="shared" si="3"/>
        <v>179.39888160403564</v>
      </c>
      <c r="AZ46" s="45">
        <f>I57</f>
        <v>1273</v>
      </c>
      <c r="BA46" s="45">
        <f>J57</f>
        <v>7.4616087699999998</v>
      </c>
      <c r="BB46" s="512">
        <f t="shared" si="4"/>
        <v>170.60663983324872</v>
      </c>
      <c r="BF46" s="563">
        <f t="shared" si="5"/>
        <v>-2.913546426051309E-2</v>
      </c>
      <c r="BG46" s="563">
        <f t="shared" si="6"/>
        <v>-1.1332089410287793E-2</v>
      </c>
    </row>
    <row r="47" spans="1:62">
      <c r="AF47" s="512" t="s">
        <v>1284</v>
      </c>
      <c r="AM47" s="512" t="s">
        <v>1272</v>
      </c>
      <c r="AN47" s="512">
        <v>64945.5</v>
      </c>
      <c r="AO47" s="512">
        <v>344.048</v>
      </c>
      <c r="AP47" s="512">
        <f t="shared" si="7"/>
        <v>188.76871831837417</v>
      </c>
      <c r="AR47" s="512">
        <v>62943</v>
      </c>
      <c r="AS47" s="512">
        <v>287.036</v>
      </c>
      <c r="AT47" s="512">
        <f t="shared" si="8"/>
        <v>219.28608258197579</v>
      </c>
      <c r="AV47" s="512">
        <f>TestSummary!X207+TestSummary!X208+TestSummary!X211</f>
        <v>60754</v>
      </c>
      <c r="AX47" s="512">
        <f>TestSummary!Y207+TestSummary!Y208+TestSummary!Y211</f>
        <v>710.06302204074518</v>
      </c>
      <c r="BB47" s="512">
        <f>TestSummary!AC207+TestSummary!AC208+TestSummary!AC211</f>
        <v>710.78907769738476</v>
      </c>
      <c r="BF47" s="201"/>
    </row>
    <row r="48" spans="1:62">
      <c r="A48" s="560"/>
      <c r="B48" s="560"/>
      <c r="C48" s="560"/>
      <c r="D48" s="560"/>
      <c r="E48" s="560"/>
      <c r="F48" s="560"/>
      <c r="G48" s="560"/>
      <c r="H48" s="560"/>
      <c r="I48" s="560"/>
      <c r="J48" s="608"/>
      <c r="K48" s="560"/>
      <c r="L48" s="560"/>
      <c r="M48" s="560"/>
      <c r="N48" s="560"/>
      <c r="O48" s="560"/>
      <c r="P48" s="560"/>
      <c r="Q48" s="560"/>
      <c r="R48" s="559"/>
      <c r="S48" s="560"/>
      <c r="T48" s="560"/>
      <c r="U48" s="560"/>
      <c r="V48" s="560"/>
      <c r="W48" s="560"/>
      <c r="X48" s="560"/>
      <c r="Y48" s="560"/>
      <c r="Z48" s="560"/>
      <c r="AA48" s="560"/>
      <c r="AB48" s="560"/>
      <c r="AC48" s="560"/>
      <c r="AG48" s="564">
        <f>W14</f>
        <v>0.71190899585847878</v>
      </c>
      <c r="AH48" s="564">
        <f>W21</f>
        <v>0.88196112948117134</v>
      </c>
      <c r="AI48" s="564">
        <f>W69</f>
        <v>0.81670640974099995</v>
      </c>
      <c r="AJ48" s="564">
        <f>W35</f>
        <v>0.88768415921711485</v>
      </c>
      <c r="AK48" s="564">
        <f>W46</f>
        <v>0.88269079108598225</v>
      </c>
      <c r="AL48" s="564">
        <f>W76</f>
        <v>0.88269079108598225</v>
      </c>
      <c r="AM48" s="512" t="s">
        <v>1268</v>
      </c>
      <c r="AN48" s="512">
        <v>5053.8999999999996</v>
      </c>
      <c r="AO48" s="512">
        <v>25.983000000000001</v>
      </c>
      <c r="AP48" s="512">
        <f t="shared" si="7"/>
        <v>194.50794750413729</v>
      </c>
      <c r="AR48" s="512">
        <v>7980</v>
      </c>
      <c r="AS48" s="512">
        <v>36.113999999999997</v>
      </c>
      <c r="AT48" s="512">
        <f t="shared" si="8"/>
        <v>220.96693802957304</v>
      </c>
      <c r="AV48" s="512">
        <f>TestSummary!X219</f>
        <v>6047</v>
      </c>
      <c r="AX48" s="512">
        <f>TestSummary!Y219</f>
        <v>221.92969537074885</v>
      </c>
      <c r="BB48" s="512">
        <f>TestSummary!AC219</f>
        <v>222.03979774979834</v>
      </c>
      <c r="BF48" s="201"/>
    </row>
    <row r="49" spans="1:59">
      <c r="A49" s="560"/>
      <c r="B49" s="560"/>
      <c r="C49" s="560"/>
      <c r="D49" s="560"/>
      <c r="E49" s="560"/>
      <c r="F49" s="560"/>
      <c r="G49" s="560"/>
      <c r="H49" s="560"/>
      <c r="I49" s="560"/>
      <c r="J49" s="608"/>
      <c r="K49" s="560"/>
      <c r="L49" s="560"/>
      <c r="M49" s="560"/>
      <c r="N49" s="560"/>
      <c r="O49" s="560"/>
      <c r="P49" s="560"/>
      <c r="Q49" s="560"/>
      <c r="R49" s="559"/>
      <c r="S49" s="560"/>
      <c r="T49" s="560"/>
      <c r="U49" s="560"/>
      <c r="V49" s="560"/>
      <c r="W49" s="560"/>
      <c r="X49" s="560"/>
      <c r="Y49" s="560"/>
      <c r="Z49" s="560"/>
      <c r="AA49" s="560"/>
      <c r="AB49" s="560"/>
      <c r="AC49" s="560"/>
      <c r="AM49" s="512" t="s">
        <v>1280</v>
      </c>
      <c r="AN49" s="512">
        <v>79218</v>
      </c>
      <c r="AO49" s="512">
        <v>420.39699999999999</v>
      </c>
      <c r="AR49" s="561">
        <f>SUM(AR41:AR48)</f>
        <v>79765</v>
      </c>
      <c r="AS49" s="561">
        <f>SUM(AS41:AS48)</f>
        <v>373.488</v>
      </c>
      <c r="AV49" s="45">
        <f>SUM(AV41:AV48)</f>
        <v>75894</v>
      </c>
      <c r="AZ49" s="45"/>
      <c r="BF49" s="563">
        <f>(AV49-AN49)/AN49</f>
        <v>-4.1960160569567521E-2</v>
      </c>
      <c r="BG49" s="563">
        <f>(AV49-AR49)/AR49</f>
        <v>-4.8530057042562524E-2</v>
      </c>
    </row>
    <row r="50" spans="1:59" ht="15.75" thickBot="1">
      <c r="AG50" s="512" t="s">
        <v>227</v>
      </c>
      <c r="AH50" s="512" t="s">
        <v>1287</v>
      </c>
      <c r="AI50" s="512" t="s">
        <v>1288</v>
      </c>
    </row>
    <row r="51" spans="1:59" ht="16.5" thickBot="1">
      <c r="B51" s="119" t="s">
        <v>1259</v>
      </c>
      <c r="C51" s="174"/>
      <c r="D51" s="174"/>
      <c r="E51" s="158"/>
      <c r="F51" s="158"/>
      <c r="G51" s="174"/>
      <c r="H51" s="174"/>
      <c r="I51" s="174"/>
      <c r="J51" s="604"/>
      <c r="K51" s="174"/>
      <c r="L51" s="174"/>
      <c r="M51" s="174"/>
      <c r="N51" s="174"/>
      <c r="O51" s="174"/>
      <c r="Q51" s="175" t="s">
        <v>294</v>
      </c>
      <c r="R51" s="597" t="s">
        <v>311</v>
      </c>
      <c r="S51" s="512" t="s">
        <v>312</v>
      </c>
      <c r="T51" s="176" t="s">
        <v>295</v>
      </c>
      <c r="U51" s="177"/>
      <c r="V51" s="177"/>
      <c r="W51" s="177"/>
      <c r="X51" s="177"/>
      <c r="Y51" s="177"/>
      <c r="Z51" s="177"/>
      <c r="AA51" s="177"/>
      <c r="AB51" s="177"/>
      <c r="AC51" s="178"/>
      <c r="AF51" s="512" t="s">
        <v>1286</v>
      </c>
      <c r="AG51" s="512">
        <v>79218.399999999994</v>
      </c>
      <c r="AH51" s="512">
        <v>89577</v>
      </c>
      <c r="AI51" s="562">
        <f>AG51/AH51</f>
        <v>0.88436094086651706</v>
      </c>
    </row>
    <row r="52" spans="1:59">
      <c r="A52" s="512">
        <v>35</v>
      </c>
      <c r="B52" s="465">
        <f>INDEX(TestSummary!$A$1:$CF$296,'J1634 Calcs_new'!$A52,'J1634 Calcs_new'!B$5)</f>
        <v>62005016</v>
      </c>
      <c r="C52" s="465" t="str">
        <f>INDEX(TestSummary!$A$1:$CF$296,'J1634 Calcs_new'!$A52,'J1634 Calcs_new'!C$5)</f>
        <v>UDDS 1 , Combined</v>
      </c>
      <c r="D52" s="513" t="str">
        <f>INDEX(TestSummary!$A$1:$CF$296,'J1634 Calcs_new'!$A52,'J1634 Calcs_new'!D$5)</f>
        <v>J1634 MCT, UDDS-HWY-UDDS-US06</v>
      </c>
      <c r="E52" s="521">
        <f>INDEX(TestSummary!$A$1:$CF$296,'J1634 Calcs_new'!$A52,'J1634 Calcs_new'!E$5)</f>
        <v>0</v>
      </c>
      <c r="F52" s="521">
        <f>INDEX(TestSummary!$A$1:$CF$296,'J1634 Calcs_new'!$A52,'J1634 Calcs_new'!F$5)</f>
        <v>21.889978499999998</v>
      </c>
      <c r="G52" s="179">
        <f>INDEX(TestSummary!$A$1:$CF$296,'J1634 Calcs_new'!$A52,'J1634 Calcs_new'!G$5)</f>
        <v>21</v>
      </c>
      <c r="H52" s="179">
        <f>INDEX(TestSummary!$A$1:$CF$296,'J1634 Calcs_new'!$A52,'J1634 Calcs_new'!H$5)</f>
        <v>1512</v>
      </c>
      <c r="I52" s="179">
        <f>INDEX(TestSummary!$A$1:$CF$296,'J1634 Calcs_new'!$A52,'J1634 Calcs_new'!I$5)</f>
        <v>1491</v>
      </c>
      <c r="J52" s="606">
        <f>INDEX(TestSummary!$A$1:$CF$296,'J1634 Calcs_new'!$A52,'J1634 Calcs_new'!J$5)</f>
        <v>7.4649109500000002</v>
      </c>
      <c r="K52" s="181">
        <f>INDEX(TestSummary!$A$1:$CF$296,'J1634 Calcs_new'!$A52,'J1634 Calcs_new'!K$5)</f>
        <v>199.73446568709571</v>
      </c>
      <c r="L52" s="181">
        <f>INDEX(TestSummary!$A$1:$CF$296,'J1634 Calcs_new'!$A52,'J1634 Calcs_new'!L$5)</f>
        <v>198.93070526179551</v>
      </c>
      <c r="M52" s="181">
        <f>INDEX(TestSummary!$A$1:$CF$296,'J1634 Calcs_new'!$A52,'J1634 Calcs_new'!M$5)</f>
        <v>20.670038937303065</v>
      </c>
      <c r="N52" s="181">
        <f>INDEX(TestSummary!$A$1:$CF$296,'J1634 Calcs_new'!$A52,'J1634 Calcs_new'!N$5)</f>
        <v>5.3584028353345595E-2</v>
      </c>
      <c r="O52" s="181">
        <f>INDEX(TestSummary!$A$1:$CF$296,'J1634 Calcs_new'!$A52,'J1634 Calcs_new'!O$5)</f>
        <v>0.10716805670669119</v>
      </c>
      <c r="Q52" s="182" t="s">
        <v>297</v>
      </c>
      <c r="R52" s="205">
        <f>TestSummary!BL55</f>
        <v>85641.2</v>
      </c>
      <c r="S52" s="205">
        <f>$R$31</f>
        <v>85754.6</v>
      </c>
      <c r="T52" s="183" t="s">
        <v>16</v>
      </c>
      <c r="U52" s="184" t="s">
        <v>1</v>
      </c>
      <c r="V52" s="184" t="s">
        <v>420</v>
      </c>
      <c r="W52" s="185" t="s">
        <v>298</v>
      </c>
      <c r="X52" s="184" t="s">
        <v>299</v>
      </c>
      <c r="Y52" s="185" t="s">
        <v>300</v>
      </c>
      <c r="Z52" s="186" t="s">
        <v>301</v>
      </c>
      <c r="AA52" s="187" t="s">
        <v>302</v>
      </c>
      <c r="AB52" s="186" t="s">
        <v>303</v>
      </c>
      <c r="AC52" s="188"/>
      <c r="AF52" s="512" t="s">
        <v>1285</v>
      </c>
      <c r="AG52" s="512">
        <v>79764.800000000003</v>
      </c>
      <c r="AH52" s="512">
        <v>89907</v>
      </c>
      <c r="AI52" s="562">
        <f>AG52/AH52</f>
        <v>0.88719232095387457</v>
      </c>
    </row>
    <row r="53" spans="1:59">
      <c r="A53" s="512">
        <v>36</v>
      </c>
      <c r="B53" s="465">
        <f>INDEX(TestSummary!$A$1:$CF$296,'J1634 Calcs_new'!$A53,'J1634 Calcs_new'!B$5)</f>
        <v>62005016</v>
      </c>
      <c r="C53" s="465" t="str">
        <f>INDEX(TestSummary!$A$1:$CF$296,'J1634 Calcs_new'!$A53,'J1634 Calcs_new'!C$5)</f>
        <v>HWY 1</v>
      </c>
      <c r="D53" s="513" t="str">
        <f>INDEX(TestSummary!$A$1:$CF$296,'J1634 Calcs_new'!$A53,'J1634 Calcs_new'!D$5)</f>
        <v>J1634 MCT, UDDS-HWY-UDDS-US06</v>
      </c>
      <c r="E53" s="521">
        <f>INDEX(TestSummary!$A$1:$CF$296,'J1634 Calcs_new'!$A53,'J1634 Calcs_new'!E$5)</f>
        <v>0</v>
      </c>
      <c r="F53" s="521">
        <f>INDEX(TestSummary!$A$1:$CF$296,'J1634 Calcs_new'!$A53,'J1634 Calcs_new'!F$5)</f>
        <v>25.225954000000002</v>
      </c>
      <c r="G53" s="179">
        <f>INDEX(TestSummary!$A$1:$CF$296,'J1634 Calcs_new'!$A53,'J1634 Calcs_new'!G$5)</f>
        <v>1514</v>
      </c>
      <c r="H53" s="179">
        <f>INDEX(TestSummary!$A$1:$CF$296,'J1634 Calcs_new'!$A53,'J1634 Calcs_new'!H$5)</f>
        <v>3470</v>
      </c>
      <c r="I53" s="179">
        <f>INDEX(TestSummary!$A$1:$CF$296,'J1634 Calcs_new'!$A53,'J1634 Calcs_new'!I$5)</f>
        <v>1956</v>
      </c>
      <c r="J53" s="606">
        <f>INDEX(TestSummary!$A$1:$CF$296,'J1634 Calcs_new'!$A53,'J1634 Calcs_new'!J$5)</f>
        <v>10.293208849999999</v>
      </c>
      <c r="K53" s="181">
        <f>INDEX(TestSummary!$A$1:$CF$296,'J1634 Calcs_new'!$A53,'J1634 Calcs_new'!K$5)</f>
        <v>190.02820485858501</v>
      </c>
      <c r="L53" s="181">
        <f>INDEX(TestSummary!$A$1:$CF$296,'J1634 Calcs_new'!$A53,'J1634 Calcs_new'!L$5)</f>
        <v>189.93105342460822</v>
      </c>
      <c r="M53" s="181">
        <f>INDEX(TestSummary!$A$1:$CF$296,'J1634 Calcs_new'!$A53,'J1634 Calcs_new'!M$5)</f>
        <v>8.1510053106519873</v>
      </c>
      <c r="N53" s="181">
        <f>INDEX(TestSummary!$A$1:$CF$296,'J1634 Calcs_new'!$A53,'J1634 Calcs_new'!N$5)</f>
        <v>2.9145430193034515E-2</v>
      </c>
      <c r="O53" s="181">
        <f>INDEX(TestSummary!$A$1:$CF$296,'J1634 Calcs_new'!$A53,'J1634 Calcs_new'!O$5)</f>
        <v>4.8575716988390839E-2</v>
      </c>
      <c r="Q53" s="190" t="s">
        <v>304</v>
      </c>
      <c r="R53" s="191">
        <f>TestSummary!W54</f>
        <v>76421</v>
      </c>
      <c r="S53" s="191">
        <f>R53</f>
        <v>76421</v>
      </c>
      <c r="T53" s="183" t="s">
        <v>305</v>
      </c>
      <c r="U53" s="184" t="s">
        <v>58</v>
      </c>
      <c r="V53" s="184">
        <v>3</v>
      </c>
      <c r="W53" s="192"/>
      <c r="X53" s="192">
        <f>I52/R53</f>
        <v>1.9510344015388439E-2</v>
      </c>
      <c r="Y53" s="192">
        <f>(1-X53)/V53</f>
        <v>0.32682988532820384</v>
      </c>
      <c r="Z53" s="193">
        <f>X53*K52+(Y53*K54)+(Y53*K57)+(Y53*K59)</f>
        <v>174.02158253747868</v>
      </c>
      <c r="AA53" s="193">
        <f>S53/Z53</f>
        <v>439.14667873762937</v>
      </c>
      <c r="AB53" s="194">
        <f>Z53/W56</f>
        <v>195.01730093048661</v>
      </c>
      <c r="AC53" s="188"/>
    </row>
    <row r="54" spans="1:59">
      <c r="A54" s="512">
        <v>39</v>
      </c>
      <c r="B54" s="465">
        <f>INDEX(TestSummary!$A$1:$CF$296,'J1634 Calcs_new'!$A54,'J1634 Calcs_new'!B$5)</f>
        <v>62005016</v>
      </c>
      <c r="C54" s="465" t="str">
        <f>INDEX(TestSummary!$A$1:$CF$296,'J1634 Calcs_new'!$A54,'J1634 Calcs_new'!C$5)</f>
        <v>UDDS 2, combined</v>
      </c>
      <c r="D54" s="513" t="str">
        <f>INDEX(TestSummary!$A$1:$CF$296,'J1634 Calcs_new'!$A54,'J1634 Calcs_new'!D$5)</f>
        <v>J1634 MCT, UDDS-HWY-UDDS-US06</v>
      </c>
      <c r="E54" s="521">
        <f>INDEX(TestSummary!$A$1:$CF$296,'J1634 Calcs_new'!$A54,'J1634 Calcs_new'!E$5)</f>
        <v>0</v>
      </c>
      <c r="F54" s="521">
        <f>INDEX(TestSummary!$A$1:$CF$296,'J1634 Calcs_new'!$A54,'J1634 Calcs_new'!F$5)</f>
        <v>19.997267999999998</v>
      </c>
      <c r="G54" s="179">
        <f>INDEX(TestSummary!$A$1:$CF$296,'J1634 Calcs_new'!$A54,'J1634 Calcs_new'!G$5)</f>
        <v>3515</v>
      </c>
      <c r="H54" s="179">
        <f>INDEX(TestSummary!$A$1:$CF$296,'J1634 Calcs_new'!$A54,'J1634 Calcs_new'!H$5)</f>
        <v>4867</v>
      </c>
      <c r="I54" s="179">
        <f>INDEX(TestSummary!$A$1:$CF$296,'J1634 Calcs_new'!$A54,'J1634 Calcs_new'!I$5)</f>
        <v>1352</v>
      </c>
      <c r="J54" s="606">
        <f>INDEX(TestSummary!$A$1:$CF$296,'J1634 Calcs_new'!$A54,'J1634 Calcs_new'!J$5)</f>
        <v>7.4686171799999999</v>
      </c>
      <c r="K54" s="181">
        <f>INDEX(TestSummary!$A$1:$CF$296,'J1634 Calcs_new'!$A54,'J1634 Calcs_new'!K$5)</f>
        <v>181.0241397323835</v>
      </c>
      <c r="L54" s="181">
        <f>INDEX(TestSummary!$A$1:$CF$296,'J1634 Calcs_new'!$A54,'J1634 Calcs_new'!L$5)</f>
        <v>180.75635254343027</v>
      </c>
      <c r="M54" s="181">
        <f>INDEX(TestSummary!$A$1:$CF$296,'J1634 Calcs_new'!$A54,'J1634 Calcs_new'!M$5)</f>
        <v>22.648493947844837</v>
      </c>
      <c r="N54" s="181">
        <f>INDEX(TestSummary!$A$1:$CF$296,'J1634 Calcs_new'!$A54,'J1634 Calcs_new'!N$5)</f>
        <v>5.3557437790645993E-2</v>
      </c>
      <c r="O54" s="181">
        <f>INDEX(TestSummary!$A$1:$CF$296,'J1634 Calcs_new'!$A54,'J1634 Calcs_new'!O$5)</f>
        <v>0.10711487558129201</v>
      </c>
      <c r="T54" s="183" t="s">
        <v>305</v>
      </c>
      <c r="U54" s="184" t="s">
        <v>56</v>
      </c>
      <c r="V54" s="184">
        <v>2</v>
      </c>
      <c r="W54" s="192">
        <f>1/V54</f>
        <v>0.5</v>
      </c>
      <c r="X54" s="192"/>
      <c r="Y54" s="192"/>
      <c r="Z54" s="193">
        <f>W54*(K53+K58)</f>
        <v>185.69043323051872</v>
      </c>
      <c r="AA54" s="193">
        <f>S53/Z54</f>
        <v>411.5505503998146</v>
      </c>
      <c r="AB54" s="194">
        <f>Z54/W56</f>
        <v>208.09399942923409</v>
      </c>
      <c r="AC54" s="188"/>
    </row>
    <row r="55" spans="1:59">
      <c r="A55" s="519">
        <v>42</v>
      </c>
      <c r="B55" s="465">
        <f>INDEX(TestSummary!$A$1:$CF$296,'J1634 Calcs_new'!$A55,'J1634 Calcs_new'!B$5)</f>
        <v>62005016</v>
      </c>
      <c r="C55" s="465" t="str">
        <f>INDEX(TestSummary!$A$1:$CF$296,'J1634 Calcs_new'!$A55,'J1634 Calcs_new'!C$5)</f>
        <v>US06 1, combined</v>
      </c>
      <c r="D55" s="513" t="str">
        <f>INDEX(TestSummary!$A$1:$CF$296,'J1634 Calcs_new'!$A55,'J1634 Calcs_new'!D$5)</f>
        <v>J1634 MCT, UDDS-HWY-UDDS-US06</v>
      </c>
      <c r="E55" s="521">
        <f>INDEX(TestSummary!$A$1:$CF$296,'J1634 Calcs_new'!$A55,'J1634 Calcs_new'!E$5)</f>
        <v>0</v>
      </c>
      <c r="F55" s="521">
        <f>INDEX(TestSummary!$A$1:$CF$296,'J1634 Calcs_new'!$A55,'J1634 Calcs_new'!F$5)</f>
        <v>24.9519135</v>
      </c>
      <c r="G55" s="179">
        <f>INDEX(TestSummary!$A$1:$CF$296,'J1634 Calcs_new'!$A55,'J1634 Calcs_new'!G$5)</f>
        <v>4879</v>
      </c>
      <c r="H55" s="179">
        <f>INDEX(TestSummary!$A$1:$CF$296,'J1634 Calcs_new'!$A55,'J1634 Calcs_new'!H$5)</f>
        <v>6751</v>
      </c>
      <c r="I55" s="179">
        <f>INDEX(TestSummary!$A$1:$CF$296,'J1634 Calcs_new'!$A55,'J1634 Calcs_new'!I$5)</f>
        <v>2031</v>
      </c>
      <c r="J55" s="606">
        <f>INDEX(TestSummary!$A$1:$CF$296,'J1634 Calcs_new'!$A55,'J1634 Calcs_new'!J$5)</f>
        <v>8.0291777999999994</v>
      </c>
      <c r="K55" s="181">
        <f>INDEX(TestSummary!$A$1:$CF$296,'J1634 Calcs_new'!$A55,'J1634 Calcs_new'!K$5)</f>
        <v>252.95242558957906</v>
      </c>
      <c r="L55" s="181">
        <f>INDEX(TestSummary!$A$1:$CF$296,'J1634 Calcs_new'!$A55,'J1634 Calcs_new'!L$5)</f>
        <v>252.95242558957906</v>
      </c>
      <c r="M55" s="181">
        <f>INDEX(TestSummary!$A$1:$CF$296,'J1634 Calcs_new'!$A55,'J1634 Calcs_new'!M$5)</f>
        <v>9.291113219587686</v>
      </c>
      <c r="N55" s="181">
        <f>INDEX(TestSummary!$A$1:$CF$296,'J1634 Calcs_new'!$A55,'J1634 Calcs_new'!N$5)</f>
        <v>1.2454575361377611E-2</v>
      </c>
      <c r="O55" s="181">
        <f>INDEX(TestSummary!$A$1:$CF$296,'J1634 Calcs_new'!$A55,'J1634 Calcs_new'!O$5)</f>
        <v>4.9818301445510388E-2</v>
      </c>
      <c r="Q55" s="190" t="s">
        <v>1257</v>
      </c>
      <c r="R55" s="191">
        <f>TestSummary!W54</f>
        <v>76421</v>
      </c>
      <c r="S55" s="191">
        <f>$R$34</f>
        <v>76123</v>
      </c>
      <c r="T55" s="183" t="s">
        <v>305</v>
      </c>
      <c r="U55" s="184" t="s">
        <v>224</v>
      </c>
      <c r="V55" s="184">
        <v>2</v>
      </c>
      <c r="W55" s="192">
        <f>1/V55</f>
        <v>0.5</v>
      </c>
      <c r="X55" s="192"/>
      <c r="Y55" s="192"/>
      <c r="Z55" s="193">
        <f>W55*(K55+K56)</f>
        <v>247.87518313593728</v>
      </c>
      <c r="AA55" s="193">
        <f>S53/Z55</f>
        <v>308.30436122397111</v>
      </c>
      <c r="AB55" s="194">
        <f>Z55/W56</f>
        <v>277.781344577818</v>
      </c>
      <c r="AC55" s="188"/>
    </row>
    <row r="56" spans="1:59" ht="15.75" thickBot="1">
      <c r="A56" s="519">
        <v>46</v>
      </c>
      <c r="B56" s="465">
        <f>INDEX(TestSummary!$A$1:$CF$296,'J1634 Calcs_new'!$A56,'J1634 Calcs_new'!B$5)</f>
        <v>62005018</v>
      </c>
      <c r="C56" s="465" t="str">
        <f>INDEX(TestSummary!$A$1:$CF$296,'J1634 Calcs_new'!$A56,'J1634 Calcs_new'!C$5)</f>
        <v>US06 2, combined</v>
      </c>
      <c r="D56" s="513" t="str">
        <f>INDEX(TestSummary!$A$1:$CF$296,'J1634 Calcs_new'!$A56,'J1634 Calcs_new'!D$5)</f>
        <v>J1634 MCT, US06-UDDS-HWY-UDDS</v>
      </c>
      <c r="E56" s="521">
        <f>INDEX(TestSummary!$A$1:$CF$296,'J1634 Calcs_new'!$A56,'J1634 Calcs_new'!E$5)</f>
        <v>0</v>
      </c>
      <c r="F56" s="521">
        <f>INDEX(TestSummary!$A$1:$CF$296,'J1634 Calcs_new'!$A56,'J1634 Calcs_new'!F$5)</f>
        <v>23.643376499999999</v>
      </c>
      <c r="G56" s="179">
        <f>INDEX(TestSummary!$A$1:$CF$296,'J1634 Calcs_new'!$A56,'J1634 Calcs_new'!G$5)</f>
        <v>65043</v>
      </c>
      <c r="H56" s="179">
        <f>INDEX(TestSummary!$A$1:$CF$296,'J1634 Calcs_new'!$A56,'J1634 Calcs_new'!H$5)</f>
        <v>66841</v>
      </c>
      <c r="I56" s="179">
        <f>INDEX(TestSummary!$A$1:$CF$296,'J1634 Calcs_new'!$A56,'J1634 Calcs_new'!I$5)</f>
        <v>1949</v>
      </c>
      <c r="J56" s="606">
        <f>INDEX(TestSummary!$A$1:$CF$296,'J1634 Calcs_new'!$A56,'J1634 Calcs_new'!J$5)</f>
        <v>8.0272509500000009</v>
      </c>
      <c r="K56" s="181">
        <f>INDEX(TestSummary!$A$1:$CF$296,'J1634 Calcs_new'!$A56,'J1634 Calcs_new'!K$5)</f>
        <v>242.79794068229546</v>
      </c>
      <c r="L56" s="181">
        <f>INDEX(TestSummary!$A$1:$CF$296,'J1634 Calcs_new'!$A56,'J1634 Calcs_new'!L$5)</f>
        <v>242.79794068229546</v>
      </c>
      <c r="M56" s="181">
        <f>INDEX(TestSummary!$A$1:$CF$296,'J1634 Calcs_new'!$A56,'J1634 Calcs_new'!M$5)</f>
        <v>7.6471421389909491</v>
      </c>
      <c r="N56" s="181">
        <f>INDEX(TestSummary!$A$1:$CF$296,'J1634 Calcs_new'!$A56,'J1634 Calcs_new'!N$5)</f>
        <v>1.2457564940086947E-2</v>
      </c>
      <c r="O56" s="181">
        <f>INDEX(TestSummary!$A$1:$CF$296,'J1634 Calcs_new'!$A56,'J1634 Calcs_new'!O$5)</f>
        <v>2.4915129880173893E-2</v>
      </c>
      <c r="T56" s="195" t="s">
        <v>305</v>
      </c>
      <c r="U56" s="196" t="s">
        <v>308</v>
      </c>
      <c r="V56" s="196"/>
      <c r="W56" s="376">
        <f>R53/R52</f>
        <v>0.89233920122557842</v>
      </c>
      <c r="X56" s="197"/>
      <c r="Y56" s="197"/>
      <c r="Z56" s="198" t="s">
        <v>293</v>
      </c>
      <c r="AA56" s="198" t="s">
        <v>309</v>
      </c>
      <c r="AB56" s="199" t="s">
        <v>307</v>
      </c>
      <c r="AC56" s="200"/>
    </row>
    <row r="57" spans="1:59">
      <c r="A57" s="519">
        <v>49</v>
      </c>
      <c r="B57" s="465">
        <f>INDEX(TestSummary!$A$1:$CF$296,'J1634 Calcs_new'!$A57,'J1634 Calcs_new'!B$5)</f>
        <v>62005018</v>
      </c>
      <c r="C57" s="465" t="str">
        <f>INDEX(TestSummary!$A$1:$CF$296,'J1634 Calcs_new'!$A57,'J1634 Calcs_new'!C$5)</f>
        <v>UDDS 3, combined</v>
      </c>
      <c r="D57" s="513" t="str">
        <f>INDEX(TestSummary!$A$1:$CF$296,'J1634 Calcs_new'!$A57,'J1634 Calcs_new'!D$5)</f>
        <v>J1634 MCT, US06-UDDS-HWY-UDDS</v>
      </c>
      <c r="E57" s="521">
        <f>INDEX(TestSummary!$A$1:$CF$296,'J1634 Calcs_new'!$A57,'J1634 Calcs_new'!E$5)</f>
        <v>0</v>
      </c>
      <c r="F57" s="521">
        <f>INDEX(TestSummary!$A$1:$CF$296,'J1634 Calcs_new'!$A57,'J1634 Calcs_new'!F$5)</f>
        <v>20.788361999999999</v>
      </c>
      <c r="G57" s="179">
        <f>INDEX(TestSummary!$A$1:$CF$296,'J1634 Calcs_new'!$A57,'J1634 Calcs_new'!G$5)</f>
        <v>67034</v>
      </c>
      <c r="H57" s="179">
        <f>INDEX(TestSummary!$A$1:$CF$296,'J1634 Calcs_new'!$A57,'J1634 Calcs_new'!H$5)</f>
        <v>68307</v>
      </c>
      <c r="I57" s="179">
        <f>INDEX(TestSummary!$A$1:$CF$296,'J1634 Calcs_new'!$A57,'J1634 Calcs_new'!I$5)</f>
        <v>1273</v>
      </c>
      <c r="J57" s="606">
        <f>INDEX(TestSummary!$A$1:$CF$296,'J1634 Calcs_new'!$A57,'J1634 Calcs_new'!J$5)</f>
        <v>7.4616087699999998</v>
      </c>
      <c r="K57" s="181">
        <f>INDEX(TestSummary!$A$1:$CF$296,'J1634 Calcs_new'!$A57,'J1634 Calcs_new'!K$5)</f>
        <v>170.60663983324872</v>
      </c>
      <c r="L57" s="181">
        <f>INDEX(TestSummary!$A$1:$CF$296,'J1634 Calcs_new'!$A57,'J1634 Calcs_new'!L$5)</f>
        <v>170.60663983324872</v>
      </c>
      <c r="M57" s="181">
        <f>INDEX(TestSummary!$A$1:$CF$296,'J1634 Calcs_new'!$A57,'J1634 Calcs_new'!M$5)</f>
        <v>18.092613022379087</v>
      </c>
      <c r="N57" s="181">
        <f>INDEX(TestSummary!$A$1:$CF$296,'J1634 Calcs_new'!$A57,'J1634 Calcs_new'!N$5)</f>
        <v>2.6803871144265339E-2</v>
      </c>
      <c r="O57" s="181">
        <f>INDEX(TestSummary!$A$1:$CF$296,'J1634 Calcs_new'!$A57,'J1634 Calcs_new'!O$5)</f>
        <v>6.700967786066328E-2</v>
      </c>
    </row>
    <row r="58" spans="1:59">
      <c r="A58" s="519">
        <v>50</v>
      </c>
      <c r="B58" s="465">
        <f>INDEX(TestSummary!$A$1:$CF$296,'J1634 Calcs_new'!$A58,'J1634 Calcs_new'!B$5)</f>
        <v>62005018</v>
      </c>
      <c r="C58" s="465" t="str">
        <f>INDEX(TestSummary!$A$1:$CF$296,'J1634 Calcs_new'!$A58,'J1634 Calcs_new'!C$5)</f>
        <v>HWY</v>
      </c>
      <c r="D58" s="513" t="str">
        <f>INDEX(TestSummary!$A$1:$CF$296,'J1634 Calcs_new'!$A58,'J1634 Calcs_new'!D$5)</f>
        <v>J1634 MCT, US06-UDDS-HWY-UDDS</v>
      </c>
      <c r="E58" s="521">
        <f>INDEX(TestSummary!$A$1:$CF$296,'J1634 Calcs_new'!$A58,'J1634 Calcs_new'!E$5)</f>
        <v>0</v>
      </c>
      <c r="F58" s="521">
        <f>INDEX(TestSummary!$A$1:$CF$296,'J1634 Calcs_new'!$A58,'J1634 Calcs_new'!F$5)</f>
        <v>25.581983000000001</v>
      </c>
      <c r="G58" s="179">
        <f>INDEX(TestSummary!$A$1:$CF$296,'J1634 Calcs_new'!$A58,'J1634 Calcs_new'!G$5)</f>
        <v>68309</v>
      </c>
      <c r="H58" s="179">
        <f>INDEX(TestSummary!$A$1:$CF$296,'J1634 Calcs_new'!$A58,'J1634 Calcs_new'!H$5)</f>
        <v>70174</v>
      </c>
      <c r="I58" s="179">
        <f>INDEX(TestSummary!$A$1:$CF$296,'J1634 Calcs_new'!$A58,'J1634 Calcs_new'!I$5)</f>
        <v>1865</v>
      </c>
      <c r="J58" s="606">
        <f>INDEX(TestSummary!$A$1:$CF$296,'J1634 Calcs_new'!$A58,'J1634 Calcs_new'!J$5)</f>
        <v>10.28383032</v>
      </c>
      <c r="K58" s="181">
        <f>INDEX(TestSummary!$A$1:$CF$296,'J1634 Calcs_new'!$A58,'J1634 Calcs_new'!K$5)</f>
        <v>181.35266160245243</v>
      </c>
      <c r="L58" s="181">
        <f>INDEX(TestSummary!$A$1:$CF$296,'J1634 Calcs_new'!$A58,'J1634 Calcs_new'!L$5)</f>
        <v>181.35266160245243</v>
      </c>
      <c r="M58" s="181">
        <f>INDEX(TestSummary!$A$1:$CF$296,'J1634 Calcs_new'!$A58,'J1634 Calcs_new'!M$5)</f>
        <v>7.1251874758664728</v>
      </c>
      <c r="N58" s="181">
        <f>INDEX(TestSummary!$A$1:$CF$296,'J1634 Calcs_new'!$A58,'J1634 Calcs_new'!N$5)</f>
        <v>9.7240033030806111E-3</v>
      </c>
      <c r="O58" s="181">
        <f>INDEX(TestSummary!$A$1:$CF$296,'J1634 Calcs_new'!$A58,'J1634 Calcs_new'!O$5)</f>
        <v>2.9172009909241747E-2</v>
      </c>
    </row>
    <row r="59" spans="1:59">
      <c r="A59" s="519">
        <v>53</v>
      </c>
      <c r="B59" s="465">
        <f>INDEX(TestSummary!$A$1:$CF$296,'J1634 Calcs_new'!$A59,'J1634 Calcs_new'!B$5)</f>
        <v>62005018</v>
      </c>
      <c r="C59" s="465" t="str">
        <f>INDEX(TestSummary!$A$1:$CF$296,'J1634 Calcs_new'!$A59,'J1634 Calcs_new'!C$5)</f>
        <v>UDDS 4, combined</v>
      </c>
      <c r="D59" s="513" t="str">
        <f>INDEX(TestSummary!$A$1:$CF$296,'J1634 Calcs_new'!$A59,'J1634 Calcs_new'!D$5)</f>
        <v>J1634 MCT, US06-UDDS-HWY-UDDS</v>
      </c>
      <c r="E59" s="521">
        <f>INDEX(TestSummary!$A$1:$CF$296,'J1634 Calcs_new'!$A59,'J1634 Calcs_new'!E$5)</f>
        <v>0</v>
      </c>
      <c r="F59" s="521">
        <f>INDEX(TestSummary!$A$1:$CF$296,'J1634 Calcs_new'!$A59,'J1634 Calcs_new'!F$5)</f>
        <v>19.921703999999998</v>
      </c>
      <c r="G59" s="179">
        <f>INDEX(TestSummary!$A$1:$CF$296,'J1634 Calcs_new'!$A59,'J1634 Calcs_new'!G$5)</f>
        <v>70214</v>
      </c>
      <c r="H59" s="179">
        <f>INDEX(TestSummary!$A$1:$CF$296,'J1634 Calcs_new'!$A59,'J1634 Calcs_new'!H$5)</f>
        <v>71474</v>
      </c>
      <c r="I59" s="179">
        <f>INDEX(TestSummary!$A$1:$CF$296,'J1634 Calcs_new'!$A59,'J1634 Calcs_new'!I$5)</f>
        <v>1260</v>
      </c>
      <c r="J59" s="606">
        <f>INDEX(TestSummary!$A$1:$CF$296,'J1634 Calcs_new'!$A59,'J1634 Calcs_new'!J$5)</f>
        <v>7.4600788500000004</v>
      </c>
      <c r="K59" s="181">
        <f>INDEX(TestSummary!$A$1:$CF$296,'J1634 Calcs_new'!$A59,'J1634 Calcs_new'!K$5)</f>
        <v>168.89901907672194</v>
      </c>
      <c r="L59" s="181">
        <f>INDEX(TestSummary!$A$1:$CF$296,'J1634 Calcs_new'!$A59,'J1634 Calcs_new'!L$5)</f>
        <v>168.89901907672194</v>
      </c>
      <c r="M59" s="181">
        <f>INDEX(TestSummary!$A$1:$CF$296,'J1634 Calcs_new'!$A59,'J1634 Calcs_new'!M$5)</f>
        <v>17.707587634948375</v>
      </c>
      <c r="N59" s="181">
        <f>INDEX(TestSummary!$A$1:$CF$296,'J1634 Calcs_new'!$A59,'J1634 Calcs_new'!N$5)</f>
        <v>1.3404684053708043E-2</v>
      </c>
      <c r="O59" s="181">
        <f>INDEX(TestSummary!$A$1:$CF$296,'J1634 Calcs_new'!$A59,'J1634 Calcs_new'!O$5)</f>
        <v>6.7023420268540454E-2</v>
      </c>
    </row>
    <row r="63" spans="1:59" ht="16.5" thickBot="1">
      <c r="B63" s="119" t="s">
        <v>1260</v>
      </c>
      <c r="C63" s="174"/>
      <c r="D63" s="174"/>
      <c r="E63" s="158"/>
      <c r="F63" s="158"/>
      <c r="G63" s="174"/>
      <c r="H63" s="174"/>
      <c r="I63" s="174"/>
      <c r="J63" s="604"/>
      <c r="K63" s="174"/>
      <c r="L63" s="174"/>
      <c r="M63" s="174"/>
      <c r="N63" s="174"/>
      <c r="O63" s="174"/>
    </row>
    <row r="64" spans="1:59" ht="15.75" thickBot="1">
      <c r="A64" s="512">
        <v>142</v>
      </c>
      <c r="B64" s="465">
        <f>INDEX(TestSummary!$A$1:$CF$296,'J1634 Calcs_new'!$A64,'J1634 Calcs_new'!B$5)</f>
        <v>62006015</v>
      </c>
      <c r="C64" s="465" t="str">
        <f>INDEX(TestSummary!$A$1:$CF$296,'J1634 Calcs_new'!$A64,'J1634 Calcs_new'!C$5)</f>
        <v>UDDS 1 , Combined</v>
      </c>
      <c r="D64" s="513" t="str">
        <f>INDEX(TestSummary!$A$1:$CF$296,'J1634 Calcs_new'!$A64,'J1634 Calcs_new'!D$5)</f>
        <v>J1634 MCT  first half with precondition in cold test cell, test started after @ 50 minutes precondion with HVAC ON-AUTO-72°F, Climate turned back on at 300 seconds</v>
      </c>
      <c r="E64" s="521">
        <f>INDEX(TestSummary!$A$1:$CF$296,'J1634 Calcs_new'!$A64,'J1634 Calcs_new'!E$5)</f>
        <v>0</v>
      </c>
      <c r="F64" s="521">
        <f>INDEX(TestSummary!$A$1:$CF$296,'J1634 Calcs_new'!$A64,'J1634 Calcs_new'!F$5)</f>
        <v>-5.7092794999999992</v>
      </c>
      <c r="G64" s="179">
        <f>INDEX(TestSummary!$A$1:$CF$296,'J1634 Calcs_new'!$A64,'J1634 Calcs_new'!G$5)</f>
        <v>-2882</v>
      </c>
      <c r="H64" s="179">
        <f>INDEX(TestSummary!$A$1:$CF$296,'J1634 Calcs_new'!$A64,'J1634 Calcs_new'!H$5)</f>
        <v>-658</v>
      </c>
      <c r="I64" s="179">
        <f>INDEX(TestSummary!$A$1:$CF$296,'J1634 Calcs_new'!$A64,'J1634 Calcs_new'!I$5)</f>
        <v>2224</v>
      </c>
      <c r="J64" s="606">
        <f>INDEX(TestSummary!$A$1:$CF$296,'J1634 Calcs_new'!$A64,'J1634 Calcs_new'!J$5)</f>
        <v>7.4603347800000002</v>
      </c>
      <c r="K64" s="181">
        <f>INDEX(TestSummary!$A$1:$CF$296,'J1634 Calcs_new'!$A64,'J1634 Calcs_new'!K$5)</f>
        <v>298.10994621343252</v>
      </c>
      <c r="L64" s="181">
        <f>INDEX(TestSummary!$A$1:$CF$296,'J1634 Calcs_new'!$A64,'J1634 Calcs_new'!L$5)</f>
        <v>299.18228414945207</v>
      </c>
      <c r="M64" s="181">
        <f>INDEX(TestSummary!$A$1:$CF$296,'J1634 Calcs_new'!$A64,'J1634 Calcs_new'!M$5)</f>
        <v>20.240378542368845</v>
      </c>
      <c r="N64" s="181">
        <f>INDEX(TestSummary!$A$1:$CF$296,'J1634 Calcs_new'!$A64,'J1634 Calcs_new'!N$5)</f>
        <v>60.318877137575086</v>
      </c>
      <c r="O64" s="181">
        <f>INDEX(TestSummary!$A$1:$CF$296,'J1634 Calcs_new'!$A64,'J1634 Calcs_new'!O$5)</f>
        <v>5.3616896800977122E-2</v>
      </c>
      <c r="Q64" s="175" t="s">
        <v>294</v>
      </c>
      <c r="R64" s="597" t="s">
        <v>311</v>
      </c>
      <c r="S64" s="512" t="s">
        <v>312</v>
      </c>
      <c r="T64" s="176" t="s">
        <v>295</v>
      </c>
      <c r="U64" s="177"/>
      <c r="V64" s="177"/>
      <c r="W64" s="177"/>
      <c r="X64" s="177"/>
      <c r="Y64" s="177"/>
      <c r="Z64" s="177"/>
      <c r="AA64" s="177"/>
      <c r="AB64" s="177"/>
      <c r="AC64" s="178"/>
    </row>
    <row r="65" spans="1:29">
      <c r="A65" s="512">
        <v>143</v>
      </c>
      <c r="B65" s="465">
        <f>INDEX(TestSummary!$A$1:$CF$296,'J1634 Calcs_new'!$A65,'J1634 Calcs_new'!B$5)</f>
        <v>62006015</v>
      </c>
      <c r="C65" s="465" t="str">
        <f>INDEX(TestSummary!$A$1:$CF$296,'J1634 Calcs_new'!$A65,'J1634 Calcs_new'!C$5)</f>
        <v>HWY 1</v>
      </c>
      <c r="D65" s="513" t="str">
        <f>INDEX(TestSummary!$A$1:$CF$296,'J1634 Calcs_new'!$A65,'J1634 Calcs_new'!D$5)</f>
        <v>J1634 MCT  first half with precondition in cold test cell, test started after @ 50 minutes precondion with HVAC ON-AUTO-72°F, Climate turned back on at 300 seconds</v>
      </c>
      <c r="E65" s="521">
        <f>INDEX(TestSummary!$A$1:$CF$296,'J1634 Calcs_new'!$A65,'J1634 Calcs_new'!E$5)</f>
        <v>0</v>
      </c>
      <c r="F65" s="521">
        <f>INDEX(TestSummary!$A$1:$CF$296,'J1634 Calcs_new'!$A65,'J1634 Calcs_new'!F$5)</f>
        <v>-4.6861629999999996</v>
      </c>
      <c r="G65" s="179">
        <f>INDEX(TestSummary!$A$1:$CF$296,'J1634 Calcs_new'!$A65,'J1634 Calcs_new'!G$5)</f>
        <v>-651</v>
      </c>
      <c r="H65" s="179">
        <f>INDEX(TestSummary!$A$1:$CF$296,'J1634 Calcs_new'!$A65,'J1634 Calcs_new'!H$5)</f>
        <v>1957</v>
      </c>
      <c r="I65" s="179">
        <f>INDEX(TestSummary!$A$1:$CF$296,'J1634 Calcs_new'!$A65,'J1634 Calcs_new'!I$5)</f>
        <v>2608</v>
      </c>
      <c r="J65" s="606">
        <f>INDEX(TestSummary!$A$1:$CF$296,'J1634 Calcs_new'!$A65,'J1634 Calcs_new'!J$5)</f>
        <v>10.284090709999999</v>
      </c>
      <c r="K65" s="181">
        <f>INDEX(TestSummary!$A$1:$CF$296,'J1634 Calcs_new'!$A65,'J1634 Calcs_new'!K$5)</f>
        <v>253.5955850198836</v>
      </c>
      <c r="L65" s="181">
        <f>INDEX(TestSummary!$A$1:$CF$296,'J1634 Calcs_new'!$A65,'J1634 Calcs_new'!L$5)</f>
        <v>254.17901044554284</v>
      </c>
      <c r="M65" s="181">
        <f>INDEX(TestSummary!$A$1:$CF$296,'J1634 Calcs_new'!$A65,'J1634 Calcs_new'!M$5)</f>
        <v>8.4402211578706421</v>
      </c>
      <c r="N65" s="181">
        <f>INDEX(TestSummary!$A$1:$CF$296,'J1634 Calcs_new'!$A65,'J1634 Calcs_new'!N$5)</f>
        <v>24.960884461121108</v>
      </c>
      <c r="O65" s="181">
        <f>INDEX(TestSummary!$A$1:$CF$296,'J1634 Calcs_new'!$A65,'J1634 Calcs_new'!O$5)</f>
        <v>1.9447514188641313E-2</v>
      </c>
      <c r="Q65" s="182" t="s">
        <v>297</v>
      </c>
      <c r="R65" s="205">
        <f>R17+R68</f>
        <v>90791.5</v>
      </c>
      <c r="S65" s="205">
        <f>$R$31</f>
        <v>85754.6</v>
      </c>
      <c r="T65" s="183" t="s">
        <v>16</v>
      </c>
      <c r="U65" s="184" t="s">
        <v>1</v>
      </c>
      <c r="V65" s="184" t="s">
        <v>420</v>
      </c>
      <c r="W65" s="185" t="s">
        <v>298</v>
      </c>
      <c r="X65" s="184" t="s">
        <v>299</v>
      </c>
      <c r="Y65" s="185" t="s">
        <v>300</v>
      </c>
      <c r="Z65" s="186" t="s">
        <v>301</v>
      </c>
      <c r="AA65" s="187" t="s">
        <v>302</v>
      </c>
      <c r="AB65" s="186" t="s">
        <v>303</v>
      </c>
      <c r="AC65" s="188"/>
    </row>
    <row r="66" spans="1:29">
      <c r="A66" s="512">
        <v>146</v>
      </c>
      <c r="B66" s="465">
        <f>INDEX(TestSummary!$A$1:$CF$296,'J1634 Calcs_new'!$A66,'J1634 Calcs_new'!B$5)</f>
        <v>62006015</v>
      </c>
      <c r="C66" s="465" t="str">
        <f>INDEX(TestSummary!$A$1:$CF$296,'J1634 Calcs_new'!$A66,'J1634 Calcs_new'!C$5)</f>
        <v>UDDS 2, combined</v>
      </c>
      <c r="D66" s="513" t="str">
        <f>INDEX(TestSummary!$A$1:$CF$296,'J1634 Calcs_new'!$A66,'J1634 Calcs_new'!D$5)</f>
        <v>J1634 MCT  first half with precondition in cold test cell, test started after @ 50 minutes precondion with HVAC ON-AUTO-72°F, Climate turned back on at 300 seconds</v>
      </c>
      <c r="E66" s="521">
        <f>INDEX(TestSummary!$A$1:$CF$296,'J1634 Calcs_new'!$A66,'J1634 Calcs_new'!E$5)</f>
        <v>0</v>
      </c>
      <c r="F66" s="521">
        <f>INDEX(TestSummary!$A$1:$CF$296,'J1634 Calcs_new'!$A66,'J1634 Calcs_new'!F$5)</f>
        <v>-6.6290420000000001</v>
      </c>
      <c r="G66" s="179">
        <f>INDEX(TestSummary!$A$1:$CF$296,'J1634 Calcs_new'!$A66,'J1634 Calcs_new'!G$5)</f>
        <v>2007</v>
      </c>
      <c r="H66" s="179">
        <f>INDEX(TestSummary!$A$1:$CF$296,'J1634 Calcs_new'!$A66,'J1634 Calcs_new'!H$5)</f>
        <v>4220</v>
      </c>
      <c r="I66" s="179">
        <f>INDEX(TestSummary!$A$1:$CF$296,'J1634 Calcs_new'!$A66,'J1634 Calcs_new'!I$5)</f>
        <v>2213</v>
      </c>
      <c r="J66" s="606">
        <f>INDEX(TestSummary!$A$1:$CF$296,'J1634 Calcs_new'!$A66,'J1634 Calcs_new'!J$5)</f>
        <v>7.4588861800000004</v>
      </c>
      <c r="K66" s="181">
        <f>INDEX(TestSummary!$A$1:$CF$296,'J1634 Calcs_new'!$A66,'J1634 Calcs_new'!K$5)</f>
        <v>296.69309151463682</v>
      </c>
      <c r="L66" s="181">
        <f>INDEX(TestSummary!$A$1:$CF$296,'J1634 Calcs_new'!$A66,'J1634 Calcs_new'!L$5)</f>
        <v>298.0337742598453</v>
      </c>
      <c r="M66" s="181">
        <f>INDEX(TestSummary!$A$1:$CF$296,'J1634 Calcs_new'!$A66,'J1634 Calcs_new'!M$5)</f>
        <v>20.552666484046402</v>
      </c>
      <c r="N66" s="181">
        <f>INDEX(TestSummary!$A$1:$CF$296,'J1634 Calcs_new'!$A66,'J1634 Calcs_new'!N$5)</f>
        <v>75.842515135416505</v>
      </c>
      <c r="O66" s="181">
        <f>INDEX(TestSummary!$A$1:$CF$296,'J1634 Calcs_new'!$A66,'J1634 Calcs_new'!O$5)</f>
        <v>5.3627309808339282E-2</v>
      </c>
      <c r="Q66" s="190" t="s">
        <v>304</v>
      </c>
      <c r="R66" s="191">
        <f>TestSummary!W136</f>
        <v>74150</v>
      </c>
      <c r="S66" s="191">
        <f>$R$34</f>
        <v>76123</v>
      </c>
      <c r="T66" s="183" t="s">
        <v>305</v>
      </c>
      <c r="U66" s="184" t="s">
        <v>58</v>
      </c>
      <c r="V66" s="184">
        <v>3</v>
      </c>
      <c r="W66" s="192"/>
      <c r="X66" s="192">
        <f>I64/R66</f>
        <v>2.9993256911665545E-2</v>
      </c>
      <c r="Y66" s="192">
        <f>(1-X66)/V66</f>
        <v>0.32333558102944482</v>
      </c>
      <c r="Z66" s="193">
        <f>X66*K64+Y66*K66*V66</f>
        <v>296.73558760162427</v>
      </c>
      <c r="AA66" s="193">
        <f>S66/Z66</f>
        <v>256.53478443642973</v>
      </c>
      <c r="AB66" s="194">
        <f>Z66/W69</f>
        <v>363.33201755539949</v>
      </c>
      <c r="AC66" s="188"/>
    </row>
    <row r="67" spans="1:29">
      <c r="A67" s="519">
        <v>149</v>
      </c>
      <c r="B67" s="465">
        <f>INDEX(TestSummary!$A$1:$CF$296,'J1634 Calcs_new'!$A67,'J1634 Calcs_new'!B$5)</f>
        <v>62006015</v>
      </c>
      <c r="C67" s="465" t="str">
        <f>INDEX(TestSummary!$A$1:$CF$296,'J1634 Calcs_new'!$A67,'J1634 Calcs_new'!C$5)</f>
        <v>US06 1, combined</v>
      </c>
      <c r="D67" s="513" t="str">
        <f>INDEX(TestSummary!$A$1:$CF$296,'J1634 Calcs_new'!$A67,'J1634 Calcs_new'!D$5)</f>
        <v>J1634 MCT  first half with precondition in cold test cell, test started after @ 50 minutes precondion with HVAC ON-AUTO-72°F, Climate turned back on at 300 seconds</v>
      </c>
      <c r="E67" s="521">
        <f>INDEX(TestSummary!$A$1:$CF$296,'J1634 Calcs_new'!$A67,'J1634 Calcs_new'!E$5)</f>
        <v>0</v>
      </c>
      <c r="F67" s="521">
        <f>INDEX(TestSummary!$A$1:$CF$296,'J1634 Calcs_new'!$A67,'J1634 Calcs_new'!F$5)</f>
        <v>-3.4090125000000002</v>
      </c>
      <c r="G67" s="179">
        <f>INDEX(TestSummary!$A$1:$CF$296,'J1634 Calcs_new'!$A67,'J1634 Calcs_new'!G$5)</f>
        <v>4265.6423130000003</v>
      </c>
      <c r="H67" s="179">
        <f>INDEX(TestSummary!$A$1:$CF$296,'J1634 Calcs_new'!$A67,'J1634 Calcs_new'!H$5)</f>
        <v>6597</v>
      </c>
      <c r="I67" s="179">
        <f>INDEX(TestSummary!$A$1:$CF$296,'J1634 Calcs_new'!$A67,'J1634 Calcs_new'!I$5)</f>
        <v>2532.3576869999997</v>
      </c>
      <c r="J67" s="606">
        <f>INDEX(TestSummary!$A$1:$CF$296,'J1634 Calcs_new'!$A67,'J1634 Calcs_new'!J$5)</f>
        <v>8.0261364799999999</v>
      </c>
      <c r="K67" s="181">
        <f>INDEX(TestSummary!$A$1:$CF$296,'J1634 Calcs_new'!$A67,'J1634 Calcs_new'!K$5)</f>
        <v>315.5139080067076</v>
      </c>
      <c r="L67" s="181">
        <f>INDEX(TestSummary!$A$1:$CF$296,'J1634 Calcs_new'!$A67,'J1634 Calcs_new'!L$5)</f>
        <v>315.96771451860485</v>
      </c>
      <c r="M67" s="181">
        <f>INDEX(TestSummary!$A$1:$CF$296,'J1634 Calcs_new'!$A67,'J1634 Calcs_new'!M$5)</f>
        <v>8.5346168945285612</v>
      </c>
      <c r="N67" s="181">
        <f>INDEX(TestSummary!$A$1:$CF$296,'J1634 Calcs_new'!$A67,'J1634 Calcs_new'!N$5)</f>
        <v>24.773532881663684</v>
      </c>
      <c r="O67" s="181">
        <f>INDEX(TestSummary!$A$1:$CF$296,'J1634 Calcs_new'!$A67,'J1634 Calcs_new'!O$5)</f>
        <v>1.2459294736538002E-2</v>
      </c>
      <c r="T67" s="183" t="s">
        <v>305</v>
      </c>
      <c r="U67" s="184" t="s">
        <v>56</v>
      </c>
      <c r="V67" s="184">
        <v>2</v>
      </c>
      <c r="W67" s="192">
        <f>1/V67</f>
        <v>0.5</v>
      </c>
      <c r="X67" s="192"/>
      <c r="Y67" s="192"/>
      <c r="Z67" s="193">
        <f>W67*K65*V67</f>
        <v>253.5955850198836</v>
      </c>
      <c r="AA67" s="193">
        <f>S66/Z67</f>
        <v>300.17478417075534</v>
      </c>
      <c r="AB67" s="194">
        <f>Z67/W69</f>
        <v>310.51009517643644</v>
      </c>
      <c r="AC67" s="188"/>
    </row>
    <row r="68" spans="1:29">
      <c r="B68" s="472"/>
      <c r="C68" s="472"/>
      <c r="D68" s="20"/>
      <c r="E68" s="155"/>
      <c r="F68" s="155"/>
      <c r="G68" s="202"/>
      <c r="H68" s="202"/>
      <c r="I68" s="202"/>
      <c r="J68" s="607"/>
      <c r="K68" s="204"/>
      <c r="L68" s="204"/>
      <c r="M68" s="204"/>
      <c r="N68" s="204"/>
      <c r="O68" s="204"/>
      <c r="Q68" s="512" t="s">
        <v>1302</v>
      </c>
      <c r="R68" s="597">
        <f>TestSummary!BL139</f>
        <v>6717.5</v>
      </c>
      <c r="T68" s="183" t="s">
        <v>305</v>
      </c>
      <c r="U68" s="184" t="s">
        <v>224</v>
      </c>
      <c r="V68" s="184">
        <v>2</v>
      </c>
      <c r="W68" s="192">
        <f>1/V68</f>
        <v>0.5</v>
      </c>
      <c r="X68" s="192"/>
      <c r="Y68" s="192"/>
      <c r="Z68" s="193">
        <f>W68*K67*V68</f>
        <v>315.5139080067076</v>
      </c>
      <c r="AA68" s="193">
        <f>S66/Z68</f>
        <v>241.26670193689745</v>
      </c>
      <c r="AB68" s="194">
        <f>Z68/W69</f>
        <v>386.32476033433574</v>
      </c>
      <c r="AC68" s="188"/>
    </row>
    <row r="69" spans="1:29" ht="15.75" thickBot="1">
      <c r="T69" s="195" t="s">
        <v>305</v>
      </c>
      <c r="U69" s="196" t="s">
        <v>308</v>
      </c>
      <c r="V69" s="196"/>
      <c r="W69" s="376">
        <f>R66/R65</f>
        <v>0.81670640974099995</v>
      </c>
      <c r="X69" s="197"/>
      <c r="Y69" s="197"/>
      <c r="Z69" s="198" t="s">
        <v>293</v>
      </c>
      <c r="AA69" s="198" t="s">
        <v>309</v>
      </c>
      <c r="AB69" s="199" t="s">
        <v>307</v>
      </c>
      <c r="AC69" s="200"/>
    </row>
    <row r="70" spans="1:29" ht="16.5" thickBot="1">
      <c r="B70" s="119" t="s">
        <v>1261</v>
      </c>
      <c r="C70" s="174"/>
      <c r="D70" s="174"/>
      <c r="E70" s="158"/>
      <c r="F70" s="158"/>
      <c r="G70" s="174"/>
      <c r="H70" s="174"/>
      <c r="I70" s="174"/>
      <c r="J70" s="604"/>
      <c r="K70" s="174"/>
      <c r="L70" s="174"/>
      <c r="M70" s="174"/>
      <c r="N70" s="174"/>
      <c r="O70" s="174"/>
    </row>
    <row r="71" spans="1:29" ht="15.75" thickBot="1">
      <c r="A71" s="512">
        <v>91</v>
      </c>
      <c r="B71" s="465">
        <f>INDEX(TestSummary!$A$1:$CF$296,'J1634 Calcs_new'!$A71,'J1634 Calcs_new'!B$5)</f>
        <v>62006005</v>
      </c>
      <c r="C71" s="465" t="str">
        <f>INDEX(TestSummary!$A$1:$CF$296,'J1634 Calcs_new'!$A71,'J1634 Calcs_new'!C$5)</f>
        <v>UDDS 1 , Combined</v>
      </c>
      <c r="D71" s="513" t="str">
        <f>INDEX(TestSummary!$A$1:$CF$296,'J1634 Calcs_new'!$A71,'J1634 Calcs_new'!D$5)</f>
        <v>J1634 MCT in hot test cell (95°F), NO Solar, HVAC-AUTO-72°F</v>
      </c>
      <c r="E71" s="521">
        <f>INDEX(TestSummary!$A$1:$CF$296,'J1634 Calcs_new'!$A71,'J1634 Calcs_new'!E$5)</f>
        <v>0</v>
      </c>
      <c r="F71" s="521">
        <f>INDEX(TestSummary!$A$1:$CF$296,'J1634 Calcs_new'!$A71,'J1634 Calcs_new'!F$5)</f>
        <v>35.045067500000002</v>
      </c>
      <c r="G71" s="179">
        <f>INDEX(TestSummary!$A$1:$CF$296,'J1634 Calcs_new'!$A71,'J1634 Calcs_new'!G$5)</f>
        <v>26</v>
      </c>
      <c r="H71" s="179">
        <f>INDEX(TestSummary!$A$1:$CF$296,'J1634 Calcs_new'!$A71,'J1634 Calcs_new'!H$5)</f>
        <v>1669</v>
      </c>
      <c r="I71" s="179">
        <f>INDEX(TestSummary!$A$1:$CF$296,'J1634 Calcs_new'!$A71,'J1634 Calcs_new'!I$5)</f>
        <v>1642.063212</v>
      </c>
      <c r="J71" s="606">
        <f>INDEX(TestSummary!$A$1:$CF$296,'J1634 Calcs_new'!$A71,'J1634 Calcs_new'!J$5)</f>
        <v>7.46098309</v>
      </c>
      <c r="K71" s="181">
        <f>INDEX(TestSummary!$A$1:$CF$296,'J1634 Calcs_new'!$A71,'J1634 Calcs_new'!K$5)</f>
        <v>220.08670870744461</v>
      </c>
      <c r="L71" s="181">
        <f>INDEX(TestSummary!$A$1:$CF$296,'J1634 Calcs_new'!$A71,'J1634 Calcs_new'!L$5)</f>
        <v>220.88241993321552</v>
      </c>
      <c r="M71" s="181">
        <f>INDEX(TestSummary!$A$1:$CF$296,'J1634 Calcs_new'!$A71,'J1634 Calcs_new'!M$5)</f>
        <v>24.447300952132299</v>
      </c>
      <c r="N71" s="181">
        <f>INDEX(TestSummary!$A$1:$CF$296,'J1634 Calcs_new'!$A71,'J1634 Calcs_new'!N$5)</f>
        <v>10.186325191094891</v>
      </c>
      <c r="O71" s="181">
        <f>INDEX(TestSummary!$A$1:$CF$296,'J1634 Calcs_new'!$A71,'J1634 Calcs_new'!O$5)</f>
        <v>40.194699060764123</v>
      </c>
      <c r="Q71" s="175" t="s">
        <v>294</v>
      </c>
      <c r="R71" s="597" t="s">
        <v>311</v>
      </c>
      <c r="S71" s="512" t="s">
        <v>312</v>
      </c>
      <c r="T71" s="176" t="s">
        <v>295</v>
      </c>
      <c r="U71" s="177"/>
      <c r="V71" s="177"/>
      <c r="W71" s="177"/>
      <c r="X71" s="177"/>
      <c r="Y71" s="177"/>
      <c r="Z71" s="177"/>
      <c r="AA71" s="177"/>
      <c r="AB71" s="177"/>
      <c r="AC71" s="178"/>
    </row>
    <row r="72" spans="1:29">
      <c r="A72" s="512">
        <v>92</v>
      </c>
      <c r="B72" s="465">
        <f>INDEX(TestSummary!$A$1:$CF$296,'J1634 Calcs_new'!$A72,'J1634 Calcs_new'!B$5)</f>
        <v>62006005</v>
      </c>
      <c r="C72" s="465" t="str">
        <f>INDEX(TestSummary!$A$1:$CF$296,'J1634 Calcs_new'!$A72,'J1634 Calcs_new'!C$5)</f>
        <v>HWY 1</v>
      </c>
      <c r="D72" s="513" t="str">
        <f>INDEX(TestSummary!$A$1:$CF$296,'J1634 Calcs_new'!$A72,'J1634 Calcs_new'!D$5)</f>
        <v>J1634 MCT in hot test cell (95°F), NO Solar, HVAC-AUTO-72°F</v>
      </c>
      <c r="E72" s="521">
        <f>INDEX(TestSummary!$A$1:$CF$296,'J1634 Calcs_new'!$A72,'J1634 Calcs_new'!E$5)</f>
        <v>0</v>
      </c>
      <c r="F72" s="521">
        <f>INDEX(TestSummary!$A$1:$CF$296,'J1634 Calcs_new'!$A72,'J1634 Calcs_new'!F$5)</f>
        <v>37.486905</v>
      </c>
      <c r="G72" s="179">
        <f>INDEX(TestSummary!$A$1:$CF$296,'J1634 Calcs_new'!$A72,'J1634 Calcs_new'!G$5)</f>
        <v>1674</v>
      </c>
      <c r="H72" s="179">
        <f>INDEX(TestSummary!$A$1:$CF$296,'J1634 Calcs_new'!$A72,'J1634 Calcs_new'!H$5)</f>
        <v>3600</v>
      </c>
      <c r="I72" s="179">
        <f>INDEX(TestSummary!$A$1:$CF$296,'J1634 Calcs_new'!$A72,'J1634 Calcs_new'!I$5)</f>
        <v>1926</v>
      </c>
      <c r="J72" s="606">
        <f>INDEX(TestSummary!$A$1:$CF$296,'J1634 Calcs_new'!$A72,'J1634 Calcs_new'!J$5)</f>
        <v>10.28413085</v>
      </c>
      <c r="K72" s="181">
        <f>INDEX(TestSummary!$A$1:$CF$296,'J1634 Calcs_new'!$A72,'J1634 Calcs_new'!K$5)</f>
        <v>187.27883066559775</v>
      </c>
      <c r="L72" s="181">
        <f>INDEX(TestSummary!$A$1:$CF$296,'J1634 Calcs_new'!$A72,'J1634 Calcs_new'!L$5)</f>
        <v>187.37606785701291</v>
      </c>
      <c r="M72" s="181">
        <f>INDEX(TestSummary!$A$1:$CF$296,'J1634 Calcs_new'!$A72,'J1634 Calcs_new'!M$5)</f>
        <v>9.1111248356004744</v>
      </c>
      <c r="N72" s="181">
        <f>INDEX(TestSummary!$A$1:$CF$296,'J1634 Calcs_new'!$A72,'J1634 Calcs_new'!N$5)</f>
        <v>6.1842853740041637</v>
      </c>
      <c r="O72" s="181">
        <f>INDEX(TestSummary!$A$1:$CF$296,'J1634 Calcs_new'!$A72,'J1634 Calcs_new'!O$5)</f>
        <v>12.047688016338302</v>
      </c>
      <c r="Q72" s="182" t="s">
        <v>297</v>
      </c>
      <c r="R72" s="205">
        <f>R42</f>
        <v>86098.099999999991</v>
      </c>
      <c r="S72" s="205">
        <f>$R$31</f>
        <v>85754.6</v>
      </c>
      <c r="T72" s="183" t="s">
        <v>16</v>
      </c>
      <c r="U72" s="184" t="s">
        <v>1</v>
      </c>
      <c r="V72" s="184" t="s">
        <v>420</v>
      </c>
      <c r="W72" s="185" t="s">
        <v>298</v>
      </c>
      <c r="X72" s="184" t="s">
        <v>299</v>
      </c>
      <c r="Y72" s="185" t="s">
        <v>300</v>
      </c>
      <c r="Z72" s="186" t="s">
        <v>301</v>
      </c>
      <c r="AA72" s="187" t="s">
        <v>302</v>
      </c>
      <c r="AB72" s="186" t="s">
        <v>303</v>
      </c>
      <c r="AC72" s="188"/>
    </row>
    <row r="73" spans="1:29">
      <c r="A73" s="512">
        <v>95</v>
      </c>
      <c r="B73" s="465">
        <f>INDEX(TestSummary!$A$1:$CF$296,'J1634 Calcs_new'!$A73,'J1634 Calcs_new'!B$5)</f>
        <v>62006005</v>
      </c>
      <c r="C73" s="465" t="str">
        <f>INDEX(TestSummary!$A$1:$CF$296,'J1634 Calcs_new'!$A73,'J1634 Calcs_new'!C$5)</f>
        <v>UDDS 2, combined</v>
      </c>
      <c r="D73" s="513" t="str">
        <f>INDEX(TestSummary!$A$1:$CF$296,'J1634 Calcs_new'!$A73,'J1634 Calcs_new'!D$5)</f>
        <v>J1634 MCT in hot test cell (95°F), NO Solar, HVAC-AUTO-72°F</v>
      </c>
      <c r="E73" s="521">
        <f>INDEX(TestSummary!$A$1:$CF$296,'J1634 Calcs_new'!$A73,'J1634 Calcs_new'!E$5)</f>
        <v>0</v>
      </c>
      <c r="F73" s="521">
        <f>INDEX(TestSummary!$A$1:$CF$296,'J1634 Calcs_new'!$A73,'J1634 Calcs_new'!F$5)</f>
        <v>33.167870499999999</v>
      </c>
      <c r="G73" s="179">
        <f>INDEX(TestSummary!$A$1:$CF$296,'J1634 Calcs_new'!$A73,'J1634 Calcs_new'!G$5)</f>
        <v>3629</v>
      </c>
      <c r="H73" s="179">
        <f>INDEX(TestSummary!$A$1:$CF$296,'J1634 Calcs_new'!$A73,'J1634 Calcs_new'!H$5)</f>
        <v>5143</v>
      </c>
      <c r="I73" s="179">
        <f>INDEX(TestSummary!$A$1:$CF$296,'J1634 Calcs_new'!$A73,'J1634 Calcs_new'!I$5)</f>
        <v>1513.0911059999999</v>
      </c>
      <c r="J73" s="606">
        <f>INDEX(TestSummary!$A$1:$CF$296,'J1634 Calcs_new'!$A73,'J1634 Calcs_new'!J$5)</f>
        <v>7.4598221100000002</v>
      </c>
      <c r="K73" s="181">
        <f>INDEX(TestSummary!$A$1:$CF$296,'J1634 Calcs_new'!$A73,'J1634 Calcs_new'!K$5)</f>
        <v>202.83206270718966</v>
      </c>
      <c r="L73" s="181">
        <f>INDEX(TestSummary!$A$1:$CF$296,'J1634 Calcs_new'!$A73,'J1634 Calcs_new'!L$5)</f>
        <v>203.35605563119788</v>
      </c>
      <c r="M73" s="181">
        <f>INDEX(TestSummary!$A$1:$CF$296,'J1634 Calcs_new'!$A73,'J1634 Calcs_new'!M$5)</f>
        <v>23.271332404466676</v>
      </c>
      <c r="N73" s="181">
        <f>INDEX(TestSummary!$A$1:$CF$296,'J1634 Calcs_new'!$A73,'J1634 Calcs_new'!N$5)</f>
        <v>14.222859263329005</v>
      </c>
      <c r="O73" s="181">
        <f>INDEX(TestSummary!$A$1:$CF$296,'J1634 Calcs_new'!$A73,'J1634 Calcs_new'!O$5)</f>
        <v>28.097184746406768</v>
      </c>
      <c r="Q73" s="190" t="s">
        <v>304</v>
      </c>
      <c r="R73" s="191">
        <f>R43</f>
        <v>75998</v>
      </c>
      <c r="S73" s="191">
        <f>$R$34</f>
        <v>76123</v>
      </c>
      <c r="T73" s="183" t="s">
        <v>305</v>
      </c>
      <c r="U73" s="184" t="s">
        <v>58</v>
      </c>
      <c r="V73" s="184">
        <v>3</v>
      </c>
      <c r="W73" s="192"/>
      <c r="X73" s="192">
        <f>I71/R73</f>
        <v>2.1606663491144505E-2</v>
      </c>
      <c r="Y73" s="192">
        <f>(1-X73)/V73</f>
        <v>0.32613111216961849</v>
      </c>
      <c r="Z73" s="193">
        <f>X73*K71+Y73*K73*3</f>
        <v>203.20487803697597</v>
      </c>
      <c r="AA73" s="193">
        <f>S73/Z73</f>
        <v>374.61207002200189</v>
      </c>
      <c r="AB73" s="194">
        <f>Z73/W76</f>
        <v>230.21071488348849</v>
      </c>
      <c r="AC73" s="188"/>
    </row>
    <row r="74" spans="1:29" ht="15.75" customHeight="1">
      <c r="A74" s="519">
        <v>98</v>
      </c>
      <c r="B74" s="465">
        <f>INDEX(TestSummary!$A$1:$CF$296,'J1634 Calcs_new'!$A74,'J1634 Calcs_new'!B$5)</f>
        <v>62006005</v>
      </c>
      <c r="C74" s="465" t="str">
        <f>INDEX(TestSummary!$A$1:$CF$296,'J1634 Calcs_new'!$A74,'J1634 Calcs_new'!C$5)</f>
        <v>US06 1, combined</v>
      </c>
      <c r="D74" s="513" t="str">
        <f>INDEX(TestSummary!$A$1:$CF$296,'J1634 Calcs_new'!$A74,'J1634 Calcs_new'!D$5)</f>
        <v>J1634 MCT in hot test cell (95°F), NO Solar, HVAC-AUTO-72°F</v>
      </c>
      <c r="E74" s="521">
        <f>INDEX(TestSummary!$A$1:$CF$296,'J1634 Calcs_new'!$A74,'J1634 Calcs_new'!E$5)</f>
        <v>0</v>
      </c>
      <c r="F74" s="521">
        <f>INDEX(TestSummary!$A$1:$CF$296,'J1634 Calcs_new'!$A74,'J1634 Calcs_new'!F$5)</f>
        <v>37.054412499999998</v>
      </c>
      <c r="G74" s="179">
        <f>INDEX(TestSummary!$A$1:$CF$296,'J1634 Calcs_new'!$A74,'J1634 Calcs_new'!G$5)</f>
        <v>5179</v>
      </c>
      <c r="H74" s="179">
        <f>INDEX(TestSummary!$A$1:$CF$296,'J1634 Calcs_new'!$A74,'J1634 Calcs_new'!H$5)</f>
        <v>7003</v>
      </c>
      <c r="I74" s="179">
        <f>INDEX(TestSummary!$A$1:$CF$296,'J1634 Calcs_new'!$A74,'J1634 Calcs_new'!I$5)</f>
        <v>2058</v>
      </c>
      <c r="J74" s="606">
        <f>INDEX(TestSummary!$A$1:$CF$296,'J1634 Calcs_new'!$A74,'J1634 Calcs_new'!J$5)</f>
        <v>8.0293813499999995</v>
      </c>
      <c r="K74" s="181">
        <f>INDEX(TestSummary!$A$1:$CF$296,'J1634 Calcs_new'!$A74,'J1634 Calcs_new'!K$5)</f>
        <v>256.30866318237582</v>
      </c>
      <c r="L74" s="181">
        <f>INDEX(TestSummary!$A$1:$CF$296,'J1634 Calcs_new'!$A74,'J1634 Calcs_new'!L$5)</f>
        <v>256.5577483749729</v>
      </c>
      <c r="M74" s="181">
        <f>INDEX(TestSummary!$A$1:$CF$296,'J1634 Calcs_new'!$A74,'J1634 Calcs_new'!M$5)</f>
        <v>9.4046691405434419</v>
      </c>
      <c r="N74" s="181">
        <f>INDEX(TestSummary!$A$1:$CF$296,'J1634 Calcs_new'!$A74,'J1634 Calcs_new'!N$5)</f>
        <v>7.0740194697565357</v>
      </c>
      <c r="O74" s="181">
        <f>INDEX(TestSummary!$A$1:$CF$296,'J1634 Calcs_new'!$A74,'J1634 Calcs_new'!O$5)</f>
        <v>10.050587521291405</v>
      </c>
      <c r="T74" s="183" t="s">
        <v>305</v>
      </c>
      <c r="U74" s="184" t="s">
        <v>56</v>
      </c>
      <c r="V74" s="184">
        <v>2</v>
      </c>
      <c r="W74" s="192">
        <f>1/V74</f>
        <v>0.5</v>
      </c>
      <c r="X74" s="192"/>
      <c r="Y74" s="192"/>
      <c r="Z74" s="193">
        <f>W74*K72*2</f>
        <v>187.27883066559775</v>
      </c>
      <c r="AA74" s="193">
        <f>S73/Z74</f>
        <v>406.46879163787645</v>
      </c>
      <c r="AB74" s="194">
        <f>Z74/W76</f>
        <v>212.16810298336404</v>
      </c>
      <c r="AC74" s="188"/>
    </row>
    <row r="75" spans="1:29">
      <c r="B75" s="472"/>
      <c r="C75" s="472"/>
      <c r="D75" s="20"/>
      <c r="E75" s="155"/>
      <c r="F75" s="155"/>
      <c r="G75" s="202"/>
      <c r="H75" s="202"/>
      <c r="I75" s="202"/>
      <c r="J75" s="607"/>
      <c r="K75" s="204"/>
      <c r="L75" s="204"/>
      <c r="M75" s="204"/>
      <c r="N75" s="204"/>
      <c r="O75" s="204"/>
      <c r="T75" s="183" t="s">
        <v>305</v>
      </c>
      <c r="U75" s="184" t="s">
        <v>224</v>
      </c>
      <c r="V75" s="184">
        <v>2</v>
      </c>
      <c r="W75" s="192">
        <f>1/V75</f>
        <v>0.5</v>
      </c>
      <c r="X75" s="192"/>
      <c r="Y75" s="192"/>
      <c r="Z75" s="193">
        <f>W75*K74*2</f>
        <v>256.30866318237582</v>
      </c>
      <c r="AA75" s="193">
        <f>S73/Z75</f>
        <v>296.99737439555395</v>
      </c>
      <c r="AB75" s="194">
        <f>Z75/W76</f>
        <v>290.37196917737981</v>
      </c>
      <c r="AC75" s="188"/>
    </row>
    <row r="76" spans="1:29" ht="15.75" thickBot="1">
      <c r="T76" s="195" t="s">
        <v>305</v>
      </c>
      <c r="U76" s="196" t="s">
        <v>308</v>
      </c>
      <c r="V76" s="196"/>
      <c r="W76" s="376">
        <f>R73/R72</f>
        <v>0.88269079108598225</v>
      </c>
      <c r="X76" s="197"/>
      <c r="Y76" s="197"/>
      <c r="Z76" s="198" t="s">
        <v>293</v>
      </c>
      <c r="AA76" s="198" t="s">
        <v>309</v>
      </c>
      <c r="AB76" s="199" t="s">
        <v>307</v>
      </c>
      <c r="AC76" s="200"/>
    </row>
    <row r="78" spans="1:29">
      <c r="C78" s="512" t="s">
        <v>58</v>
      </c>
    </row>
    <row r="79" spans="1:29">
      <c r="C79" s="512" t="s">
        <v>56</v>
      </c>
    </row>
    <row r="80" spans="1:29">
      <c r="C80" s="512" t="s">
        <v>58</v>
      </c>
    </row>
    <row r="81" spans="3:17">
      <c r="C81" s="512" t="s">
        <v>224</v>
      </c>
    </row>
    <row r="82" spans="3:17">
      <c r="J82" s="512" t="str">
        <f t="shared" ref="J82:J89" si="9">C31</f>
        <v>UDDS 1 , Combined</v>
      </c>
      <c r="K82" s="512" t="s">
        <v>1303</v>
      </c>
      <c r="L82" s="201">
        <f>(K17-K31)/K31</f>
        <v>1.3061105955099177</v>
      </c>
      <c r="O82" s="512" t="s">
        <v>1308</v>
      </c>
      <c r="P82" s="201">
        <f>Q82-1</f>
        <v>0.20892761947975713</v>
      </c>
      <c r="Q82" s="201">
        <v>1.2089276194797571</v>
      </c>
    </row>
    <row r="83" spans="3:17">
      <c r="J83" s="512" t="str">
        <f t="shared" si="9"/>
        <v>HWY 1</v>
      </c>
      <c r="K83" s="512" t="s">
        <v>1305</v>
      </c>
      <c r="L83" s="201">
        <f t="shared" ref="L83:L89" si="10">(K18-K32)/K32</f>
        <v>0.47802768831887194</v>
      </c>
      <c r="O83" s="512" t="s">
        <v>1306</v>
      </c>
      <c r="P83" s="201">
        <f t="shared" ref="P83:P89" si="11">Q83-1</f>
        <v>0.4017921611259756</v>
      </c>
      <c r="Q83" s="201">
        <v>1.4017921611259756</v>
      </c>
    </row>
    <row r="84" spans="3:17">
      <c r="J84" s="512" t="str">
        <f t="shared" si="9"/>
        <v>UDDS 2, combined</v>
      </c>
      <c r="K84" s="512" t="s">
        <v>1304</v>
      </c>
      <c r="L84" s="201">
        <f t="shared" si="10"/>
        <v>0.88323780636147298</v>
      </c>
      <c r="O84" s="512" t="s">
        <v>1305</v>
      </c>
      <c r="P84" s="201">
        <f t="shared" si="11"/>
        <v>0.47802768831887188</v>
      </c>
      <c r="Q84" s="201">
        <v>1.4780276883188719</v>
      </c>
    </row>
    <row r="85" spans="3:17">
      <c r="J85" s="512" t="str">
        <f t="shared" si="9"/>
        <v>US06 1, combined</v>
      </c>
      <c r="K85" s="512" t="s">
        <v>1306</v>
      </c>
      <c r="L85" s="201">
        <f t="shared" si="10"/>
        <v>0.4017921611259756</v>
      </c>
      <c r="O85" s="512" t="s">
        <v>1310</v>
      </c>
      <c r="P85" s="201">
        <f t="shared" si="11"/>
        <v>0.48196909070383276</v>
      </c>
      <c r="Q85" s="201">
        <v>1.4819690907038328</v>
      </c>
    </row>
    <row r="86" spans="3:17">
      <c r="J86" s="512" t="str">
        <f t="shared" si="9"/>
        <v>US06 2, combined</v>
      </c>
      <c r="K86" s="512" t="s">
        <v>1308</v>
      </c>
      <c r="L86" s="201">
        <f t="shared" si="10"/>
        <v>0.20892761947975722</v>
      </c>
      <c r="O86" s="512" t="s">
        <v>1309</v>
      </c>
      <c r="P86" s="201">
        <f t="shared" si="11"/>
        <v>0.60015208378300677</v>
      </c>
      <c r="Q86" s="201">
        <v>1.6001520837830068</v>
      </c>
    </row>
    <row r="87" spans="3:17">
      <c r="J87" s="512" t="str">
        <f t="shared" si="9"/>
        <v>UDDS 3, combined</v>
      </c>
      <c r="K87" s="512" t="s">
        <v>1307</v>
      </c>
      <c r="L87" s="201">
        <f t="shared" si="10"/>
        <v>0.87427912461523871</v>
      </c>
      <c r="O87" s="512" t="s">
        <v>1307</v>
      </c>
      <c r="P87" s="201">
        <f t="shared" si="11"/>
        <v>0.87427912461523882</v>
      </c>
      <c r="Q87" s="201">
        <v>1.8742791246152388</v>
      </c>
    </row>
    <row r="88" spans="3:17">
      <c r="J88" s="512" t="str">
        <f t="shared" si="9"/>
        <v>HWY</v>
      </c>
      <c r="K88" s="512" t="s">
        <v>1309</v>
      </c>
      <c r="L88" s="201">
        <f t="shared" si="10"/>
        <v>0.60015208378300666</v>
      </c>
      <c r="O88" s="512" t="s">
        <v>1304</v>
      </c>
      <c r="P88" s="201">
        <f t="shared" si="11"/>
        <v>0.88323780636147298</v>
      </c>
      <c r="Q88" s="201">
        <v>1.883237806361473</v>
      </c>
    </row>
    <row r="89" spans="3:17">
      <c r="J89" s="512" t="str">
        <f t="shared" si="9"/>
        <v>UDDS 4, combined</v>
      </c>
      <c r="K89" s="512" t="s">
        <v>1310</v>
      </c>
      <c r="L89" s="201">
        <f t="shared" si="10"/>
        <v>0.4819690907038327</v>
      </c>
      <c r="O89" s="512" t="s">
        <v>1303</v>
      </c>
      <c r="P89" s="201">
        <f t="shared" si="11"/>
        <v>1.3061105955099177</v>
      </c>
      <c r="Q89" s="201">
        <v>2.3061105955099177</v>
      </c>
    </row>
    <row r="107" spans="55:56">
      <c r="BC107" s="143">
        <v>0</v>
      </c>
      <c r="BD107" s="143">
        <f xml:space="preserve"> CONVERT(BC107,"F","C")</f>
        <v>-17.777777777777779</v>
      </c>
    </row>
    <row r="108" spans="55:56">
      <c r="BC108" s="143">
        <v>20</v>
      </c>
      <c r="BD108" s="143">
        <f xml:space="preserve"> CONVERT(BC108,"F","C")</f>
        <v>-6.6666666666666661</v>
      </c>
    </row>
    <row r="109" spans="55:56">
      <c r="BC109" s="143">
        <v>72</v>
      </c>
      <c r="BD109" s="143">
        <f xml:space="preserve"> CONVERT(BC109,"F","C")</f>
        <v>22.222222222222221</v>
      </c>
    </row>
    <row r="110" spans="55:56">
      <c r="BC110" s="143">
        <v>95</v>
      </c>
      <c r="BD110" s="143">
        <f xml:space="preserve"> CONVERT(BC110,"F","C")</f>
        <v>35</v>
      </c>
    </row>
  </sheetData>
  <sortState xmlns:xlrd2="http://schemas.microsoft.com/office/spreadsheetml/2017/richdata2" ref="O82:P89">
    <sortCondition ref="P82:P89"/>
  </sortState>
  <mergeCells count="5">
    <mergeCell ref="AN39:AP39"/>
    <mergeCell ref="AR39:AT39"/>
    <mergeCell ref="AV39:AX39"/>
    <mergeCell ref="AZ39:BB39"/>
    <mergeCell ref="G30:O30"/>
  </mergeCells>
  <pageMargins left="0.7" right="0.7" top="0.75" bottom="0.75" header="0.3" footer="0.3"/>
  <pageSetup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L75"/>
  <sheetViews>
    <sheetView workbookViewId="0"/>
  </sheetViews>
  <sheetFormatPr defaultColWidth="9.140625" defaultRowHeight="15"/>
  <cols>
    <col min="1" max="1" width="28.85546875" style="261" customWidth="1"/>
    <col min="2" max="2" width="20.5703125" style="261" customWidth="1"/>
    <col min="3" max="3" width="28.42578125" style="261" bestFit="1" customWidth="1"/>
    <col min="4" max="4" width="14.42578125" style="261" customWidth="1"/>
    <col min="5" max="5" width="17.5703125" style="261" customWidth="1"/>
    <col min="6" max="6" width="14.42578125" style="261" customWidth="1"/>
    <col min="7" max="7" width="11.85546875" style="261" customWidth="1"/>
    <col min="8" max="8" width="9.140625" style="261"/>
    <col min="9" max="9" width="11.85546875" style="261" customWidth="1"/>
    <col min="10" max="10" width="11" style="261" customWidth="1"/>
    <col min="11" max="16" width="9.140625" style="261"/>
    <col min="17" max="17" width="13" style="261" customWidth="1"/>
    <col min="18" max="18" width="12.85546875" style="261" customWidth="1"/>
    <col min="19" max="19" width="5.42578125" style="261" customWidth="1"/>
    <col min="20" max="20" width="24.5703125" style="261" customWidth="1"/>
    <col min="21" max="21" width="15.85546875" style="261" customWidth="1"/>
    <col min="22" max="22" width="17" style="261" customWidth="1"/>
    <col min="23" max="23" width="18.85546875" style="261" customWidth="1"/>
    <col min="24" max="25" width="15.5703125" style="261" customWidth="1"/>
    <col min="26" max="26" width="24.42578125" style="261" customWidth="1"/>
    <col min="27" max="27" width="16.42578125" style="261" customWidth="1"/>
    <col min="28" max="28" width="11.42578125" style="261" bestFit="1" customWidth="1"/>
    <col min="29" max="30" width="22.5703125" style="261" bestFit="1" customWidth="1"/>
    <col min="31" max="31" width="16.42578125" style="261" bestFit="1" customWidth="1"/>
    <col min="32" max="32" width="14.5703125" style="261" bestFit="1" customWidth="1"/>
    <col min="33" max="33" width="13.42578125" style="261" bestFit="1" customWidth="1"/>
    <col min="34" max="16384" width="9.140625" style="261"/>
  </cols>
  <sheetData>
    <row r="1" spans="1:32" ht="14.45" customHeight="1">
      <c r="A1" s="38"/>
      <c r="O1" s="758" t="s">
        <v>108</v>
      </c>
    </row>
    <row r="2" spans="1:32" ht="18" customHeight="1" thickBot="1">
      <c r="A2" s="759" t="s">
        <v>336</v>
      </c>
      <c r="B2" s="759"/>
      <c r="C2" s="759"/>
      <c r="O2" s="758"/>
      <c r="Q2" s="162" t="s">
        <v>386</v>
      </c>
      <c r="R2" s="279">
        <v>61511002</v>
      </c>
      <c r="S2" s="1"/>
      <c r="T2" s="27"/>
    </row>
    <row r="3" spans="1:32" ht="15.75" thickBot="1">
      <c r="A3" s="226" t="s">
        <v>333</v>
      </c>
      <c r="B3" s="760" t="str">
        <f>TestPlan!B2</f>
        <v>2020 Tesla Model 3 AWD Long Range / All Wheel Drive</v>
      </c>
      <c r="C3" s="761"/>
      <c r="O3" s="758"/>
      <c r="Q3" s="80" t="s">
        <v>90</v>
      </c>
      <c r="R3" s="80"/>
      <c r="S3" s="81"/>
      <c r="T3" s="82" t="s">
        <v>82</v>
      </c>
      <c r="U3" s="80" t="s">
        <v>83</v>
      </c>
      <c r="V3" s="80" t="s">
        <v>84</v>
      </c>
      <c r="W3" s="80" t="s">
        <v>85</v>
      </c>
      <c r="X3" s="80" t="s">
        <v>112</v>
      </c>
      <c r="Y3" s="80" t="s">
        <v>220</v>
      </c>
      <c r="Z3" s="80" t="s">
        <v>113</v>
      </c>
      <c r="AA3" s="80" t="s">
        <v>218</v>
      </c>
      <c r="AB3" s="83" t="s">
        <v>117</v>
      </c>
      <c r="AC3" s="83" t="s">
        <v>86</v>
      </c>
      <c r="AD3" s="83" t="s">
        <v>87</v>
      </c>
      <c r="AE3" s="83" t="s">
        <v>116</v>
      </c>
      <c r="AF3" s="83" t="s">
        <v>89</v>
      </c>
    </row>
    <row r="4" spans="1:32" ht="15.75" thickBot="1">
      <c r="A4" s="227" t="s">
        <v>81</v>
      </c>
      <c r="B4" s="762" t="str">
        <f>TestInfoInstru!B5</f>
        <v>5YJ3E1EB5LF618578</v>
      </c>
      <c r="C4" s="763"/>
      <c r="O4" s="758"/>
      <c r="Q4" s="73">
        <v>10</v>
      </c>
      <c r="R4" s="276" t="e">
        <f>(AB4+AB18)/2</f>
        <v>#DIV/0!</v>
      </c>
      <c r="S4" s="33"/>
      <c r="T4" s="279"/>
      <c r="U4" s="279"/>
      <c r="V4" s="279"/>
      <c r="W4" s="279"/>
      <c r="X4" s="279"/>
      <c r="Y4" s="279"/>
      <c r="Z4" s="279"/>
      <c r="AA4" s="279"/>
      <c r="AB4" s="29" t="e">
        <f>(Y4)/W4</f>
        <v>#DIV/0!</v>
      </c>
      <c r="AC4" s="28">
        <f t="shared" ref="AC4:AC18" si="0">W4*0.44704</f>
        <v>0</v>
      </c>
      <c r="AD4" s="29">
        <f t="shared" ref="AD4:AD18" si="1">AC4*Z4/1000</f>
        <v>0</v>
      </c>
      <c r="AE4" s="29">
        <f>Y4/1000</f>
        <v>0</v>
      </c>
      <c r="AF4" s="29" t="e">
        <f t="shared" ref="AF4:AF18" si="2">AD4/AE4*100</f>
        <v>#DIV/0!</v>
      </c>
    </row>
    <row r="5" spans="1:32">
      <c r="A5" s="98" t="s">
        <v>74</v>
      </c>
      <c r="B5" s="355">
        <f>TestInfoInstru!F11</f>
        <v>4250</v>
      </c>
      <c r="C5" s="99" t="s">
        <v>78</v>
      </c>
      <c r="F5"/>
      <c r="O5" s="758"/>
      <c r="Q5" s="73">
        <v>20</v>
      </c>
      <c r="R5" s="276" t="e">
        <f>(AB5+AB17)/2</f>
        <v>#DIV/0!</v>
      </c>
      <c r="S5" s="33"/>
      <c r="T5" s="279"/>
      <c r="U5" s="279"/>
      <c r="V5" s="279"/>
      <c r="W5" s="279"/>
      <c r="X5" s="279"/>
      <c r="Y5" s="279"/>
      <c r="Z5" s="279"/>
      <c r="AA5" s="279"/>
      <c r="AB5" s="29" t="e">
        <f t="shared" ref="AB5:AB18" si="3">(Y5)/W5</f>
        <v>#DIV/0!</v>
      </c>
      <c r="AC5" s="28">
        <f t="shared" si="0"/>
        <v>0</v>
      </c>
      <c r="AD5" s="29">
        <f t="shared" si="1"/>
        <v>0</v>
      </c>
      <c r="AE5" s="29">
        <f t="shared" ref="AE5:AE18" si="4">Y5/1000</f>
        <v>0</v>
      </c>
      <c r="AF5" s="29" t="e">
        <f t="shared" si="2"/>
        <v>#DIV/0!</v>
      </c>
    </row>
    <row r="6" spans="1:32" ht="15.6" customHeight="1">
      <c r="A6" s="100" t="s">
        <v>77</v>
      </c>
      <c r="B6" s="356">
        <f>TestInfoInstru!F12</f>
        <v>38.71</v>
      </c>
      <c r="C6" s="88" t="s">
        <v>78</v>
      </c>
      <c r="E6" s="279"/>
      <c r="F6"/>
      <c r="O6" s="758"/>
      <c r="Q6" s="73">
        <v>30</v>
      </c>
      <c r="R6" s="276" t="e">
        <f>(AB6+AB16)/2</f>
        <v>#DIV/0!</v>
      </c>
      <c r="S6" s="33"/>
      <c r="T6" s="279"/>
      <c r="U6" s="279"/>
      <c r="V6" s="279"/>
      <c r="W6" s="279"/>
      <c r="X6" s="279"/>
      <c r="Y6" s="279"/>
      <c r="Z6" s="279"/>
      <c r="AA6" s="279"/>
      <c r="AB6" s="29" t="e">
        <f t="shared" si="3"/>
        <v>#DIV/0!</v>
      </c>
      <c r="AC6" s="28">
        <f t="shared" si="0"/>
        <v>0</v>
      </c>
      <c r="AD6" s="29">
        <f t="shared" si="1"/>
        <v>0</v>
      </c>
      <c r="AE6" s="29">
        <f t="shared" si="4"/>
        <v>0</v>
      </c>
      <c r="AF6" s="29" t="e">
        <f t="shared" si="2"/>
        <v>#DIV/0!</v>
      </c>
    </row>
    <row r="7" spans="1:32">
      <c r="A7" s="100" t="s">
        <v>76</v>
      </c>
      <c r="B7" s="357">
        <f>TestInfoInstru!F13</f>
        <v>3.0499999999999999E-2</v>
      </c>
      <c r="C7" s="88" t="s">
        <v>79</v>
      </c>
      <c r="E7" s="279"/>
      <c r="F7"/>
      <c r="O7" s="758"/>
      <c r="Q7" s="73">
        <v>40</v>
      </c>
      <c r="R7" s="276" t="e">
        <f>(AB7+AB15)/2</f>
        <v>#DIV/0!</v>
      </c>
      <c r="S7" s="33"/>
      <c r="T7" s="279"/>
      <c r="U7" s="279"/>
      <c r="V7" s="279"/>
      <c r="W7" s="279"/>
      <c r="X7" s="279"/>
      <c r="Y7" s="279"/>
      <c r="Z7" s="279"/>
      <c r="AA7" s="279"/>
      <c r="AB7" s="29" t="e">
        <f t="shared" si="3"/>
        <v>#DIV/0!</v>
      </c>
      <c r="AC7" s="28">
        <f t="shared" si="0"/>
        <v>0</v>
      </c>
      <c r="AD7" s="29">
        <f t="shared" si="1"/>
        <v>0</v>
      </c>
      <c r="AE7" s="29">
        <f t="shared" si="4"/>
        <v>0</v>
      </c>
      <c r="AF7" s="29" t="e">
        <f t="shared" si="2"/>
        <v>#DIV/0!</v>
      </c>
    </row>
    <row r="8" spans="1:32" ht="15.75" thickBot="1">
      <c r="A8" s="101" t="s">
        <v>75</v>
      </c>
      <c r="B8" s="358">
        <f>TestInfoInstru!F14</f>
        <v>1.4999999999999999E-2</v>
      </c>
      <c r="C8" s="92" t="s">
        <v>80</v>
      </c>
      <c r="E8" s="279"/>
      <c r="F8"/>
      <c r="O8" s="758"/>
      <c r="Q8" s="73">
        <v>50</v>
      </c>
      <c r="R8" s="276" t="e">
        <f>(AB8+AB14)/2</f>
        <v>#DIV/0!</v>
      </c>
      <c r="S8" s="33"/>
      <c r="T8" s="279"/>
      <c r="U8" s="279"/>
      <c r="V8" s="279"/>
      <c r="W8" s="279"/>
      <c r="X8" s="279"/>
      <c r="Y8" s="279"/>
      <c r="Z8" s="279"/>
      <c r="AA8" s="279"/>
      <c r="AB8" s="29" t="e">
        <f t="shared" si="3"/>
        <v>#DIV/0!</v>
      </c>
      <c r="AC8" s="28">
        <f t="shared" si="0"/>
        <v>0</v>
      </c>
      <c r="AD8" s="29">
        <f t="shared" si="1"/>
        <v>0</v>
      </c>
      <c r="AE8" s="29">
        <f t="shared" si="4"/>
        <v>0</v>
      </c>
      <c r="AF8" s="29" t="e">
        <f t="shared" si="2"/>
        <v>#DIV/0!</v>
      </c>
    </row>
    <row r="9" spans="1:32">
      <c r="A9" s="379" t="s">
        <v>422</v>
      </c>
      <c r="B9" s="380"/>
      <c r="C9" s="381" t="s">
        <v>335</v>
      </c>
      <c r="O9" s="758"/>
      <c r="Q9" s="73">
        <v>60</v>
      </c>
      <c r="R9" s="276" t="e">
        <f>(AB9+AB13)/2</f>
        <v>#DIV/0!</v>
      </c>
      <c r="S9" s="33"/>
      <c r="T9" s="279"/>
      <c r="U9" s="279"/>
      <c r="V9" s="279"/>
      <c r="W9" s="279"/>
      <c r="X9" s="279"/>
      <c r="Y9" s="279"/>
      <c r="Z9" s="279"/>
      <c r="AA9" s="279"/>
      <c r="AB9" s="29" t="e">
        <f t="shared" si="3"/>
        <v>#DIV/0!</v>
      </c>
      <c r="AC9" s="28">
        <f t="shared" si="0"/>
        <v>0</v>
      </c>
      <c r="AD9" s="29">
        <f t="shared" si="1"/>
        <v>0</v>
      </c>
      <c r="AE9" s="29">
        <f t="shared" si="4"/>
        <v>0</v>
      </c>
      <c r="AF9" s="29" t="e">
        <f t="shared" si="2"/>
        <v>#DIV/0!</v>
      </c>
    </row>
    <row r="10" spans="1:32">
      <c r="A10" s="382" t="s">
        <v>423</v>
      </c>
      <c r="B10" s="383"/>
      <c r="C10" s="384" t="s">
        <v>335</v>
      </c>
      <c r="D10" s="279"/>
      <c r="E10" s="279"/>
      <c r="F10" s="279"/>
      <c r="G10" s="279"/>
      <c r="H10" s="279"/>
      <c r="I10" s="279"/>
      <c r="J10" s="279"/>
      <c r="K10" s="279"/>
      <c r="L10" s="279"/>
      <c r="M10" s="279"/>
      <c r="N10" s="279"/>
      <c r="O10" s="758"/>
      <c r="Q10" s="73">
        <v>70</v>
      </c>
      <c r="R10" s="276" t="e">
        <f>(AB10+AB12)/2</f>
        <v>#DIV/0!</v>
      </c>
      <c r="S10" s="33"/>
      <c r="T10" s="279"/>
      <c r="U10" s="279"/>
      <c r="V10" s="279"/>
      <c r="W10" s="279"/>
      <c r="X10" s="279"/>
      <c r="Y10" s="279"/>
      <c r="Z10" s="279"/>
      <c r="AA10" s="279"/>
      <c r="AB10" s="29" t="e">
        <f t="shared" si="3"/>
        <v>#DIV/0!</v>
      </c>
      <c r="AC10" s="28">
        <f t="shared" si="0"/>
        <v>0</v>
      </c>
      <c r="AD10" s="29">
        <f t="shared" si="1"/>
        <v>0</v>
      </c>
      <c r="AE10" s="29">
        <f t="shared" si="4"/>
        <v>0</v>
      </c>
      <c r="AF10" s="29" t="e">
        <f t="shared" si="2"/>
        <v>#DIV/0!</v>
      </c>
    </row>
    <row r="11" spans="1:32" ht="15.75" thickBot="1">
      <c r="A11" s="387" t="s">
        <v>334</v>
      </c>
      <c r="B11" s="359">
        <f>B10+B9</f>
        <v>0</v>
      </c>
      <c r="C11" s="360" t="s">
        <v>335</v>
      </c>
      <c r="D11" s="279"/>
      <c r="E11" s="279"/>
      <c r="F11" s="279"/>
      <c r="G11" s="279"/>
      <c r="H11" s="279"/>
      <c r="I11" s="279"/>
      <c r="J11" s="279"/>
      <c r="K11" s="279"/>
      <c r="L11" s="279"/>
      <c r="M11" s="279"/>
      <c r="N11" s="279"/>
      <c r="O11" s="758"/>
      <c r="Q11" s="73">
        <v>80</v>
      </c>
      <c r="R11" s="276" t="e">
        <f>AB11</f>
        <v>#DIV/0!</v>
      </c>
      <c r="S11" s="33"/>
      <c r="T11" s="279"/>
      <c r="U11" s="279"/>
      <c r="V11" s="279"/>
      <c r="W11" s="279"/>
      <c r="X11" s="279"/>
      <c r="Y11" s="279"/>
      <c r="Z11" s="279"/>
      <c r="AA11" s="279"/>
      <c r="AB11" s="29" t="e">
        <f t="shared" si="3"/>
        <v>#DIV/0!</v>
      </c>
      <c r="AC11" s="28">
        <f t="shared" si="0"/>
        <v>0</v>
      </c>
      <c r="AD11" s="29">
        <f t="shared" si="1"/>
        <v>0</v>
      </c>
      <c r="AE11" s="29">
        <f t="shared" si="4"/>
        <v>0</v>
      </c>
      <c r="AF11" s="29" t="e">
        <f t="shared" si="2"/>
        <v>#DIV/0!</v>
      </c>
    </row>
    <row r="12" spans="1:32" ht="15.95" customHeight="1" thickBot="1">
      <c r="A12" s="225" t="s">
        <v>414</v>
      </c>
      <c r="B12" s="385"/>
      <c r="C12" s="386" t="s">
        <v>309</v>
      </c>
      <c r="O12" s="758"/>
      <c r="S12" s="33"/>
      <c r="T12" s="279"/>
      <c r="U12" s="279"/>
      <c r="V12" s="279"/>
      <c r="W12" s="279"/>
      <c r="X12" s="279"/>
      <c r="Y12" s="279"/>
      <c r="Z12" s="279"/>
      <c r="AA12" s="279"/>
      <c r="AB12" s="29" t="e">
        <f t="shared" si="3"/>
        <v>#DIV/0!</v>
      </c>
      <c r="AC12" s="28">
        <f t="shared" si="0"/>
        <v>0</v>
      </c>
      <c r="AD12" s="29">
        <f t="shared" si="1"/>
        <v>0</v>
      </c>
      <c r="AE12" s="29">
        <f t="shared" si="4"/>
        <v>0</v>
      </c>
      <c r="AF12" s="29" t="e">
        <f t="shared" si="2"/>
        <v>#DIV/0!</v>
      </c>
    </row>
    <row r="13" spans="1:32" ht="15.75" thickBot="1">
      <c r="O13" s="758"/>
      <c r="S13" s="33"/>
      <c r="T13" s="279"/>
      <c r="U13" s="279"/>
      <c r="V13" s="279"/>
      <c r="W13" s="279"/>
      <c r="X13" s="279"/>
      <c r="Y13" s="279"/>
      <c r="Z13" s="279"/>
      <c r="AA13" s="279"/>
      <c r="AB13" s="29" t="e">
        <f t="shared" si="3"/>
        <v>#DIV/0!</v>
      </c>
      <c r="AC13" s="28">
        <f t="shared" si="0"/>
        <v>0</v>
      </c>
      <c r="AD13" s="29">
        <f t="shared" si="1"/>
        <v>0</v>
      </c>
      <c r="AE13" s="29">
        <f t="shared" si="4"/>
        <v>0</v>
      </c>
      <c r="AF13" s="29" t="e">
        <f t="shared" si="2"/>
        <v>#DIV/0!</v>
      </c>
    </row>
    <row r="14" spans="1:32" ht="15.75" thickBot="1">
      <c r="A14" s="296" t="s">
        <v>367</v>
      </c>
      <c r="B14" s="764" t="s">
        <v>313</v>
      </c>
      <c r="C14" s="765"/>
      <c r="D14" s="764" t="s">
        <v>314</v>
      </c>
      <c r="E14" s="766"/>
      <c r="G14" s="44"/>
      <c r="H14" s="44"/>
      <c r="I14" s="44"/>
      <c r="J14" s="44"/>
      <c r="O14" s="758"/>
      <c r="S14" s="33"/>
      <c r="T14" s="279"/>
      <c r="U14" s="279"/>
      <c r="V14" s="279"/>
      <c r="W14" s="279"/>
      <c r="X14" s="279"/>
      <c r="Y14" s="279"/>
      <c r="Z14" s="279"/>
      <c r="AA14" s="279"/>
      <c r="AB14" s="29" t="e">
        <f t="shared" si="3"/>
        <v>#DIV/0!</v>
      </c>
      <c r="AC14" s="28">
        <f t="shared" si="0"/>
        <v>0</v>
      </c>
      <c r="AD14" s="29">
        <f t="shared" si="1"/>
        <v>0</v>
      </c>
      <c r="AE14" s="29">
        <f t="shared" si="4"/>
        <v>0</v>
      </c>
      <c r="AF14" s="29" t="e">
        <f t="shared" si="2"/>
        <v>#DIV/0!</v>
      </c>
    </row>
    <row r="15" spans="1:32" ht="15.75" thickBot="1">
      <c r="A15" s="297" t="s">
        <v>278</v>
      </c>
      <c r="B15" s="112" t="s">
        <v>59</v>
      </c>
      <c r="C15" s="112" t="s">
        <v>61</v>
      </c>
      <c r="D15" s="112" t="s">
        <v>59</v>
      </c>
      <c r="E15" s="298" t="s">
        <v>61</v>
      </c>
      <c r="G15" s="34"/>
      <c r="H15" s="44"/>
      <c r="I15" s="44"/>
      <c r="J15" s="44"/>
      <c r="O15" s="758"/>
      <c r="S15" s="33"/>
      <c r="T15" s="279"/>
      <c r="U15" s="279"/>
      <c r="V15" s="279"/>
      <c r="W15" s="279"/>
      <c r="X15" s="279"/>
      <c r="Y15" s="279"/>
      <c r="Z15" s="279"/>
      <c r="AA15" s="279"/>
      <c r="AB15" s="29" t="e">
        <f t="shared" si="3"/>
        <v>#DIV/0!</v>
      </c>
      <c r="AC15" s="28">
        <f t="shared" si="0"/>
        <v>0</v>
      </c>
      <c r="AD15" s="29">
        <f t="shared" si="1"/>
        <v>0</v>
      </c>
      <c r="AE15" s="29">
        <f t="shared" si="4"/>
        <v>0</v>
      </c>
      <c r="AF15" s="29" t="e">
        <f t="shared" si="2"/>
        <v>#DIV/0!</v>
      </c>
    </row>
    <row r="16" spans="1:32">
      <c r="A16" s="305">
        <v>10</v>
      </c>
      <c r="B16" s="105" t="e">
        <f>R4</f>
        <v>#DIV/0!</v>
      </c>
      <c r="C16" s="106" t="e">
        <f>R24</f>
        <v>#DIV/0!</v>
      </c>
      <c r="D16" s="105" t="e">
        <f t="shared" ref="D16:E23" si="5">B16/$D$24</f>
        <v>#DIV/0!</v>
      </c>
      <c r="E16" s="299" t="e">
        <f t="shared" si="5"/>
        <v>#DIV/0!</v>
      </c>
      <c r="G16" s="44"/>
      <c r="H16" s="35"/>
      <c r="I16" s="35"/>
      <c r="J16" s="35"/>
      <c r="O16" s="758"/>
      <c r="S16" s="33"/>
      <c r="T16" s="279"/>
      <c r="U16" s="279"/>
      <c r="V16" s="279"/>
      <c r="W16" s="279"/>
      <c r="X16" s="279"/>
      <c r="Y16" s="279"/>
      <c r="Z16" s="279"/>
      <c r="AA16" s="279"/>
      <c r="AB16" s="29" t="e">
        <f t="shared" si="3"/>
        <v>#DIV/0!</v>
      </c>
      <c r="AC16" s="28">
        <f t="shared" si="0"/>
        <v>0</v>
      </c>
      <c r="AD16" s="29">
        <f t="shared" si="1"/>
        <v>0</v>
      </c>
      <c r="AE16" s="29">
        <f t="shared" si="4"/>
        <v>0</v>
      </c>
      <c r="AF16" s="29" t="e">
        <f t="shared" si="2"/>
        <v>#DIV/0!</v>
      </c>
    </row>
    <row r="17" spans="1:33">
      <c r="A17" s="36">
        <v>20</v>
      </c>
      <c r="B17" s="105" t="e">
        <f>R5</f>
        <v>#DIV/0!</v>
      </c>
      <c r="C17" s="107" t="e">
        <f>R25</f>
        <v>#DIV/0!</v>
      </c>
      <c r="D17" s="105" t="e">
        <f t="shared" si="5"/>
        <v>#DIV/0!</v>
      </c>
      <c r="E17" s="299" t="e">
        <f t="shared" si="5"/>
        <v>#DIV/0!</v>
      </c>
      <c r="G17" s="44"/>
      <c r="H17" s="35"/>
      <c r="I17" s="35"/>
      <c r="J17" s="35"/>
      <c r="O17" s="758"/>
      <c r="S17" s="33"/>
      <c r="T17" s="279"/>
      <c r="U17" s="279"/>
      <c r="V17" s="279"/>
      <c r="W17" s="279"/>
      <c r="X17" s="279"/>
      <c r="Y17" s="279"/>
      <c r="Z17" s="279"/>
      <c r="AA17" s="279"/>
      <c r="AB17" s="29" t="e">
        <f t="shared" si="3"/>
        <v>#DIV/0!</v>
      </c>
      <c r="AC17" s="28">
        <f t="shared" si="0"/>
        <v>0</v>
      </c>
      <c r="AD17" s="29">
        <f t="shared" si="1"/>
        <v>0</v>
      </c>
      <c r="AE17" s="29">
        <f t="shared" si="4"/>
        <v>0</v>
      </c>
      <c r="AF17" s="29" t="e">
        <f t="shared" si="2"/>
        <v>#DIV/0!</v>
      </c>
    </row>
    <row r="18" spans="1:33">
      <c r="A18" s="36">
        <v>30</v>
      </c>
      <c r="B18" s="105" t="e">
        <f t="shared" ref="B18:B23" si="6">R6</f>
        <v>#DIV/0!</v>
      </c>
      <c r="C18" s="106" t="e">
        <f t="shared" ref="C18:C23" si="7">R26</f>
        <v>#DIV/0!</v>
      </c>
      <c r="D18" s="105" t="e">
        <f t="shared" si="5"/>
        <v>#DIV/0!</v>
      </c>
      <c r="E18" s="299" t="e">
        <f t="shared" si="5"/>
        <v>#DIV/0!</v>
      </c>
      <c r="G18" s="44"/>
      <c r="H18" s="35"/>
      <c r="I18" s="35"/>
      <c r="J18" s="35"/>
      <c r="O18" s="758"/>
      <c r="S18" s="33"/>
      <c r="T18" s="279"/>
      <c r="U18" s="279"/>
      <c r="V18" s="279"/>
      <c r="W18" s="279"/>
      <c r="X18" s="279"/>
      <c r="Y18" s="279"/>
      <c r="Z18" s="279"/>
      <c r="AA18" s="279"/>
      <c r="AB18" s="29" t="e">
        <f t="shared" si="3"/>
        <v>#DIV/0!</v>
      </c>
      <c r="AC18" s="28">
        <f t="shared" si="0"/>
        <v>0</v>
      </c>
      <c r="AD18" s="29">
        <f t="shared" si="1"/>
        <v>0</v>
      </c>
      <c r="AE18" s="29">
        <f t="shared" si="4"/>
        <v>0</v>
      </c>
      <c r="AF18" s="29" t="e">
        <f t="shared" si="2"/>
        <v>#DIV/0!</v>
      </c>
    </row>
    <row r="19" spans="1:33">
      <c r="A19" s="36">
        <v>40</v>
      </c>
      <c r="B19" s="105" t="e">
        <f t="shared" si="6"/>
        <v>#DIV/0!</v>
      </c>
      <c r="C19" s="107" t="e">
        <f t="shared" si="7"/>
        <v>#DIV/0!</v>
      </c>
      <c r="D19" s="105" t="e">
        <f t="shared" si="5"/>
        <v>#DIV/0!</v>
      </c>
      <c r="E19" s="299" t="e">
        <f t="shared" si="5"/>
        <v>#DIV/0!</v>
      </c>
      <c r="G19" s="44"/>
      <c r="H19" s="35"/>
      <c r="I19" s="35"/>
      <c r="J19" s="35"/>
      <c r="O19" s="758"/>
    </row>
    <row r="20" spans="1:33">
      <c r="A20" s="36">
        <v>50</v>
      </c>
      <c r="B20" s="105" t="e">
        <f t="shared" si="6"/>
        <v>#DIV/0!</v>
      </c>
      <c r="C20" s="106" t="e">
        <f t="shared" si="7"/>
        <v>#DIV/0!</v>
      </c>
      <c r="D20" s="105" t="e">
        <f t="shared" si="5"/>
        <v>#DIV/0!</v>
      </c>
      <c r="E20" s="299" t="e">
        <f t="shared" si="5"/>
        <v>#DIV/0!</v>
      </c>
      <c r="G20" s="44"/>
      <c r="H20" s="35"/>
      <c r="I20" s="35"/>
      <c r="J20" s="35"/>
      <c r="O20" s="758"/>
    </row>
    <row r="21" spans="1:33">
      <c r="A21" s="36">
        <v>60</v>
      </c>
      <c r="B21" s="105" t="e">
        <f t="shared" si="6"/>
        <v>#DIV/0!</v>
      </c>
      <c r="C21" s="107" t="e">
        <f t="shared" si="7"/>
        <v>#DIV/0!</v>
      </c>
      <c r="D21" s="105" t="e">
        <f t="shared" si="5"/>
        <v>#DIV/0!</v>
      </c>
      <c r="E21" s="299" t="e">
        <f t="shared" si="5"/>
        <v>#DIV/0!</v>
      </c>
      <c r="G21" s="44"/>
      <c r="H21" s="35"/>
      <c r="I21" s="35"/>
      <c r="J21" s="35"/>
      <c r="O21" s="758"/>
    </row>
    <row r="22" spans="1:33">
      <c r="A22" s="36">
        <v>70</v>
      </c>
      <c r="B22" s="105" t="e">
        <f t="shared" si="6"/>
        <v>#DIV/0!</v>
      </c>
      <c r="C22" s="106" t="e">
        <f t="shared" si="7"/>
        <v>#DIV/0!</v>
      </c>
      <c r="D22" s="105" t="e">
        <f t="shared" si="5"/>
        <v>#DIV/0!</v>
      </c>
      <c r="E22" s="299" t="e">
        <f t="shared" si="5"/>
        <v>#DIV/0!</v>
      </c>
      <c r="G22" s="44"/>
      <c r="H22" s="35"/>
      <c r="I22" s="35"/>
      <c r="J22" s="35"/>
      <c r="O22" s="758"/>
      <c r="Q22" s="162" t="s">
        <v>386</v>
      </c>
      <c r="R22" s="279">
        <v>61511003</v>
      </c>
      <c r="T22" s="27"/>
      <c r="AG22" s="1"/>
    </row>
    <row r="23" spans="1:33" ht="15" customHeight="1" thickBot="1">
      <c r="A23" s="206">
        <v>80</v>
      </c>
      <c r="B23" s="105" t="e">
        <f t="shared" si="6"/>
        <v>#DIV/0!</v>
      </c>
      <c r="C23" s="107" t="e">
        <f t="shared" si="7"/>
        <v>#DIV/0!</v>
      </c>
      <c r="D23" s="105" t="e">
        <f t="shared" si="5"/>
        <v>#DIV/0!</v>
      </c>
      <c r="E23" s="299" t="e">
        <f t="shared" si="5"/>
        <v>#DIV/0!</v>
      </c>
      <c r="G23" s="44"/>
      <c r="H23" s="35"/>
      <c r="I23" s="35"/>
      <c r="J23" s="35"/>
      <c r="O23" s="758"/>
      <c r="Q23" s="80" t="s">
        <v>92</v>
      </c>
      <c r="R23" s="80"/>
      <c r="S23" s="80"/>
      <c r="T23" s="85" t="s">
        <v>82</v>
      </c>
      <c r="U23" s="80" t="s">
        <v>83</v>
      </c>
      <c r="V23" s="80" t="s">
        <v>84</v>
      </c>
      <c r="W23" s="80" t="s">
        <v>85</v>
      </c>
      <c r="X23" s="80" t="s">
        <v>112</v>
      </c>
      <c r="Y23" s="80" t="s">
        <v>220</v>
      </c>
      <c r="Z23" s="80" t="s">
        <v>113</v>
      </c>
      <c r="AA23" s="80" t="s">
        <v>218</v>
      </c>
      <c r="AB23" s="84" t="s">
        <v>117</v>
      </c>
      <c r="AC23" s="84" t="s">
        <v>86</v>
      </c>
      <c r="AD23" s="84" t="s">
        <v>87</v>
      </c>
      <c r="AE23" s="84" t="s">
        <v>88</v>
      </c>
      <c r="AF23" s="84" t="s">
        <v>89</v>
      </c>
    </row>
    <row r="24" spans="1:33" ht="15.75" thickBot="1">
      <c r="A24" s="300"/>
      <c r="B24" s="301"/>
      <c r="C24" s="302" t="s">
        <v>387</v>
      </c>
      <c r="D24" s="303" t="e">
        <f>D47</f>
        <v>#REF!</v>
      </c>
      <c r="E24" s="304"/>
      <c r="O24" s="758"/>
      <c r="Q24" s="73">
        <v>10</v>
      </c>
      <c r="R24" s="277" t="e">
        <f>(AB24+AB38)/2</f>
        <v>#DIV/0!</v>
      </c>
      <c r="T24" s="279"/>
      <c r="U24" s="279"/>
      <c r="V24" s="279"/>
      <c r="W24" s="279"/>
      <c r="X24" s="279"/>
      <c r="Y24" s="279"/>
      <c r="Z24" s="279"/>
      <c r="AA24" s="279"/>
      <c r="AB24" s="29" t="e">
        <f>(Y24)/W24</f>
        <v>#DIV/0!</v>
      </c>
      <c r="AC24" s="28">
        <f t="shared" ref="AC24:AC38" si="8">W24*0.44704</f>
        <v>0</v>
      </c>
      <c r="AD24" s="29">
        <f t="shared" ref="AD24:AD38" si="9">AC24*Z24/1000</f>
        <v>0</v>
      </c>
      <c r="AE24" s="29">
        <f>Y24/1000</f>
        <v>0</v>
      </c>
      <c r="AF24" s="29" t="e">
        <f t="shared" ref="AF24:AF38" si="10">AD24/AE24*100</f>
        <v>#DIV/0!</v>
      </c>
    </row>
    <row r="25" spans="1:33" ht="15.75" thickBot="1">
      <c r="A25" s="1"/>
      <c r="B25" s="1"/>
      <c r="O25" s="758"/>
      <c r="Q25" s="73">
        <v>20</v>
      </c>
      <c r="R25" s="277" t="e">
        <f>(AB25+AB37)/2</f>
        <v>#DIV/0!</v>
      </c>
      <c r="T25" s="279"/>
      <c r="U25" s="279"/>
      <c r="V25" s="279"/>
      <c r="W25" s="279"/>
      <c r="X25" s="279"/>
      <c r="Y25" s="279"/>
      <c r="Z25" s="279"/>
      <c r="AA25" s="279"/>
      <c r="AB25" s="29" t="e">
        <f t="shared" ref="AB25:AB38" si="11">(Y25)/W25</f>
        <v>#DIV/0!</v>
      </c>
      <c r="AC25" s="28">
        <f t="shared" si="8"/>
        <v>0</v>
      </c>
      <c r="AD25" s="29">
        <f t="shared" si="9"/>
        <v>0</v>
      </c>
      <c r="AE25" s="29">
        <f t="shared" ref="AE25:AE38" si="12">Y25/1000</f>
        <v>0</v>
      </c>
      <c r="AF25" s="29" t="e">
        <f t="shared" si="10"/>
        <v>#DIV/0!</v>
      </c>
    </row>
    <row r="26" spans="1:33" ht="15.75" thickBot="1">
      <c r="A26" s="97" t="s">
        <v>363</v>
      </c>
      <c r="B26" s="767" t="s">
        <v>68</v>
      </c>
      <c r="C26" s="767"/>
      <c r="D26" s="768"/>
      <c r="E26" s="134"/>
      <c r="F26" s="134"/>
      <c r="O26" s="758"/>
      <c r="Q26" s="73">
        <v>30</v>
      </c>
      <c r="R26" s="277" t="e">
        <f>(AB26+AB36)/2</f>
        <v>#DIV/0!</v>
      </c>
      <c r="T26" s="279"/>
      <c r="U26" s="279"/>
      <c r="V26" s="279"/>
      <c r="W26" s="279"/>
      <c r="X26" s="279"/>
      <c r="Y26" s="279"/>
      <c r="Z26" s="279"/>
      <c r="AA26" s="279"/>
      <c r="AB26" s="29" t="e">
        <f t="shared" si="11"/>
        <v>#DIV/0!</v>
      </c>
      <c r="AC26" s="28">
        <f t="shared" si="8"/>
        <v>0</v>
      </c>
      <c r="AD26" s="29">
        <f t="shared" si="9"/>
        <v>0</v>
      </c>
      <c r="AE26" s="29">
        <f t="shared" si="12"/>
        <v>0</v>
      </c>
      <c r="AF26" s="29" t="e">
        <f t="shared" si="10"/>
        <v>#DIV/0!</v>
      </c>
    </row>
    <row r="27" spans="1:33">
      <c r="A27" s="86"/>
      <c r="B27" s="208" t="s">
        <v>59</v>
      </c>
      <c r="C27" s="208" t="s">
        <v>60</v>
      </c>
      <c r="D27" s="228" t="s">
        <v>61</v>
      </c>
      <c r="E27" s="44"/>
      <c r="F27" s="44"/>
      <c r="O27" s="758"/>
      <c r="Q27" s="73">
        <v>40</v>
      </c>
      <c r="R27" s="277" t="e">
        <f>(AB27+AB35)/2</f>
        <v>#DIV/0!</v>
      </c>
      <c r="T27" s="279"/>
      <c r="U27" s="279"/>
      <c r="V27" s="279"/>
      <c r="W27" s="279"/>
      <c r="X27" s="279"/>
      <c r="Y27" s="279"/>
      <c r="Z27" s="279"/>
      <c r="AA27" s="279"/>
      <c r="AB27" s="29" t="e">
        <f t="shared" si="11"/>
        <v>#DIV/0!</v>
      </c>
      <c r="AC27" s="28">
        <f t="shared" si="8"/>
        <v>0</v>
      </c>
      <c r="AD27" s="29">
        <f t="shared" si="9"/>
        <v>0</v>
      </c>
      <c r="AE27" s="29">
        <f t="shared" si="12"/>
        <v>0</v>
      </c>
      <c r="AF27" s="29" t="e">
        <f t="shared" si="10"/>
        <v>#DIV/0!</v>
      </c>
    </row>
    <row r="28" spans="1:33">
      <c r="A28" s="87" t="s">
        <v>62</v>
      </c>
      <c r="B28" s="137" t="e">
        <f>R42</f>
        <v>#DIV/0!</v>
      </c>
      <c r="C28" s="137" t="e">
        <f>R51</f>
        <v>#DIV/0!</v>
      </c>
      <c r="D28" s="138" t="e">
        <f>R59</f>
        <v>#DIV/0!</v>
      </c>
      <c r="E28" s="136"/>
      <c r="F28" s="136"/>
      <c r="O28" s="758"/>
      <c r="Q28" s="73">
        <v>50</v>
      </c>
      <c r="R28" s="277" t="e">
        <f>(AB28)</f>
        <v>#DIV/0!</v>
      </c>
      <c r="T28" s="279"/>
      <c r="U28" s="279"/>
      <c r="V28" s="279"/>
      <c r="W28" s="279"/>
      <c r="X28" s="279"/>
      <c r="Y28" s="279"/>
      <c r="Z28" s="279"/>
      <c r="AA28" s="279"/>
      <c r="AB28" s="29" t="e">
        <f t="shared" si="11"/>
        <v>#DIV/0!</v>
      </c>
      <c r="AC28" s="28">
        <f t="shared" si="8"/>
        <v>0</v>
      </c>
      <c r="AD28" s="29">
        <f t="shared" si="9"/>
        <v>0</v>
      </c>
      <c r="AE28" s="29">
        <f t="shared" si="12"/>
        <v>0</v>
      </c>
      <c r="AF28" s="29" t="e">
        <f t="shared" si="10"/>
        <v>#DIV/0!</v>
      </c>
    </row>
    <row r="29" spans="1:33">
      <c r="A29" s="87" t="s">
        <v>63</v>
      </c>
      <c r="B29" s="137" t="e">
        <f>R43</f>
        <v>#DIV/0!</v>
      </c>
      <c r="C29" s="137" t="e">
        <f>R52</f>
        <v>#DIV/0!</v>
      </c>
      <c r="D29" s="138" t="e">
        <f>R60</f>
        <v>#DIV/0!</v>
      </c>
      <c r="E29" s="136"/>
      <c r="F29" s="136"/>
      <c r="O29" s="758"/>
      <c r="Q29" s="73">
        <v>60</v>
      </c>
      <c r="R29" s="277" t="e">
        <f>(AB29+AB33)/2</f>
        <v>#DIV/0!</v>
      </c>
      <c r="T29" s="279"/>
      <c r="U29" s="279"/>
      <c r="V29" s="279"/>
      <c r="W29" s="279"/>
      <c r="X29" s="279"/>
      <c r="Y29" s="279"/>
      <c r="Z29" s="279"/>
      <c r="AA29" s="279"/>
      <c r="AB29" s="29" t="e">
        <f t="shared" si="11"/>
        <v>#DIV/0!</v>
      </c>
      <c r="AC29" s="28">
        <f t="shared" si="8"/>
        <v>0</v>
      </c>
      <c r="AD29" s="29">
        <f t="shared" si="9"/>
        <v>0</v>
      </c>
      <c r="AE29" s="29">
        <f t="shared" si="12"/>
        <v>0</v>
      </c>
      <c r="AF29" s="29" t="e">
        <f t="shared" si="10"/>
        <v>#DIV/0!</v>
      </c>
    </row>
    <row r="30" spans="1:33" ht="15.6" customHeight="1">
      <c r="A30" s="87" t="s">
        <v>64</v>
      </c>
      <c r="B30" s="137">
        <f>R44</f>
        <v>0</v>
      </c>
      <c r="C30" s="137">
        <f>R53</f>
        <v>0</v>
      </c>
      <c r="D30" s="138">
        <f>R61</f>
        <v>0</v>
      </c>
      <c r="E30" s="136"/>
      <c r="F30" s="136"/>
      <c r="O30" s="758"/>
      <c r="Q30" s="73">
        <v>70</v>
      </c>
      <c r="R30" s="277" t="e">
        <f>(AB30+AB32)/2</f>
        <v>#DIV/0!</v>
      </c>
      <c r="T30" s="279"/>
      <c r="U30" s="279"/>
      <c r="V30" s="279"/>
      <c r="W30" s="279"/>
      <c r="X30" s="279"/>
      <c r="Y30" s="279"/>
      <c r="Z30" s="279"/>
      <c r="AA30" s="279"/>
      <c r="AB30" s="29" t="e">
        <f t="shared" si="11"/>
        <v>#DIV/0!</v>
      </c>
      <c r="AC30" s="28">
        <f t="shared" si="8"/>
        <v>0</v>
      </c>
      <c r="AD30" s="29">
        <f t="shared" si="9"/>
        <v>0</v>
      </c>
      <c r="AE30" s="29">
        <f t="shared" si="12"/>
        <v>0</v>
      </c>
      <c r="AF30" s="29" t="e">
        <f t="shared" si="10"/>
        <v>#DIV/0!</v>
      </c>
    </row>
    <row r="31" spans="1:33" ht="15.75" thickBot="1">
      <c r="A31" s="91" t="s">
        <v>65</v>
      </c>
      <c r="B31" s="139">
        <f>R45</f>
        <v>0</v>
      </c>
      <c r="C31" s="139">
        <f>R54</f>
        <v>0</v>
      </c>
      <c r="D31" s="271">
        <f>R62</f>
        <v>0</v>
      </c>
      <c r="E31" s="136"/>
      <c r="F31" s="136"/>
      <c r="O31" s="758"/>
      <c r="Q31" s="73">
        <v>80</v>
      </c>
      <c r="R31" s="278" t="e">
        <f>AB31</f>
        <v>#DIV/0!</v>
      </c>
      <c r="T31" s="279"/>
      <c r="U31" s="279"/>
      <c r="V31" s="279"/>
      <c r="W31" s="279"/>
      <c r="X31" s="279"/>
      <c r="Y31" s="279"/>
      <c r="Z31" s="279"/>
      <c r="AA31" s="279"/>
      <c r="AB31" s="29" t="e">
        <f t="shared" si="11"/>
        <v>#DIV/0!</v>
      </c>
      <c r="AC31" s="28">
        <f t="shared" si="8"/>
        <v>0</v>
      </c>
      <c r="AD31" s="29">
        <f t="shared" si="9"/>
        <v>0</v>
      </c>
      <c r="AE31" s="29">
        <f t="shared" si="12"/>
        <v>0</v>
      </c>
      <c r="AF31" s="29" t="e">
        <f t="shared" si="10"/>
        <v>#DIV/0!</v>
      </c>
    </row>
    <row r="32" spans="1:33" ht="15.6" customHeight="1" thickBot="1">
      <c r="A32" s="1"/>
      <c r="B32" s="1"/>
      <c r="C32" s="24"/>
      <c r="D32" s="24"/>
      <c r="E32" s="134"/>
      <c r="F32" s="134"/>
      <c r="O32" s="758"/>
      <c r="T32" s="279"/>
      <c r="U32" s="279"/>
      <c r="V32" s="279"/>
      <c r="W32" s="279"/>
      <c r="X32" s="279"/>
      <c r="Y32" s="279"/>
      <c r="Z32" s="279"/>
      <c r="AA32" s="279"/>
      <c r="AB32" s="29" t="e">
        <f t="shared" si="11"/>
        <v>#DIV/0!</v>
      </c>
      <c r="AC32" s="28">
        <f t="shared" si="8"/>
        <v>0</v>
      </c>
      <c r="AD32" s="29">
        <f t="shared" si="9"/>
        <v>0</v>
      </c>
      <c r="AE32" s="29">
        <f t="shared" si="12"/>
        <v>0</v>
      </c>
      <c r="AF32" s="29" t="e">
        <f t="shared" si="10"/>
        <v>#DIV/0!</v>
      </c>
    </row>
    <row r="33" spans="1:38">
      <c r="A33" s="769" t="s">
        <v>69</v>
      </c>
      <c r="B33" s="770"/>
      <c r="C33" s="770"/>
      <c r="D33" s="771"/>
      <c r="E33" s="222"/>
      <c r="F33" s="222"/>
      <c r="O33" s="758"/>
      <c r="T33" s="279"/>
      <c r="U33" s="279"/>
      <c r="V33" s="279"/>
      <c r="W33" s="279"/>
      <c r="X33" s="279"/>
      <c r="Y33" s="279"/>
      <c r="Z33" s="279"/>
      <c r="AA33" s="279"/>
      <c r="AB33" s="29" t="e">
        <f t="shared" si="11"/>
        <v>#DIV/0!</v>
      </c>
      <c r="AC33" s="28">
        <f t="shared" si="8"/>
        <v>0</v>
      </c>
      <c r="AD33" s="29">
        <f t="shared" si="9"/>
        <v>0</v>
      </c>
      <c r="AE33" s="29">
        <f t="shared" si="12"/>
        <v>0</v>
      </c>
      <c r="AF33" s="29" t="e">
        <f t="shared" si="10"/>
        <v>#DIV/0!</v>
      </c>
    </row>
    <row r="34" spans="1:38">
      <c r="A34" s="772" t="s">
        <v>357</v>
      </c>
      <c r="B34" s="773"/>
      <c r="C34" s="93" t="s">
        <v>66</v>
      </c>
      <c r="D34" s="94"/>
      <c r="E34" s="44"/>
      <c r="F34" s="44"/>
      <c r="O34" s="758"/>
      <c r="T34" s="279"/>
      <c r="U34" s="279"/>
      <c r="V34" s="279"/>
      <c r="W34" s="279"/>
      <c r="X34" s="279"/>
      <c r="Y34" s="279"/>
      <c r="Z34" s="279"/>
      <c r="AA34" s="279"/>
      <c r="AB34" s="29" t="e">
        <f t="shared" si="11"/>
        <v>#DIV/0!</v>
      </c>
      <c r="AC34" s="28">
        <f t="shared" si="8"/>
        <v>0</v>
      </c>
      <c r="AD34" s="29">
        <f t="shared" si="9"/>
        <v>0</v>
      </c>
      <c r="AE34" s="29">
        <f t="shared" si="12"/>
        <v>0</v>
      </c>
      <c r="AF34" s="29" t="e">
        <f t="shared" si="10"/>
        <v>#DIV/0!</v>
      </c>
    </row>
    <row r="35" spans="1:38" ht="15.6" customHeight="1" thickBot="1">
      <c r="A35" s="774">
        <v>61511007</v>
      </c>
      <c r="B35" s="775"/>
      <c r="C35" s="95"/>
      <c r="D35" s="96" t="s">
        <v>67</v>
      </c>
      <c r="E35" s="24"/>
      <c r="F35" s="24"/>
      <c r="O35" s="758"/>
      <c r="T35" s="279"/>
      <c r="U35" s="279"/>
      <c r="V35" s="279"/>
      <c r="W35" s="279"/>
      <c r="X35" s="279"/>
      <c r="Y35" s="279"/>
      <c r="Z35" s="279"/>
      <c r="AA35" s="279"/>
      <c r="AB35" s="29" t="e">
        <f t="shared" si="11"/>
        <v>#DIV/0!</v>
      </c>
      <c r="AC35" s="28">
        <f t="shared" si="8"/>
        <v>0</v>
      </c>
      <c r="AD35" s="29">
        <f t="shared" si="9"/>
        <v>0</v>
      </c>
      <c r="AE35" s="29">
        <f t="shared" si="12"/>
        <v>0</v>
      </c>
      <c r="AF35" s="29" t="e">
        <f t="shared" si="10"/>
        <v>#DIV/0!</v>
      </c>
    </row>
    <row r="36" spans="1:38" ht="15.95" customHeight="1">
      <c r="O36" s="758"/>
      <c r="T36" s="279"/>
      <c r="U36" s="279"/>
      <c r="V36" s="279"/>
      <c r="W36" s="279"/>
      <c r="X36" s="279"/>
      <c r="Y36" s="279"/>
      <c r="Z36" s="279"/>
      <c r="AA36" s="279"/>
      <c r="AB36" s="29" t="e">
        <f t="shared" si="11"/>
        <v>#DIV/0!</v>
      </c>
      <c r="AC36" s="28">
        <f t="shared" si="8"/>
        <v>0</v>
      </c>
      <c r="AD36" s="29">
        <f t="shared" si="9"/>
        <v>0</v>
      </c>
      <c r="AE36" s="29">
        <f t="shared" si="12"/>
        <v>0</v>
      </c>
      <c r="AF36" s="29" t="e">
        <f t="shared" si="10"/>
        <v>#DIV/0!</v>
      </c>
      <c r="AH36" s="1"/>
      <c r="AI36" s="1"/>
      <c r="AJ36" s="1"/>
      <c r="AK36" s="1"/>
      <c r="AL36" s="1"/>
    </row>
    <row r="37" spans="1:38" ht="15.6" customHeight="1" thickBot="1">
      <c r="J37" s="1"/>
      <c r="O37" s="758"/>
      <c r="T37" s="279"/>
      <c r="U37" s="279"/>
      <c r="V37" s="279"/>
      <c r="W37" s="279"/>
      <c r="X37" s="279"/>
      <c r="Y37" s="279"/>
      <c r="Z37" s="279"/>
      <c r="AA37" s="279"/>
      <c r="AB37" s="29" t="e">
        <f t="shared" si="11"/>
        <v>#DIV/0!</v>
      </c>
      <c r="AC37" s="28">
        <f t="shared" si="8"/>
        <v>0</v>
      </c>
      <c r="AD37" s="29">
        <f t="shared" si="9"/>
        <v>0</v>
      </c>
      <c r="AE37" s="29">
        <f t="shared" si="12"/>
        <v>0</v>
      </c>
      <c r="AF37" s="29" t="e">
        <f t="shared" si="10"/>
        <v>#DIV/0!</v>
      </c>
    </row>
    <row r="38" spans="1:38" ht="30">
      <c r="A38" s="286" t="s">
        <v>119</v>
      </c>
      <c r="B38" s="287"/>
      <c r="C38" s="287"/>
      <c r="D38" s="288"/>
      <c r="F38" s="109"/>
      <c r="J38" s="1"/>
      <c r="O38" s="758"/>
      <c r="T38" s="279"/>
      <c r="U38" s="279"/>
      <c r="V38" s="279"/>
      <c r="W38" s="279"/>
      <c r="X38" s="279"/>
      <c r="Y38" s="279"/>
      <c r="Z38" s="279"/>
      <c r="AA38" s="279"/>
      <c r="AB38" s="29" t="e">
        <f t="shared" si="11"/>
        <v>#DIV/0!</v>
      </c>
      <c r="AC38" s="28">
        <f t="shared" si="8"/>
        <v>0</v>
      </c>
      <c r="AD38" s="29">
        <f t="shared" si="9"/>
        <v>0</v>
      </c>
      <c r="AE38" s="29">
        <f t="shared" si="12"/>
        <v>0</v>
      </c>
      <c r="AF38" s="29" t="e">
        <f t="shared" si="10"/>
        <v>#DIV/0!</v>
      </c>
    </row>
    <row r="39" spans="1:38">
      <c r="A39" s="280" t="s">
        <v>22</v>
      </c>
      <c r="B39" s="281"/>
      <c r="C39" s="281"/>
      <c r="D39" s="289"/>
      <c r="F39" s="109"/>
      <c r="J39" s="1"/>
      <c r="O39" s="758"/>
    </row>
    <row r="40" spans="1:38" ht="15.95" customHeight="1">
      <c r="A40" s="207" t="s">
        <v>219</v>
      </c>
      <c r="B40" s="208" t="s">
        <v>0</v>
      </c>
      <c r="C40" s="208" t="s">
        <v>315</v>
      </c>
      <c r="D40" s="228" t="s">
        <v>316</v>
      </c>
      <c r="F40" s="134"/>
      <c r="J40" s="1"/>
      <c r="O40" s="758"/>
      <c r="Q40" s="162" t="s">
        <v>386</v>
      </c>
      <c r="R40" s="279">
        <v>61511006</v>
      </c>
      <c r="T40" s="27"/>
    </row>
    <row r="41" spans="1:38" ht="15.75" thickBot="1">
      <c r="A41" s="87" t="s">
        <v>70</v>
      </c>
      <c r="B41" s="156" t="e">
        <f>TestSummary!#REF!</f>
        <v>#REF!</v>
      </c>
      <c r="C41" s="264" t="e">
        <f>TestSummary!#REF!</f>
        <v>#REF!</v>
      </c>
      <c r="D41" s="290" t="e">
        <f t="shared" ref="D41:D46" si="13">C41/$D$47</f>
        <v>#REF!</v>
      </c>
      <c r="E41" s="110"/>
      <c r="F41" s="135"/>
      <c r="O41" s="758"/>
      <c r="Q41" s="80" t="s">
        <v>95</v>
      </c>
      <c r="R41" s="80"/>
      <c r="S41" s="80"/>
      <c r="T41" s="85" t="s">
        <v>82</v>
      </c>
      <c r="U41" s="80" t="s">
        <v>83</v>
      </c>
      <c r="V41" s="80" t="s">
        <v>84</v>
      </c>
      <c r="W41" s="80" t="s">
        <v>96</v>
      </c>
      <c r="X41" s="80" t="s">
        <v>114</v>
      </c>
      <c r="Y41" s="80" t="s">
        <v>115</v>
      </c>
      <c r="Z41" s="80" t="s">
        <v>93</v>
      </c>
      <c r="AA41" s="80" t="s">
        <v>94</v>
      </c>
      <c r="AB41" s="80" t="s">
        <v>246</v>
      </c>
      <c r="AC41" s="80" t="s">
        <v>247</v>
      </c>
    </row>
    <row r="42" spans="1:38" ht="15.6" customHeight="1">
      <c r="A42" s="87" t="s">
        <v>58</v>
      </c>
      <c r="B42" s="156" t="e">
        <f>TestSummary!#REF!</f>
        <v>#REF!</v>
      </c>
      <c r="C42" s="264" t="e">
        <f>TestSummary!#REF!</f>
        <v>#REF!</v>
      </c>
      <c r="D42" s="290" t="e">
        <f t="shared" si="13"/>
        <v>#REF!</v>
      </c>
      <c r="E42" s="110"/>
      <c r="F42" s="135"/>
      <c r="I42" s="30"/>
      <c r="O42" s="758"/>
      <c r="Q42" s="50" t="s">
        <v>62</v>
      </c>
      <c r="R42" s="90" t="e">
        <f>AVERAGE(W42,W44)</f>
        <v>#DIV/0!</v>
      </c>
      <c r="T42" s="279"/>
      <c r="U42" s="279"/>
      <c r="V42" s="279"/>
      <c r="W42" s="45"/>
      <c r="X42" s="279"/>
      <c r="Y42" s="279"/>
      <c r="Z42" s="279"/>
      <c r="AA42" s="279"/>
      <c r="AB42" s="279"/>
      <c r="AC42" s="279"/>
      <c r="AD42" s="279"/>
      <c r="AE42" s="279"/>
    </row>
    <row r="43" spans="1:38">
      <c r="A43" s="87" t="s">
        <v>55</v>
      </c>
      <c r="B43" s="156" t="e">
        <f>TestSummary!#REF!</f>
        <v>#REF!</v>
      </c>
      <c r="C43" s="264" t="e">
        <f>TestSummary!#REF!</f>
        <v>#REF!</v>
      </c>
      <c r="D43" s="290" t="e">
        <f t="shared" si="13"/>
        <v>#REF!</v>
      </c>
      <c r="E43" s="110"/>
      <c r="F43" s="135"/>
      <c r="O43" s="758"/>
      <c r="Q43" s="50" t="s">
        <v>63</v>
      </c>
      <c r="R43" s="90" t="e">
        <f>AVERAGE(W43,W46)</f>
        <v>#DIV/0!</v>
      </c>
      <c r="T43" s="279"/>
      <c r="U43" s="279"/>
      <c r="V43" s="279"/>
      <c r="W43" s="45"/>
      <c r="X43" s="279"/>
      <c r="Y43" s="279"/>
      <c r="Z43" s="279"/>
      <c r="AA43" s="279"/>
      <c r="AB43" s="279"/>
      <c r="AC43" s="279"/>
      <c r="AD43" s="279"/>
      <c r="AE43" s="279"/>
    </row>
    <row r="44" spans="1:38">
      <c r="A44" s="87" t="s">
        <v>71</v>
      </c>
      <c r="B44" s="156" t="e">
        <f>TestSummary!#REF!</f>
        <v>#REF!</v>
      </c>
      <c r="C44" s="264" t="e">
        <f>TestSummary!#REF!</f>
        <v>#REF!</v>
      </c>
      <c r="D44" s="290" t="e">
        <f t="shared" si="13"/>
        <v>#REF!</v>
      </c>
      <c r="E44" s="263"/>
      <c r="F44" s="136"/>
      <c r="H44" s="262"/>
      <c r="O44" s="758"/>
      <c r="Q44" s="50" t="s">
        <v>64</v>
      </c>
      <c r="R44" s="90">
        <f>W45</f>
        <v>0</v>
      </c>
      <c r="T44" s="279"/>
      <c r="U44" s="279"/>
      <c r="V44" s="279"/>
      <c r="W44" s="45"/>
      <c r="X44" s="279"/>
      <c r="Y44" s="279"/>
      <c r="Z44" s="279"/>
      <c r="AA44" s="279"/>
      <c r="AB44" s="279"/>
      <c r="AC44" s="279"/>
      <c r="AD44" s="279"/>
      <c r="AE44" s="279"/>
    </row>
    <row r="45" spans="1:38">
      <c r="A45" s="89" t="s">
        <v>72</v>
      </c>
      <c r="B45" s="156" t="e">
        <f>TestSummary!#REF!</f>
        <v>#REF!</v>
      </c>
      <c r="C45" s="264" t="e">
        <f>TestSummary!#REF!</f>
        <v>#REF!</v>
      </c>
      <c r="D45" s="290" t="e">
        <f t="shared" si="13"/>
        <v>#REF!</v>
      </c>
      <c r="E45" s="263"/>
      <c r="F45" s="136"/>
      <c r="O45" s="758"/>
      <c r="Q45" s="50" t="s">
        <v>65</v>
      </c>
      <c r="R45" s="90">
        <f>W47</f>
        <v>0</v>
      </c>
      <c r="T45" s="279"/>
      <c r="U45" s="279"/>
      <c r="V45" s="279"/>
      <c r="W45" s="45"/>
      <c r="X45" s="279"/>
      <c r="Y45" s="279"/>
      <c r="Z45" s="279"/>
      <c r="AA45" s="279"/>
      <c r="AB45" s="279"/>
      <c r="AC45" s="279"/>
      <c r="AD45" s="279"/>
      <c r="AE45" s="279"/>
    </row>
    <row r="46" spans="1:38" ht="15" customHeight="1">
      <c r="A46" s="89" t="s">
        <v>73</v>
      </c>
      <c r="B46" s="156" t="e">
        <f>TestSummary!#REF!</f>
        <v>#REF!</v>
      </c>
      <c r="C46" s="264" t="e">
        <f>TestSummary!#REF!</f>
        <v>#REF!</v>
      </c>
      <c r="D46" s="290" t="e">
        <f t="shared" si="13"/>
        <v>#REF!</v>
      </c>
      <c r="E46" s="263"/>
      <c r="F46" s="136"/>
      <c r="O46" s="758"/>
      <c r="Q46" s="50"/>
      <c r="R46" s="90"/>
      <c r="T46" s="279"/>
      <c r="U46" s="279"/>
      <c r="V46" s="279"/>
      <c r="W46" s="45"/>
      <c r="X46" s="279"/>
      <c r="Y46" s="279"/>
      <c r="Z46" s="279"/>
      <c r="AA46" s="279"/>
      <c r="AB46" s="279"/>
      <c r="AC46" s="279"/>
      <c r="AD46" s="279"/>
      <c r="AE46" s="279"/>
    </row>
    <row r="47" spans="1:38">
      <c r="A47" s="212"/>
      <c r="B47" s="211"/>
      <c r="C47" s="209" t="s">
        <v>388</v>
      </c>
      <c r="D47" s="291" t="e">
        <f>TestSummary!#REF!</f>
        <v>#REF!</v>
      </c>
      <c r="E47" s="110"/>
      <c r="F47" s="109"/>
      <c r="O47" s="758"/>
      <c r="Q47" s="50"/>
      <c r="R47" s="90"/>
      <c r="T47" s="279"/>
      <c r="U47" s="279"/>
      <c r="V47" s="279"/>
      <c r="W47" s="45"/>
      <c r="X47" s="279"/>
      <c r="Y47" s="279"/>
      <c r="Z47" s="279"/>
      <c r="AA47" s="279"/>
      <c r="AB47" s="279"/>
      <c r="AC47" s="279"/>
      <c r="AD47" s="279"/>
      <c r="AE47" s="279"/>
    </row>
    <row r="48" spans="1:38">
      <c r="A48" s="284" t="s">
        <v>52</v>
      </c>
      <c r="B48" s="285"/>
      <c r="C48" s="285"/>
      <c r="D48" s="292"/>
      <c r="E48" s="110"/>
      <c r="F48" s="134"/>
      <c r="O48" s="758"/>
      <c r="Q48" s="50"/>
      <c r="R48" s="90"/>
      <c r="T48" s="1"/>
      <c r="W48" s="272"/>
    </row>
    <row r="49" spans="1:38">
      <c r="A49" s="207" t="s">
        <v>219</v>
      </c>
      <c r="B49" s="208" t="s">
        <v>0</v>
      </c>
      <c r="C49" s="208" t="s">
        <v>315</v>
      </c>
      <c r="D49" s="228" t="s">
        <v>316</v>
      </c>
      <c r="E49" s="110"/>
      <c r="F49" s="136"/>
      <c r="O49" s="758"/>
      <c r="Q49" s="162" t="s">
        <v>386</v>
      </c>
      <c r="R49" s="279">
        <v>61511006</v>
      </c>
      <c r="T49" s="27"/>
    </row>
    <row r="50" spans="1:38" ht="15.75" thickBot="1">
      <c r="A50" s="87" t="s">
        <v>374</v>
      </c>
      <c r="B50" s="156" t="e">
        <f>TestSummary!#REF!</f>
        <v>#REF!</v>
      </c>
      <c r="C50" s="264" t="e">
        <f>TestSummary!#REF!</f>
        <v>#REF!</v>
      </c>
      <c r="D50" s="290" t="e">
        <f>C50/$D$57</f>
        <v>#REF!</v>
      </c>
      <c r="F50" s="136"/>
      <c r="O50" s="758"/>
      <c r="Q50" s="80" t="s">
        <v>97</v>
      </c>
      <c r="R50" s="80"/>
      <c r="S50" s="80"/>
      <c r="T50" s="85" t="s">
        <v>82</v>
      </c>
      <c r="U50" s="80" t="s">
        <v>83</v>
      </c>
      <c r="V50" s="80" t="s">
        <v>84</v>
      </c>
      <c r="W50" s="80" t="s">
        <v>96</v>
      </c>
      <c r="X50" s="80" t="s">
        <v>114</v>
      </c>
      <c r="Y50" s="80" t="s">
        <v>115</v>
      </c>
      <c r="Z50" s="80" t="s">
        <v>93</v>
      </c>
      <c r="AA50" s="80" t="s">
        <v>94</v>
      </c>
      <c r="AB50" s="80" t="s">
        <v>246</v>
      </c>
      <c r="AC50" s="80" t="s">
        <v>247</v>
      </c>
    </row>
    <row r="51" spans="1:38">
      <c r="A51" s="87" t="s">
        <v>58</v>
      </c>
      <c r="B51" s="156" t="e">
        <f>TestSummary!#REF!</f>
        <v>#REF!</v>
      </c>
      <c r="C51" s="264" t="e">
        <f>TestSummary!#REF!</f>
        <v>#REF!</v>
      </c>
      <c r="D51" s="290" t="e">
        <f t="shared" ref="D51:D56" si="14">C51/$D$57</f>
        <v>#REF!</v>
      </c>
      <c r="F51" s="135"/>
      <c r="O51" s="758"/>
      <c r="Q51" s="50" t="s">
        <v>62</v>
      </c>
      <c r="R51" s="90" t="e">
        <f>AVERAGE(W51,W53)</f>
        <v>#DIV/0!</v>
      </c>
      <c r="T51" s="279"/>
      <c r="U51" s="279"/>
      <c r="V51" s="279"/>
      <c r="W51" s="45"/>
      <c r="X51" s="279"/>
      <c r="Y51" s="279"/>
      <c r="Z51" s="279"/>
      <c r="AA51" s="279"/>
      <c r="AB51" s="279"/>
      <c r="AC51" s="279"/>
      <c r="AD51" s="279"/>
      <c r="AE51" s="279"/>
      <c r="AF51" s="279"/>
      <c r="AG51" s="279"/>
      <c r="AH51" s="279"/>
      <c r="AI51" s="279"/>
      <c r="AJ51" s="279"/>
      <c r="AK51" s="279"/>
      <c r="AL51" s="279"/>
    </row>
    <row r="52" spans="1:38" ht="15.6" customHeight="1">
      <c r="A52" s="87" t="s">
        <v>55</v>
      </c>
      <c r="B52" s="156" t="e">
        <f>TestSummary!#REF!</f>
        <v>#REF!</v>
      </c>
      <c r="C52" s="264" t="e">
        <f>TestSummary!#REF!</f>
        <v>#REF!</v>
      </c>
      <c r="D52" s="290" t="e">
        <f t="shared" si="14"/>
        <v>#REF!</v>
      </c>
      <c r="F52" s="135"/>
      <c r="O52" s="758"/>
      <c r="Q52" s="50" t="s">
        <v>63</v>
      </c>
      <c r="R52" s="90" t="e">
        <f>AVERAGE(W52,W55)</f>
        <v>#DIV/0!</v>
      </c>
      <c r="T52" s="279"/>
      <c r="U52" s="279"/>
      <c r="V52" s="279"/>
      <c r="W52" s="45"/>
      <c r="X52" s="279"/>
      <c r="Y52" s="279"/>
      <c r="Z52" s="279"/>
      <c r="AA52" s="279"/>
      <c r="AB52" s="279"/>
      <c r="AC52" s="279"/>
      <c r="AD52" s="279"/>
      <c r="AE52" s="279"/>
      <c r="AF52" s="279"/>
      <c r="AG52" s="279"/>
      <c r="AH52" s="279"/>
      <c r="AI52" s="279"/>
      <c r="AJ52" s="279"/>
      <c r="AK52" s="279"/>
      <c r="AL52" s="279"/>
    </row>
    <row r="53" spans="1:38">
      <c r="A53" s="87" t="s">
        <v>71</v>
      </c>
      <c r="B53" s="156" t="e">
        <f>TestSummary!#REF!</f>
        <v>#REF!</v>
      </c>
      <c r="C53" s="264" t="e">
        <f>TestSummary!#REF!</f>
        <v>#REF!</v>
      </c>
      <c r="D53" s="290" t="e">
        <f t="shared" si="14"/>
        <v>#REF!</v>
      </c>
      <c r="F53" s="136"/>
      <c r="O53" s="758"/>
      <c r="Q53" s="50" t="s">
        <v>64</v>
      </c>
      <c r="R53" s="90">
        <f>W54</f>
        <v>0</v>
      </c>
      <c r="T53" s="279"/>
      <c r="U53" s="279"/>
      <c r="V53" s="279"/>
      <c r="W53" s="45"/>
      <c r="X53" s="279"/>
      <c r="Y53" s="279"/>
      <c r="Z53" s="279"/>
      <c r="AA53" s="279"/>
      <c r="AB53" s="279"/>
      <c r="AC53" s="279"/>
      <c r="AD53" s="279"/>
      <c r="AE53" s="279"/>
      <c r="AF53" s="279"/>
      <c r="AG53" s="279"/>
      <c r="AH53" s="279"/>
      <c r="AI53" s="279"/>
      <c r="AJ53" s="279"/>
      <c r="AK53" s="279"/>
      <c r="AL53" s="279"/>
    </row>
    <row r="54" spans="1:38">
      <c r="A54" s="89" t="s">
        <v>72</v>
      </c>
      <c r="B54" s="156" t="e">
        <f>TestSummary!#REF!</f>
        <v>#REF!</v>
      </c>
      <c r="C54" s="264" t="e">
        <f>TestSummary!#REF!</f>
        <v>#REF!</v>
      </c>
      <c r="D54" s="290" t="e">
        <f t="shared" si="14"/>
        <v>#REF!</v>
      </c>
      <c r="F54" s="136"/>
      <c r="I54" s="262"/>
      <c r="J54" s="262"/>
      <c r="O54" s="758"/>
      <c r="Q54" s="50" t="s">
        <v>65</v>
      </c>
      <c r="R54" s="90">
        <f>W56</f>
        <v>0</v>
      </c>
      <c r="T54" s="279"/>
      <c r="U54" s="279"/>
      <c r="V54" s="279"/>
      <c r="W54" s="45"/>
      <c r="X54" s="279"/>
      <c r="Y54" s="279"/>
      <c r="Z54" s="279"/>
      <c r="AA54" s="279"/>
      <c r="AB54" s="279"/>
      <c r="AC54" s="279"/>
      <c r="AD54" s="279"/>
      <c r="AE54" s="279"/>
      <c r="AF54" s="279"/>
      <c r="AG54" s="279"/>
      <c r="AH54" s="279"/>
      <c r="AI54" s="279"/>
      <c r="AJ54" s="279"/>
      <c r="AK54" s="279"/>
      <c r="AL54" s="279"/>
    </row>
    <row r="55" spans="1:38">
      <c r="A55" s="89" t="s">
        <v>73</v>
      </c>
      <c r="B55" s="156" t="e">
        <f>TestSummary!#REF!</f>
        <v>#REF!</v>
      </c>
      <c r="C55" s="264" t="e">
        <f>TestSummary!#REF!</f>
        <v>#REF!</v>
      </c>
      <c r="D55" s="290" t="e">
        <f t="shared" si="14"/>
        <v>#REF!</v>
      </c>
      <c r="F55" s="136"/>
      <c r="O55" s="758"/>
      <c r="Q55" s="50"/>
      <c r="R55" s="90"/>
      <c r="T55" s="279"/>
      <c r="U55" s="279"/>
      <c r="V55" s="279"/>
      <c r="W55" s="45"/>
      <c r="X55" s="279"/>
      <c r="Y55" s="279"/>
      <c r="Z55" s="279"/>
      <c r="AA55" s="279"/>
      <c r="AB55" s="279"/>
      <c r="AC55" s="279"/>
      <c r="AD55" s="279"/>
      <c r="AE55" s="279"/>
      <c r="AF55" s="279"/>
      <c r="AG55" s="279"/>
      <c r="AH55" s="279"/>
      <c r="AI55" s="279"/>
      <c r="AJ55" s="279"/>
      <c r="AK55" s="279"/>
      <c r="AL55" s="279"/>
    </row>
    <row r="56" spans="1:38">
      <c r="A56" s="89" t="s">
        <v>57</v>
      </c>
      <c r="B56" s="317" t="e">
        <f>TestSummary!#REF!</f>
        <v>#REF!</v>
      </c>
      <c r="C56" s="108" t="e">
        <f>TestSummary!#REF!</f>
        <v>#REF!</v>
      </c>
      <c r="D56" s="290" t="e">
        <f t="shared" si="14"/>
        <v>#REF!</v>
      </c>
      <c r="E56" s="201"/>
      <c r="F56" s="109"/>
      <c r="O56" s="758"/>
      <c r="Q56" s="50"/>
      <c r="R56" s="90"/>
      <c r="T56" s="279"/>
      <c r="U56" s="279"/>
      <c r="V56" s="279"/>
      <c r="W56" s="45"/>
      <c r="X56" s="279"/>
      <c r="Y56" s="279"/>
      <c r="Z56" s="279"/>
      <c r="AA56" s="279"/>
      <c r="AB56" s="279"/>
      <c r="AC56" s="279"/>
      <c r="AD56" s="279"/>
      <c r="AE56" s="279"/>
      <c r="AF56" s="279"/>
      <c r="AG56" s="279"/>
      <c r="AH56" s="279"/>
      <c r="AI56" s="279"/>
      <c r="AJ56" s="279"/>
      <c r="AK56" s="279"/>
      <c r="AL56" s="279"/>
    </row>
    <row r="57" spans="1:38">
      <c r="A57" s="210"/>
      <c r="B57" s="211"/>
      <c r="C57" s="209" t="s">
        <v>388</v>
      </c>
      <c r="D57" s="291" t="e">
        <f>TestSummary!#REF!</f>
        <v>#REF!</v>
      </c>
      <c r="E57" s="110"/>
      <c r="F57" s="134"/>
      <c r="O57" s="758"/>
      <c r="Q57" s="162" t="s">
        <v>386</v>
      </c>
      <c r="R57" s="279">
        <v>61511006</v>
      </c>
      <c r="T57" s="27"/>
      <c r="W57" s="272"/>
    </row>
    <row r="58" spans="1:38" ht="15.75" thickBot="1">
      <c r="A58" s="282" t="s">
        <v>49</v>
      </c>
      <c r="B58" s="283"/>
      <c r="C58" s="283"/>
      <c r="D58" s="293"/>
      <c r="E58" s="110"/>
      <c r="F58" s="136"/>
      <c r="O58" s="758"/>
      <c r="Q58" s="80" t="s">
        <v>98</v>
      </c>
      <c r="R58" s="80"/>
      <c r="S58" s="80"/>
      <c r="T58" s="85" t="s">
        <v>82</v>
      </c>
      <c r="U58" s="80" t="s">
        <v>83</v>
      </c>
      <c r="V58" s="80" t="s">
        <v>84</v>
      </c>
      <c r="W58" s="80" t="s">
        <v>96</v>
      </c>
      <c r="X58" s="80" t="s">
        <v>114</v>
      </c>
      <c r="Y58" s="80" t="s">
        <v>115</v>
      </c>
      <c r="Z58" s="80" t="s">
        <v>93</v>
      </c>
      <c r="AA58" s="80" t="s">
        <v>94</v>
      </c>
      <c r="AB58" s="80" t="s">
        <v>246</v>
      </c>
      <c r="AC58" s="80" t="s">
        <v>247</v>
      </c>
    </row>
    <row r="59" spans="1:38" ht="15.6" customHeight="1">
      <c r="A59" s="207" t="s">
        <v>219</v>
      </c>
      <c r="B59" s="208" t="s">
        <v>0</v>
      </c>
      <c r="C59" s="208" t="s">
        <v>315</v>
      </c>
      <c r="D59" s="228" t="s">
        <v>316</v>
      </c>
      <c r="E59" s="110"/>
      <c r="F59" s="135"/>
      <c r="O59" s="758"/>
      <c r="Q59" s="50" t="s">
        <v>62</v>
      </c>
      <c r="R59" s="90" t="e">
        <f>AVERAGE(W59,W61)</f>
        <v>#DIV/0!</v>
      </c>
      <c r="T59" s="279"/>
      <c r="U59" s="279"/>
      <c r="V59" s="279"/>
      <c r="W59" s="45"/>
      <c r="X59" s="279"/>
      <c r="Y59" s="279"/>
      <c r="Z59" s="279"/>
      <c r="AA59" s="279"/>
      <c r="AB59" s="279"/>
      <c r="AC59" s="279"/>
      <c r="AD59" s="279"/>
      <c r="AE59" s="279"/>
      <c r="AF59" s="279"/>
      <c r="AG59" s="279"/>
      <c r="AH59" s="279"/>
      <c r="AI59" s="279"/>
      <c r="AJ59" s="279"/>
      <c r="AK59" s="279"/>
      <c r="AL59" s="279"/>
    </row>
    <row r="60" spans="1:38" ht="15.6" customHeight="1">
      <c r="A60" s="87" t="s">
        <v>70</v>
      </c>
      <c r="B60" s="156" t="e">
        <f>TestSummary!#REF!</f>
        <v>#REF!</v>
      </c>
      <c r="C60" s="264" t="e">
        <f>TestSummary!#REF!</f>
        <v>#REF!</v>
      </c>
      <c r="D60" s="290" t="e">
        <f t="shared" ref="D60:D65" si="15">C60/$D$66</f>
        <v>#REF!</v>
      </c>
      <c r="F60" s="135"/>
      <c r="I60" s="262"/>
      <c r="J60" s="262"/>
      <c r="O60" s="758"/>
      <c r="Q60" s="50" t="s">
        <v>63</v>
      </c>
      <c r="R60" s="90" t="e">
        <f>AVERAGE(W60,W63)</f>
        <v>#DIV/0!</v>
      </c>
      <c r="T60" s="279"/>
      <c r="U60" s="279"/>
      <c r="V60" s="279"/>
      <c r="W60" s="45"/>
      <c r="X60" s="279"/>
      <c r="Y60" s="279"/>
      <c r="Z60" s="279"/>
      <c r="AA60" s="279"/>
      <c r="AB60" s="279"/>
      <c r="AC60" s="279"/>
      <c r="AD60" s="279"/>
      <c r="AE60" s="279"/>
      <c r="AF60" s="279"/>
      <c r="AG60" s="279"/>
      <c r="AH60" s="279"/>
      <c r="AI60" s="279"/>
      <c r="AJ60" s="279"/>
      <c r="AK60" s="279"/>
      <c r="AL60" s="279"/>
    </row>
    <row r="61" spans="1:38">
      <c r="A61" s="87" t="s">
        <v>58</v>
      </c>
      <c r="B61" s="156" t="e">
        <f>TestSummary!#REF!</f>
        <v>#REF!</v>
      </c>
      <c r="C61" s="264" t="e">
        <f>TestSummary!#REF!</f>
        <v>#REF!</v>
      </c>
      <c r="D61" s="290" t="e">
        <f t="shared" si="15"/>
        <v>#REF!</v>
      </c>
      <c r="F61" s="136"/>
      <c r="O61" s="758"/>
      <c r="Q61" s="50" t="s">
        <v>64</v>
      </c>
      <c r="R61" s="90">
        <f>W62</f>
        <v>0</v>
      </c>
      <c r="T61" s="279"/>
      <c r="U61" s="279"/>
      <c r="V61" s="279"/>
      <c r="W61" s="45"/>
      <c r="X61" s="279"/>
      <c r="Y61" s="279"/>
      <c r="Z61" s="279"/>
      <c r="AA61" s="279"/>
      <c r="AB61" s="279"/>
      <c r="AC61" s="279"/>
      <c r="AD61" s="279"/>
      <c r="AE61" s="279"/>
      <c r="AF61" s="279"/>
      <c r="AG61" s="279"/>
      <c r="AH61" s="279"/>
      <c r="AI61" s="279"/>
      <c r="AJ61" s="279"/>
      <c r="AK61" s="279"/>
      <c r="AL61" s="279"/>
    </row>
    <row r="62" spans="1:38">
      <c r="A62" s="87" t="s">
        <v>55</v>
      </c>
      <c r="B62" s="156" t="e">
        <f>TestSummary!#REF!</f>
        <v>#REF!</v>
      </c>
      <c r="C62" s="264" t="e">
        <f>TestSummary!#REF!</f>
        <v>#REF!</v>
      </c>
      <c r="D62" s="290" t="e">
        <f t="shared" si="15"/>
        <v>#REF!</v>
      </c>
      <c r="F62" s="136"/>
      <c r="O62" s="758"/>
      <c r="Q62" s="50" t="s">
        <v>65</v>
      </c>
      <c r="R62" s="90">
        <f>W64</f>
        <v>0</v>
      </c>
      <c r="T62" s="279"/>
      <c r="U62" s="279"/>
      <c r="V62" s="279"/>
      <c r="W62" s="45"/>
      <c r="X62" s="279"/>
      <c r="Y62" s="279"/>
      <c r="Z62" s="279"/>
      <c r="AA62" s="279"/>
      <c r="AB62" s="279"/>
      <c r="AC62" s="279"/>
      <c r="AD62" s="279"/>
      <c r="AE62" s="279"/>
      <c r="AF62" s="279"/>
      <c r="AG62" s="279"/>
      <c r="AH62" s="279"/>
      <c r="AI62" s="279"/>
      <c r="AJ62" s="279"/>
      <c r="AK62" s="279"/>
      <c r="AL62" s="279"/>
    </row>
    <row r="63" spans="1:38">
      <c r="A63" s="87" t="s">
        <v>71</v>
      </c>
      <c r="B63" s="156" t="e">
        <f>TestSummary!#REF!</f>
        <v>#REF!</v>
      </c>
      <c r="C63" s="264" t="e">
        <f>TestSummary!#REF!</f>
        <v>#REF!</v>
      </c>
      <c r="D63" s="290" t="e">
        <f t="shared" si="15"/>
        <v>#REF!</v>
      </c>
      <c r="F63" s="136"/>
      <c r="O63" s="758"/>
      <c r="T63" s="279"/>
      <c r="U63" s="279"/>
      <c r="V63" s="279"/>
      <c r="W63" s="45"/>
      <c r="X63" s="279"/>
      <c r="Y63" s="279"/>
      <c r="Z63" s="279"/>
      <c r="AA63" s="279"/>
      <c r="AB63" s="279"/>
      <c r="AC63" s="279"/>
      <c r="AD63" s="279"/>
      <c r="AE63" s="279"/>
      <c r="AF63" s="279"/>
      <c r="AG63" s="279"/>
      <c r="AH63" s="279"/>
      <c r="AI63" s="279"/>
      <c r="AJ63" s="279"/>
      <c r="AK63" s="279"/>
      <c r="AL63" s="279"/>
    </row>
    <row r="64" spans="1:38">
      <c r="A64" s="89" t="s">
        <v>72</v>
      </c>
      <c r="B64" s="156" t="e">
        <f>TestSummary!#REF!</f>
        <v>#REF!</v>
      </c>
      <c r="C64" s="264" t="e">
        <f>TestSummary!#REF!</f>
        <v>#REF!</v>
      </c>
      <c r="D64" s="290" t="e">
        <f t="shared" si="15"/>
        <v>#REF!</v>
      </c>
      <c r="O64" s="758"/>
      <c r="T64" s="279"/>
      <c r="U64" s="279"/>
      <c r="V64" s="279"/>
      <c r="W64" s="45"/>
      <c r="X64" s="279"/>
      <c r="Y64" s="279"/>
      <c r="Z64" s="279"/>
      <c r="AA64" s="279"/>
      <c r="AB64" s="279"/>
      <c r="AC64" s="279"/>
      <c r="AD64" s="279"/>
      <c r="AE64" s="279"/>
      <c r="AF64" s="279"/>
      <c r="AG64" s="279"/>
      <c r="AH64" s="279"/>
      <c r="AI64" s="279"/>
      <c r="AJ64" s="279"/>
      <c r="AK64" s="279"/>
      <c r="AL64" s="279"/>
    </row>
    <row r="65" spans="1:23">
      <c r="A65" s="89" t="s">
        <v>73</v>
      </c>
      <c r="B65" s="156" t="e">
        <f>TestSummary!#REF!</f>
        <v>#REF!</v>
      </c>
      <c r="C65" s="264" t="e">
        <f>TestSummary!#REF!</f>
        <v>#REF!</v>
      </c>
      <c r="D65" s="290" t="e">
        <f t="shared" si="15"/>
        <v>#REF!</v>
      </c>
      <c r="O65" s="758"/>
      <c r="W65" s="272"/>
    </row>
    <row r="66" spans="1:23" ht="15.75" thickBot="1">
      <c r="A66" s="294"/>
      <c r="B66" s="754" t="s">
        <v>388</v>
      </c>
      <c r="C66" s="754"/>
      <c r="D66" s="295" t="e">
        <f>TestSummary!#REF!</f>
        <v>#REF!</v>
      </c>
      <c r="O66" s="758"/>
    </row>
    <row r="67" spans="1:23">
      <c r="A67" s="344" t="s">
        <v>411</v>
      </c>
      <c r="B67" s="345"/>
      <c r="C67" s="345"/>
      <c r="D67" s="346"/>
      <c r="I67" s="755" t="s">
        <v>412</v>
      </c>
      <c r="J67" s="756"/>
      <c r="K67" s="757"/>
      <c r="O67" s="758"/>
    </row>
    <row r="68" spans="1:23">
      <c r="A68" s="207" t="s">
        <v>219</v>
      </c>
      <c r="B68" s="208" t="s">
        <v>0</v>
      </c>
      <c r="C68" s="208" t="s">
        <v>315</v>
      </c>
      <c r="D68" s="228" t="s">
        <v>316</v>
      </c>
      <c r="I68" s="353" t="s">
        <v>413</v>
      </c>
      <c r="J68" s="144" t="s">
        <v>49</v>
      </c>
      <c r="K68" s="354" t="s">
        <v>411</v>
      </c>
    </row>
    <row r="69" spans="1:23">
      <c r="A69" s="87" t="s">
        <v>70</v>
      </c>
      <c r="B69" s="156" t="e">
        <f>TestSummary!#REF!</f>
        <v>#REF!</v>
      </c>
      <c r="C69" s="264" t="e">
        <f>TestSummary!#REF!</f>
        <v>#REF!</v>
      </c>
      <c r="D69" s="290" t="e">
        <f t="shared" ref="D69:D74" si="16">C69/$D$66</f>
        <v>#REF!</v>
      </c>
      <c r="I69" s="347" t="e">
        <f t="shared" ref="I69:I74" si="17">(D50-D41)/D41</f>
        <v>#REF!</v>
      </c>
      <c r="J69" s="348" t="e">
        <f t="shared" ref="J69:J74" si="18">(D60-D41)/D41</f>
        <v>#REF!</v>
      </c>
      <c r="K69" s="349" t="e">
        <f t="shared" ref="K69:K74" si="19">(D69-D41)/D41</f>
        <v>#REF!</v>
      </c>
    </row>
    <row r="70" spans="1:23">
      <c r="A70" s="87" t="s">
        <v>58</v>
      </c>
      <c r="B70" s="156" t="e">
        <f>TestSummary!#REF!</f>
        <v>#REF!</v>
      </c>
      <c r="C70" s="264" t="e">
        <f>TestSummary!#REF!</f>
        <v>#REF!</v>
      </c>
      <c r="D70" s="290" t="e">
        <f t="shared" si="16"/>
        <v>#REF!</v>
      </c>
      <c r="I70" s="347" t="e">
        <f t="shared" si="17"/>
        <v>#REF!</v>
      </c>
      <c r="J70" s="348" t="e">
        <f t="shared" si="18"/>
        <v>#REF!</v>
      </c>
      <c r="K70" s="349" t="e">
        <f t="shared" si="19"/>
        <v>#REF!</v>
      </c>
    </row>
    <row r="71" spans="1:23">
      <c r="A71" s="87" t="s">
        <v>55</v>
      </c>
      <c r="B71" s="156" t="e">
        <f>TestSummary!#REF!</f>
        <v>#REF!</v>
      </c>
      <c r="C71" s="264" t="e">
        <f>TestSummary!#REF!</f>
        <v>#REF!</v>
      </c>
      <c r="D71" s="290" t="e">
        <f t="shared" si="16"/>
        <v>#REF!</v>
      </c>
      <c r="I71" s="347" t="e">
        <f t="shared" si="17"/>
        <v>#REF!</v>
      </c>
      <c r="J71" s="348" t="e">
        <f t="shared" si="18"/>
        <v>#REF!</v>
      </c>
      <c r="K71" s="349" t="e">
        <f t="shared" si="19"/>
        <v>#REF!</v>
      </c>
    </row>
    <row r="72" spans="1:23">
      <c r="A72" s="87" t="s">
        <v>71</v>
      </c>
      <c r="B72" s="156" t="e">
        <f>TestSummary!#REF!</f>
        <v>#REF!</v>
      </c>
      <c r="C72" s="264" t="e">
        <f>TestSummary!#REF!</f>
        <v>#REF!</v>
      </c>
      <c r="D72" s="290" t="e">
        <f t="shared" si="16"/>
        <v>#REF!</v>
      </c>
      <c r="I72" s="347" t="e">
        <f t="shared" si="17"/>
        <v>#REF!</v>
      </c>
      <c r="J72" s="348" t="e">
        <f t="shared" si="18"/>
        <v>#REF!</v>
      </c>
      <c r="K72" s="349" t="e">
        <f t="shared" si="19"/>
        <v>#REF!</v>
      </c>
    </row>
    <row r="73" spans="1:23">
      <c r="A73" s="89" t="s">
        <v>72</v>
      </c>
      <c r="B73" s="156" t="e">
        <f>TestSummary!#REF!</f>
        <v>#REF!</v>
      </c>
      <c r="C73" s="264" t="e">
        <f>TestSummary!#REF!</f>
        <v>#REF!</v>
      </c>
      <c r="D73" s="290" t="e">
        <f t="shared" si="16"/>
        <v>#REF!</v>
      </c>
      <c r="I73" s="347" t="e">
        <f t="shared" si="17"/>
        <v>#REF!</v>
      </c>
      <c r="J73" s="348" t="e">
        <f t="shared" si="18"/>
        <v>#REF!</v>
      </c>
      <c r="K73" s="349" t="e">
        <f t="shared" si="19"/>
        <v>#REF!</v>
      </c>
    </row>
    <row r="74" spans="1:23" ht="15.75" thickBot="1">
      <c r="A74" s="89" t="s">
        <v>73</v>
      </c>
      <c r="B74" s="156" t="e">
        <f>TestSummary!#REF!</f>
        <v>#REF!</v>
      </c>
      <c r="C74" s="264" t="e">
        <f>TestSummary!#REF!</f>
        <v>#REF!</v>
      </c>
      <c r="D74" s="290" t="e">
        <f t="shared" si="16"/>
        <v>#REF!</v>
      </c>
      <c r="I74" s="350" t="e">
        <f t="shared" si="17"/>
        <v>#REF!</v>
      </c>
      <c r="J74" s="351" t="e">
        <f t="shared" si="18"/>
        <v>#REF!</v>
      </c>
      <c r="K74" s="352" t="e">
        <f t="shared" si="19"/>
        <v>#REF!</v>
      </c>
    </row>
    <row r="75" spans="1:23" ht="15.75" thickBot="1">
      <c r="A75" s="294"/>
      <c r="B75" s="754" t="s">
        <v>388</v>
      </c>
      <c r="C75" s="754"/>
      <c r="D75" s="295" t="e">
        <f>TestSummary!#REF!</f>
        <v>#REF!</v>
      </c>
    </row>
  </sheetData>
  <mergeCells count="13">
    <mergeCell ref="B75:C75"/>
    <mergeCell ref="I67:K67"/>
    <mergeCell ref="O1:O67"/>
    <mergeCell ref="A2:C2"/>
    <mergeCell ref="B3:C3"/>
    <mergeCell ref="B4:C4"/>
    <mergeCell ref="B14:C14"/>
    <mergeCell ref="D14:E14"/>
    <mergeCell ref="B26:D26"/>
    <mergeCell ref="A33:D33"/>
    <mergeCell ref="A34:B34"/>
    <mergeCell ref="A35:B35"/>
    <mergeCell ref="B66:C66"/>
  </mergeCells>
  <conditionalFormatting sqref="AN36">
    <cfRule type="colorScale" priority="10">
      <colorScale>
        <cfvo type="min"/>
        <cfvo type="percentile" val="50"/>
        <cfvo type="max"/>
        <color rgb="FFF8696B"/>
        <color rgb="FFFFEB84"/>
        <color rgb="FF63BE7B"/>
      </colorScale>
    </cfRule>
  </conditionalFormatting>
  <conditionalFormatting sqref="AB6">
    <cfRule type="colorScale" priority="9">
      <colorScale>
        <cfvo type="min"/>
        <cfvo type="percentile" val="50"/>
        <cfvo type="max"/>
        <color rgb="FF63BE7B"/>
        <color rgb="FFFFEB84"/>
        <color rgb="FFF8696B"/>
      </colorScale>
    </cfRule>
  </conditionalFormatting>
  <conditionalFormatting sqref="AB6">
    <cfRule type="colorScale" priority="8">
      <colorScale>
        <cfvo type="min"/>
        <cfvo type="percentile" val="50"/>
        <cfvo type="max"/>
        <color rgb="FFF8696B"/>
        <color rgb="FFFFEB84"/>
        <color rgb="FF63BE7B"/>
      </colorScale>
    </cfRule>
  </conditionalFormatting>
  <conditionalFormatting sqref="AB24:AB38">
    <cfRule type="colorScale" priority="6">
      <colorScale>
        <cfvo type="min"/>
        <cfvo type="percentile" val="50"/>
        <cfvo type="max"/>
        <color rgb="FF63BE7B"/>
        <color rgb="FFFFEB84"/>
        <color rgb="FFF8696B"/>
      </colorScale>
    </cfRule>
  </conditionalFormatting>
  <conditionalFormatting sqref="AB26">
    <cfRule type="colorScale" priority="5">
      <colorScale>
        <cfvo type="min"/>
        <cfvo type="percentile" val="50"/>
        <cfvo type="max"/>
        <color rgb="FF63BE7B"/>
        <color rgb="FFFFEB84"/>
        <color rgb="FFF8696B"/>
      </colorScale>
    </cfRule>
  </conditionalFormatting>
  <conditionalFormatting sqref="AB26">
    <cfRule type="colorScale" priority="4">
      <colorScale>
        <cfvo type="min"/>
        <cfvo type="percentile" val="50"/>
        <cfvo type="max"/>
        <color rgb="FFF8696B"/>
        <color rgb="FFFFEB84"/>
        <color rgb="FF63BE7B"/>
      </colorScale>
    </cfRule>
  </conditionalFormatting>
  <conditionalFormatting sqref="AB29">
    <cfRule type="colorScale" priority="3">
      <colorScale>
        <cfvo type="min"/>
        <cfvo type="percentile" val="50"/>
        <cfvo type="max"/>
        <color rgb="FF63BE7B"/>
        <color rgb="FFFFEB84"/>
        <color rgb="FFF8696B"/>
      </colorScale>
    </cfRule>
  </conditionalFormatting>
  <conditionalFormatting sqref="AB29">
    <cfRule type="colorScale" priority="2">
      <colorScale>
        <cfvo type="min"/>
        <cfvo type="percentile" val="50"/>
        <cfvo type="max"/>
        <color rgb="FFF8696B"/>
        <color rgb="FFFFEB84"/>
        <color rgb="FF63BE7B"/>
      </colorScale>
    </cfRule>
  </conditionalFormatting>
  <conditionalFormatting sqref="AB24:AB38">
    <cfRule type="colorScale" priority="1">
      <colorScale>
        <cfvo type="min"/>
        <cfvo type="percentile" val="50"/>
        <cfvo type="max"/>
        <color rgb="FF63BE7B"/>
        <color rgb="FFFFEB84"/>
        <color rgb="FFF8696B"/>
      </colorScale>
    </cfRule>
  </conditionalFormatting>
  <conditionalFormatting sqref="AB24:AB38">
    <cfRule type="colorScale" priority="7">
      <colorScale>
        <cfvo type="min"/>
        <cfvo type="percentile" val="50"/>
        <cfvo type="max"/>
        <color rgb="FFF8696B"/>
        <color rgb="FFFFEB84"/>
        <color rgb="FF63BE7B"/>
      </colorScale>
    </cfRule>
  </conditionalFormatting>
  <conditionalFormatting sqref="AB4:AB18">
    <cfRule type="colorScale" priority="11">
      <colorScale>
        <cfvo type="min"/>
        <cfvo type="percentile" val="50"/>
        <cfvo type="max"/>
        <color rgb="FF63BE7B"/>
        <color rgb="FFFFEB84"/>
        <color rgb="FFF8696B"/>
      </colorScale>
    </cfRule>
  </conditionalFormatting>
  <conditionalFormatting sqref="AB9">
    <cfRule type="colorScale" priority="12">
      <colorScale>
        <cfvo type="min"/>
        <cfvo type="percentile" val="50"/>
        <cfvo type="max"/>
        <color rgb="FF63BE7B"/>
        <color rgb="FFFFEB84"/>
        <color rgb="FFF8696B"/>
      </colorScale>
    </cfRule>
  </conditionalFormatting>
  <conditionalFormatting sqref="AB9">
    <cfRule type="colorScale" priority="13">
      <colorScale>
        <cfvo type="min"/>
        <cfvo type="percentile" val="50"/>
        <cfvo type="max"/>
        <color rgb="FFF8696B"/>
        <color rgb="FFFFEB84"/>
        <color rgb="FF63BE7B"/>
      </colorScale>
    </cfRule>
  </conditionalFormatting>
  <conditionalFormatting sqref="AB4:AB18">
    <cfRule type="colorScale" priority="14">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B1:V33"/>
  <sheetViews>
    <sheetView workbookViewId="0">
      <selection activeCell="K23" sqref="K23"/>
    </sheetView>
  </sheetViews>
  <sheetFormatPr defaultColWidth="9.140625" defaultRowHeight="15"/>
  <cols>
    <col min="1" max="6" width="9.140625" style="37"/>
    <col min="7" max="7" width="16" style="37" customWidth="1"/>
    <col min="8" max="8" width="13" style="37" customWidth="1"/>
    <col min="9" max="9" width="16.5703125" style="37" bestFit="1" customWidth="1"/>
    <col min="10" max="10" width="10.5703125" style="37" customWidth="1"/>
    <col min="11" max="14" width="9.140625" style="37"/>
    <col min="15" max="15" width="11" style="37" customWidth="1"/>
    <col min="16" max="16384" width="9.140625" style="37"/>
  </cols>
  <sheetData>
    <row r="1" spans="3:22">
      <c r="J1" s="113"/>
    </row>
    <row r="2" spans="3:22" ht="15.75" thickBot="1">
      <c r="L2" s="752" t="s">
        <v>228</v>
      </c>
      <c r="M2" s="752"/>
      <c r="N2" s="752"/>
      <c r="O2" s="752"/>
      <c r="P2" s="752"/>
      <c r="Q2" s="752"/>
      <c r="R2" s="752"/>
    </row>
    <row r="3" spans="3:22">
      <c r="C3" s="122"/>
      <c r="D3" s="13"/>
      <c r="E3" s="13"/>
      <c r="F3" s="13"/>
      <c r="G3" s="13"/>
      <c r="H3" s="123" t="s">
        <v>227</v>
      </c>
      <c r="I3" s="123"/>
      <c r="J3" s="124"/>
      <c r="L3" s="122"/>
      <c r="M3" s="13"/>
      <c r="N3" s="13"/>
      <c r="O3" s="13"/>
      <c r="P3" s="13"/>
      <c r="Q3" s="123" t="s">
        <v>227</v>
      </c>
      <c r="R3" s="123"/>
      <c r="S3" s="132"/>
    </row>
    <row r="4" spans="3:22">
      <c r="C4" s="125" t="s">
        <v>229</v>
      </c>
      <c r="D4" s="126">
        <v>78100</v>
      </c>
      <c r="E4" s="1" t="s">
        <v>230</v>
      </c>
      <c r="F4" s="1"/>
      <c r="G4" s="1" t="s">
        <v>231</v>
      </c>
      <c r="H4" s="126">
        <v>1510</v>
      </c>
      <c r="I4" s="127" t="s">
        <v>232</v>
      </c>
      <c r="J4" s="128"/>
      <c r="L4" s="125" t="s">
        <v>229</v>
      </c>
      <c r="M4" s="126"/>
      <c r="N4" s="1" t="s">
        <v>230</v>
      </c>
      <c r="O4" s="1"/>
      <c r="P4" s="1" t="s">
        <v>231</v>
      </c>
      <c r="Q4" s="126"/>
      <c r="R4" s="127" t="s">
        <v>232</v>
      </c>
      <c r="S4" s="128"/>
    </row>
    <row r="5" spans="3:22">
      <c r="C5" s="125" t="s">
        <v>229</v>
      </c>
      <c r="D5" s="338">
        <f>D4*0.95</f>
        <v>74195</v>
      </c>
      <c r="E5" s="1" t="s">
        <v>233</v>
      </c>
      <c r="F5" s="1"/>
      <c r="G5" s="1" t="s">
        <v>234</v>
      </c>
      <c r="H5" s="126">
        <v>1369</v>
      </c>
      <c r="I5" s="127" t="s">
        <v>232</v>
      </c>
      <c r="J5" s="128"/>
      <c r="L5" s="125" t="s">
        <v>229</v>
      </c>
      <c r="M5" s="338">
        <f>M4*0.95</f>
        <v>0</v>
      </c>
      <c r="N5" s="1" t="s">
        <v>233</v>
      </c>
      <c r="O5" s="1"/>
      <c r="P5" s="1" t="s">
        <v>236</v>
      </c>
      <c r="Q5" s="126"/>
      <c r="R5" s="127" t="s">
        <v>232</v>
      </c>
      <c r="S5" s="128"/>
    </row>
    <row r="6" spans="3:22">
      <c r="C6" s="14"/>
      <c r="D6" s="1"/>
      <c r="E6" s="1"/>
      <c r="F6" s="1"/>
      <c r="G6" s="1" t="s">
        <v>235</v>
      </c>
      <c r="H6" s="126">
        <v>1956</v>
      </c>
      <c r="I6" s="127" t="s">
        <v>232</v>
      </c>
      <c r="J6" s="128"/>
      <c r="L6" s="14"/>
      <c r="M6" s="1"/>
      <c r="N6" s="1"/>
      <c r="O6" s="1"/>
      <c r="P6" s="1" t="s">
        <v>239</v>
      </c>
      <c r="Q6" s="126"/>
      <c r="R6" s="127" t="s">
        <v>232</v>
      </c>
      <c r="S6" s="128"/>
    </row>
    <row r="7" spans="3:22">
      <c r="C7" s="125" t="s">
        <v>229</v>
      </c>
      <c r="D7" s="126">
        <v>225</v>
      </c>
      <c r="E7" s="1" t="s">
        <v>237</v>
      </c>
      <c r="F7" s="1"/>
      <c r="G7" s="1" t="s">
        <v>238</v>
      </c>
      <c r="H7" s="126">
        <v>2031</v>
      </c>
      <c r="I7" s="127" t="s">
        <v>232</v>
      </c>
      <c r="J7" s="128"/>
      <c r="L7" s="125" t="s">
        <v>229</v>
      </c>
      <c r="M7" s="126"/>
      <c r="N7" s="1" t="s">
        <v>237</v>
      </c>
      <c r="O7" s="1"/>
      <c r="P7" s="1" t="s">
        <v>240</v>
      </c>
      <c r="Q7" s="126"/>
      <c r="R7" s="127" t="s">
        <v>232</v>
      </c>
      <c r="S7" s="128"/>
    </row>
    <row r="8" spans="3:22">
      <c r="C8" s="14"/>
      <c r="D8" s="1"/>
      <c r="E8" s="1"/>
      <c r="F8" s="1"/>
      <c r="G8" s="1"/>
      <c r="H8" s="1"/>
      <c r="I8" s="1"/>
      <c r="J8" s="128"/>
      <c r="L8" s="125"/>
      <c r="M8" s="126"/>
      <c r="N8" s="1"/>
      <c r="O8" s="1"/>
      <c r="P8" s="44" t="s">
        <v>242</v>
      </c>
      <c r="Q8" s="126"/>
      <c r="R8" s="127"/>
      <c r="S8" s="128"/>
    </row>
    <row r="9" spans="3:22" ht="15.75" thickBot="1">
      <c r="C9" s="341">
        <v>245</v>
      </c>
      <c r="D9" s="314"/>
      <c r="E9" s="1"/>
      <c r="F9" s="1"/>
      <c r="G9" s="129" t="s">
        <v>377</v>
      </c>
      <c r="H9" s="130">
        <f>(H5*2+H6+H7)*2</f>
        <v>13450</v>
      </c>
      <c r="I9" s="333">
        <f>6404*2</f>
        <v>12808</v>
      </c>
      <c r="J9" s="128"/>
      <c r="L9" s="14"/>
      <c r="M9" s="1"/>
      <c r="N9" s="1"/>
      <c r="O9" s="1"/>
      <c r="P9" s="1"/>
      <c r="Q9" s="1"/>
      <c r="R9" s="1"/>
      <c r="S9" s="128"/>
    </row>
    <row r="10" spans="3:22">
      <c r="C10" s="316" t="s">
        <v>380</v>
      </c>
      <c r="D10" s="315">
        <v>350</v>
      </c>
      <c r="E10" s="1"/>
      <c r="F10" s="1"/>
      <c r="G10" s="1"/>
      <c r="H10" s="1"/>
      <c r="I10" s="1"/>
      <c r="J10" s="128"/>
      <c r="L10" s="14"/>
      <c r="M10" s="1"/>
      <c r="N10" s="1"/>
      <c r="O10" s="1"/>
      <c r="P10" s="129" t="s">
        <v>241</v>
      </c>
      <c r="Q10" s="130">
        <f>SUM(Q4:Q8)*2</f>
        <v>0</v>
      </c>
      <c r="R10" s="1"/>
      <c r="S10" s="128"/>
      <c r="V10" s="37" t="s">
        <v>621</v>
      </c>
    </row>
    <row r="11" spans="3:22">
      <c r="C11" s="14" t="s">
        <v>409</v>
      </c>
      <c r="D11" s="1">
        <v>280</v>
      </c>
      <c r="E11" s="1"/>
      <c r="F11" s="1"/>
      <c r="G11" s="129" t="s">
        <v>243</v>
      </c>
      <c r="H11" s="313">
        <f>D5-H9-D5*0.05</f>
        <v>57035.25</v>
      </c>
      <c r="I11" s="1" t="s">
        <v>379</v>
      </c>
      <c r="J11" s="128"/>
      <c r="L11" s="14"/>
      <c r="M11" s="1"/>
      <c r="N11" s="1"/>
      <c r="O11" s="1"/>
      <c r="P11" s="1"/>
      <c r="Q11" s="1"/>
      <c r="R11" s="1"/>
      <c r="S11" s="128"/>
    </row>
    <row r="12" spans="3:22">
      <c r="C12" s="14"/>
      <c r="D12" s="1"/>
      <c r="E12" s="1"/>
      <c r="F12" s="1"/>
      <c r="G12" s="1"/>
      <c r="H12" s="1"/>
      <c r="I12" s="1"/>
      <c r="J12" s="128"/>
      <c r="L12" s="14"/>
      <c r="M12" s="1"/>
      <c r="N12" s="1"/>
      <c r="O12" s="1"/>
      <c r="P12" s="129" t="s">
        <v>243</v>
      </c>
      <c r="Q12" s="130">
        <f>M5-Q10-M5*0.1</f>
        <v>0</v>
      </c>
      <c r="R12" s="1" t="s">
        <v>244</v>
      </c>
      <c r="S12" s="128"/>
    </row>
    <row r="13" spans="3:22">
      <c r="C13" s="14"/>
      <c r="D13" s="1"/>
      <c r="E13" s="1"/>
      <c r="F13" s="1"/>
      <c r="G13" s="129" t="s">
        <v>362</v>
      </c>
      <c r="H13" s="312">
        <f>H11/D7</f>
        <v>253.49</v>
      </c>
      <c r="I13" s="1" t="s">
        <v>269</v>
      </c>
      <c r="J13" s="128"/>
      <c r="L13" s="14"/>
      <c r="M13" s="1"/>
      <c r="N13" s="1"/>
      <c r="O13" s="1"/>
      <c r="P13" s="1"/>
      <c r="Q13" s="1"/>
      <c r="R13" s="1"/>
      <c r="S13" s="128"/>
    </row>
    <row r="14" spans="3:22" s="141" customFormat="1">
      <c r="C14" s="14"/>
      <c r="D14" s="1"/>
      <c r="E14" s="1"/>
      <c r="F14" s="1"/>
      <c r="G14" s="129" t="s">
        <v>358</v>
      </c>
      <c r="H14" s="142">
        <f>H13/65*3600</f>
        <v>14039.446153846155</v>
      </c>
      <c r="I14" s="1" t="s">
        <v>270</v>
      </c>
      <c r="J14" s="128"/>
      <c r="L14" s="14"/>
      <c r="M14" s="1"/>
      <c r="N14" s="1"/>
      <c r="O14" s="1"/>
      <c r="P14" s="129" t="s">
        <v>245</v>
      </c>
      <c r="Q14" s="150" t="e">
        <f>Q12/M7</f>
        <v>#DIV/0!</v>
      </c>
      <c r="R14" s="1"/>
      <c r="S14" s="128"/>
    </row>
    <row r="15" spans="3:22" s="141" customFormat="1">
      <c r="C15" s="14"/>
      <c r="D15" s="1"/>
      <c r="E15" s="1"/>
      <c r="F15" s="1"/>
      <c r="G15" s="129" t="s">
        <v>359</v>
      </c>
      <c r="H15" s="311">
        <f>H14+25</f>
        <v>14064.446153846155</v>
      </c>
      <c r="I15" s="44" t="s">
        <v>270</v>
      </c>
      <c r="J15" s="128"/>
      <c r="L15" s="14"/>
      <c r="M15" s="1"/>
      <c r="N15" s="1"/>
      <c r="O15" s="1"/>
      <c r="P15" s="1"/>
      <c r="Q15" s="1"/>
      <c r="R15" s="1"/>
      <c r="S15" s="128"/>
    </row>
    <row r="16" spans="3:22" ht="15.75" thickBot="1">
      <c r="C16" s="16"/>
      <c r="D16" s="17"/>
      <c r="E16" s="17"/>
      <c r="F16" s="778" t="s">
        <v>371</v>
      </c>
      <c r="G16" s="778"/>
      <c r="H16" s="778"/>
      <c r="I16" s="778"/>
      <c r="J16" s="779"/>
      <c r="L16" s="16"/>
      <c r="M16" s="17"/>
      <c r="N16" s="17"/>
      <c r="O16" s="17"/>
      <c r="P16" s="133"/>
      <c r="Q16" s="133"/>
      <c r="R16" s="17"/>
      <c r="S16" s="131"/>
    </row>
    <row r="17" spans="2:19" s="141" customFormat="1">
      <c r="C17" s="1"/>
      <c r="D17" s="1"/>
      <c r="E17" s="1"/>
      <c r="F17" s="1"/>
      <c r="G17" s="1"/>
      <c r="H17" s="1"/>
      <c r="I17" s="1"/>
      <c r="J17" s="1"/>
      <c r="L17" s="1"/>
      <c r="M17" s="1"/>
      <c r="N17" s="1"/>
      <c r="O17" s="1"/>
      <c r="P17" s="129"/>
      <c r="Q17" s="129"/>
      <c r="R17" s="1"/>
      <c r="S17" s="1"/>
    </row>
    <row r="18" spans="2:19" s="141" customFormat="1">
      <c r="C18" s="1"/>
      <c r="D18" s="777" t="s">
        <v>277</v>
      </c>
      <c r="E18" s="777"/>
      <c r="F18" s="777"/>
      <c r="G18" s="777"/>
      <c r="H18" s="777"/>
      <c r="I18" s="777"/>
      <c r="J18" s="1"/>
      <c r="L18" s="1"/>
      <c r="M18" s="1"/>
      <c r="N18" s="1"/>
      <c r="O18" s="1"/>
      <c r="P18" s="129"/>
      <c r="Q18" s="129"/>
      <c r="R18" s="1"/>
      <c r="S18" s="1"/>
    </row>
    <row r="19" spans="2:19" s="141" customFormat="1">
      <c r="C19" s="1"/>
      <c r="D19" s="144" t="s">
        <v>271</v>
      </c>
      <c r="E19" s="144" t="s">
        <v>273</v>
      </c>
      <c r="F19" s="144" t="s">
        <v>378</v>
      </c>
      <c r="G19" s="144" t="s">
        <v>274</v>
      </c>
      <c r="H19" s="149" t="s">
        <v>275</v>
      </c>
      <c r="I19" s="149" t="s">
        <v>276</v>
      </c>
      <c r="J19" s="1"/>
      <c r="L19" s="1"/>
      <c r="M19" s="1"/>
      <c r="N19" s="1"/>
      <c r="O19" s="1"/>
      <c r="P19" s="129"/>
      <c r="Q19" s="129"/>
      <c r="R19" s="129"/>
      <c r="S19" s="1"/>
    </row>
    <row r="20" spans="2:19" s="141" customFormat="1">
      <c r="B20" s="776" t="s">
        <v>272</v>
      </c>
      <c r="C20" s="147" t="s">
        <v>360</v>
      </c>
      <c r="D20" s="143">
        <f>ROUND(H15,0)</f>
        <v>14064</v>
      </c>
      <c r="E20" s="141">
        <v>65</v>
      </c>
      <c r="F20" s="141">
        <v>0</v>
      </c>
      <c r="G20" s="141">
        <v>1</v>
      </c>
      <c r="H20" s="141">
        <v>0</v>
      </c>
      <c r="J20" s="146"/>
      <c r="L20" s="221"/>
      <c r="M20" s="221"/>
      <c r="N20" s="221"/>
      <c r="O20" s="221"/>
      <c r="P20" s="221"/>
      <c r="Q20" s="221"/>
      <c r="R20" s="221"/>
      <c r="S20" s="1"/>
    </row>
    <row r="21" spans="2:19">
      <c r="B21" s="776"/>
      <c r="C21" s="148">
        <v>20</v>
      </c>
      <c r="D21" s="143">
        <f>C21+D20</f>
        <v>14084</v>
      </c>
      <c r="E21" s="141">
        <v>0</v>
      </c>
      <c r="F21" s="141">
        <v>0</v>
      </c>
      <c r="G21" s="141">
        <v>1</v>
      </c>
      <c r="H21" s="141">
        <v>0</v>
      </c>
      <c r="I21" s="141"/>
      <c r="J21" s="146"/>
      <c r="L21" s="221">
        <v>610</v>
      </c>
      <c r="M21" s="221">
        <v>65</v>
      </c>
      <c r="N21" s="221">
        <v>0</v>
      </c>
      <c r="O21" s="221">
        <v>1</v>
      </c>
      <c r="P21" s="221">
        <v>0</v>
      </c>
      <c r="Q21" s="221"/>
      <c r="R21" s="221"/>
    </row>
    <row r="22" spans="2:19">
      <c r="B22" s="776"/>
      <c r="C22" s="148">
        <v>4</v>
      </c>
      <c r="D22" s="143">
        <f t="shared" ref="D22:D28" si="0">C22+D21</f>
        <v>14088</v>
      </c>
      <c r="E22" s="141">
        <v>0</v>
      </c>
      <c r="F22" s="141">
        <v>0</v>
      </c>
      <c r="G22" s="141">
        <v>1</v>
      </c>
      <c r="H22" s="141">
        <v>0</v>
      </c>
      <c r="I22" s="141"/>
      <c r="J22" s="146"/>
      <c r="L22" s="221">
        <v>630</v>
      </c>
      <c r="M22" s="221">
        <v>0</v>
      </c>
      <c r="N22" s="221">
        <v>0</v>
      </c>
      <c r="O22" s="221">
        <v>1</v>
      </c>
      <c r="P22" s="221">
        <v>0</v>
      </c>
      <c r="Q22" s="221"/>
      <c r="R22" s="221"/>
    </row>
    <row r="23" spans="2:19">
      <c r="B23" s="776"/>
      <c r="C23" s="148">
        <v>1</v>
      </c>
      <c r="D23" s="143">
        <f t="shared" si="0"/>
        <v>14089</v>
      </c>
      <c r="E23" s="141">
        <v>0</v>
      </c>
      <c r="F23" s="141">
        <v>0</v>
      </c>
      <c r="G23" s="141">
        <v>0</v>
      </c>
      <c r="H23" s="141">
        <v>0</v>
      </c>
      <c r="I23" s="141"/>
      <c r="J23" s="146"/>
      <c r="L23" s="221">
        <v>634</v>
      </c>
      <c r="M23" s="221">
        <v>0</v>
      </c>
      <c r="N23" s="221">
        <v>0</v>
      </c>
      <c r="O23" s="221">
        <v>1</v>
      </c>
      <c r="P23" s="221">
        <v>0</v>
      </c>
      <c r="Q23" s="221"/>
      <c r="R23" s="221"/>
    </row>
    <row r="24" spans="2:19">
      <c r="B24" s="776"/>
      <c r="C24" s="148">
        <v>1</v>
      </c>
      <c r="D24" s="143">
        <f t="shared" si="0"/>
        <v>14090</v>
      </c>
      <c r="E24" s="141">
        <v>0</v>
      </c>
      <c r="F24" s="141">
        <v>0</v>
      </c>
      <c r="G24" s="44">
        <v>0</v>
      </c>
      <c r="H24" s="141">
        <v>0</v>
      </c>
      <c r="I24" s="141"/>
      <c r="J24" s="146"/>
      <c r="L24" s="221">
        <v>635</v>
      </c>
      <c r="M24" s="221">
        <v>0</v>
      </c>
      <c r="N24" s="221">
        <v>0</v>
      </c>
      <c r="O24" s="221">
        <v>0</v>
      </c>
      <c r="P24" s="221">
        <v>0</v>
      </c>
      <c r="Q24" s="221"/>
      <c r="R24" s="221"/>
    </row>
    <row r="25" spans="2:19">
      <c r="B25" s="776"/>
      <c r="C25" s="148">
        <v>1</v>
      </c>
      <c r="D25" s="143">
        <f t="shared" si="0"/>
        <v>14091</v>
      </c>
      <c r="E25" s="141">
        <v>0</v>
      </c>
      <c r="F25" s="141">
        <v>0</v>
      </c>
      <c r="G25" s="141">
        <v>0</v>
      </c>
      <c r="H25" s="141">
        <v>0</v>
      </c>
      <c r="I25" s="141"/>
      <c r="J25" s="146"/>
      <c r="L25" s="221">
        <v>636</v>
      </c>
      <c r="M25" s="221">
        <v>0</v>
      </c>
      <c r="N25" s="221">
        <v>0</v>
      </c>
      <c r="O25" s="221">
        <v>2</v>
      </c>
      <c r="P25" s="221">
        <v>0</v>
      </c>
      <c r="Q25" s="221" t="s">
        <v>332</v>
      </c>
      <c r="R25" s="221"/>
    </row>
    <row r="26" spans="2:19">
      <c r="B26" s="776"/>
      <c r="C26" s="148">
        <v>3</v>
      </c>
      <c r="D26" s="143">
        <f t="shared" si="0"/>
        <v>14094</v>
      </c>
      <c r="E26" s="141">
        <v>0</v>
      </c>
      <c r="F26" s="141">
        <v>0</v>
      </c>
      <c r="G26" s="141">
        <v>0</v>
      </c>
      <c r="H26" s="141">
        <v>0</v>
      </c>
      <c r="I26" s="141"/>
      <c r="J26" s="146"/>
      <c r="L26" s="221">
        <v>637</v>
      </c>
      <c r="M26" s="221">
        <v>0</v>
      </c>
      <c r="N26" s="221">
        <v>0</v>
      </c>
      <c r="O26" s="221">
        <v>0</v>
      </c>
      <c r="P26" s="221">
        <v>0</v>
      </c>
      <c r="Q26" s="221"/>
      <c r="R26" s="221"/>
    </row>
    <row r="27" spans="2:19">
      <c r="B27" s="776"/>
      <c r="C27" s="148">
        <v>89</v>
      </c>
      <c r="D27" s="143">
        <f t="shared" si="0"/>
        <v>14183</v>
      </c>
      <c r="E27" s="141">
        <v>0</v>
      </c>
      <c r="F27" s="141">
        <v>0</v>
      </c>
      <c r="G27" s="141">
        <v>0</v>
      </c>
      <c r="H27" s="141">
        <v>0</v>
      </c>
      <c r="I27" s="141"/>
      <c r="J27" s="146"/>
      <c r="L27" s="221">
        <v>640</v>
      </c>
      <c r="M27" s="221">
        <v>0</v>
      </c>
      <c r="N27" s="221">
        <v>0</v>
      </c>
      <c r="O27" s="221">
        <v>0</v>
      </c>
      <c r="P27" s="221">
        <v>0</v>
      </c>
      <c r="Q27" s="221"/>
      <c r="R27" s="221"/>
    </row>
    <row r="28" spans="2:19">
      <c r="B28" s="776"/>
      <c r="C28" s="148">
        <v>1</v>
      </c>
      <c r="D28" s="143">
        <f t="shared" si="0"/>
        <v>14184</v>
      </c>
      <c r="E28" s="141">
        <v>0</v>
      </c>
      <c r="F28" s="141">
        <v>0</v>
      </c>
      <c r="G28" s="141">
        <v>3</v>
      </c>
      <c r="H28" s="141">
        <v>0</v>
      </c>
      <c r="I28" s="141"/>
      <c r="J28" s="146"/>
      <c r="L28" s="221">
        <v>729</v>
      </c>
      <c r="M28" s="221">
        <v>0</v>
      </c>
      <c r="N28" s="221">
        <v>0</v>
      </c>
      <c r="O28" s="221">
        <v>0</v>
      </c>
      <c r="P28" s="221">
        <v>0</v>
      </c>
      <c r="Q28" s="221"/>
      <c r="R28" s="221"/>
    </row>
    <row r="29" spans="2:19">
      <c r="D29" s="145"/>
      <c r="E29" s="145"/>
      <c r="F29" s="145"/>
      <c r="G29" s="145"/>
      <c r="H29" s="145"/>
      <c r="I29" s="145"/>
      <c r="L29" s="221">
        <v>730</v>
      </c>
      <c r="M29" s="221">
        <v>0</v>
      </c>
      <c r="N29" s="221">
        <v>0</v>
      </c>
      <c r="O29" s="221">
        <v>3</v>
      </c>
      <c r="P29" s="221">
        <v>0</v>
      </c>
      <c r="Q29" s="221"/>
      <c r="R29" s="221"/>
    </row>
    <row r="30" spans="2:19">
      <c r="L30" s="221">
        <v>731</v>
      </c>
      <c r="M30" s="221">
        <v>0</v>
      </c>
      <c r="N30" s="221">
        <v>0</v>
      </c>
      <c r="O30" s="221">
        <v>3</v>
      </c>
      <c r="P30" s="221">
        <v>0</v>
      </c>
      <c r="Q30" s="221"/>
      <c r="R30" s="221"/>
    </row>
    <row r="31" spans="2:19">
      <c r="L31" s="221">
        <v>732</v>
      </c>
      <c r="M31" s="221">
        <v>0</v>
      </c>
      <c r="N31" s="221">
        <v>0</v>
      </c>
      <c r="O31" s="221">
        <v>3</v>
      </c>
      <c r="P31" s="221">
        <v>0</v>
      </c>
      <c r="Q31" s="221"/>
      <c r="R31" s="221"/>
    </row>
    <row r="32" spans="2:19">
      <c r="L32" s="221">
        <v>733</v>
      </c>
      <c r="M32" s="221">
        <v>0</v>
      </c>
      <c r="N32" s="221">
        <v>0</v>
      </c>
      <c r="O32" s="221">
        <v>3</v>
      </c>
      <c r="P32" s="221">
        <v>0</v>
      </c>
      <c r="Q32" s="221"/>
      <c r="R32" s="221"/>
    </row>
    <row r="33" spans="8:18" ht="14.45" customHeight="1">
      <c r="H33" s="279"/>
      <c r="L33" s="221">
        <v>734</v>
      </c>
      <c r="M33" s="221">
        <v>0</v>
      </c>
      <c r="N33" s="221">
        <v>0</v>
      </c>
      <c r="O33" s="221">
        <v>3</v>
      </c>
      <c r="P33" s="221">
        <v>0</v>
      </c>
      <c r="Q33" s="153"/>
      <c r="R33" s="153"/>
    </row>
  </sheetData>
  <mergeCells count="4">
    <mergeCell ref="L2:R2"/>
    <mergeCell ref="B20:B28"/>
    <mergeCell ref="D18:I18"/>
    <mergeCell ref="F16:J16"/>
  </mergeCells>
  <hyperlinks>
    <hyperlink ref="F16" r:id="rId1" display="Click here for a link to the No-Soak MCT 55mph &amp; US06 test folder" xr:uid="{00000000-0004-0000-0600-000000000000}"/>
    <hyperlink ref="F16:J16" r:id="rId2" display="Click here for a link to the No-Soak MCT 55-65mph &amp; US06 test folder" xr:uid="{00000000-0004-0000-0600-000001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2:S25"/>
  <sheetViews>
    <sheetView workbookViewId="0"/>
  </sheetViews>
  <sheetFormatPr defaultRowHeight="15"/>
  <cols>
    <col min="1" max="1" width="8.85546875" style="153"/>
    <col min="2" max="2" width="11.140625" bestFit="1" customWidth="1"/>
    <col min="3" max="3" width="11.140625" style="153" customWidth="1"/>
    <col min="4" max="4" width="14.5703125" customWidth="1"/>
    <col min="5" max="5" width="9.5703125" style="153" customWidth="1"/>
    <col min="6" max="6" width="11.5703125" style="153" bestFit="1" customWidth="1"/>
    <col min="7" max="12" width="9.5703125" style="153" customWidth="1"/>
    <col min="13" max="13" width="8.85546875" style="153"/>
    <col min="14" max="14" width="11.140625" bestFit="1" customWidth="1"/>
    <col min="15" max="17" width="11.140625" style="153" customWidth="1"/>
    <col min="18" max="18" width="11.5703125" style="153" bestFit="1" customWidth="1"/>
    <col min="19" max="19" width="10.5703125" customWidth="1"/>
    <col min="20" max="20" width="9.5703125" customWidth="1"/>
    <col min="21" max="21" width="7.42578125" bestFit="1" customWidth="1"/>
  </cols>
  <sheetData>
    <row r="2" spans="1:19" s="153" customFormat="1"/>
    <row r="3" spans="1:19" s="153" customFormat="1"/>
    <row r="5" spans="1:19" s="153" customFormat="1"/>
    <row r="7" spans="1:19" s="153" customFormat="1"/>
    <row r="8" spans="1:19">
      <c r="C8" s="752" t="s">
        <v>283</v>
      </c>
      <c r="D8" s="752"/>
      <c r="E8" s="752" t="s">
        <v>285</v>
      </c>
      <c r="F8" s="752"/>
      <c r="G8" s="752" t="s">
        <v>286</v>
      </c>
      <c r="H8" s="752"/>
      <c r="I8" s="752" t="s">
        <v>287</v>
      </c>
      <c r="J8" s="752"/>
      <c r="K8" s="752" t="s">
        <v>288</v>
      </c>
      <c r="L8" s="752"/>
      <c r="M8" s="752" t="s">
        <v>289</v>
      </c>
      <c r="N8" s="752"/>
      <c r="O8" s="752" t="s">
        <v>290</v>
      </c>
      <c r="P8" s="752"/>
      <c r="Q8" s="752" t="s">
        <v>291</v>
      </c>
      <c r="R8" s="752"/>
    </row>
    <row r="9" spans="1:19" ht="29.1" customHeight="1" thickBot="1">
      <c r="C9" s="153" t="s">
        <v>0</v>
      </c>
      <c r="D9" s="9" t="s">
        <v>284</v>
      </c>
      <c r="E9" s="153" t="s">
        <v>0</v>
      </c>
      <c r="F9" s="9" t="s">
        <v>284</v>
      </c>
      <c r="G9" s="153" t="s">
        <v>0</v>
      </c>
      <c r="H9" s="9" t="s">
        <v>284</v>
      </c>
      <c r="I9" s="153" t="s">
        <v>0</v>
      </c>
      <c r="J9" s="9" t="s">
        <v>284</v>
      </c>
      <c r="K9" s="153" t="s">
        <v>0</v>
      </c>
      <c r="L9" s="9" t="s">
        <v>284</v>
      </c>
      <c r="M9" s="153" t="s">
        <v>0</v>
      </c>
      <c r="N9" s="9" t="s">
        <v>284</v>
      </c>
      <c r="O9" s="153" t="s">
        <v>0</v>
      </c>
      <c r="P9" s="9" t="s">
        <v>284</v>
      </c>
      <c r="Q9" s="153" t="s">
        <v>0</v>
      </c>
      <c r="R9" s="9" t="s">
        <v>284</v>
      </c>
      <c r="S9" s="153"/>
    </row>
    <row r="10" spans="1:19">
      <c r="A10" s="780" t="s">
        <v>281</v>
      </c>
      <c r="B10" s="162">
        <v>0</v>
      </c>
      <c r="C10" s="122"/>
      <c r="D10" s="13">
        <v>5</v>
      </c>
      <c r="E10" s="13"/>
      <c r="F10" s="13"/>
      <c r="G10" s="13"/>
      <c r="H10" s="13"/>
      <c r="I10" s="13"/>
      <c r="J10" s="13"/>
      <c r="K10" s="13"/>
      <c r="L10" s="13"/>
      <c r="M10" s="13"/>
      <c r="N10" s="13">
        <v>15</v>
      </c>
      <c r="O10" s="13"/>
      <c r="P10" s="13"/>
      <c r="Q10" s="13"/>
      <c r="R10" s="132">
        <v>55</v>
      </c>
    </row>
    <row r="11" spans="1:19">
      <c r="A11" s="780"/>
      <c r="B11" s="162" t="s">
        <v>280</v>
      </c>
      <c r="C11" s="14"/>
      <c r="D11" s="1">
        <v>10</v>
      </c>
      <c r="E11" s="1"/>
      <c r="F11" s="1"/>
      <c r="G11" s="1"/>
      <c r="H11" s="1"/>
      <c r="I11" s="1"/>
      <c r="J11" s="1"/>
      <c r="K11" s="1"/>
      <c r="L11" s="1"/>
      <c r="M11" s="1"/>
      <c r="N11" s="1">
        <v>20</v>
      </c>
      <c r="O11" s="1"/>
      <c r="P11" s="1"/>
      <c r="Q11" s="1"/>
      <c r="R11" s="128">
        <v>60</v>
      </c>
    </row>
    <row r="12" spans="1:19">
      <c r="A12" s="780"/>
      <c r="B12" s="162" t="s">
        <v>267</v>
      </c>
      <c r="C12" s="14"/>
      <c r="D12" s="1">
        <v>15</v>
      </c>
      <c r="E12" s="1"/>
      <c r="F12" s="1"/>
      <c r="G12" s="1"/>
      <c r="H12" s="1"/>
      <c r="I12" s="1"/>
      <c r="J12" s="1"/>
      <c r="K12" s="1"/>
      <c r="L12" s="1"/>
      <c r="M12" s="1"/>
      <c r="N12" s="1">
        <v>25</v>
      </c>
      <c r="O12" s="1"/>
      <c r="P12" s="1"/>
      <c r="Q12" s="1"/>
      <c r="R12" s="128">
        <v>65</v>
      </c>
    </row>
    <row r="13" spans="1:19">
      <c r="A13" s="780"/>
      <c r="B13" s="162">
        <v>72</v>
      </c>
      <c r="C13" s="14"/>
      <c r="D13" s="1">
        <v>20</v>
      </c>
      <c r="E13" s="1"/>
      <c r="F13" s="1"/>
      <c r="G13" s="1"/>
      <c r="H13" s="1"/>
      <c r="I13" s="1"/>
      <c r="J13" s="1"/>
      <c r="K13" s="1"/>
      <c r="L13" s="1"/>
      <c r="M13" s="1"/>
      <c r="N13" s="1">
        <v>30</v>
      </c>
      <c r="O13" s="1"/>
      <c r="P13" s="1"/>
      <c r="Q13" s="1"/>
      <c r="R13" s="128">
        <v>70</v>
      </c>
    </row>
    <row r="14" spans="1:19">
      <c r="A14" s="780"/>
      <c r="B14" s="162">
        <v>95</v>
      </c>
      <c r="C14" s="14"/>
      <c r="D14" s="1">
        <v>25</v>
      </c>
      <c r="E14" s="1"/>
      <c r="F14" s="1"/>
      <c r="G14" s="1"/>
      <c r="H14" s="1"/>
      <c r="I14" s="1"/>
      <c r="J14" s="1"/>
      <c r="K14" s="1"/>
      <c r="L14" s="1"/>
      <c r="M14" s="1"/>
      <c r="N14" s="1">
        <v>35</v>
      </c>
      <c r="O14" s="1"/>
      <c r="P14" s="1"/>
      <c r="Q14" s="1"/>
      <c r="R14" s="128">
        <v>75</v>
      </c>
    </row>
    <row r="15" spans="1:19" ht="15.75" thickBot="1">
      <c r="A15" s="780"/>
      <c r="B15" s="162" t="s">
        <v>279</v>
      </c>
      <c r="C15" s="16"/>
      <c r="D15" s="17">
        <v>30</v>
      </c>
      <c r="E15" s="17"/>
      <c r="F15" s="17"/>
      <c r="G15" s="17"/>
      <c r="H15" s="17"/>
      <c r="I15" s="17"/>
      <c r="J15" s="17"/>
      <c r="K15" s="17"/>
      <c r="L15" s="17"/>
      <c r="M15" s="17"/>
      <c r="N15" s="17">
        <v>40</v>
      </c>
      <c r="O15" s="17"/>
      <c r="P15" s="17"/>
      <c r="Q15" s="17"/>
      <c r="R15" s="131">
        <v>80</v>
      </c>
    </row>
    <row r="18" spans="1:18" s="153" customFormat="1">
      <c r="C18" s="752" t="s">
        <v>58</v>
      </c>
      <c r="D18" s="752"/>
      <c r="E18" s="161"/>
      <c r="F18" s="161"/>
      <c r="G18" s="161"/>
      <c r="H18" s="161"/>
      <c r="I18" s="161"/>
      <c r="J18" s="161"/>
      <c r="K18" s="161"/>
      <c r="L18" s="161"/>
      <c r="M18" s="752" t="s">
        <v>56</v>
      </c>
      <c r="N18" s="752"/>
      <c r="O18" s="161"/>
      <c r="P18" s="161"/>
      <c r="Q18" s="752" t="s">
        <v>224</v>
      </c>
      <c r="R18" s="752"/>
    </row>
    <row r="19" spans="1:18" s="153" customFormat="1" ht="15.75" thickBot="1">
      <c r="C19" s="153" t="s">
        <v>0</v>
      </c>
      <c r="D19" s="153" t="s">
        <v>282</v>
      </c>
      <c r="M19" s="153" t="s">
        <v>0</v>
      </c>
      <c r="N19" s="153" t="s">
        <v>282</v>
      </c>
      <c r="Q19" s="153" t="s">
        <v>0</v>
      </c>
      <c r="R19" s="153" t="s">
        <v>282</v>
      </c>
    </row>
    <row r="20" spans="1:18" s="153" customFormat="1">
      <c r="A20" s="780" t="s">
        <v>281</v>
      </c>
      <c r="B20" s="162">
        <v>0</v>
      </c>
      <c r="C20" s="122"/>
      <c r="D20" s="13">
        <v>5</v>
      </c>
      <c r="E20" s="13"/>
      <c r="F20" s="13"/>
      <c r="G20" s="13"/>
      <c r="H20" s="13"/>
      <c r="I20" s="13"/>
      <c r="J20" s="13"/>
      <c r="K20" s="13"/>
      <c r="L20" s="13"/>
      <c r="M20" s="13"/>
      <c r="N20" s="13">
        <v>15</v>
      </c>
      <c r="O20" s="13"/>
      <c r="P20" s="13"/>
      <c r="Q20" s="13"/>
      <c r="R20" s="132">
        <v>55</v>
      </c>
    </row>
    <row r="21" spans="1:18" s="153" customFormat="1">
      <c r="A21" s="780"/>
      <c r="B21" s="162" t="s">
        <v>280</v>
      </c>
      <c r="C21" s="14"/>
      <c r="D21" s="1">
        <v>10</v>
      </c>
      <c r="E21" s="1"/>
      <c r="F21" s="1"/>
      <c r="G21" s="1"/>
      <c r="H21" s="1"/>
      <c r="I21" s="1"/>
      <c r="J21" s="1"/>
      <c r="K21" s="1"/>
      <c r="L21" s="1"/>
      <c r="M21" s="1"/>
      <c r="N21" s="1">
        <v>20</v>
      </c>
      <c r="O21" s="1"/>
      <c r="P21" s="1"/>
      <c r="Q21" s="1"/>
      <c r="R21" s="128">
        <v>60</v>
      </c>
    </row>
    <row r="22" spans="1:18" s="153" customFormat="1">
      <c r="A22" s="780"/>
      <c r="B22" s="162" t="s">
        <v>267</v>
      </c>
      <c r="C22" s="14"/>
      <c r="D22" s="1">
        <v>15</v>
      </c>
      <c r="E22" s="1"/>
      <c r="F22" s="1"/>
      <c r="G22" s="1"/>
      <c r="H22" s="1"/>
      <c r="I22" s="1"/>
      <c r="J22" s="1"/>
      <c r="K22" s="1"/>
      <c r="L22" s="1"/>
      <c r="M22" s="1"/>
      <c r="N22" s="1">
        <v>25</v>
      </c>
      <c r="O22" s="1"/>
      <c r="P22" s="1"/>
      <c r="Q22" s="1"/>
      <c r="R22" s="128">
        <v>65</v>
      </c>
    </row>
    <row r="23" spans="1:18" s="153" customFormat="1">
      <c r="A23" s="780"/>
      <c r="B23" s="162">
        <v>72</v>
      </c>
      <c r="C23" s="14"/>
      <c r="D23" s="1">
        <v>20</v>
      </c>
      <c r="E23" s="1"/>
      <c r="F23" s="1"/>
      <c r="G23" s="1"/>
      <c r="H23" s="1"/>
      <c r="I23" s="1"/>
      <c r="J23" s="1"/>
      <c r="K23" s="1"/>
      <c r="L23" s="1"/>
      <c r="M23" s="1"/>
      <c r="N23" s="1">
        <v>30</v>
      </c>
      <c r="O23" s="1"/>
      <c r="P23" s="1"/>
      <c r="Q23" s="1"/>
      <c r="R23" s="128">
        <v>70</v>
      </c>
    </row>
    <row r="24" spans="1:18" s="153" customFormat="1">
      <c r="A24" s="780"/>
      <c r="B24" s="162">
        <v>95</v>
      </c>
      <c r="C24" s="14"/>
      <c r="D24" s="1">
        <v>25</v>
      </c>
      <c r="E24" s="1"/>
      <c r="F24" s="1"/>
      <c r="G24" s="1"/>
      <c r="H24" s="1"/>
      <c r="I24" s="1"/>
      <c r="J24" s="1"/>
      <c r="K24" s="1"/>
      <c r="L24" s="1"/>
      <c r="M24" s="1"/>
      <c r="N24" s="1">
        <v>35</v>
      </c>
      <c r="O24" s="1"/>
      <c r="P24" s="1"/>
      <c r="Q24" s="1"/>
      <c r="R24" s="128">
        <v>75</v>
      </c>
    </row>
    <row r="25" spans="1:18" s="153" customFormat="1" ht="15.75" thickBot="1">
      <c r="A25" s="780"/>
      <c r="B25" s="162" t="s">
        <v>279</v>
      </c>
      <c r="C25" s="16"/>
      <c r="D25" s="17">
        <v>30</v>
      </c>
      <c r="E25" s="17"/>
      <c r="F25" s="17"/>
      <c r="G25" s="17"/>
      <c r="H25" s="17"/>
      <c r="I25" s="17"/>
      <c r="J25" s="17"/>
      <c r="K25" s="17"/>
      <c r="L25" s="17"/>
      <c r="M25" s="17"/>
      <c r="N25" s="17">
        <v>40</v>
      </c>
      <c r="O25" s="17"/>
      <c r="P25" s="17"/>
      <c r="Q25" s="17"/>
      <c r="R25" s="131">
        <v>80</v>
      </c>
    </row>
  </sheetData>
  <mergeCells count="13">
    <mergeCell ref="A20:A25"/>
    <mergeCell ref="E8:F8"/>
    <mergeCell ref="G8:H8"/>
    <mergeCell ref="I8:J8"/>
    <mergeCell ref="K8:L8"/>
    <mergeCell ref="C18:D18"/>
    <mergeCell ref="M18:N18"/>
    <mergeCell ref="Q18:R18"/>
    <mergeCell ref="O8:P8"/>
    <mergeCell ref="A10:A15"/>
    <mergeCell ref="Q8:R8"/>
    <mergeCell ref="M8:N8"/>
    <mergeCell ref="C8:D8"/>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Q93"/>
  <sheetViews>
    <sheetView topLeftCell="B1" workbookViewId="0">
      <selection sqref="A1:B1"/>
    </sheetView>
  </sheetViews>
  <sheetFormatPr defaultColWidth="8.85546875" defaultRowHeight="15"/>
  <cols>
    <col min="1" max="1" width="32.85546875" style="37" customWidth="1"/>
    <col min="2" max="2" width="20.42578125" style="37" customWidth="1"/>
    <col min="3" max="4" width="8.85546875" style="37"/>
    <col min="5" max="5" width="9" style="37" customWidth="1"/>
    <col min="6" max="11" width="8.85546875" style="37"/>
    <col min="12" max="12" width="10.5703125" style="37" customWidth="1"/>
    <col min="13" max="13" width="8.85546875" style="37"/>
    <col min="14" max="14" width="10.42578125" style="37" customWidth="1"/>
    <col min="15" max="16384" width="8.85546875" style="37"/>
  </cols>
  <sheetData>
    <row r="1" spans="1:17">
      <c r="A1" s="781" t="s">
        <v>403</v>
      </c>
      <c r="B1" s="781"/>
      <c r="C1" s="79" t="s">
        <v>226</v>
      </c>
      <c r="D1" s="79"/>
    </row>
    <row r="2" spans="1:17" ht="30">
      <c r="A2" s="78"/>
      <c r="B2" s="77" t="s">
        <v>211</v>
      </c>
      <c r="C2" s="77" t="s">
        <v>210</v>
      </c>
      <c r="D2" s="77" t="s">
        <v>217</v>
      </c>
    </row>
    <row r="3" spans="1:17">
      <c r="A3" s="76" t="s">
        <v>216</v>
      </c>
      <c r="B3" s="50"/>
      <c r="C3" s="50"/>
      <c r="D3" s="75"/>
    </row>
    <row r="4" spans="1:17">
      <c r="A4" s="74" t="s">
        <v>215</v>
      </c>
      <c r="B4" s="73"/>
      <c r="C4" s="73"/>
      <c r="D4" s="72"/>
    </row>
    <row r="5" spans="1:17" ht="15.75" thickBot="1">
      <c r="E5" s="782" t="s">
        <v>214</v>
      </c>
      <c r="F5" s="782"/>
      <c r="G5" s="782"/>
      <c r="H5" s="782"/>
      <c r="I5" s="782"/>
    </row>
    <row r="6" spans="1:17" s="59" customFormat="1" ht="75.75" thickBot="1">
      <c r="A6" s="71" t="s">
        <v>213</v>
      </c>
      <c r="B6" s="70" t="s">
        <v>212</v>
      </c>
      <c r="C6" s="69" t="s">
        <v>211</v>
      </c>
      <c r="D6" s="68" t="s">
        <v>210</v>
      </c>
      <c r="E6" s="68" t="s">
        <v>209</v>
      </c>
      <c r="F6" s="68" t="s">
        <v>208</v>
      </c>
      <c r="G6" s="68" t="s">
        <v>207</v>
      </c>
      <c r="H6" s="68" t="s">
        <v>206</v>
      </c>
      <c r="I6" s="67" t="s">
        <v>205</v>
      </c>
      <c r="J6" s="66" t="s">
        <v>204</v>
      </c>
      <c r="K6" s="65" t="s">
        <v>203</v>
      </c>
      <c r="L6" s="64" t="s">
        <v>202</v>
      </c>
      <c r="M6" s="63" t="s">
        <v>201</v>
      </c>
      <c r="N6" s="62" t="s">
        <v>200</v>
      </c>
      <c r="O6" s="61" t="s">
        <v>199</v>
      </c>
      <c r="P6" s="61" t="s">
        <v>198</v>
      </c>
      <c r="Q6" s="60" t="s">
        <v>197</v>
      </c>
    </row>
    <row r="7" spans="1:17" s="59" customFormat="1">
      <c r="A7" s="58" t="s">
        <v>249</v>
      </c>
      <c r="B7" s="57"/>
      <c r="C7" s="47"/>
      <c r="D7" s="55"/>
      <c r="E7" s="53"/>
      <c r="F7" s="54"/>
      <c r="G7" s="53"/>
      <c r="H7" s="54"/>
      <c r="I7" s="53"/>
      <c r="J7" s="51">
        <f t="shared" ref="J7:J77" si="0">F7-H7</f>
        <v>0</v>
      </c>
      <c r="K7" s="52">
        <f t="shared" ref="K7:K77" si="1">G7+I7</f>
        <v>0</v>
      </c>
      <c r="L7" s="72">
        <f t="shared" ref="L7:L77" si="2">J7*$D$4</f>
        <v>0</v>
      </c>
      <c r="M7" s="75">
        <f t="shared" ref="M7:M77" si="3">K7*$D$3</f>
        <v>0</v>
      </c>
      <c r="N7" s="49">
        <f t="shared" ref="N7:N77" si="4">L7+M7</f>
        <v>0</v>
      </c>
      <c r="O7" s="102">
        <f t="shared" ref="O7:O77" si="5">(E7-F7+H7)*$D$4</f>
        <v>0</v>
      </c>
      <c r="P7" s="102">
        <f t="shared" ref="P7:P77" si="6">(G7)*$D$3</f>
        <v>0</v>
      </c>
      <c r="Q7" s="103">
        <f t="shared" ref="Q7:Q77" si="7">O7-P7</f>
        <v>0</v>
      </c>
    </row>
    <row r="8" spans="1:17" s="59" customFormat="1">
      <c r="A8" s="58"/>
      <c r="B8" s="57"/>
      <c r="C8" s="47"/>
      <c r="D8" s="55"/>
      <c r="E8" s="53"/>
      <c r="F8" s="54"/>
      <c r="G8" s="53"/>
      <c r="H8" s="54"/>
      <c r="I8" s="53"/>
      <c r="J8" s="51"/>
      <c r="K8" s="52"/>
      <c r="L8" s="72"/>
      <c r="M8" s="75"/>
      <c r="N8" s="49"/>
      <c r="O8" s="102"/>
      <c r="P8" s="102"/>
      <c r="Q8" s="103"/>
    </row>
    <row r="9" spans="1:17" s="59" customFormat="1">
      <c r="A9" s="58" t="s">
        <v>250</v>
      </c>
      <c r="B9" s="57"/>
      <c r="C9" s="47"/>
      <c r="D9" s="55"/>
      <c r="E9" s="53"/>
      <c r="F9" s="54"/>
      <c r="G9" s="53"/>
      <c r="H9" s="54"/>
      <c r="I9" s="53"/>
      <c r="J9" s="51">
        <f t="shared" si="0"/>
        <v>0</v>
      </c>
      <c r="K9" s="52">
        <f t="shared" si="1"/>
        <v>0</v>
      </c>
      <c r="L9" s="72">
        <f t="shared" si="2"/>
        <v>0</v>
      </c>
      <c r="M9" s="75">
        <f t="shared" si="3"/>
        <v>0</v>
      </c>
      <c r="N9" s="49">
        <f t="shared" si="4"/>
        <v>0</v>
      </c>
      <c r="O9" s="102">
        <f t="shared" si="5"/>
        <v>0</v>
      </c>
      <c r="P9" s="102">
        <f t="shared" si="6"/>
        <v>0</v>
      </c>
      <c r="Q9" s="103">
        <f t="shared" si="7"/>
        <v>0</v>
      </c>
    </row>
    <row r="10" spans="1:17" s="59" customFormat="1">
      <c r="A10" s="58"/>
      <c r="B10" s="57"/>
      <c r="C10" s="47"/>
      <c r="D10" s="55"/>
      <c r="E10" s="53"/>
      <c r="F10" s="54"/>
      <c r="G10" s="53"/>
      <c r="H10" s="54"/>
      <c r="I10" s="53"/>
      <c r="J10" s="51"/>
      <c r="K10" s="52"/>
      <c r="L10" s="72"/>
      <c r="M10" s="75"/>
      <c r="N10" s="49"/>
      <c r="O10" s="102"/>
      <c r="P10" s="102"/>
      <c r="Q10" s="103"/>
    </row>
    <row r="11" spans="1:17" s="59" customFormat="1">
      <c r="A11" s="58" t="s">
        <v>251</v>
      </c>
      <c r="B11" s="57"/>
      <c r="C11" s="47"/>
      <c r="D11" s="55"/>
      <c r="E11" s="53"/>
      <c r="F11" s="54"/>
      <c r="G11" s="53"/>
      <c r="H11" s="54"/>
      <c r="I11" s="53"/>
      <c r="J11" s="51">
        <f t="shared" si="0"/>
        <v>0</v>
      </c>
      <c r="K11" s="52">
        <f t="shared" si="1"/>
        <v>0</v>
      </c>
      <c r="L11" s="72">
        <f t="shared" si="2"/>
        <v>0</v>
      </c>
      <c r="M11" s="75">
        <f t="shared" si="3"/>
        <v>0</v>
      </c>
      <c r="N11" s="49">
        <f t="shared" si="4"/>
        <v>0</v>
      </c>
      <c r="O11" s="102">
        <f t="shared" si="5"/>
        <v>0</v>
      </c>
      <c r="P11" s="102">
        <f t="shared" si="6"/>
        <v>0</v>
      </c>
      <c r="Q11" s="103">
        <f t="shared" si="7"/>
        <v>0</v>
      </c>
    </row>
    <row r="12" spans="1:17" s="59" customFormat="1">
      <c r="A12" s="58"/>
      <c r="B12" s="57"/>
      <c r="C12" s="47"/>
      <c r="D12" s="55"/>
      <c r="E12" s="53"/>
      <c r="F12" s="54"/>
      <c r="G12" s="53"/>
      <c r="H12" s="54"/>
      <c r="I12" s="53"/>
      <c r="J12" s="51"/>
      <c r="K12" s="52"/>
      <c r="L12" s="72"/>
      <c r="M12" s="75"/>
      <c r="N12" s="49"/>
      <c r="O12" s="102"/>
      <c r="P12" s="102"/>
      <c r="Q12" s="103"/>
    </row>
    <row r="13" spans="1:17">
      <c r="A13" s="58" t="s">
        <v>196</v>
      </c>
      <c r="B13" s="57"/>
      <c r="C13" s="47"/>
      <c r="D13" s="55"/>
      <c r="E13" s="53"/>
      <c r="F13" s="54"/>
      <c r="G13" s="53"/>
      <c r="H13" s="54"/>
      <c r="I13" s="53"/>
      <c r="J13" s="51">
        <f t="shared" si="0"/>
        <v>0</v>
      </c>
      <c r="K13" s="52">
        <f t="shared" si="1"/>
        <v>0</v>
      </c>
      <c r="L13" s="72">
        <f t="shared" si="2"/>
        <v>0</v>
      </c>
      <c r="M13" s="75">
        <f t="shared" si="3"/>
        <v>0</v>
      </c>
      <c r="N13" s="49">
        <f t="shared" si="4"/>
        <v>0</v>
      </c>
      <c r="O13" s="102">
        <f t="shared" si="5"/>
        <v>0</v>
      </c>
      <c r="P13" s="102">
        <f t="shared" si="6"/>
        <v>0</v>
      </c>
      <c r="Q13" s="103">
        <f t="shared" si="7"/>
        <v>0</v>
      </c>
    </row>
    <row r="14" spans="1:17" s="279" customFormat="1">
      <c r="A14" s="58"/>
      <c r="B14" s="57"/>
      <c r="C14" s="47"/>
      <c r="D14" s="55"/>
      <c r="E14" s="53"/>
      <c r="F14" s="54"/>
      <c r="G14" s="53"/>
      <c r="H14" s="54"/>
      <c r="I14" s="53"/>
      <c r="J14" s="51"/>
      <c r="K14" s="52"/>
      <c r="L14" s="72"/>
      <c r="M14" s="75"/>
      <c r="N14" s="49"/>
      <c r="O14" s="102"/>
      <c r="P14" s="102"/>
      <c r="Q14" s="103"/>
    </row>
    <row r="15" spans="1:17">
      <c r="A15" s="58" t="s">
        <v>389</v>
      </c>
      <c r="B15" s="57"/>
      <c r="C15" s="47"/>
      <c r="D15" s="55"/>
      <c r="E15" s="53"/>
      <c r="F15" s="54"/>
      <c r="G15" s="53"/>
      <c r="H15" s="54"/>
      <c r="I15" s="53"/>
      <c r="J15" s="51">
        <f t="shared" si="0"/>
        <v>0</v>
      </c>
      <c r="K15" s="52">
        <f t="shared" si="1"/>
        <v>0</v>
      </c>
      <c r="L15" s="72">
        <f t="shared" si="2"/>
        <v>0</v>
      </c>
      <c r="M15" s="75">
        <f t="shared" si="3"/>
        <v>0</v>
      </c>
      <c r="N15" s="49">
        <f t="shared" si="4"/>
        <v>0</v>
      </c>
      <c r="O15" s="102">
        <f t="shared" si="5"/>
        <v>0</v>
      </c>
      <c r="P15" s="102">
        <f t="shared" si="6"/>
        <v>0</v>
      </c>
      <c r="Q15" s="103">
        <f t="shared" si="7"/>
        <v>0</v>
      </c>
    </row>
    <row r="16" spans="1:17" s="279" customFormat="1">
      <c r="A16" s="58"/>
      <c r="B16" s="57"/>
      <c r="C16" s="47"/>
      <c r="D16" s="55"/>
      <c r="E16" s="53"/>
      <c r="F16" s="54"/>
      <c r="G16" s="53"/>
      <c r="H16" s="54"/>
      <c r="I16" s="53"/>
      <c r="J16" s="51"/>
      <c r="K16" s="52"/>
      <c r="L16" s="72"/>
      <c r="M16" s="75"/>
      <c r="N16" s="49"/>
      <c r="O16" s="102"/>
      <c r="P16" s="102"/>
      <c r="Q16" s="103"/>
    </row>
    <row r="17" spans="1:17">
      <c r="A17" s="58" t="s">
        <v>195</v>
      </c>
      <c r="B17" s="57"/>
      <c r="C17" s="47"/>
      <c r="D17" s="55"/>
      <c r="E17" s="53"/>
      <c r="F17" s="54"/>
      <c r="G17" s="53"/>
      <c r="H17" s="54"/>
      <c r="I17" s="53"/>
      <c r="J17" s="51">
        <f t="shared" si="0"/>
        <v>0</v>
      </c>
      <c r="K17" s="52">
        <f t="shared" si="1"/>
        <v>0</v>
      </c>
      <c r="L17" s="72">
        <f t="shared" si="2"/>
        <v>0</v>
      </c>
      <c r="M17" s="75">
        <f t="shared" si="3"/>
        <v>0</v>
      </c>
      <c r="N17" s="49">
        <f t="shared" si="4"/>
        <v>0</v>
      </c>
      <c r="O17" s="102">
        <f t="shared" si="5"/>
        <v>0</v>
      </c>
      <c r="P17" s="102">
        <f t="shared" si="6"/>
        <v>0</v>
      </c>
      <c r="Q17" s="103">
        <f t="shared" si="7"/>
        <v>0</v>
      </c>
    </row>
    <row r="18" spans="1:17" s="279" customFormat="1">
      <c r="A18" s="58"/>
      <c r="B18" s="57"/>
      <c r="C18" s="47"/>
      <c r="D18" s="55"/>
      <c r="E18" s="53"/>
      <c r="F18" s="54"/>
      <c r="G18" s="53"/>
      <c r="H18" s="54"/>
      <c r="I18" s="53"/>
      <c r="J18" s="51"/>
      <c r="K18" s="52"/>
      <c r="L18" s="72"/>
      <c r="M18" s="75"/>
      <c r="N18" s="49"/>
      <c r="O18" s="102"/>
      <c r="P18" s="102"/>
      <c r="Q18" s="103"/>
    </row>
    <row r="19" spans="1:17">
      <c r="A19" s="58" t="s">
        <v>194</v>
      </c>
      <c r="B19" s="57"/>
      <c r="C19" s="47"/>
      <c r="D19" s="55"/>
      <c r="E19" s="53"/>
      <c r="F19" s="54"/>
      <c r="G19" s="53"/>
      <c r="H19" s="54"/>
      <c r="I19" s="53"/>
      <c r="J19" s="51">
        <f t="shared" si="0"/>
        <v>0</v>
      </c>
      <c r="K19" s="52">
        <f t="shared" si="1"/>
        <v>0</v>
      </c>
      <c r="L19" s="72">
        <f t="shared" si="2"/>
        <v>0</v>
      </c>
      <c r="M19" s="75">
        <f t="shared" si="3"/>
        <v>0</v>
      </c>
      <c r="N19" s="49">
        <f t="shared" si="4"/>
        <v>0</v>
      </c>
      <c r="O19" s="102">
        <f t="shared" si="5"/>
        <v>0</v>
      </c>
      <c r="P19" s="102">
        <f t="shared" si="6"/>
        <v>0</v>
      </c>
      <c r="Q19" s="103">
        <f t="shared" si="7"/>
        <v>0</v>
      </c>
    </row>
    <row r="20" spans="1:17" s="279" customFormat="1">
      <c r="A20" s="58"/>
      <c r="B20" s="57"/>
      <c r="C20" s="47"/>
      <c r="D20" s="55"/>
      <c r="E20" s="53"/>
      <c r="F20" s="54"/>
      <c r="G20" s="53"/>
      <c r="H20" s="54"/>
      <c r="I20" s="53"/>
      <c r="J20" s="51"/>
      <c r="K20" s="52"/>
      <c r="L20" s="72"/>
      <c r="M20" s="75"/>
      <c r="N20" s="49"/>
      <c r="O20" s="102"/>
      <c r="P20" s="102"/>
      <c r="Q20" s="103"/>
    </row>
    <row r="21" spans="1:17">
      <c r="A21" s="58" t="s">
        <v>193</v>
      </c>
      <c r="B21" s="57"/>
      <c r="C21" s="47"/>
      <c r="D21" s="55"/>
      <c r="E21" s="53"/>
      <c r="F21" s="54"/>
      <c r="G21" s="53"/>
      <c r="H21" s="54"/>
      <c r="I21" s="53"/>
      <c r="J21" s="51">
        <f t="shared" si="0"/>
        <v>0</v>
      </c>
      <c r="K21" s="52">
        <f t="shared" si="1"/>
        <v>0</v>
      </c>
      <c r="L21" s="72">
        <f t="shared" si="2"/>
        <v>0</v>
      </c>
      <c r="M21" s="75">
        <f t="shared" si="3"/>
        <v>0</v>
      </c>
      <c r="N21" s="49">
        <f t="shared" si="4"/>
        <v>0</v>
      </c>
      <c r="O21" s="102">
        <f t="shared" si="5"/>
        <v>0</v>
      </c>
      <c r="P21" s="102">
        <f t="shared" si="6"/>
        <v>0</v>
      </c>
      <c r="Q21" s="103">
        <f t="shared" si="7"/>
        <v>0</v>
      </c>
    </row>
    <row r="22" spans="1:17" s="279" customFormat="1">
      <c r="A22" s="58"/>
      <c r="B22" s="57"/>
      <c r="C22" s="47"/>
      <c r="D22" s="55"/>
      <c r="E22" s="53"/>
      <c r="F22" s="54"/>
      <c r="G22" s="53"/>
      <c r="H22" s="54"/>
      <c r="I22" s="53"/>
      <c r="J22" s="51"/>
      <c r="K22" s="52"/>
      <c r="L22" s="72"/>
      <c r="M22" s="75"/>
      <c r="N22" s="49"/>
      <c r="O22" s="102"/>
      <c r="P22" s="102"/>
      <c r="Q22" s="103"/>
    </row>
    <row r="23" spans="1:17">
      <c r="A23" s="58" t="s">
        <v>192</v>
      </c>
      <c r="B23" s="57"/>
      <c r="C23" s="47"/>
      <c r="D23" s="55"/>
      <c r="E23" s="53"/>
      <c r="F23" s="54"/>
      <c r="G23" s="53"/>
      <c r="H23" s="54"/>
      <c r="I23" s="53"/>
      <c r="J23" s="51">
        <f t="shared" si="0"/>
        <v>0</v>
      </c>
      <c r="K23" s="52">
        <f t="shared" si="1"/>
        <v>0</v>
      </c>
      <c r="L23" s="72">
        <f t="shared" si="2"/>
        <v>0</v>
      </c>
      <c r="M23" s="75">
        <f t="shared" si="3"/>
        <v>0</v>
      </c>
      <c r="N23" s="49">
        <f t="shared" si="4"/>
        <v>0</v>
      </c>
      <c r="O23" s="102">
        <f t="shared" si="5"/>
        <v>0</v>
      </c>
      <c r="P23" s="102">
        <f t="shared" si="6"/>
        <v>0</v>
      </c>
      <c r="Q23" s="103">
        <f t="shared" si="7"/>
        <v>0</v>
      </c>
    </row>
    <row r="24" spans="1:17" s="279" customFormat="1">
      <c r="A24" s="58"/>
      <c r="B24" s="57"/>
      <c r="C24" s="47"/>
      <c r="D24" s="55"/>
      <c r="E24" s="53"/>
      <c r="F24" s="54"/>
      <c r="G24" s="53"/>
      <c r="H24" s="54"/>
      <c r="I24" s="53"/>
      <c r="J24" s="51"/>
      <c r="K24" s="52"/>
      <c r="L24" s="72"/>
      <c r="M24" s="75"/>
      <c r="N24" s="49"/>
      <c r="O24" s="102"/>
      <c r="P24" s="102"/>
      <c r="Q24" s="103"/>
    </row>
    <row r="25" spans="1:17">
      <c r="A25" s="58" t="s">
        <v>191</v>
      </c>
      <c r="B25" s="57"/>
      <c r="C25" s="47"/>
      <c r="D25" s="55"/>
      <c r="E25" s="53"/>
      <c r="F25" s="54"/>
      <c r="G25" s="53"/>
      <c r="H25" s="54"/>
      <c r="I25" s="53"/>
      <c r="J25" s="51">
        <f t="shared" si="0"/>
        <v>0</v>
      </c>
      <c r="K25" s="52">
        <f t="shared" si="1"/>
        <v>0</v>
      </c>
      <c r="L25" s="72">
        <f t="shared" si="2"/>
        <v>0</v>
      </c>
      <c r="M25" s="75">
        <f t="shared" si="3"/>
        <v>0</v>
      </c>
      <c r="N25" s="49">
        <f t="shared" si="4"/>
        <v>0</v>
      </c>
      <c r="O25" s="102">
        <f t="shared" si="5"/>
        <v>0</v>
      </c>
      <c r="P25" s="102">
        <f t="shared" si="6"/>
        <v>0</v>
      </c>
      <c r="Q25" s="103">
        <f t="shared" si="7"/>
        <v>0</v>
      </c>
    </row>
    <row r="26" spans="1:17" s="279" customFormat="1">
      <c r="A26" s="58"/>
      <c r="B26" s="57"/>
      <c r="C26" s="47"/>
      <c r="D26" s="55"/>
      <c r="E26" s="53"/>
      <c r="F26" s="54"/>
      <c r="G26" s="53"/>
      <c r="H26" s="54"/>
      <c r="I26" s="53"/>
      <c r="J26" s="51"/>
      <c r="K26" s="52"/>
      <c r="L26" s="72"/>
      <c r="M26" s="75"/>
      <c r="N26" s="49"/>
      <c r="O26" s="102"/>
      <c r="P26" s="102"/>
      <c r="Q26" s="103"/>
    </row>
    <row r="27" spans="1:17">
      <c r="A27" s="58" t="s">
        <v>190</v>
      </c>
      <c r="B27" s="57"/>
      <c r="C27" s="47"/>
      <c r="D27" s="55"/>
      <c r="E27" s="53"/>
      <c r="F27" s="54"/>
      <c r="G27" s="53"/>
      <c r="H27" s="54"/>
      <c r="I27" s="53"/>
      <c r="J27" s="51">
        <f t="shared" si="0"/>
        <v>0</v>
      </c>
      <c r="K27" s="52">
        <f t="shared" si="1"/>
        <v>0</v>
      </c>
      <c r="L27" s="72">
        <f t="shared" si="2"/>
        <v>0</v>
      </c>
      <c r="M27" s="75">
        <f t="shared" si="3"/>
        <v>0</v>
      </c>
      <c r="N27" s="49">
        <f t="shared" si="4"/>
        <v>0</v>
      </c>
      <c r="O27" s="102">
        <f t="shared" si="5"/>
        <v>0</v>
      </c>
      <c r="P27" s="102">
        <f t="shared" si="6"/>
        <v>0</v>
      </c>
      <c r="Q27" s="103">
        <f t="shared" si="7"/>
        <v>0</v>
      </c>
    </row>
    <row r="28" spans="1:17" s="279" customFormat="1">
      <c r="A28" s="58"/>
      <c r="B28" s="57"/>
      <c r="C28" s="47"/>
      <c r="D28" s="55"/>
      <c r="E28" s="53"/>
      <c r="F28" s="54"/>
      <c r="G28" s="53"/>
      <c r="H28" s="54"/>
      <c r="I28" s="53"/>
      <c r="J28" s="51"/>
      <c r="K28" s="52"/>
      <c r="L28" s="72"/>
      <c r="M28" s="75"/>
      <c r="N28" s="49"/>
      <c r="O28" s="102"/>
      <c r="P28" s="102"/>
      <c r="Q28" s="103"/>
    </row>
    <row r="29" spans="1:17">
      <c r="A29" s="58" t="s">
        <v>189</v>
      </c>
      <c r="B29" s="57"/>
      <c r="C29" s="47"/>
      <c r="D29" s="55"/>
      <c r="E29" s="53"/>
      <c r="F29" s="54"/>
      <c r="G29" s="53"/>
      <c r="H29" s="54"/>
      <c r="I29" s="53"/>
      <c r="J29" s="51">
        <f t="shared" si="0"/>
        <v>0</v>
      </c>
      <c r="K29" s="52">
        <f t="shared" si="1"/>
        <v>0</v>
      </c>
      <c r="L29" s="72">
        <f t="shared" si="2"/>
        <v>0</v>
      </c>
      <c r="M29" s="75">
        <f t="shared" si="3"/>
        <v>0</v>
      </c>
      <c r="N29" s="49">
        <f t="shared" si="4"/>
        <v>0</v>
      </c>
      <c r="O29" s="102">
        <f t="shared" si="5"/>
        <v>0</v>
      </c>
      <c r="P29" s="102">
        <f t="shared" si="6"/>
        <v>0</v>
      </c>
      <c r="Q29" s="103">
        <f t="shared" si="7"/>
        <v>0</v>
      </c>
    </row>
    <row r="30" spans="1:17" s="279" customFormat="1">
      <c r="A30" s="58"/>
      <c r="B30" s="57"/>
      <c r="C30" s="47"/>
      <c r="D30" s="55"/>
      <c r="E30" s="53"/>
      <c r="F30" s="54"/>
      <c r="G30" s="53"/>
      <c r="H30" s="54"/>
      <c r="I30" s="53"/>
      <c r="J30" s="51"/>
      <c r="K30" s="52"/>
      <c r="L30" s="72"/>
      <c r="M30" s="75"/>
      <c r="N30" s="49"/>
      <c r="O30" s="102"/>
      <c r="P30" s="102"/>
      <c r="Q30" s="103"/>
    </row>
    <row r="31" spans="1:17">
      <c r="A31" s="58" t="s">
        <v>188</v>
      </c>
      <c r="B31" s="57"/>
      <c r="C31" s="47"/>
      <c r="D31" s="55"/>
      <c r="E31" s="53"/>
      <c r="F31" s="54"/>
      <c r="G31" s="53"/>
      <c r="H31" s="54"/>
      <c r="I31" s="53"/>
      <c r="J31" s="51">
        <f t="shared" si="0"/>
        <v>0</v>
      </c>
      <c r="K31" s="52">
        <f t="shared" si="1"/>
        <v>0</v>
      </c>
      <c r="L31" s="72">
        <f t="shared" si="2"/>
        <v>0</v>
      </c>
      <c r="M31" s="75">
        <f t="shared" si="3"/>
        <v>0</v>
      </c>
      <c r="N31" s="49">
        <f t="shared" si="4"/>
        <v>0</v>
      </c>
      <c r="O31" s="102">
        <f t="shared" si="5"/>
        <v>0</v>
      </c>
      <c r="P31" s="102">
        <f t="shared" si="6"/>
        <v>0</v>
      </c>
      <c r="Q31" s="103">
        <f t="shared" si="7"/>
        <v>0</v>
      </c>
    </row>
    <row r="32" spans="1:17" s="279" customFormat="1">
      <c r="A32" s="58"/>
      <c r="B32" s="57"/>
      <c r="C32" s="47"/>
      <c r="D32" s="55"/>
      <c r="E32" s="53"/>
      <c r="F32" s="54"/>
      <c r="G32" s="53"/>
      <c r="H32" s="54"/>
      <c r="I32" s="53"/>
      <c r="J32" s="51"/>
      <c r="K32" s="52"/>
      <c r="L32" s="72"/>
      <c r="M32" s="75"/>
      <c r="N32" s="49"/>
      <c r="O32" s="102"/>
      <c r="P32" s="102"/>
      <c r="Q32" s="103"/>
    </row>
    <row r="33" spans="1:17">
      <c r="A33" s="58" t="s">
        <v>187</v>
      </c>
      <c r="B33" s="57"/>
      <c r="C33" s="47"/>
      <c r="D33" s="55"/>
      <c r="E33" s="53"/>
      <c r="F33" s="54"/>
      <c r="G33" s="53"/>
      <c r="H33" s="54"/>
      <c r="I33" s="53"/>
      <c r="J33" s="51">
        <f t="shared" si="0"/>
        <v>0</v>
      </c>
      <c r="K33" s="52">
        <f t="shared" si="1"/>
        <v>0</v>
      </c>
      <c r="L33" s="72">
        <f t="shared" si="2"/>
        <v>0</v>
      </c>
      <c r="M33" s="75">
        <f t="shared" si="3"/>
        <v>0</v>
      </c>
      <c r="N33" s="49">
        <f t="shared" si="4"/>
        <v>0</v>
      </c>
      <c r="O33" s="102">
        <f t="shared" si="5"/>
        <v>0</v>
      </c>
      <c r="P33" s="102">
        <f t="shared" si="6"/>
        <v>0</v>
      </c>
      <c r="Q33" s="103">
        <f t="shared" si="7"/>
        <v>0</v>
      </c>
    </row>
    <row r="34" spans="1:17" s="279" customFormat="1">
      <c r="A34" s="58"/>
      <c r="B34" s="57"/>
      <c r="C34" s="47"/>
      <c r="D34" s="55"/>
      <c r="E34" s="53"/>
      <c r="F34" s="54"/>
      <c r="G34" s="53"/>
      <c r="H34" s="54"/>
      <c r="I34" s="53"/>
      <c r="J34" s="51"/>
      <c r="K34" s="52"/>
      <c r="L34" s="72"/>
      <c r="M34" s="75"/>
      <c r="N34" s="49"/>
      <c r="O34" s="102"/>
      <c r="P34" s="102"/>
      <c r="Q34" s="103"/>
    </row>
    <row r="35" spans="1:17">
      <c r="A35" s="58" t="s">
        <v>186</v>
      </c>
      <c r="B35" s="57"/>
      <c r="C35" s="47"/>
      <c r="D35" s="55"/>
      <c r="E35" s="53"/>
      <c r="F35" s="54"/>
      <c r="G35" s="53"/>
      <c r="H35" s="54"/>
      <c r="I35" s="53"/>
      <c r="J35" s="51">
        <f t="shared" si="0"/>
        <v>0</v>
      </c>
      <c r="K35" s="52">
        <f t="shared" si="1"/>
        <v>0</v>
      </c>
      <c r="L35" s="72">
        <f t="shared" si="2"/>
        <v>0</v>
      </c>
      <c r="M35" s="75">
        <f t="shared" si="3"/>
        <v>0</v>
      </c>
      <c r="N35" s="49">
        <f t="shared" si="4"/>
        <v>0</v>
      </c>
      <c r="O35" s="102">
        <f t="shared" si="5"/>
        <v>0</v>
      </c>
      <c r="P35" s="102">
        <f t="shared" si="6"/>
        <v>0</v>
      </c>
      <c r="Q35" s="103">
        <f t="shared" si="7"/>
        <v>0</v>
      </c>
    </row>
    <row r="36" spans="1:17" s="279" customFormat="1">
      <c r="A36" s="58"/>
      <c r="B36" s="57"/>
      <c r="C36" s="47"/>
      <c r="D36" s="55"/>
      <c r="E36" s="53"/>
      <c r="F36" s="54"/>
      <c r="G36" s="53"/>
      <c r="H36" s="54"/>
      <c r="I36" s="53"/>
      <c r="J36" s="51"/>
      <c r="K36" s="52"/>
      <c r="L36" s="72"/>
      <c r="M36" s="75"/>
      <c r="N36" s="49"/>
      <c r="O36" s="102"/>
      <c r="P36" s="102"/>
      <c r="Q36" s="103"/>
    </row>
    <row r="37" spans="1:17">
      <c r="A37" s="58" t="s">
        <v>185</v>
      </c>
      <c r="B37" s="57"/>
      <c r="C37" s="47"/>
      <c r="D37" s="55"/>
      <c r="E37" s="53"/>
      <c r="F37" s="54"/>
      <c r="G37" s="53"/>
      <c r="H37" s="54"/>
      <c r="I37" s="53"/>
      <c r="J37" s="51">
        <f t="shared" si="0"/>
        <v>0</v>
      </c>
      <c r="K37" s="52">
        <f t="shared" si="1"/>
        <v>0</v>
      </c>
      <c r="L37" s="72">
        <f t="shared" si="2"/>
        <v>0</v>
      </c>
      <c r="M37" s="75">
        <f t="shared" si="3"/>
        <v>0</v>
      </c>
      <c r="N37" s="49">
        <f t="shared" si="4"/>
        <v>0</v>
      </c>
      <c r="O37" s="102">
        <f t="shared" si="5"/>
        <v>0</v>
      </c>
      <c r="P37" s="102">
        <f t="shared" si="6"/>
        <v>0</v>
      </c>
      <c r="Q37" s="103">
        <f t="shared" si="7"/>
        <v>0</v>
      </c>
    </row>
    <row r="38" spans="1:17" s="279" customFormat="1">
      <c r="A38" s="58"/>
      <c r="B38" s="57"/>
      <c r="C38" s="47"/>
      <c r="D38" s="55"/>
      <c r="E38" s="53"/>
      <c r="F38" s="54"/>
      <c r="G38" s="53"/>
      <c r="H38" s="54"/>
      <c r="I38" s="53"/>
      <c r="J38" s="51"/>
      <c r="K38" s="52"/>
      <c r="L38" s="72"/>
      <c r="M38" s="75"/>
      <c r="N38" s="49"/>
      <c r="O38" s="102"/>
      <c r="P38" s="102"/>
      <c r="Q38" s="103"/>
    </row>
    <row r="39" spans="1:17">
      <c r="A39" s="58" t="s">
        <v>184</v>
      </c>
      <c r="B39" s="57"/>
      <c r="C39" s="47"/>
      <c r="D39" s="55"/>
      <c r="E39" s="53"/>
      <c r="F39" s="54"/>
      <c r="G39" s="53"/>
      <c r="H39" s="54"/>
      <c r="I39" s="53"/>
      <c r="J39" s="51">
        <f t="shared" si="0"/>
        <v>0</v>
      </c>
      <c r="K39" s="52">
        <f t="shared" si="1"/>
        <v>0</v>
      </c>
      <c r="L39" s="72">
        <f t="shared" si="2"/>
        <v>0</v>
      </c>
      <c r="M39" s="75">
        <f t="shared" si="3"/>
        <v>0</v>
      </c>
      <c r="N39" s="49">
        <f t="shared" si="4"/>
        <v>0</v>
      </c>
      <c r="O39" s="102">
        <f t="shared" si="5"/>
        <v>0</v>
      </c>
      <c r="P39" s="102">
        <f t="shared" si="6"/>
        <v>0</v>
      </c>
      <c r="Q39" s="103">
        <f t="shared" si="7"/>
        <v>0</v>
      </c>
    </row>
    <row r="40" spans="1:17" s="279" customFormat="1">
      <c r="A40" s="58"/>
      <c r="B40" s="57"/>
      <c r="C40" s="47"/>
      <c r="D40" s="55"/>
      <c r="E40" s="53"/>
      <c r="F40" s="54"/>
      <c r="G40" s="53"/>
      <c r="H40" s="54"/>
      <c r="I40" s="53"/>
      <c r="J40" s="51"/>
      <c r="K40" s="52"/>
      <c r="L40" s="72"/>
      <c r="M40" s="75"/>
      <c r="N40" s="49"/>
      <c r="O40" s="102"/>
      <c r="P40" s="102"/>
      <c r="Q40" s="103"/>
    </row>
    <row r="41" spans="1:17">
      <c r="A41" s="58" t="s">
        <v>252</v>
      </c>
      <c r="B41" s="57"/>
      <c r="C41" s="47"/>
      <c r="D41" s="55"/>
      <c r="E41" s="53"/>
      <c r="F41" s="54"/>
      <c r="G41" s="53"/>
      <c r="H41" s="54"/>
      <c r="I41" s="53"/>
      <c r="J41" s="51">
        <f t="shared" si="0"/>
        <v>0</v>
      </c>
      <c r="K41" s="52">
        <f t="shared" si="1"/>
        <v>0</v>
      </c>
      <c r="L41" s="72">
        <f t="shared" si="2"/>
        <v>0</v>
      </c>
      <c r="M41" s="75">
        <f t="shared" si="3"/>
        <v>0</v>
      </c>
      <c r="N41" s="49">
        <f t="shared" si="4"/>
        <v>0</v>
      </c>
      <c r="O41" s="102">
        <f t="shared" si="5"/>
        <v>0</v>
      </c>
      <c r="P41" s="102">
        <f t="shared" si="6"/>
        <v>0</v>
      </c>
      <c r="Q41" s="103">
        <f t="shared" si="7"/>
        <v>0</v>
      </c>
    </row>
    <row r="42" spans="1:17" s="279" customFormat="1">
      <c r="A42" s="58"/>
      <c r="B42" s="57"/>
      <c r="C42" s="47"/>
      <c r="D42" s="55"/>
      <c r="E42" s="53"/>
      <c r="F42" s="54"/>
      <c r="G42" s="53"/>
      <c r="H42" s="54"/>
      <c r="I42" s="53"/>
      <c r="J42" s="51"/>
      <c r="K42" s="52"/>
      <c r="L42" s="72"/>
      <c r="M42" s="75"/>
      <c r="N42" s="49"/>
      <c r="O42" s="102"/>
      <c r="P42" s="102"/>
      <c r="Q42" s="103"/>
    </row>
    <row r="43" spans="1:17">
      <c r="A43" s="58" t="s">
        <v>253</v>
      </c>
      <c r="B43" s="57"/>
      <c r="C43" s="47"/>
      <c r="D43" s="55"/>
      <c r="E43" s="53"/>
      <c r="F43" s="54"/>
      <c r="G43" s="53"/>
      <c r="H43" s="54"/>
      <c r="I43" s="53"/>
      <c r="J43" s="51">
        <f t="shared" si="0"/>
        <v>0</v>
      </c>
      <c r="K43" s="52">
        <f t="shared" si="1"/>
        <v>0</v>
      </c>
      <c r="L43" s="72">
        <f t="shared" si="2"/>
        <v>0</v>
      </c>
      <c r="M43" s="75">
        <f t="shared" si="3"/>
        <v>0</v>
      </c>
      <c r="N43" s="49">
        <f t="shared" si="4"/>
        <v>0</v>
      </c>
      <c r="O43" s="102">
        <f t="shared" si="5"/>
        <v>0</v>
      </c>
      <c r="P43" s="102">
        <f t="shared" si="6"/>
        <v>0</v>
      </c>
      <c r="Q43" s="103">
        <f t="shared" si="7"/>
        <v>0</v>
      </c>
    </row>
    <row r="44" spans="1:17" s="279" customFormat="1">
      <c r="A44" s="58"/>
      <c r="B44" s="57"/>
      <c r="C44" s="47"/>
      <c r="D44" s="55"/>
      <c r="E44" s="53"/>
      <c r="F44" s="54"/>
      <c r="G44" s="53"/>
      <c r="H44" s="54"/>
      <c r="I44" s="53"/>
      <c r="J44" s="51"/>
      <c r="K44" s="52"/>
      <c r="L44" s="72"/>
      <c r="M44" s="75"/>
      <c r="N44" s="49"/>
      <c r="O44" s="102"/>
      <c r="P44" s="102"/>
      <c r="Q44" s="103"/>
    </row>
    <row r="45" spans="1:17">
      <c r="A45" s="58" t="s">
        <v>254</v>
      </c>
      <c r="B45" s="57"/>
      <c r="C45" s="47"/>
      <c r="D45" s="55"/>
      <c r="E45" s="53"/>
      <c r="F45" s="54"/>
      <c r="G45" s="53"/>
      <c r="H45" s="54"/>
      <c r="I45" s="53"/>
      <c r="J45" s="51">
        <f t="shared" si="0"/>
        <v>0</v>
      </c>
      <c r="K45" s="52">
        <f t="shared" si="1"/>
        <v>0</v>
      </c>
      <c r="L45" s="72">
        <f t="shared" si="2"/>
        <v>0</v>
      </c>
      <c r="M45" s="75">
        <f t="shared" si="3"/>
        <v>0</v>
      </c>
      <c r="N45" s="49">
        <f t="shared" si="4"/>
        <v>0</v>
      </c>
      <c r="O45" s="102">
        <f t="shared" si="5"/>
        <v>0</v>
      </c>
      <c r="P45" s="102">
        <f t="shared" si="6"/>
        <v>0</v>
      </c>
      <c r="Q45" s="103">
        <f t="shared" si="7"/>
        <v>0</v>
      </c>
    </row>
    <row r="46" spans="1:17" s="279" customFormat="1">
      <c r="A46" s="58"/>
      <c r="B46" s="57"/>
      <c r="C46" s="47"/>
      <c r="D46" s="55"/>
      <c r="E46" s="53"/>
      <c r="F46" s="54"/>
      <c r="G46" s="53"/>
      <c r="H46" s="54"/>
      <c r="I46" s="53"/>
      <c r="J46" s="51"/>
      <c r="K46" s="52"/>
      <c r="L46" s="72"/>
      <c r="M46" s="75"/>
      <c r="N46" s="49"/>
      <c r="O46" s="102"/>
      <c r="P46" s="102"/>
      <c r="Q46" s="103"/>
    </row>
    <row r="47" spans="1:17">
      <c r="A47" s="58" t="s">
        <v>255</v>
      </c>
      <c r="B47" s="57"/>
      <c r="C47" s="47"/>
      <c r="D47" s="55"/>
      <c r="E47" s="53"/>
      <c r="F47" s="54"/>
      <c r="G47" s="53"/>
      <c r="H47" s="54"/>
      <c r="I47" s="53"/>
      <c r="J47" s="51">
        <f t="shared" si="0"/>
        <v>0</v>
      </c>
      <c r="K47" s="52">
        <f t="shared" si="1"/>
        <v>0</v>
      </c>
      <c r="L47" s="72">
        <f t="shared" si="2"/>
        <v>0</v>
      </c>
      <c r="M47" s="75">
        <f t="shared" si="3"/>
        <v>0</v>
      </c>
      <c r="N47" s="49">
        <f t="shared" si="4"/>
        <v>0</v>
      </c>
      <c r="O47" s="102">
        <f t="shared" si="5"/>
        <v>0</v>
      </c>
      <c r="P47" s="102">
        <f t="shared" si="6"/>
        <v>0</v>
      </c>
      <c r="Q47" s="103">
        <f t="shared" si="7"/>
        <v>0</v>
      </c>
    </row>
    <row r="48" spans="1:17" s="279" customFormat="1">
      <c r="A48" s="58"/>
      <c r="B48" s="57"/>
      <c r="C48" s="47"/>
      <c r="D48" s="55"/>
      <c r="E48" s="53"/>
      <c r="F48" s="54"/>
      <c r="G48" s="53"/>
      <c r="H48" s="54"/>
      <c r="I48" s="53"/>
      <c r="J48" s="51"/>
      <c r="K48" s="52"/>
      <c r="L48" s="72"/>
      <c r="M48" s="75"/>
      <c r="N48" s="49"/>
      <c r="O48" s="102"/>
      <c r="P48" s="102"/>
      <c r="Q48" s="103"/>
    </row>
    <row r="49" spans="1:17">
      <c r="A49" s="58" t="s">
        <v>256</v>
      </c>
      <c r="B49" s="57"/>
      <c r="C49" s="47"/>
      <c r="D49" s="55"/>
      <c r="E49" s="53"/>
      <c r="F49" s="54"/>
      <c r="G49" s="53"/>
      <c r="H49" s="54"/>
      <c r="I49" s="53"/>
      <c r="J49" s="51">
        <f t="shared" si="0"/>
        <v>0</v>
      </c>
      <c r="K49" s="52">
        <f t="shared" si="1"/>
        <v>0</v>
      </c>
      <c r="L49" s="72">
        <f t="shared" si="2"/>
        <v>0</v>
      </c>
      <c r="M49" s="75">
        <f t="shared" si="3"/>
        <v>0</v>
      </c>
      <c r="N49" s="49">
        <f t="shared" si="4"/>
        <v>0</v>
      </c>
      <c r="O49" s="102">
        <f t="shared" si="5"/>
        <v>0</v>
      </c>
      <c r="P49" s="102">
        <f t="shared" si="6"/>
        <v>0</v>
      </c>
      <c r="Q49" s="103">
        <f t="shared" si="7"/>
        <v>0</v>
      </c>
    </row>
    <row r="50" spans="1:17" s="279" customFormat="1">
      <c r="A50" s="58"/>
      <c r="B50" s="57"/>
      <c r="C50" s="47"/>
      <c r="D50" s="55"/>
      <c r="E50" s="53"/>
      <c r="F50" s="54"/>
      <c r="G50" s="53"/>
      <c r="H50" s="54"/>
      <c r="I50" s="53"/>
      <c r="J50" s="51"/>
      <c r="K50" s="52"/>
      <c r="L50" s="72"/>
      <c r="M50" s="75"/>
      <c r="N50" s="49"/>
      <c r="O50" s="102"/>
      <c r="P50" s="102"/>
      <c r="Q50" s="103"/>
    </row>
    <row r="51" spans="1:17">
      <c r="A51" s="58" t="s">
        <v>257</v>
      </c>
      <c r="B51" s="57"/>
      <c r="C51" s="47"/>
      <c r="D51" s="55"/>
      <c r="E51" s="53"/>
      <c r="F51" s="54"/>
      <c r="G51" s="53"/>
      <c r="H51" s="54"/>
      <c r="I51" s="53"/>
      <c r="J51" s="51">
        <f t="shared" si="0"/>
        <v>0</v>
      </c>
      <c r="K51" s="52">
        <f t="shared" si="1"/>
        <v>0</v>
      </c>
      <c r="L51" s="72">
        <f t="shared" si="2"/>
        <v>0</v>
      </c>
      <c r="M51" s="75">
        <f t="shared" si="3"/>
        <v>0</v>
      </c>
      <c r="N51" s="49">
        <f t="shared" si="4"/>
        <v>0</v>
      </c>
      <c r="O51" s="102">
        <f t="shared" si="5"/>
        <v>0</v>
      </c>
      <c r="P51" s="102">
        <f t="shared" si="6"/>
        <v>0</v>
      </c>
      <c r="Q51" s="103">
        <f t="shared" si="7"/>
        <v>0</v>
      </c>
    </row>
    <row r="52" spans="1:17" s="279" customFormat="1">
      <c r="A52" s="58"/>
      <c r="B52" s="57"/>
      <c r="C52" s="47"/>
      <c r="D52" s="55"/>
      <c r="E52" s="53"/>
      <c r="F52" s="54"/>
      <c r="G52" s="53"/>
      <c r="H52" s="54"/>
      <c r="I52" s="53"/>
      <c r="J52" s="51"/>
      <c r="K52" s="52"/>
      <c r="L52" s="72"/>
      <c r="M52" s="75"/>
      <c r="N52" s="49"/>
      <c r="O52" s="102"/>
      <c r="P52" s="102"/>
      <c r="Q52" s="103"/>
    </row>
    <row r="53" spans="1:17">
      <c r="A53" s="58" t="s">
        <v>258</v>
      </c>
      <c r="B53" s="57"/>
      <c r="C53" s="47"/>
      <c r="D53" s="55"/>
      <c r="E53" s="53"/>
      <c r="F53" s="54"/>
      <c r="G53" s="53"/>
      <c r="H53" s="54"/>
      <c r="I53" s="53"/>
      <c r="J53" s="51">
        <f t="shared" si="0"/>
        <v>0</v>
      </c>
      <c r="K53" s="52">
        <f t="shared" si="1"/>
        <v>0</v>
      </c>
      <c r="L53" s="72">
        <f t="shared" si="2"/>
        <v>0</v>
      </c>
      <c r="M53" s="75">
        <f t="shared" si="3"/>
        <v>0</v>
      </c>
      <c r="N53" s="49">
        <f t="shared" si="4"/>
        <v>0</v>
      </c>
      <c r="O53" s="102">
        <f t="shared" si="5"/>
        <v>0</v>
      </c>
      <c r="P53" s="102">
        <f t="shared" si="6"/>
        <v>0</v>
      </c>
      <c r="Q53" s="103">
        <f t="shared" si="7"/>
        <v>0</v>
      </c>
    </row>
    <row r="54" spans="1:17" s="279" customFormat="1">
      <c r="A54" s="58"/>
      <c r="B54" s="57"/>
      <c r="C54" s="47"/>
      <c r="D54" s="55"/>
      <c r="E54" s="53"/>
      <c r="F54" s="54"/>
      <c r="G54" s="53"/>
      <c r="H54" s="54"/>
      <c r="I54" s="53"/>
      <c r="J54" s="51"/>
      <c r="K54" s="52"/>
      <c r="L54" s="72"/>
      <c r="M54" s="75"/>
      <c r="N54" s="49"/>
      <c r="O54" s="102"/>
      <c r="P54" s="102"/>
      <c r="Q54" s="103"/>
    </row>
    <row r="55" spans="1:17">
      <c r="A55" s="58" t="s">
        <v>259</v>
      </c>
      <c r="B55" s="57"/>
      <c r="C55" s="47"/>
      <c r="D55" s="55"/>
      <c r="E55" s="53"/>
      <c r="F55" s="54"/>
      <c r="G55" s="53"/>
      <c r="H55" s="54"/>
      <c r="I55" s="53"/>
      <c r="J55" s="51">
        <f t="shared" si="0"/>
        <v>0</v>
      </c>
      <c r="K55" s="52">
        <f t="shared" si="1"/>
        <v>0</v>
      </c>
      <c r="L55" s="72">
        <f t="shared" si="2"/>
        <v>0</v>
      </c>
      <c r="M55" s="75">
        <f t="shared" si="3"/>
        <v>0</v>
      </c>
      <c r="N55" s="49">
        <f t="shared" si="4"/>
        <v>0</v>
      </c>
      <c r="O55" s="102">
        <f t="shared" si="5"/>
        <v>0</v>
      </c>
      <c r="P55" s="102">
        <f t="shared" si="6"/>
        <v>0</v>
      </c>
      <c r="Q55" s="103">
        <f t="shared" si="7"/>
        <v>0</v>
      </c>
    </row>
    <row r="56" spans="1:17" s="279" customFormat="1">
      <c r="A56" s="58"/>
      <c r="B56" s="57"/>
      <c r="C56" s="47"/>
      <c r="D56" s="55"/>
      <c r="E56" s="53"/>
      <c r="F56" s="54"/>
      <c r="G56" s="53"/>
      <c r="H56" s="54"/>
      <c r="I56" s="53"/>
      <c r="J56" s="51"/>
      <c r="K56" s="52"/>
      <c r="L56" s="72"/>
      <c r="M56" s="75"/>
      <c r="N56" s="49"/>
      <c r="O56" s="102"/>
      <c r="P56" s="102"/>
      <c r="Q56" s="103"/>
    </row>
    <row r="57" spans="1:17">
      <c r="A57" s="58" t="s">
        <v>183</v>
      </c>
      <c r="B57" s="57"/>
      <c r="C57" s="47"/>
      <c r="D57" s="55"/>
      <c r="E57" s="53"/>
      <c r="F57" s="54"/>
      <c r="G57" s="53"/>
      <c r="H57" s="54"/>
      <c r="I57" s="53"/>
      <c r="J57" s="51">
        <f t="shared" si="0"/>
        <v>0</v>
      </c>
      <c r="K57" s="52">
        <f t="shared" si="1"/>
        <v>0</v>
      </c>
      <c r="L57" s="72">
        <f t="shared" si="2"/>
        <v>0</v>
      </c>
      <c r="M57" s="75">
        <f t="shared" si="3"/>
        <v>0</v>
      </c>
      <c r="N57" s="49">
        <f t="shared" si="4"/>
        <v>0</v>
      </c>
      <c r="O57" s="102">
        <f t="shared" si="5"/>
        <v>0</v>
      </c>
      <c r="P57" s="102">
        <f t="shared" si="6"/>
        <v>0</v>
      </c>
      <c r="Q57" s="103">
        <f t="shared" si="7"/>
        <v>0</v>
      </c>
    </row>
    <row r="58" spans="1:17" s="279" customFormat="1">
      <c r="A58" s="58"/>
      <c r="B58" s="57"/>
      <c r="C58" s="47"/>
      <c r="D58" s="55"/>
      <c r="E58" s="53"/>
      <c r="F58" s="54"/>
      <c r="G58" s="53"/>
      <c r="H58" s="54"/>
      <c r="I58" s="53"/>
      <c r="J58" s="51"/>
      <c r="K58" s="52"/>
      <c r="L58" s="72"/>
      <c r="M58" s="75"/>
      <c r="N58" s="49"/>
      <c r="O58" s="102"/>
      <c r="P58" s="102"/>
      <c r="Q58" s="103"/>
    </row>
    <row r="59" spans="1:17">
      <c r="A59" s="58" t="s">
        <v>260</v>
      </c>
      <c r="B59" s="57"/>
      <c r="C59" s="47"/>
      <c r="D59" s="55"/>
      <c r="E59" s="53"/>
      <c r="F59" s="54"/>
      <c r="G59" s="53"/>
      <c r="H59" s="54"/>
      <c r="I59" s="53"/>
      <c r="J59" s="51">
        <f t="shared" si="0"/>
        <v>0</v>
      </c>
      <c r="K59" s="52">
        <f t="shared" si="1"/>
        <v>0</v>
      </c>
      <c r="L59" s="72">
        <f t="shared" si="2"/>
        <v>0</v>
      </c>
      <c r="M59" s="75">
        <f t="shared" si="3"/>
        <v>0</v>
      </c>
      <c r="N59" s="49">
        <f t="shared" si="4"/>
        <v>0</v>
      </c>
      <c r="O59" s="102">
        <f t="shared" si="5"/>
        <v>0</v>
      </c>
      <c r="P59" s="102">
        <f t="shared" si="6"/>
        <v>0</v>
      </c>
      <c r="Q59" s="103">
        <f t="shared" si="7"/>
        <v>0</v>
      </c>
    </row>
    <row r="60" spans="1:17" s="279" customFormat="1">
      <c r="A60" s="58"/>
      <c r="B60" s="57"/>
      <c r="C60" s="47"/>
      <c r="D60" s="55"/>
      <c r="E60" s="53"/>
      <c r="F60" s="54"/>
      <c r="G60" s="53"/>
      <c r="H60" s="54"/>
      <c r="I60" s="53"/>
      <c r="J60" s="51"/>
      <c r="K60" s="52"/>
      <c r="L60" s="72"/>
      <c r="M60" s="75"/>
      <c r="N60" s="49"/>
      <c r="O60" s="102"/>
      <c r="P60" s="102"/>
      <c r="Q60" s="103"/>
    </row>
    <row r="61" spans="1:17">
      <c r="A61" s="58" t="s">
        <v>261</v>
      </c>
      <c r="B61" s="57"/>
      <c r="C61" s="47"/>
      <c r="D61" s="55"/>
      <c r="E61" s="53"/>
      <c r="F61" s="54"/>
      <c r="G61" s="53"/>
      <c r="H61" s="54"/>
      <c r="I61" s="53"/>
      <c r="J61" s="51">
        <f t="shared" si="0"/>
        <v>0</v>
      </c>
      <c r="K61" s="52">
        <f t="shared" si="1"/>
        <v>0</v>
      </c>
      <c r="L61" s="72">
        <f t="shared" si="2"/>
        <v>0</v>
      </c>
      <c r="M61" s="75">
        <f t="shared" si="3"/>
        <v>0</v>
      </c>
      <c r="N61" s="49">
        <f t="shared" si="4"/>
        <v>0</v>
      </c>
      <c r="O61" s="102">
        <f t="shared" si="5"/>
        <v>0</v>
      </c>
      <c r="P61" s="102">
        <f t="shared" si="6"/>
        <v>0</v>
      </c>
      <c r="Q61" s="103">
        <f t="shared" si="7"/>
        <v>0</v>
      </c>
    </row>
    <row r="62" spans="1:17" s="279" customFormat="1">
      <c r="A62" s="58"/>
      <c r="B62" s="57"/>
      <c r="C62" s="47"/>
      <c r="D62" s="55"/>
      <c r="E62" s="53"/>
      <c r="F62" s="54"/>
      <c r="G62" s="53"/>
      <c r="H62" s="54"/>
      <c r="I62" s="53"/>
      <c r="J62" s="51"/>
      <c r="K62" s="52"/>
      <c r="L62" s="72"/>
      <c r="M62" s="75"/>
      <c r="N62" s="49"/>
      <c r="O62" s="102"/>
      <c r="P62" s="102"/>
      <c r="Q62" s="103"/>
    </row>
    <row r="63" spans="1:17">
      <c r="A63" s="58" t="s">
        <v>262</v>
      </c>
      <c r="B63" s="57"/>
      <c r="C63" s="47"/>
      <c r="D63" s="55"/>
      <c r="E63" s="53"/>
      <c r="F63" s="54"/>
      <c r="G63" s="53"/>
      <c r="H63" s="54"/>
      <c r="I63" s="53"/>
      <c r="J63" s="51">
        <f t="shared" si="0"/>
        <v>0</v>
      </c>
      <c r="K63" s="52">
        <f t="shared" si="1"/>
        <v>0</v>
      </c>
      <c r="L63" s="72">
        <f t="shared" si="2"/>
        <v>0</v>
      </c>
      <c r="M63" s="75">
        <f t="shared" si="3"/>
        <v>0</v>
      </c>
      <c r="N63" s="49">
        <f t="shared" si="4"/>
        <v>0</v>
      </c>
      <c r="O63" s="102">
        <f t="shared" si="5"/>
        <v>0</v>
      </c>
      <c r="P63" s="102">
        <f t="shared" si="6"/>
        <v>0</v>
      </c>
      <c r="Q63" s="103">
        <f t="shared" si="7"/>
        <v>0</v>
      </c>
    </row>
    <row r="64" spans="1:17" s="279" customFormat="1">
      <c r="A64" s="58"/>
      <c r="B64" s="57"/>
      <c r="C64" s="47"/>
      <c r="D64" s="55"/>
      <c r="E64" s="53"/>
      <c r="F64" s="54"/>
      <c r="G64" s="53"/>
      <c r="H64" s="54"/>
      <c r="I64" s="53"/>
      <c r="J64" s="51"/>
      <c r="K64" s="52"/>
      <c r="L64" s="72"/>
      <c r="M64" s="75"/>
      <c r="N64" s="49"/>
      <c r="O64" s="102"/>
      <c r="P64" s="102"/>
      <c r="Q64" s="103"/>
    </row>
    <row r="65" spans="1:17">
      <c r="A65" s="58" t="s">
        <v>263</v>
      </c>
      <c r="B65" s="57"/>
      <c r="C65" s="47"/>
      <c r="D65" s="55"/>
      <c r="E65" s="53"/>
      <c r="F65" s="54"/>
      <c r="G65" s="53"/>
      <c r="H65" s="54"/>
      <c r="I65" s="53"/>
      <c r="J65" s="51">
        <f t="shared" si="0"/>
        <v>0</v>
      </c>
      <c r="K65" s="52">
        <f t="shared" si="1"/>
        <v>0</v>
      </c>
      <c r="L65" s="72">
        <f t="shared" si="2"/>
        <v>0</v>
      </c>
      <c r="M65" s="75">
        <f t="shared" si="3"/>
        <v>0</v>
      </c>
      <c r="N65" s="49">
        <f t="shared" si="4"/>
        <v>0</v>
      </c>
      <c r="O65" s="102">
        <f t="shared" si="5"/>
        <v>0</v>
      </c>
      <c r="P65" s="102">
        <f t="shared" si="6"/>
        <v>0</v>
      </c>
      <c r="Q65" s="103">
        <f t="shared" si="7"/>
        <v>0</v>
      </c>
    </row>
    <row r="66" spans="1:17" s="279" customFormat="1">
      <c r="A66" s="58"/>
      <c r="B66" s="57"/>
      <c r="C66" s="47"/>
      <c r="D66" s="55"/>
      <c r="E66" s="53"/>
      <c r="F66" s="54"/>
      <c r="G66" s="53"/>
      <c r="H66" s="54"/>
      <c r="I66" s="53"/>
      <c r="J66" s="51"/>
      <c r="K66" s="52"/>
      <c r="L66" s="72"/>
      <c r="M66" s="75"/>
      <c r="N66" s="49"/>
      <c r="O66" s="102"/>
      <c r="P66" s="102"/>
      <c r="Q66" s="103"/>
    </row>
    <row r="67" spans="1:17">
      <c r="A67" s="58" t="s">
        <v>264</v>
      </c>
      <c r="B67" s="57"/>
      <c r="C67" s="47"/>
      <c r="D67" s="55"/>
      <c r="E67" s="53"/>
      <c r="F67" s="54"/>
      <c r="G67" s="53"/>
      <c r="H67" s="54"/>
      <c r="I67" s="53"/>
      <c r="J67" s="51">
        <f t="shared" si="0"/>
        <v>0</v>
      </c>
      <c r="K67" s="52">
        <f t="shared" si="1"/>
        <v>0</v>
      </c>
      <c r="L67" s="72">
        <f t="shared" si="2"/>
        <v>0</v>
      </c>
      <c r="M67" s="75">
        <f t="shared" si="3"/>
        <v>0</v>
      </c>
      <c r="N67" s="49">
        <f t="shared" si="4"/>
        <v>0</v>
      </c>
      <c r="O67" s="102">
        <f t="shared" si="5"/>
        <v>0</v>
      </c>
      <c r="P67" s="102">
        <f t="shared" si="6"/>
        <v>0</v>
      </c>
      <c r="Q67" s="103">
        <f t="shared" si="7"/>
        <v>0</v>
      </c>
    </row>
    <row r="68" spans="1:17" s="279" customFormat="1">
      <c r="A68" s="58"/>
      <c r="B68" s="57"/>
      <c r="C68" s="47"/>
      <c r="D68" s="55"/>
      <c r="E68" s="53"/>
      <c r="F68" s="54"/>
      <c r="G68" s="53"/>
      <c r="H68" s="54"/>
      <c r="I68" s="53"/>
      <c r="J68" s="51"/>
      <c r="K68" s="52"/>
      <c r="L68" s="72"/>
      <c r="M68" s="75"/>
      <c r="N68" s="49"/>
      <c r="O68" s="102"/>
      <c r="P68" s="102"/>
      <c r="Q68" s="103"/>
    </row>
    <row r="69" spans="1:17">
      <c r="A69" s="58" t="s">
        <v>182</v>
      </c>
      <c r="B69" s="57"/>
      <c r="C69" s="47"/>
      <c r="D69" s="55"/>
      <c r="E69" s="53"/>
      <c r="F69" s="54"/>
      <c r="G69" s="53"/>
      <c r="H69" s="54"/>
      <c r="I69" s="53"/>
      <c r="J69" s="51">
        <f t="shared" si="0"/>
        <v>0</v>
      </c>
      <c r="K69" s="52">
        <f t="shared" si="1"/>
        <v>0</v>
      </c>
      <c r="L69" s="72">
        <f t="shared" si="2"/>
        <v>0</v>
      </c>
      <c r="M69" s="75">
        <f t="shared" si="3"/>
        <v>0</v>
      </c>
      <c r="N69" s="49">
        <f t="shared" si="4"/>
        <v>0</v>
      </c>
      <c r="O69" s="102">
        <f t="shared" si="5"/>
        <v>0</v>
      </c>
      <c r="P69" s="102">
        <f t="shared" si="6"/>
        <v>0</v>
      </c>
      <c r="Q69" s="103">
        <f t="shared" si="7"/>
        <v>0</v>
      </c>
    </row>
    <row r="70" spans="1:17" s="279" customFormat="1">
      <c r="A70" s="58"/>
      <c r="B70" s="57"/>
      <c r="C70" s="47"/>
      <c r="D70" s="55"/>
      <c r="E70" s="53"/>
      <c r="F70" s="54"/>
      <c r="G70" s="53"/>
      <c r="H70" s="54"/>
      <c r="I70" s="53"/>
      <c r="J70" s="51"/>
      <c r="K70" s="52"/>
      <c r="L70" s="72"/>
      <c r="M70" s="75"/>
      <c r="N70" s="49"/>
      <c r="O70" s="102"/>
      <c r="P70" s="102"/>
      <c r="Q70" s="103"/>
    </row>
    <row r="71" spans="1:17">
      <c r="A71" s="58" t="s">
        <v>265</v>
      </c>
      <c r="B71" s="57"/>
      <c r="C71" s="47"/>
      <c r="D71" s="55"/>
      <c r="E71" s="53"/>
      <c r="F71" s="54"/>
      <c r="G71" s="53"/>
      <c r="H71" s="54"/>
      <c r="I71" s="53"/>
      <c r="J71" s="51">
        <f t="shared" si="0"/>
        <v>0</v>
      </c>
      <c r="K71" s="52">
        <f t="shared" si="1"/>
        <v>0</v>
      </c>
      <c r="L71" s="72">
        <f t="shared" si="2"/>
        <v>0</v>
      </c>
      <c r="M71" s="75">
        <f t="shared" si="3"/>
        <v>0</v>
      </c>
      <c r="N71" s="49">
        <f t="shared" si="4"/>
        <v>0</v>
      </c>
      <c r="O71" s="102">
        <f t="shared" si="5"/>
        <v>0</v>
      </c>
      <c r="P71" s="102">
        <f t="shared" si="6"/>
        <v>0</v>
      </c>
      <c r="Q71" s="103">
        <f t="shared" si="7"/>
        <v>0</v>
      </c>
    </row>
    <row r="72" spans="1:17" s="279" customFormat="1">
      <c r="A72" s="58"/>
      <c r="B72" s="57"/>
      <c r="C72" s="47"/>
      <c r="D72" s="55"/>
      <c r="E72" s="53"/>
      <c r="F72" s="54"/>
      <c r="G72" s="53"/>
      <c r="H72" s="54"/>
      <c r="I72" s="53"/>
      <c r="J72" s="51"/>
      <c r="K72" s="52"/>
      <c r="L72" s="72"/>
      <c r="M72" s="75"/>
      <c r="N72" s="49"/>
      <c r="O72" s="102"/>
      <c r="P72" s="102"/>
      <c r="Q72" s="103"/>
    </row>
    <row r="73" spans="1:17">
      <c r="A73" s="58" t="s">
        <v>266</v>
      </c>
      <c r="B73" s="57"/>
      <c r="C73" s="47"/>
      <c r="D73" s="55"/>
      <c r="E73" s="53"/>
      <c r="F73" s="54"/>
      <c r="G73" s="53"/>
      <c r="H73" s="54"/>
      <c r="I73" s="53"/>
      <c r="J73" s="51">
        <f t="shared" si="0"/>
        <v>0</v>
      </c>
      <c r="K73" s="52">
        <f t="shared" si="1"/>
        <v>0</v>
      </c>
      <c r="L73" s="72">
        <f t="shared" si="2"/>
        <v>0</v>
      </c>
      <c r="M73" s="75">
        <f t="shared" si="3"/>
        <v>0</v>
      </c>
      <c r="N73" s="49">
        <f t="shared" si="4"/>
        <v>0</v>
      </c>
      <c r="O73" s="102">
        <f t="shared" si="5"/>
        <v>0</v>
      </c>
      <c r="P73" s="102">
        <f t="shared" si="6"/>
        <v>0</v>
      </c>
      <c r="Q73" s="103">
        <f t="shared" si="7"/>
        <v>0</v>
      </c>
    </row>
    <row r="74" spans="1:17" s="279" customFormat="1">
      <c r="A74" s="58"/>
      <c r="B74" s="57"/>
      <c r="C74" s="47"/>
      <c r="D74" s="55"/>
      <c r="E74" s="53"/>
      <c r="F74" s="54"/>
      <c r="G74" s="53"/>
      <c r="H74" s="54"/>
      <c r="I74" s="53"/>
      <c r="J74" s="51"/>
      <c r="K74" s="52"/>
      <c r="L74" s="72"/>
      <c r="M74" s="75"/>
      <c r="N74" s="49"/>
      <c r="O74" s="102"/>
      <c r="P74" s="102"/>
      <c r="Q74" s="103"/>
    </row>
    <row r="75" spans="1:17">
      <c r="A75" s="58"/>
      <c r="B75" s="57"/>
      <c r="C75" s="47"/>
      <c r="D75" s="55"/>
      <c r="E75" s="53"/>
      <c r="F75" s="54"/>
      <c r="G75" s="53"/>
      <c r="H75" s="54"/>
      <c r="I75" s="53"/>
      <c r="J75" s="51">
        <f t="shared" si="0"/>
        <v>0</v>
      </c>
      <c r="K75" s="52">
        <f t="shared" si="1"/>
        <v>0</v>
      </c>
      <c r="L75" s="72">
        <f t="shared" si="2"/>
        <v>0</v>
      </c>
      <c r="M75" s="75">
        <f t="shared" si="3"/>
        <v>0</v>
      </c>
      <c r="N75" s="49">
        <f t="shared" si="4"/>
        <v>0</v>
      </c>
      <c r="O75" s="102">
        <f t="shared" si="5"/>
        <v>0</v>
      </c>
      <c r="P75" s="102">
        <f t="shared" si="6"/>
        <v>0</v>
      </c>
      <c r="Q75" s="103">
        <f t="shared" si="7"/>
        <v>0</v>
      </c>
    </row>
    <row r="76" spans="1:17" s="279" customFormat="1">
      <c r="A76" s="58"/>
      <c r="B76" s="57"/>
      <c r="C76" s="47"/>
      <c r="D76" s="55"/>
      <c r="E76" s="53"/>
      <c r="F76" s="54"/>
      <c r="G76" s="53"/>
      <c r="H76" s="54"/>
      <c r="I76" s="53"/>
      <c r="J76" s="51"/>
      <c r="K76" s="52"/>
      <c r="L76" s="72"/>
      <c r="M76" s="75"/>
      <c r="N76" s="49"/>
      <c r="O76" s="102"/>
      <c r="P76" s="102"/>
      <c r="Q76" s="103"/>
    </row>
    <row r="77" spans="1:17">
      <c r="A77" s="58"/>
      <c r="B77" s="57"/>
      <c r="C77" s="47"/>
      <c r="D77" s="55"/>
      <c r="E77" s="53"/>
      <c r="F77" s="54"/>
      <c r="G77" s="53"/>
      <c r="H77" s="54"/>
      <c r="I77" s="53"/>
      <c r="J77" s="51">
        <f t="shared" si="0"/>
        <v>0</v>
      </c>
      <c r="K77" s="52">
        <f t="shared" si="1"/>
        <v>0</v>
      </c>
      <c r="L77" s="72">
        <f t="shared" si="2"/>
        <v>0</v>
      </c>
      <c r="M77" s="75">
        <f t="shared" si="3"/>
        <v>0</v>
      </c>
      <c r="N77" s="49">
        <f t="shared" si="4"/>
        <v>0</v>
      </c>
      <c r="O77" s="102">
        <f t="shared" si="5"/>
        <v>0</v>
      </c>
      <c r="P77" s="102">
        <f t="shared" si="6"/>
        <v>0</v>
      </c>
      <c r="Q77" s="103">
        <f t="shared" si="7"/>
        <v>0</v>
      </c>
    </row>
    <row r="78" spans="1:17" s="153" customFormat="1">
      <c r="A78" s="57"/>
      <c r="B78" s="57"/>
      <c r="C78" s="47"/>
      <c r="D78" s="55"/>
      <c r="E78" s="53"/>
      <c r="F78" s="54"/>
      <c r="G78" s="53"/>
      <c r="H78" s="54"/>
      <c r="I78" s="53"/>
      <c r="J78" s="51"/>
      <c r="K78" s="52"/>
      <c r="L78" s="72"/>
      <c r="M78" s="75"/>
      <c r="N78" s="49"/>
      <c r="O78" s="102"/>
      <c r="P78" s="102"/>
      <c r="Q78" s="103"/>
    </row>
    <row r="79" spans="1:17" s="153" customFormat="1">
      <c r="A79" s="57"/>
      <c r="B79" s="57"/>
      <c r="C79" s="47"/>
      <c r="D79" s="55"/>
      <c r="E79" s="53"/>
      <c r="F79" s="54"/>
      <c r="G79" s="53"/>
      <c r="H79" s="54"/>
      <c r="I79" s="53"/>
      <c r="J79" s="51"/>
      <c r="K79" s="52"/>
      <c r="L79" s="72"/>
      <c r="M79" s="75"/>
      <c r="N79" s="49"/>
      <c r="O79" s="102"/>
      <c r="P79" s="102"/>
      <c r="Q79" s="103"/>
    </row>
    <row r="80" spans="1:17" s="153" customFormat="1">
      <c r="A80" s="57"/>
      <c r="B80" s="57"/>
      <c r="C80" s="47"/>
      <c r="D80" s="55"/>
      <c r="E80" s="53"/>
      <c r="F80" s="54"/>
      <c r="G80" s="53"/>
      <c r="H80" s="54"/>
      <c r="I80" s="53"/>
      <c r="J80" s="51"/>
      <c r="K80" s="52"/>
      <c r="L80" s="72"/>
      <c r="M80" s="75"/>
      <c r="N80" s="49"/>
      <c r="O80" s="102"/>
      <c r="P80" s="102"/>
      <c r="Q80" s="103"/>
    </row>
    <row r="81" spans="1:17" s="153" customFormat="1">
      <c r="A81" s="57"/>
      <c r="B81" s="57"/>
      <c r="C81" s="47"/>
      <c r="D81" s="55"/>
      <c r="E81" s="53"/>
      <c r="F81" s="54"/>
      <c r="G81" s="53"/>
      <c r="H81" s="54"/>
      <c r="I81" s="53"/>
      <c r="J81" s="51"/>
      <c r="K81" s="52"/>
      <c r="L81" s="72"/>
      <c r="M81" s="75"/>
      <c r="N81" s="49"/>
      <c r="O81" s="102"/>
      <c r="P81" s="102"/>
      <c r="Q81" s="103"/>
    </row>
    <row r="82" spans="1:17" s="153" customFormat="1">
      <c r="A82" s="57"/>
      <c r="B82" s="57"/>
      <c r="C82" s="47"/>
      <c r="D82" s="55"/>
      <c r="E82" s="53"/>
      <c r="F82" s="54"/>
      <c r="G82" s="53"/>
      <c r="H82" s="54"/>
      <c r="I82" s="53"/>
      <c r="J82" s="51"/>
      <c r="K82" s="52"/>
      <c r="L82" s="72"/>
      <c r="M82" s="75"/>
      <c r="N82" s="49"/>
      <c r="O82" s="102"/>
      <c r="P82" s="102"/>
      <c r="Q82" s="103"/>
    </row>
    <row r="83" spans="1:17" s="153" customFormat="1">
      <c r="A83" s="57"/>
      <c r="B83" s="57"/>
      <c r="C83" s="47"/>
      <c r="D83" s="55"/>
      <c r="E83" s="53"/>
      <c r="F83" s="54"/>
      <c r="G83" s="53"/>
      <c r="H83" s="54"/>
      <c r="I83" s="53"/>
      <c r="J83" s="51"/>
      <c r="K83" s="52"/>
      <c r="L83" s="72"/>
      <c r="M83" s="75"/>
      <c r="N83" s="49"/>
      <c r="O83" s="102"/>
      <c r="P83" s="102"/>
      <c r="Q83" s="103"/>
    </row>
    <row r="84" spans="1:17" s="153" customFormat="1">
      <c r="A84" s="57"/>
      <c r="B84" s="57"/>
      <c r="C84" s="47"/>
      <c r="D84" s="55"/>
      <c r="E84" s="53"/>
      <c r="F84" s="54"/>
      <c r="G84" s="53"/>
      <c r="H84" s="54"/>
      <c r="I84" s="53"/>
      <c r="J84" s="51"/>
      <c r="K84" s="52"/>
      <c r="L84" s="72"/>
      <c r="M84" s="75"/>
      <c r="N84" s="49"/>
      <c r="O84" s="102"/>
      <c r="P84" s="102"/>
      <c r="Q84" s="103"/>
    </row>
    <row r="85" spans="1:17" s="153" customFormat="1">
      <c r="A85" s="57"/>
      <c r="B85" s="57"/>
      <c r="C85" s="47"/>
      <c r="D85" s="55"/>
      <c r="E85" s="53"/>
      <c r="F85" s="54"/>
      <c r="G85" s="53"/>
      <c r="H85" s="54"/>
      <c r="I85" s="53"/>
      <c r="J85" s="51"/>
      <c r="K85" s="52"/>
      <c r="L85" s="72"/>
      <c r="M85" s="75"/>
      <c r="N85" s="49"/>
      <c r="O85" s="102"/>
      <c r="P85" s="102"/>
      <c r="Q85" s="103"/>
    </row>
    <row r="86" spans="1:17" s="153" customFormat="1">
      <c r="A86" s="57"/>
      <c r="B86" s="57"/>
      <c r="C86" s="47"/>
      <c r="D86" s="55"/>
      <c r="E86" s="53"/>
      <c r="F86" s="54"/>
      <c r="G86" s="53"/>
      <c r="H86" s="54"/>
      <c r="I86" s="53"/>
      <c r="J86" s="51"/>
      <c r="K86" s="52"/>
      <c r="L86" s="72"/>
      <c r="M86" s="75"/>
      <c r="N86" s="49"/>
      <c r="O86" s="102"/>
      <c r="P86" s="102"/>
      <c r="Q86" s="103"/>
    </row>
    <row r="87" spans="1:17" s="153" customFormat="1">
      <c r="A87" s="57"/>
      <c r="B87" s="57"/>
      <c r="C87" s="47"/>
      <c r="D87" s="55"/>
      <c r="E87" s="53"/>
      <c r="F87" s="54"/>
      <c r="G87" s="53"/>
      <c r="H87" s="54"/>
      <c r="I87" s="53"/>
      <c r="J87" s="51"/>
      <c r="K87" s="52"/>
      <c r="L87" s="72"/>
      <c r="M87" s="75"/>
      <c r="N87" s="49"/>
      <c r="O87" s="102"/>
      <c r="P87" s="102"/>
      <c r="Q87" s="103"/>
    </row>
    <row r="88" spans="1:17" s="153" customFormat="1">
      <c r="A88" s="57"/>
      <c r="B88" s="57"/>
      <c r="C88" s="47"/>
      <c r="D88" s="55"/>
      <c r="E88" s="53"/>
      <c r="F88" s="54"/>
      <c r="G88" s="53"/>
      <c r="H88" s="54"/>
      <c r="I88" s="53"/>
      <c r="J88" s="51"/>
      <c r="K88" s="52"/>
      <c r="L88" s="72"/>
      <c r="M88" s="75"/>
      <c r="N88" s="49"/>
      <c r="O88" s="102"/>
      <c r="P88" s="102"/>
      <c r="Q88" s="103"/>
    </row>
    <row r="89" spans="1:17" s="153" customFormat="1">
      <c r="A89" s="57"/>
      <c r="B89" s="57"/>
      <c r="C89" s="47"/>
      <c r="D89" s="55"/>
      <c r="E89" s="53"/>
      <c r="F89" s="54"/>
      <c r="G89" s="53"/>
      <c r="H89" s="54"/>
      <c r="I89" s="53"/>
      <c r="J89" s="51"/>
      <c r="K89" s="52"/>
      <c r="L89" s="72"/>
      <c r="M89" s="75"/>
      <c r="N89" s="49"/>
      <c r="O89" s="102"/>
      <c r="P89" s="102"/>
      <c r="Q89" s="103"/>
    </row>
    <row r="90" spans="1:17" s="153" customFormat="1">
      <c r="A90" s="57"/>
      <c r="B90" s="57"/>
      <c r="C90" s="47"/>
      <c r="D90" s="55"/>
      <c r="E90" s="53"/>
      <c r="F90" s="54"/>
      <c r="G90" s="53"/>
      <c r="H90" s="54"/>
      <c r="I90" s="53"/>
      <c r="J90" s="51"/>
      <c r="K90" s="52"/>
      <c r="L90" s="72"/>
      <c r="M90" s="75"/>
      <c r="N90" s="49"/>
      <c r="O90" s="102"/>
      <c r="P90" s="102"/>
      <c r="Q90" s="103"/>
    </row>
    <row r="91" spans="1:17" s="153" customFormat="1">
      <c r="A91" s="56"/>
      <c r="B91" s="56"/>
      <c r="C91" s="47"/>
      <c r="D91" s="55"/>
      <c r="E91" s="53"/>
      <c r="F91" s="54"/>
      <c r="G91" s="53"/>
      <c r="H91" s="54"/>
      <c r="I91" s="53"/>
      <c r="J91" s="51"/>
      <c r="K91" s="52"/>
      <c r="L91" s="72"/>
      <c r="M91" s="75"/>
      <c r="N91" s="49"/>
      <c r="O91" s="102"/>
      <c r="P91" s="102"/>
      <c r="Q91" s="103"/>
    </row>
    <row r="92" spans="1:17">
      <c r="G92" s="752" t="s">
        <v>181</v>
      </c>
      <c r="H92" s="752"/>
      <c r="I92" s="31">
        <f>SUM(I13:I77)</f>
        <v>0</v>
      </c>
    </row>
    <row r="93" spans="1:17">
      <c r="G93" s="752" t="s">
        <v>180</v>
      </c>
      <c r="H93" s="752"/>
      <c r="I93" s="37">
        <f>I92*D3</f>
        <v>0</v>
      </c>
    </row>
  </sheetData>
  <mergeCells count="4">
    <mergeCell ref="A1:B1"/>
    <mergeCell ref="E5:I5"/>
    <mergeCell ref="G92:H92"/>
    <mergeCell ref="G93:H93"/>
  </mergeCells>
  <pageMargins left="0.7" right="0.7" top="0.75" bottom="0.75" header="0.3" footer="0.3"/>
  <pageSetup scale="57"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M58"/>
  <sheetViews>
    <sheetView topLeftCell="A7" zoomScale="70" zoomScaleNormal="70" workbookViewId="0">
      <selection activeCell="H34" sqref="H34"/>
    </sheetView>
  </sheetViews>
  <sheetFormatPr defaultRowHeight="15"/>
  <cols>
    <col min="1" max="1" width="35.7109375" bestFit="1" customWidth="1"/>
    <col min="2" max="3" width="26" style="503" bestFit="1" customWidth="1"/>
    <col min="4" max="4" width="33" style="503" bestFit="1" customWidth="1"/>
    <col min="5" max="10" width="26" style="503" bestFit="1" customWidth="1"/>
    <col min="11" max="12" width="26" style="549" bestFit="1" customWidth="1"/>
    <col min="13" max="13" width="27.140625" style="503" bestFit="1" customWidth="1"/>
  </cols>
  <sheetData>
    <row r="1" spans="1:13">
      <c r="K1" s="549" t="s">
        <v>1276</v>
      </c>
      <c r="L1" s="549" t="s">
        <v>1277</v>
      </c>
    </row>
    <row r="2" spans="1:13">
      <c r="A2" s="504" t="s">
        <v>141</v>
      </c>
      <c r="B2" s="259">
        <f>TestSummary!$A31</f>
        <v>62005015</v>
      </c>
      <c r="C2" s="259">
        <f>TestSummary!$A55</f>
        <v>62005020</v>
      </c>
      <c r="D2" s="259">
        <f>TestSummary!$A63</f>
        <v>62005027</v>
      </c>
      <c r="E2" s="259">
        <f>TestSummary!$A87</f>
        <v>62006004</v>
      </c>
      <c r="F2" s="259">
        <f>TestSummary!$A113</f>
        <v>62006008</v>
      </c>
      <c r="G2" s="259">
        <f>TestSummary!$A137</f>
        <v>62006013</v>
      </c>
      <c r="H2" s="259">
        <f>TestSummary!$A150</f>
        <v>62006016</v>
      </c>
      <c r="I2" s="507">
        <f>TestSummary!$A174</f>
        <v>62006021</v>
      </c>
      <c r="J2" s="259">
        <f>TestSummary!$A196</f>
        <v>62006031</v>
      </c>
      <c r="K2" s="259">
        <f>TestSummary!$A220</f>
        <v>62006036</v>
      </c>
      <c r="L2" s="259">
        <f>TestSummary!$A262</f>
        <v>62006042</v>
      </c>
      <c r="M2" s="259">
        <f>TestSummary!$A288</f>
        <v>62007006</v>
      </c>
    </row>
    <row r="3" spans="1:13">
      <c r="A3" s="504" t="s">
        <v>424</v>
      </c>
      <c r="B3" s="388" t="str">
        <f>TestSummary!$B31</f>
        <v>Charge L2 23C</v>
      </c>
      <c r="C3" s="388" t="str">
        <f>TestSummary!$B55</f>
        <v>Charge L2 23C</v>
      </c>
      <c r="D3" s="388" t="str">
        <f>TestSummary!$B63</f>
        <v>Charge L1 23C - Partial to Daily Limit</v>
      </c>
      <c r="E3" s="388" t="str">
        <f>TestSummary!$B87</f>
        <v>Charge L2 23C</v>
      </c>
      <c r="F3" s="388" t="str">
        <f>TestSummary!$B113</f>
        <v>Charge L2 -7C</v>
      </c>
      <c r="G3" s="388" t="str">
        <f>TestSummary!$B137</f>
        <v>Charge L2 -7C</v>
      </c>
      <c r="H3" s="388" t="str">
        <f>TestSummary!$B150</f>
        <v>Charge L2 -7C</v>
      </c>
      <c r="I3" s="508" t="str">
        <f>TestSummary!$B174</f>
        <v>Charge L2 -17C</v>
      </c>
      <c r="J3" s="388" t="str">
        <f>TestSummary!$B196</f>
        <v>Charge L2 23C</v>
      </c>
      <c r="K3" s="388" t="str">
        <f>TestSummary!$B220</f>
        <v>Charge L2 23C</v>
      </c>
      <c r="L3" s="388" t="str">
        <f>TestSummary!$B262</f>
        <v>Charge L2 23C</v>
      </c>
      <c r="M3" s="388" t="str">
        <f>TestSummary!$B288</f>
        <v>Charge L2 35C</v>
      </c>
    </row>
    <row r="4" spans="1:13">
      <c r="A4" s="504" t="s">
        <v>429</v>
      </c>
      <c r="B4" s="556">
        <v>23</v>
      </c>
      <c r="C4" s="556">
        <v>23</v>
      </c>
      <c r="D4" s="556">
        <v>23</v>
      </c>
      <c r="E4" s="557">
        <v>35</v>
      </c>
      <c r="F4" s="558">
        <v>-7</v>
      </c>
      <c r="G4" s="558">
        <v>-7</v>
      </c>
      <c r="H4" s="559">
        <v>-18</v>
      </c>
      <c r="I4" s="559">
        <v>-18</v>
      </c>
      <c r="J4" s="556">
        <v>23</v>
      </c>
      <c r="K4" s="556">
        <v>23</v>
      </c>
      <c r="L4" s="556">
        <v>23</v>
      </c>
      <c r="M4" s="557">
        <v>35</v>
      </c>
    </row>
    <row r="5" spans="1:13">
      <c r="A5" s="504" t="s">
        <v>425</v>
      </c>
      <c r="B5" s="503" t="s">
        <v>896</v>
      </c>
      <c r="C5" s="503" t="s">
        <v>896</v>
      </c>
      <c r="D5" s="503" t="s">
        <v>896</v>
      </c>
      <c r="E5" s="503" t="s">
        <v>896</v>
      </c>
      <c r="F5" s="503" t="s">
        <v>896</v>
      </c>
      <c r="G5" s="503" t="s">
        <v>896</v>
      </c>
      <c r="H5" s="503" t="s">
        <v>896</v>
      </c>
      <c r="I5" s="509" t="s">
        <v>896</v>
      </c>
      <c r="J5" s="549" t="s">
        <v>896</v>
      </c>
      <c r="K5" s="549" t="s">
        <v>896</v>
      </c>
      <c r="L5" s="549" t="s">
        <v>896</v>
      </c>
      <c r="M5" s="549" t="s">
        <v>896</v>
      </c>
    </row>
    <row r="6" spans="1:13">
      <c r="A6" s="504" t="s">
        <v>81</v>
      </c>
      <c r="I6" s="509"/>
      <c r="J6" s="549"/>
      <c r="M6" s="549"/>
    </row>
    <row r="7" spans="1:13">
      <c r="A7" s="504" t="s">
        <v>105</v>
      </c>
      <c r="B7" s="503" t="s">
        <v>426</v>
      </c>
      <c r="C7" s="503" t="s">
        <v>426</v>
      </c>
      <c r="D7" s="503" t="s">
        <v>426</v>
      </c>
      <c r="E7" s="503" t="s">
        <v>426</v>
      </c>
      <c r="F7" s="503" t="s">
        <v>426</v>
      </c>
      <c r="G7" s="503" t="s">
        <v>426</v>
      </c>
      <c r="H7" s="503" t="s">
        <v>426</v>
      </c>
      <c r="I7" s="509" t="s">
        <v>426</v>
      </c>
      <c r="J7" s="549" t="s">
        <v>426</v>
      </c>
      <c r="K7" s="549" t="s">
        <v>426</v>
      </c>
      <c r="L7" s="549" t="s">
        <v>426</v>
      </c>
      <c r="M7" s="549" t="s">
        <v>426</v>
      </c>
    </row>
    <row r="8" spans="1:13">
      <c r="A8" s="504" t="s">
        <v>427</v>
      </c>
      <c r="B8" s="503">
        <v>2</v>
      </c>
      <c r="C8" s="503">
        <v>2</v>
      </c>
      <c r="D8" s="503">
        <v>1</v>
      </c>
      <c r="E8" s="503">
        <v>2</v>
      </c>
      <c r="F8" s="503">
        <v>2</v>
      </c>
      <c r="G8" s="503">
        <v>2</v>
      </c>
      <c r="H8" s="503">
        <v>2</v>
      </c>
      <c r="I8" s="509">
        <v>2</v>
      </c>
      <c r="J8" s="549">
        <v>2</v>
      </c>
      <c r="K8" s="549">
        <v>2</v>
      </c>
      <c r="L8" s="549">
        <v>2</v>
      </c>
      <c r="M8" s="549">
        <v>2</v>
      </c>
    </row>
    <row r="9" spans="1:13">
      <c r="A9" s="504" t="s">
        <v>428</v>
      </c>
      <c r="B9" s="503" t="s">
        <v>897</v>
      </c>
      <c r="C9" s="503" t="s">
        <v>897</v>
      </c>
      <c r="D9" s="503" t="s">
        <v>912</v>
      </c>
      <c r="E9" s="503" t="s">
        <v>897</v>
      </c>
      <c r="F9" s="503" t="s">
        <v>897</v>
      </c>
      <c r="G9" s="503" t="s">
        <v>897</v>
      </c>
      <c r="H9" s="503" t="s">
        <v>897</v>
      </c>
      <c r="I9" s="509" t="s">
        <v>897</v>
      </c>
      <c r="J9" s="549" t="s">
        <v>897</v>
      </c>
      <c r="K9" s="549" t="s">
        <v>897</v>
      </c>
      <c r="L9" s="549" t="s">
        <v>897</v>
      </c>
      <c r="M9" s="549" t="s">
        <v>897</v>
      </c>
    </row>
    <row r="10" spans="1:13">
      <c r="A10" s="504" t="s">
        <v>430</v>
      </c>
      <c r="B10" s="503">
        <v>23</v>
      </c>
      <c r="C10" s="503">
        <v>23</v>
      </c>
      <c r="D10" s="503">
        <v>23</v>
      </c>
      <c r="E10" s="503">
        <v>35</v>
      </c>
      <c r="F10" s="503">
        <v>-7</v>
      </c>
      <c r="G10" s="503">
        <v>-17</v>
      </c>
      <c r="H10" s="503">
        <v>-7</v>
      </c>
      <c r="I10" s="509">
        <v>-17</v>
      </c>
      <c r="J10" s="549">
        <v>23</v>
      </c>
      <c r="K10" s="549">
        <v>23</v>
      </c>
      <c r="L10" s="549">
        <v>23</v>
      </c>
      <c r="M10" s="549">
        <v>23</v>
      </c>
    </row>
    <row r="11" spans="1:13" s="447" customFormat="1">
      <c r="A11" s="504" t="s">
        <v>635</v>
      </c>
      <c r="B11" s="388">
        <f>TestSummary!$T31</f>
        <v>26.1</v>
      </c>
      <c r="C11" s="388">
        <f>TestSummary!$T55</f>
        <v>2.5</v>
      </c>
      <c r="D11" s="388">
        <f>TestSummary!$T63</f>
        <v>2</v>
      </c>
      <c r="E11" s="388">
        <f>TestSummary!$T87</f>
        <v>61.199992000000002</v>
      </c>
      <c r="F11" s="388">
        <f>TestSummary!$T113</f>
        <v>84.2</v>
      </c>
      <c r="G11" s="388">
        <f>TestSummary!$T137</f>
        <v>3.6</v>
      </c>
      <c r="H11" s="388">
        <f>TestSummary!$T150</f>
        <v>87</v>
      </c>
      <c r="I11" s="508">
        <f>TestSummary!$T174</f>
        <v>0</v>
      </c>
      <c r="J11" s="388">
        <f>TestSummary!$T196</f>
        <v>0</v>
      </c>
      <c r="K11" s="388">
        <f>TestSummary!$T220</f>
        <v>0</v>
      </c>
      <c r="L11" s="388">
        <f>TestSummary!$T262</f>
        <v>3</v>
      </c>
      <c r="M11" s="388">
        <f>TestSummary!$T288</f>
        <v>2.1</v>
      </c>
    </row>
    <row r="12" spans="1:13" s="447" customFormat="1">
      <c r="A12" s="504" t="s">
        <v>636</v>
      </c>
      <c r="B12" s="388">
        <f>TestSummary!$U31</f>
        <v>99.7</v>
      </c>
      <c r="C12" s="388">
        <f>TestSummary!$U55</f>
        <v>52.1</v>
      </c>
      <c r="D12" s="388">
        <f>TestSummary!$U63</f>
        <v>91.3</v>
      </c>
      <c r="E12" s="388">
        <f>TestSummary!$U87</f>
        <v>99.8</v>
      </c>
      <c r="F12" s="388">
        <f>TestSummary!$U113</f>
        <v>99.9</v>
      </c>
      <c r="G12" s="388">
        <f>TestSummary!$U137</f>
        <v>99.4</v>
      </c>
      <c r="H12" s="388">
        <f>TestSummary!$U150</f>
        <v>99.3</v>
      </c>
      <c r="I12" s="508">
        <f>TestSummary!$U174</f>
        <v>0</v>
      </c>
      <c r="J12" s="388">
        <f>TestSummary!$U196</f>
        <v>0</v>
      </c>
      <c r="K12" s="388">
        <f>TestSummary!$U220</f>
        <v>0</v>
      </c>
      <c r="L12" s="388">
        <f>TestSummary!$U262</f>
        <v>99.9</v>
      </c>
      <c r="M12" s="388">
        <f>TestSummary!$U288</f>
        <v>99.6</v>
      </c>
    </row>
    <row r="13" spans="1:13" s="447" customFormat="1">
      <c r="A13" s="504" t="s">
        <v>905</v>
      </c>
      <c r="B13" s="388"/>
      <c r="C13" s="388">
        <f>TestSummary!$W54</f>
        <v>76421</v>
      </c>
      <c r="D13" s="388">
        <f>TestSummary!$W62</f>
        <v>74425</v>
      </c>
      <c r="E13" s="388">
        <f>TestSummary!$W86</f>
        <v>26125</v>
      </c>
      <c r="F13" s="388">
        <f>TestSummary!$W112</f>
        <v>13399</v>
      </c>
      <c r="G13" s="388">
        <f>TestSummary!$W136</f>
        <v>74150</v>
      </c>
      <c r="H13" s="388">
        <f>TestSummary!$W149</f>
        <v>6597</v>
      </c>
      <c r="I13" s="508">
        <f>TestSummary!W173</f>
        <v>61212</v>
      </c>
      <c r="J13" s="388"/>
      <c r="K13" s="388"/>
      <c r="L13" s="388"/>
      <c r="M13" s="388"/>
    </row>
    <row r="14" spans="1:13">
      <c r="A14" s="504" t="s">
        <v>904</v>
      </c>
      <c r="B14" s="388">
        <f>TestSummary!$X31</f>
        <v>-61320</v>
      </c>
      <c r="C14" s="388">
        <f>TestSummary!$X55</f>
        <v>-79825</v>
      </c>
      <c r="D14" s="388">
        <f>TestSummary!$X63</f>
        <v>-67789</v>
      </c>
      <c r="E14" s="388">
        <f>TestSummary!$X87</f>
        <v>-34688</v>
      </c>
      <c r="F14" s="388">
        <f>TestSummary!$X113</f>
        <v>-13944</v>
      </c>
      <c r="G14" s="388">
        <f>TestSummary!$X137</f>
        <v>-77944</v>
      </c>
      <c r="H14" s="388">
        <f>TestSummary!$X150</f>
        <v>-9019</v>
      </c>
      <c r="I14" s="508">
        <f>TestSummary!$X174</f>
        <v>-76654</v>
      </c>
      <c r="J14" s="388">
        <f>TestSummary!$X196</f>
        <v>-78869</v>
      </c>
      <c r="K14" s="388">
        <f>TestSummary!$X220</f>
        <v>-78986</v>
      </c>
      <c r="L14" s="388">
        <f>TestSummary!$X262</f>
        <v>-78630</v>
      </c>
      <c r="M14" s="388">
        <f>TestSummary!$X288</f>
        <v>-78582</v>
      </c>
    </row>
    <row r="15" spans="1:13">
      <c r="A15" s="504" t="s">
        <v>899</v>
      </c>
      <c r="B15" s="503">
        <f>TestSummary!$BL31</f>
        <v>65763.200000000012</v>
      </c>
      <c r="C15" s="503">
        <f>TestSummary!$BL55</f>
        <v>85641.2</v>
      </c>
      <c r="D15" s="503">
        <f>TestSummary!$BL63</f>
        <v>83741.900000000009</v>
      </c>
      <c r="E15" s="503">
        <f>TestSummary!$BL87</f>
        <v>37812.800000000003</v>
      </c>
      <c r="F15" s="503">
        <f>TestSummary!$BL113</f>
        <v>15092.699999999999</v>
      </c>
      <c r="G15" s="503">
        <f>TestSummary!$BL137</f>
        <v>84074</v>
      </c>
      <c r="H15" s="503">
        <f>TestSummary!$BL150</f>
        <v>13191.4</v>
      </c>
      <c r="I15" s="509">
        <f>TestSummary!$BL174</f>
        <v>85982.900000000009</v>
      </c>
      <c r="J15" s="549">
        <f>TestSummary!$BL196</f>
        <v>85695.299999999988</v>
      </c>
      <c r="K15" s="549">
        <f>TestSummary!$BL220</f>
        <v>85754.6</v>
      </c>
      <c r="L15" s="549">
        <f>TestSummary!$BL262</f>
        <v>85375.5</v>
      </c>
      <c r="M15" s="549">
        <f>TestSummary!$BL288</f>
        <v>86098.099999999991</v>
      </c>
    </row>
    <row r="16" spans="1:13" s="447" customFormat="1">
      <c r="A16" s="504" t="s">
        <v>898</v>
      </c>
      <c r="B16" s="503">
        <f>TestSummary!$BO31</f>
        <v>-66160.800000000003</v>
      </c>
      <c r="C16" s="503">
        <f>TestSummary!$BO55</f>
        <v>-86169.7</v>
      </c>
      <c r="D16" s="503">
        <f>TestSummary!$BO63</f>
        <v>-82263.199999999997</v>
      </c>
      <c r="E16" s="503">
        <f>TestSummary!$BO87</f>
        <v>-37533.199999999997</v>
      </c>
      <c r="F16" s="503">
        <f>TestSummary!$BO113</f>
        <v>-15054.8</v>
      </c>
      <c r="G16" s="503">
        <f>TestSummary!$BO137</f>
        <v>-83829.5</v>
      </c>
      <c r="H16" s="503">
        <f>TestSummary!$BO150</f>
        <v>-12936.6</v>
      </c>
      <c r="I16" s="509">
        <f>TestSummary!$BO174</f>
        <v>-85788.1</v>
      </c>
      <c r="J16" s="549">
        <f>TestSummary!$BO196</f>
        <v>-85118.8</v>
      </c>
      <c r="K16" s="549">
        <f>TestSummary!$BO220</f>
        <v>-85208.6</v>
      </c>
      <c r="L16" s="549">
        <f>TestSummary!$BO262</f>
        <v>-84843</v>
      </c>
      <c r="M16" s="549">
        <f>TestSummary!$BO288</f>
        <v>-85185.1</v>
      </c>
    </row>
    <row r="17" spans="1:13" s="447" customFormat="1">
      <c r="A17" s="504" t="s">
        <v>900</v>
      </c>
      <c r="B17" s="503">
        <f>TestSummary!$AF31</f>
        <v>86</v>
      </c>
      <c r="C17" s="503">
        <f>TestSummary!$AF55</f>
        <v>-2</v>
      </c>
      <c r="D17" s="503">
        <f>TestSummary!$AF63</f>
        <v>280</v>
      </c>
      <c r="E17" s="503">
        <f>TestSummary!$AF87</f>
        <v>18</v>
      </c>
      <c r="F17" s="503">
        <f>TestSummary!$AF113</f>
        <v>-10</v>
      </c>
      <c r="G17" s="503">
        <f>TestSummary!$AF137</f>
        <v>8</v>
      </c>
      <c r="H17" s="503">
        <f>TestSummary!$AF150</f>
        <v>501</v>
      </c>
      <c r="I17" s="509">
        <f>TestSummary!$AF174</f>
        <v>1645</v>
      </c>
      <c r="J17" s="549">
        <f>TestSummary!$AF196</f>
        <v>24</v>
      </c>
      <c r="K17" s="549">
        <f>TestSummary!$AF220</f>
        <v>-2</v>
      </c>
      <c r="L17" s="549">
        <f>TestSummary!$AF262</f>
        <v>1</v>
      </c>
      <c r="M17" s="549">
        <f>TestSummary!$AF288</f>
        <v>27</v>
      </c>
    </row>
    <row r="18" spans="1:13" s="447" customFormat="1">
      <c r="A18" s="504" t="s">
        <v>901</v>
      </c>
      <c r="B18" s="503">
        <f>TestSummary!$AJ31</f>
        <v>72</v>
      </c>
      <c r="C18" s="503">
        <f>TestSummary!$AJ55</f>
        <v>48</v>
      </c>
      <c r="D18" s="503">
        <f>TestSummary!$AJ63</f>
        <v>717</v>
      </c>
      <c r="E18" s="503">
        <f>TestSummary!$AJ87</f>
        <v>16</v>
      </c>
      <c r="F18" s="503">
        <f>TestSummary!$AJ113</f>
        <v>21</v>
      </c>
      <c r="G18" s="503">
        <f>TestSummary!$AJ137</f>
        <v>-57</v>
      </c>
      <c r="H18" s="503">
        <f>TestSummary!$AJ150</f>
        <v>343</v>
      </c>
      <c r="I18" s="509">
        <f>TestSummary!$AJ174</f>
        <v>1360</v>
      </c>
      <c r="J18" s="549">
        <f>TestSummary!$AJ196</f>
        <v>73</v>
      </c>
      <c r="K18" s="549">
        <f>TestSummary!$AJ220</f>
        <v>27</v>
      </c>
      <c r="L18" s="549">
        <f>TestSummary!$AJ262</f>
        <v>30</v>
      </c>
      <c r="M18" s="549">
        <f>TestSummary!$AJ288</f>
        <v>16</v>
      </c>
    </row>
    <row r="19" spans="1:13" s="447" customFormat="1">
      <c r="A19" s="504" t="s">
        <v>903</v>
      </c>
      <c r="B19" s="503">
        <f>TestSummary!$AN31</f>
        <v>-61407.1</v>
      </c>
      <c r="C19" s="503">
        <f>TestSummary!$AN55</f>
        <v>-79951.5</v>
      </c>
      <c r="D19" s="503">
        <f>TestSummary!$AN63</f>
        <v>-72276.599999999991</v>
      </c>
      <c r="E19" s="503">
        <f>TestSummary!$AN87</f>
        <v>-34758.400000000001</v>
      </c>
      <c r="F19" s="503">
        <f>TestSummary!$AN113</f>
        <v>-13955.2</v>
      </c>
      <c r="G19" s="503">
        <f>TestSummary!$AN137</f>
        <v>-77993.899999999994</v>
      </c>
      <c r="H19" s="503">
        <f>TestSummary!$AN150</f>
        <v>-5127.2000000000007</v>
      </c>
      <c r="I19" s="509">
        <f>TestSummary!$AN174</f>
        <v>-79755.918940000003</v>
      </c>
      <c r="J19" s="549">
        <f>TestSummary!$AN196</f>
        <v>-78933.100000000006</v>
      </c>
      <c r="K19" s="549">
        <f>TestSummary!$AN220</f>
        <v>-79042.3</v>
      </c>
      <c r="L19" s="549">
        <f>TestSummary!$AN262</f>
        <v>-78681.600000000006</v>
      </c>
      <c r="M19" s="549">
        <f>TestSummary!$AN288</f>
        <v>-78697.799999999988</v>
      </c>
    </row>
    <row r="20" spans="1:13" s="447" customFormat="1">
      <c r="A20" s="504" t="s">
        <v>902</v>
      </c>
      <c r="B20" s="503">
        <f>TestSummary!$AR31</f>
        <v>463.64000000000004</v>
      </c>
      <c r="C20" s="503">
        <f>TestSummary!$AR55</f>
        <v>632.7800000000002</v>
      </c>
      <c r="D20" s="503">
        <f>TestSummary!$AR63</f>
        <v>4729.4383539999999</v>
      </c>
      <c r="E20" s="503">
        <f>TestSummary!$AR87</f>
        <v>301.84519299999999</v>
      </c>
      <c r="F20" s="503">
        <f>TestSummary!$AR113</f>
        <v>152.17999999999995</v>
      </c>
      <c r="G20" s="503">
        <f>TestSummary!$AR137</f>
        <v>611.60417799999982</v>
      </c>
      <c r="H20" s="503">
        <f>TestSummary!$AR150</f>
        <v>1378.8700000000001</v>
      </c>
      <c r="I20" s="509">
        <f>TestSummary!$AR174</f>
        <v>721.70242399999995</v>
      </c>
      <c r="J20" s="549">
        <f>TestSummary!$AR196</f>
        <v>630.40000000000009</v>
      </c>
      <c r="K20" s="549">
        <f>TestSummary!$AR220</f>
        <v>602.96</v>
      </c>
      <c r="L20" s="549">
        <f>TestSummary!$AR262</f>
        <v>607.34000000000015</v>
      </c>
      <c r="M20" s="549">
        <f>TestSummary!$AR288</f>
        <v>788.17000000000007</v>
      </c>
    </row>
    <row r="21" spans="1:13" s="447" customFormat="1">
      <c r="A21" s="504" t="s">
        <v>473</v>
      </c>
      <c r="B21" s="503">
        <f>TestSummary!$AZ31</f>
        <v>2.9</v>
      </c>
      <c r="C21" s="503">
        <f>TestSummary!$AZ55</f>
        <v>8.0000000000000018</v>
      </c>
      <c r="D21" s="503">
        <f>TestSummary!$AZ63</f>
        <v>92</v>
      </c>
      <c r="E21" s="503">
        <f>TestSummary!$AZ87</f>
        <v>-0.5</v>
      </c>
      <c r="F21" s="503">
        <f>TestSummary!$AZ113</f>
        <v>9.5000000000000018</v>
      </c>
      <c r="G21" s="503">
        <f>TestSummary!$AZ137</f>
        <v>1</v>
      </c>
      <c r="H21" s="503">
        <f>TestSummary!$AZ150</f>
        <v>49.5</v>
      </c>
      <c r="I21" s="509">
        <f>TestSummary!$AZ174</f>
        <v>7.6</v>
      </c>
      <c r="J21" s="549">
        <f>TestSummary!$AZ196</f>
        <v>17.100000000000001</v>
      </c>
      <c r="K21" s="549">
        <f>TestSummary!$AZ220</f>
        <v>8.9000000000000021</v>
      </c>
      <c r="L21" s="549">
        <f>TestSummary!$AZ262</f>
        <v>6.6999999999999993</v>
      </c>
      <c r="M21" s="549">
        <f>TestSummary!$AZ288</f>
        <v>16.599999999999454</v>
      </c>
    </row>
    <row r="22" spans="1:13" s="447" customFormat="1">
      <c r="A22" s="504" t="s">
        <v>433</v>
      </c>
      <c r="B22" s="511">
        <f>TestSummary!$AV31</f>
        <v>-5.4</v>
      </c>
      <c r="C22" s="511">
        <f>TestSummary!$AV55</f>
        <v>-4.7</v>
      </c>
      <c r="D22" s="511">
        <f>TestSummary!$AV63</f>
        <v>-11.3</v>
      </c>
      <c r="E22" s="511">
        <f>TestSummary!$AV87</f>
        <v>2.9</v>
      </c>
      <c r="F22" s="511">
        <f>TestSummary!$AV113</f>
        <v>3.4000000000000909</v>
      </c>
      <c r="G22" s="511">
        <f>TestSummary!$AV137</f>
        <v>-20.5</v>
      </c>
      <c r="H22" s="511">
        <f>TestSummary!$AV150</f>
        <v>-0.30000000000000004</v>
      </c>
      <c r="I22" s="509">
        <f>TestSummary!$AV174</f>
        <v>-21.5</v>
      </c>
      <c r="J22" s="549">
        <f>TestSummary!$AV196</f>
        <v>-10.5</v>
      </c>
      <c r="K22" s="549">
        <f>TestSummary!$AV220</f>
        <v>-4.5</v>
      </c>
      <c r="L22" s="549">
        <f>TestSummary!$AV262</f>
        <v>-6.4</v>
      </c>
      <c r="M22" s="549">
        <f>TestSummary!$AV288</f>
        <v>-12.5</v>
      </c>
    </row>
    <row r="23" spans="1:13">
      <c r="A23" s="504" t="s">
        <v>911</v>
      </c>
      <c r="B23" s="503">
        <f>TestSummary!$BD31</f>
        <v>-16.18</v>
      </c>
      <c r="C23" s="503">
        <f>TestSummary!$BD55</f>
        <v>-45.766184000000003</v>
      </c>
      <c r="D23" s="503">
        <f>TestSummary!$BD63</f>
        <v>-126.31</v>
      </c>
      <c r="E23" s="503">
        <f>TestSummary!$BD87</f>
        <v>-5.33</v>
      </c>
      <c r="F23" s="503">
        <f>TestSummary!$BD113</f>
        <v>-2.5299999999999994</v>
      </c>
      <c r="G23" s="503">
        <f>TestSummary!$BD137</f>
        <v>-26.089999999999996</v>
      </c>
      <c r="H23" s="503">
        <f>TestSummary!$BD150</f>
        <v>-160.01000000000002</v>
      </c>
      <c r="I23" s="509">
        <f>TestSummary!$BD174</f>
        <v>-35.438105999999998</v>
      </c>
      <c r="J23" s="549">
        <f>TestSummary!$BD196</f>
        <v>-44.295131000000005</v>
      </c>
      <c r="K23" s="549">
        <f>TestSummary!$BD220</f>
        <v>-24.611648000000002</v>
      </c>
      <c r="L23" s="549">
        <f>TestSummary!$BD262</f>
        <v>-27.725249000000005</v>
      </c>
      <c r="M23" s="549">
        <f>TestSummary!$BD288</f>
        <v>-40.323682000000005</v>
      </c>
    </row>
    <row r="24" spans="1:13">
      <c r="I24" s="509"/>
      <c r="J24" s="549"/>
      <c r="M24" s="549"/>
    </row>
    <row r="25" spans="1:13">
      <c r="A25" s="504" t="s">
        <v>910</v>
      </c>
      <c r="B25" s="505" t="e">
        <f t="shared" ref="B25:I25" si="0">B16/B13</f>
        <v>#DIV/0!</v>
      </c>
      <c r="C25" s="505">
        <f t="shared" si="0"/>
        <v>-1.1275657214639954</v>
      </c>
      <c r="D25" s="505">
        <f t="shared" si="0"/>
        <v>-1.1053167618407793</v>
      </c>
      <c r="E25" s="505">
        <f t="shared" si="0"/>
        <v>-1.4366775119617223</v>
      </c>
      <c r="F25" s="505">
        <f t="shared" si="0"/>
        <v>-1.1235763862974848</v>
      </c>
      <c r="G25" s="505">
        <f t="shared" si="0"/>
        <v>-1.1305394470667565</v>
      </c>
      <c r="H25" s="505">
        <f t="shared" si="0"/>
        <v>-1.9609822646657573</v>
      </c>
      <c r="I25" s="505">
        <f t="shared" si="0"/>
        <v>-1.4014915376070052</v>
      </c>
      <c r="J25" s="505">
        <f>J16/J14</f>
        <v>1.0792427950145178</v>
      </c>
      <c r="K25" s="505">
        <f>K16/K14</f>
        <v>1.0787810498062949</v>
      </c>
      <c r="L25" s="505">
        <f>L16/L14</f>
        <v>1.0790156428843953</v>
      </c>
      <c r="M25" s="505">
        <f>M16/M14</f>
        <v>1.0840281489399608</v>
      </c>
    </row>
    <row r="26" spans="1:13">
      <c r="A26" s="504" t="s">
        <v>908</v>
      </c>
      <c r="B26" s="506">
        <f t="shared" ref="B26:M26" si="1">-B15/B16</f>
        <v>0.99399039914874077</v>
      </c>
      <c r="C26" s="506">
        <f t="shared" si="1"/>
        <v>0.99386675362685495</v>
      </c>
      <c r="D26" s="506">
        <f t="shared" si="1"/>
        <v>1.0179752307228507</v>
      </c>
      <c r="E26" s="506">
        <f t="shared" si="1"/>
        <v>1.0074494047936229</v>
      </c>
      <c r="F26" s="506">
        <f t="shared" si="1"/>
        <v>1.002517469511385</v>
      </c>
      <c r="G26" s="506">
        <f t="shared" si="1"/>
        <v>1.0029166343590263</v>
      </c>
      <c r="H26" s="506">
        <f t="shared" si="1"/>
        <v>1.019696056150766</v>
      </c>
      <c r="I26" s="510">
        <f t="shared" si="1"/>
        <v>1.0022707112058666</v>
      </c>
      <c r="J26" s="506">
        <f t="shared" si="1"/>
        <v>1.0067728868358106</v>
      </c>
      <c r="K26" s="506">
        <f t="shared" si="1"/>
        <v>1.0064078039071174</v>
      </c>
      <c r="L26" s="506">
        <f t="shared" si="1"/>
        <v>1.0062762985750151</v>
      </c>
      <c r="M26" s="506">
        <f t="shared" si="1"/>
        <v>1.0107178368047931</v>
      </c>
    </row>
    <row r="27" spans="1:13">
      <c r="A27" s="504" t="s">
        <v>909</v>
      </c>
      <c r="B27" s="506">
        <f>B19/B16</f>
        <v>0.92814929686460856</v>
      </c>
      <c r="C27" s="506">
        <f t="shared" ref="C27:M27" si="2">C19/C16</f>
        <v>0.92783774342953496</v>
      </c>
      <c r="D27" s="506">
        <f t="shared" si="2"/>
        <v>0.87860185356271081</v>
      </c>
      <c r="E27" s="506">
        <f t="shared" si="2"/>
        <v>0.92607078533138676</v>
      </c>
      <c r="F27" s="506">
        <f t="shared" si="2"/>
        <v>0.92696017217100202</v>
      </c>
      <c r="G27" s="506">
        <f t="shared" si="2"/>
        <v>0.93038727416959421</v>
      </c>
      <c r="H27" s="506">
        <f>H19/H16</f>
        <v>0.39633288499296576</v>
      </c>
      <c r="I27" s="510">
        <f>I19/I16</f>
        <v>0.92968510714189956</v>
      </c>
      <c r="J27" s="506">
        <f t="shared" si="2"/>
        <v>0.92732862775321079</v>
      </c>
      <c r="K27" s="506">
        <f>K19/K16</f>
        <v>0.9276328915156451</v>
      </c>
      <c r="L27" s="506">
        <f>L19/L16</f>
        <v>0.92737880555850227</v>
      </c>
      <c r="M27" s="506">
        <f t="shared" si="2"/>
        <v>0.9238446629750976</v>
      </c>
    </row>
    <row r="28" spans="1:13" s="447" customFormat="1">
      <c r="A28" s="504" t="s">
        <v>925</v>
      </c>
      <c r="B28" s="506">
        <f t="shared" ref="B28:M28" si="3">B14/B19</f>
        <v>0.99858159724201279</v>
      </c>
      <c r="C28" s="506">
        <f t="shared" si="3"/>
        <v>0.99841779078566384</v>
      </c>
      <c r="D28" s="506">
        <f t="shared" si="3"/>
        <v>0.93791074843033584</v>
      </c>
      <c r="E28" s="506">
        <f t="shared" si="3"/>
        <v>0.99797459031485913</v>
      </c>
      <c r="F28" s="506">
        <f t="shared" si="3"/>
        <v>0.9991974317817014</v>
      </c>
      <c r="G28" s="506">
        <f t="shared" si="3"/>
        <v>0.99936020637511402</v>
      </c>
      <c r="H28" s="506">
        <f t="shared" si="3"/>
        <v>1.7590497737556559</v>
      </c>
      <c r="I28" s="506">
        <f t="shared" si="3"/>
        <v>0.96110735126337687</v>
      </c>
      <c r="J28" s="506">
        <f t="shared" si="3"/>
        <v>0.99918791989672262</v>
      </c>
      <c r="K28" s="506">
        <f t="shared" si="3"/>
        <v>0.99928772315582914</v>
      </c>
      <c r="L28" s="506">
        <f t="shared" si="3"/>
        <v>0.99934419228892135</v>
      </c>
      <c r="M28" s="506">
        <f t="shared" si="3"/>
        <v>0.99852854844735195</v>
      </c>
    </row>
    <row r="29" spans="1:13" s="512" customFormat="1">
      <c r="A29" s="504" t="s">
        <v>1320</v>
      </c>
      <c r="B29" s="506">
        <f>B14/B16</f>
        <v>0.92683280734211193</v>
      </c>
      <c r="C29" s="506">
        <f t="shared" ref="C29:M29" si="4">C14/C16</f>
        <v>0.92636971000247192</v>
      </c>
      <c r="D29" s="506">
        <f t="shared" si="4"/>
        <v>0.82405012204728245</v>
      </c>
      <c r="E29" s="506">
        <f t="shared" si="4"/>
        <v>0.9241951125936505</v>
      </c>
      <c r="F29" s="506">
        <f t="shared" si="4"/>
        <v>0.92621622339718901</v>
      </c>
      <c r="G29" s="506">
        <f t="shared" si="4"/>
        <v>0.92979201832290537</v>
      </c>
      <c r="H29" s="506">
        <f t="shared" si="4"/>
        <v>0.69716927167880272</v>
      </c>
      <c r="I29" s="506">
        <f t="shared" si="4"/>
        <v>0.89352719083415988</v>
      </c>
      <c r="J29" s="506">
        <f t="shared" si="4"/>
        <v>0.92657556262541296</v>
      </c>
      <c r="K29" s="506">
        <f t="shared" si="4"/>
        <v>0.92697216008712724</v>
      </c>
      <c r="L29" s="506">
        <f t="shared" si="4"/>
        <v>0.92677062338672611</v>
      </c>
      <c r="M29" s="506">
        <f t="shared" si="4"/>
        <v>0.92248527031135719</v>
      </c>
    </row>
    <row r="30" spans="1:13" s="512" customFormat="1">
      <c r="A30" s="504"/>
      <c r="B30" s="506"/>
      <c r="C30" s="506"/>
      <c r="D30" s="506"/>
      <c r="E30" s="506"/>
      <c r="F30" s="506"/>
      <c r="G30" s="506"/>
      <c r="H30" s="506"/>
      <c r="I30" s="506"/>
      <c r="J30" s="506"/>
      <c r="K30" s="506"/>
      <c r="L30" s="506"/>
      <c r="M30" s="506"/>
    </row>
    <row r="32" spans="1:13">
      <c r="A32" s="504" t="s">
        <v>535</v>
      </c>
      <c r="C32" s="503" t="s">
        <v>913</v>
      </c>
      <c r="I32" s="549"/>
    </row>
    <row r="33" spans="3:9">
      <c r="I33" s="549"/>
    </row>
    <row r="34" spans="3:9">
      <c r="C34" s="503">
        <v>62006021</v>
      </c>
      <c r="D34" s="610" t="s">
        <v>1312</v>
      </c>
      <c r="E34" s="388">
        <f>F34/3600</f>
        <v>8.3641666666666659</v>
      </c>
      <c r="F34" s="503">
        <f>30148-37</f>
        <v>30111</v>
      </c>
      <c r="G34" s="611">
        <f>I27</f>
        <v>0.92968510714189956</v>
      </c>
      <c r="H34" s="611">
        <f>I29</f>
        <v>0.89352719083415988</v>
      </c>
      <c r="I34" s="549"/>
    </row>
    <row r="35" spans="3:9">
      <c r="C35" s="503">
        <v>62006013</v>
      </c>
      <c r="D35" s="610" t="s">
        <v>1313</v>
      </c>
      <c r="E35" s="388">
        <f>F35/3600</f>
        <v>8.1385555555555555</v>
      </c>
      <c r="F35" s="503">
        <f>29343.5-44.7</f>
        <v>29298.799999999999</v>
      </c>
      <c r="G35" s="611">
        <f>G27</f>
        <v>0.93038727416959421</v>
      </c>
      <c r="H35" s="611">
        <f>G29</f>
        <v>0.92979201832290537</v>
      </c>
      <c r="I35" s="549"/>
    </row>
    <row r="36" spans="3:9">
      <c r="C36" s="503">
        <v>62006036</v>
      </c>
      <c r="D36" s="610" t="s">
        <v>1315</v>
      </c>
      <c r="E36" s="388">
        <f>F36/3600</f>
        <v>8.019166666666667</v>
      </c>
      <c r="F36" s="503">
        <f>28908-39</f>
        <v>28869</v>
      </c>
      <c r="G36" s="611">
        <f>K27</f>
        <v>0.9276328915156451</v>
      </c>
      <c r="H36" s="611">
        <f>K29</f>
        <v>0.92697216008712724</v>
      </c>
      <c r="I36" s="549"/>
    </row>
    <row r="37" spans="3:9">
      <c r="C37" s="503">
        <v>62007006</v>
      </c>
      <c r="D37" s="610" t="s">
        <v>1314</v>
      </c>
      <c r="E37" s="388">
        <f>F37/3600</f>
        <v>7.95</v>
      </c>
      <c r="F37" s="503">
        <f>28653-33</f>
        <v>28620</v>
      </c>
      <c r="G37" s="611">
        <f>M27</f>
        <v>0.9238446629750976</v>
      </c>
      <c r="H37" s="611">
        <f>M29</f>
        <v>0.92248527031135719</v>
      </c>
      <c r="I37" s="549"/>
    </row>
    <row r="38" spans="3:9">
      <c r="I38" s="549"/>
    </row>
    <row r="39" spans="3:9">
      <c r="E39" s="503">
        <f>E34/E37</f>
        <v>1.0520964360587002</v>
      </c>
      <c r="I39" s="549"/>
    </row>
    <row r="40" spans="3:9">
      <c r="I40" s="549"/>
    </row>
    <row r="41" spans="3:9">
      <c r="I41" s="549"/>
    </row>
    <row r="42" spans="3:9">
      <c r="I42" s="549"/>
    </row>
    <row r="43" spans="3:9">
      <c r="I43" s="549"/>
    </row>
    <row r="44" spans="3:9">
      <c r="I44" s="549"/>
    </row>
    <row r="45" spans="3:9">
      <c r="I45" s="549"/>
    </row>
    <row r="46" spans="3:9">
      <c r="I46" s="549"/>
    </row>
    <row r="47" spans="3:9">
      <c r="I47" s="549"/>
    </row>
    <row r="48" spans="3:9">
      <c r="I48" s="549"/>
    </row>
    <row r="49" spans="9:9">
      <c r="I49" s="549"/>
    </row>
    <row r="50" spans="9:9">
      <c r="I50" s="549"/>
    </row>
    <row r="51" spans="9:9">
      <c r="I51" s="549"/>
    </row>
    <row r="52" spans="9:9">
      <c r="I52" s="549"/>
    </row>
    <row r="53" spans="9:9">
      <c r="I53" s="549"/>
    </row>
    <row r="54" spans="9:9">
      <c r="I54" s="549"/>
    </row>
    <row r="55" spans="9:9">
      <c r="I55" s="549"/>
    </row>
    <row r="56" spans="9:9">
      <c r="I56" s="549"/>
    </row>
    <row r="57" spans="9:9">
      <c r="I57" s="549"/>
    </row>
    <row r="58" spans="9:9">
      <c r="I58" s="549"/>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G69"/>
  <sheetViews>
    <sheetView topLeftCell="E1" zoomScale="70" zoomScaleNormal="70" workbookViewId="0">
      <selection activeCell="Y6" sqref="Y6"/>
    </sheetView>
  </sheetViews>
  <sheetFormatPr defaultColWidth="9.140625" defaultRowHeight="15"/>
  <cols>
    <col min="1" max="1" width="9.140625" style="279"/>
    <col min="2" max="2" width="9" style="279" customWidth="1"/>
    <col min="3" max="3" width="22.42578125" style="279" bestFit="1" customWidth="1"/>
    <col min="4" max="4" width="50.5703125" style="279" customWidth="1"/>
    <col min="5" max="5" width="21" style="279" customWidth="1"/>
    <col min="6" max="6" width="27" style="279" customWidth="1"/>
    <col min="7" max="7" width="9.140625" style="279" bestFit="1" customWidth="1"/>
    <col min="8" max="10" width="9" style="279" customWidth="1"/>
    <col min="11" max="11" width="19.28515625" style="279" customWidth="1"/>
    <col min="12" max="13" width="9" style="279" customWidth="1"/>
    <col min="14" max="14" width="27.42578125" style="279" customWidth="1"/>
    <col min="15" max="15" width="11.42578125" style="334" customWidth="1"/>
    <col min="16" max="16" width="11.5703125" style="279" customWidth="1"/>
    <col min="17" max="17" width="10" style="279" customWidth="1"/>
    <col min="18" max="18" width="9.140625" style="279" customWidth="1"/>
    <col min="19" max="19" width="14.5703125" style="279" customWidth="1"/>
    <col min="20" max="20" width="14" style="279" customWidth="1"/>
    <col min="21" max="22" width="9.140625" style="279" customWidth="1"/>
    <col min="23" max="23" width="13.5703125" style="279" bestFit="1" customWidth="1"/>
    <col min="24" max="24" width="12.85546875" style="279" customWidth="1"/>
    <col min="25" max="25" width="13.5703125" style="279" bestFit="1" customWidth="1"/>
    <col min="26" max="28" width="9.140625" style="279" customWidth="1"/>
    <col min="29" max="29" width="16.85546875" style="279" customWidth="1"/>
    <col min="30" max="31" width="9.140625" style="279" customWidth="1"/>
    <col min="32" max="32" width="9.140625" style="512" customWidth="1"/>
    <col min="33" max="35" width="9.140625" style="279" customWidth="1"/>
    <col min="36" max="36" width="11.7109375" style="279" customWidth="1"/>
    <col min="37" max="37" width="11.140625" style="279" customWidth="1"/>
    <col min="38" max="40" width="9.140625" style="279"/>
    <col min="41" max="41" width="10.85546875" style="279" customWidth="1"/>
    <col min="42" max="42" width="11.7109375" style="279" bestFit="1" customWidth="1"/>
    <col min="43" max="54" width="9.140625" style="279"/>
    <col min="55" max="55" width="9.85546875" style="279" bestFit="1" customWidth="1"/>
    <col min="56" max="16384" width="9.140625" style="279"/>
  </cols>
  <sheetData>
    <row r="1" spans="1:44">
      <c r="B1" s="38"/>
      <c r="C1" s="38"/>
      <c r="D1" s="38"/>
      <c r="E1" s="38"/>
      <c r="F1" s="38"/>
      <c r="G1" s="38"/>
      <c r="K1" s="19"/>
      <c r="L1" s="19"/>
    </row>
    <row r="2" spans="1:44">
      <c r="B2" s="38"/>
      <c r="C2" s="38"/>
      <c r="D2" s="38"/>
      <c r="E2" s="38"/>
      <c r="J2" s="19"/>
    </row>
    <row r="3" spans="1:44">
      <c r="B3" s="4"/>
      <c r="C3" s="4"/>
      <c r="D3" s="4"/>
      <c r="E3" s="4"/>
      <c r="F3" s="4"/>
      <c r="J3" s="19"/>
      <c r="AG3" s="599" t="s">
        <v>1295</v>
      </c>
    </row>
    <row r="4" spans="1:44">
      <c r="B4" s="4"/>
      <c r="C4" s="4"/>
      <c r="D4" s="4"/>
      <c r="E4" s="4"/>
      <c r="F4" s="4"/>
      <c r="J4" s="19"/>
    </row>
    <row r="5" spans="1:44" ht="15.75" thickBot="1">
      <c r="B5" s="279">
        <v>1</v>
      </c>
      <c r="C5" s="279">
        <v>2</v>
      </c>
      <c r="D5" s="279">
        <v>7</v>
      </c>
      <c r="E5" s="279">
        <v>9</v>
      </c>
      <c r="F5" s="279">
        <v>10</v>
      </c>
      <c r="G5" s="279">
        <v>25</v>
      </c>
      <c r="H5" s="279">
        <v>26</v>
      </c>
      <c r="I5" s="279">
        <v>27</v>
      </c>
      <c r="J5" s="19">
        <v>21</v>
      </c>
      <c r="K5" s="19">
        <v>29</v>
      </c>
      <c r="L5" s="19">
        <v>26</v>
      </c>
    </row>
    <row r="6" spans="1:44" ht="96" customHeight="1">
      <c r="A6" s="279">
        <v>7</v>
      </c>
      <c r="B6" s="163" t="str">
        <f>INDEX(TestSummary!$A$1:$CF$296,'J1634 Calcs_old'!$A6,'J1634 Calcs_old'!B$5)</f>
        <v>Test ID [#]</v>
      </c>
      <c r="C6" s="164" t="str">
        <f>INDEX(TestSummary!$A$1:$CF$296,'J1634 Calcs_old'!$A6,'J1634 Calcs_old'!C$5)</f>
        <v>Cycle</v>
      </c>
      <c r="D6" s="165" t="str">
        <f>INDEX(TestSummary!$A$1:$CF$296,'J1634 Calcs_old'!$A6,'J1634 Calcs_old'!D$5)</f>
        <v>Start Comments</v>
      </c>
      <c r="E6" s="166" t="str">
        <f>INDEX(TestSummary!$A$1:$CF$296,'J1634 Calcs_old'!$A6,'J1634 Calcs_old'!E$5)</f>
        <v>SPECIAL COMMENTS</v>
      </c>
      <c r="F6" s="166" t="str">
        <f>INDEX(TestSummary!$A$1:$CF$296,'J1634 Calcs_old'!$A6,'J1634 Calcs_old'!F$5)</f>
        <v>Test Cell Temp [C]</v>
      </c>
      <c r="G6" s="167" t="str">
        <f>INDEX(TestSummary!$A$1:$CF$296,'J1634 Calcs_old'!$A6,'J1634 Calcs_old'!G$5)</f>
        <v>HV Batt (500A) Energy consumption
[Wh/mi]</v>
      </c>
      <c r="H6" s="167" t="str">
        <f>INDEX(TestSummary!$A$1:$CF$296,'J1634 Calcs_old'!$A6,'J1634 Calcs_old'!H$5)</f>
        <v>HV Batt (1000A) Start WP2 [Wh]</v>
      </c>
      <c r="I6" s="167" t="str">
        <f>INDEX(TestSummary!$A$1:$CF$296,'J1634 Calcs_old'!$A6,'J1634 Calcs_old'!I$5)</f>
        <v>HV Batt (1000A)  End WP2 [Wh]</v>
      </c>
      <c r="J6" s="168" t="str">
        <f>INDEX(TestSummary!$A$1:$CF$296,'J1634 Calcs_old'!$A6,'J1634 Calcs_old'!J$5)</f>
        <v>End SOC</v>
      </c>
      <c r="K6" s="169" t="str">
        <f>INDEX(TestSummary!$A$1:$CF$296,'J1634 Calcs_old'!$A6,'J1634 Calcs_old'!K$5)</f>
        <v>HV Batt (1000A) Δ WP2 [Wh/mi]</v>
      </c>
      <c r="L6" s="169" t="str">
        <f>INDEX(TestSummary!$A$1:$CF$296,'J1634 Calcs_old'!$A6,'J1634 Calcs_old'!L$5)</f>
        <v>HV Batt (1000A) Start WP2 [Wh]</v>
      </c>
      <c r="N6" s="279" t="s">
        <v>292</v>
      </c>
      <c r="Q6" s="279" t="s">
        <v>417</v>
      </c>
      <c r="AC6" s="279" t="s">
        <v>293</v>
      </c>
      <c r="AD6" s="598" t="s">
        <v>1296</v>
      </c>
      <c r="AE6" s="598" t="s">
        <v>1297</v>
      </c>
      <c r="AF6" s="598" t="s">
        <v>1298</v>
      </c>
      <c r="AG6" s="598" t="s">
        <v>1299</v>
      </c>
      <c r="AH6" s="598" t="s">
        <v>1301</v>
      </c>
      <c r="AI6" s="598" t="s">
        <v>1300</v>
      </c>
    </row>
    <row r="7" spans="1:44">
      <c r="B7" s="44"/>
      <c r="C7" s="170"/>
      <c r="D7" s="171"/>
      <c r="E7" s="170"/>
      <c r="F7" s="170"/>
      <c r="G7" s="172"/>
      <c r="H7" s="172"/>
      <c r="I7" s="172"/>
      <c r="J7" s="173"/>
      <c r="K7" s="172"/>
      <c r="L7" s="482"/>
      <c r="AC7" s="279" t="s">
        <v>222</v>
      </c>
      <c r="AD7" s="143">
        <f>K10</f>
        <v>702.56288373980021</v>
      </c>
      <c r="AE7" s="143">
        <f>K17</f>
        <v>470.19803431674404</v>
      </c>
      <c r="AF7" s="143">
        <f>K57</f>
        <v>299.18228414945207</v>
      </c>
      <c r="AG7" s="143">
        <f>K24</f>
        <v>203.95093482768127</v>
      </c>
      <c r="AH7" s="143">
        <f>K34</f>
        <v>255.81475828027962</v>
      </c>
      <c r="AI7" s="143">
        <f>K64</f>
        <v>220.88241993321552</v>
      </c>
    </row>
    <row r="8" spans="1:44" ht="17.25" customHeight="1" thickBot="1">
      <c r="L8" s="512"/>
      <c r="AC8" s="279" t="s">
        <v>296</v>
      </c>
      <c r="AD8" s="143">
        <f>K11</f>
        <v>321.76090162555926</v>
      </c>
      <c r="AE8" s="143">
        <f>K18</f>
        <v>278.58826281054496</v>
      </c>
      <c r="AF8" s="143">
        <f>K58</f>
        <v>254.17901044554284</v>
      </c>
      <c r="AG8" s="143">
        <f>K25</f>
        <v>188.35191427398621</v>
      </c>
      <c r="AH8" s="143">
        <f>K35</f>
        <v>183.69647067218892</v>
      </c>
      <c r="AI8" s="143">
        <f>K65</f>
        <v>187.37606785701291</v>
      </c>
      <c r="AO8" s="162"/>
    </row>
    <row r="9" spans="1:44" ht="16.5" thickBot="1">
      <c r="B9" s="119" t="s">
        <v>411</v>
      </c>
      <c r="C9" s="174"/>
      <c r="D9" s="174"/>
      <c r="E9" s="158"/>
      <c r="F9" s="158"/>
      <c r="G9" s="174"/>
      <c r="H9" s="174"/>
      <c r="I9" s="174"/>
      <c r="J9" s="174"/>
      <c r="K9" s="174"/>
      <c r="L9" s="174"/>
      <c r="N9" s="175" t="s">
        <v>294</v>
      </c>
      <c r="O9" s="334" t="s">
        <v>311</v>
      </c>
      <c r="P9" s="279" t="s">
        <v>312</v>
      </c>
      <c r="Q9" s="176" t="s">
        <v>295</v>
      </c>
      <c r="R9" s="177"/>
      <c r="S9" s="177"/>
      <c r="T9" s="177"/>
      <c r="U9" s="177"/>
      <c r="V9" s="177"/>
      <c r="W9" s="177"/>
      <c r="X9" s="177"/>
      <c r="Y9" s="177"/>
      <c r="Z9" s="178"/>
      <c r="AC9" s="279" t="s">
        <v>223</v>
      </c>
      <c r="AD9" s="143">
        <f>K12</f>
        <v>419.29468774498673</v>
      </c>
      <c r="AE9" s="143">
        <f>K19</f>
        <v>329.9472588624601</v>
      </c>
      <c r="AF9" s="143">
        <f>K59</f>
        <v>298.0337742598453</v>
      </c>
      <c r="AG9" s="143">
        <f>K26</f>
        <v>174.96361373564278</v>
      </c>
      <c r="AH9" s="143">
        <f>K36</f>
        <v>215.93134840355788</v>
      </c>
      <c r="AI9" s="143">
        <f>K66</f>
        <v>203.35605563119788</v>
      </c>
      <c r="AK9" s="143"/>
      <c r="AL9" s="143"/>
      <c r="AM9" s="143"/>
      <c r="AO9" s="162"/>
      <c r="AP9" s="189"/>
      <c r="AQ9" s="189"/>
      <c r="AR9" s="189"/>
    </row>
    <row r="10" spans="1:44" s="8" customFormat="1" ht="27" customHeight="1">
      <c r="A10" s="8">
        <v>154</v>
      </c>
      <c r="B10" s="362">
        <f>INDEX(TestSummary!$A$1:$CF$296,'J1634 Calcs_old'!$A10,'J1634 Calcs_old'!B$5)</f>
        <v>62006017</v>
      </c>
      <c r="C10" s="362" t="str">
        <f>INDEX(TestSummary!$A$1:$CF$296,'J1634 Calcs_old'!$A10,'J1634 Calcs_old'!C$5)</f>
        <v>UDDS 1 , Combined</v>
      </c>
      <c r="D10" s="363" t="str">
        <f>INDEX(TestSummary!$A$1:$CF$296,'J1634 Calcs_old'!$A10,'J1634 Calcs_old'!D$5)</f>
        <v xml:space="preserve">J1634 MCT in deep cold (0°F) Test Cell, HVAC-AUTO-72°F, charged over weekend and soaked at 0°F, </v>
      </c>
      <c r="E10" s="157">
        <f>INDEX(TestSummary!$A$1:$CF$296,'J1634 Calcs_old'!$A10,'J1634 Calcs_old'!E$5)</f>
        <v>0</v>
      </c>
      <c r="F10" s="157">
        <f>INDEX(TestSummary!$A$1:$CF$296,'J1634 Calcs_old'!$A10,'J1634 Calcs_old'!F$5)</f>
        <v>-17.21322</v>
      </c>
      <c r="G10" s="364">
        <f>INDEX(TestSummary!$A$1:$CF$296,'J1634 Calcs_old'!$A10,'J1634 Calcs_old'!G$5)</f>
        <v>700.68688138001437</v>
      </c>
      <c r="H10" s="364">
        <f>INDEX(TestSummary!$A$1:$CF$296,'J1634 Calcs_old'!$A10,'J1634 Calcs_old'!H$5)</f>
        <v>-8508</v>
      </c>
      <c r="I10" s="364">
        <f>INDEX(TestSummary!$A$1:$CF$296,'J1634 Calcs_old'!$A10,'J1634 Calcs_old'!I$5)</f>
        <v>-3264</v>
      </c>
      <c r="J10" s="365">
        <f>INDEX(TestSummary!$A$1:$CF$296,'J1634 Calcs_old'!$A10,'J1634 Calcs_old'!J$5)</f>
        <v>90.3</v>
      </c>
      <c r="K10" s="366">
        <f>INDEX(TestSummary!$A$1:$CF$296,'J1634 Calcs_old'!$A10,'J1634 Calcs_old'!K$5)</f>
        <v>702.56288373980021</v>
      </c>
      <c r="L10" s="366">
        <f>INDEX(TestSummary!$A$1:$CF$296,'J1634 Calcs_old'!$A10,'J1634 Calcs_old'!L$5)</f>
        <v>-8508</v>
      </c>
      <c r="N10" s="182" t="s">
        <v>297</v>
      </c>
      <c r="O10" s="367">
        <f>TestSummary!BL174</f>
        <v>85982.900000000009</v>
      </c>
      <c r="P10" s="367">
        <f>$O$24</f>
        <v>85754.6</v>
      </c>
      <c r="Q10" s="368" t="s">
        <v>16</v>
      </c>
      <c r="R10" s="369" t="s">
        <v>1</v>
      </c>
      <c r="S10" s="369" t="s">
        <v>420</v>
      </c>
      <c r="T10" s="370" t="s">
        <v>298</v>
      </c>
      <c r="U10" s="369" t="s">
        <v>299</v>
      </c>
      <c r="V10" s="370" t="s">
        <v>300</v>
      </c>
      <c r="W10" s="371" t="s">
        <v>301</v>
      </c>
      <c r="X10" s="372" t="s">
        <v>302</v>
      </c>
      <c r="Y10" s="371" t="s">
        <v>303</v>
      </c>
      <c r="Z10" s="373"/>
      <c r="AC10" s="8" t="s">
        <v>306</v>
      </c>
      <c r="AD10" s="374">
        <f>K13</f>
        <v>385.44860365303276</v>
      </c>
      <c r="AE10" s="374">
        <f>K20</f>
        <v>349.42503170651952</v>
      </c>
      <c r="AF10" s="143">
        <f>K60</f>
        <v>315.96771451860485</v>
      </c>
      <c r="AG10" s="374">
        <f>K27</f>
        <v>249.19936387326945</v>
      </c>
      <c r="AH10" s="374">
        <f>K37</f>
        <v>243.38091184245025</v>
      </c>
      <c r="AI10" s="143">
        <f>K67</f>
        <v>256.5577483749729</v>
      </c>
      <c r="AK10" s="374"/>
      <c r="AL10" s="374"/>
      <c r="AM10" s="374"/>
      <c r="AO10" s="375"/>
    </row>
    <row r="11" spans="1:44">
      <c r="A11" s="279">
        <v>155</v>
      </c>
      <c r="B11" s="26">
        <f>INDEX(TestSummary!$A$1:$CF$296,'J1634 Calcs_old'!$A11,'J1634 Calcs_old'!B$5)</f>
        <v>62006017</v>
      </c>
      <c r="C11" s="26" t="str">
        <f>INDEX(TestSummary!$A$1:$CF$296,'J1634 Calcs_old'!$A11,'J1634 Calcs_old'!C$5)</f>
        <v>HWY 1</v>
      </c>
      <c r="D11" s="2" t="str">
        <f>INDEX(TestSummary!$A$1:$CF$296,'J1634 Calcs_old'!$A11,'J1634 Calcs_old'!D$5)</f>
        <v xml:space="preserve">J1634 MCT in deep cold (0°F) Test Cell, HVAC-AUTO-72°F, charged over weekend and soaked at 0°F, </v>
      </c>
      <c r="E11" s="117">
        <f>INDEX(TestSummary!$A$1:$CF$296,'J1634 Calcs_old'!$A11,'J1634 Calcs_old'!E$5)</f>
        <v>0</v>
      </c>
      <c r="F11" s="117">
        <f>INDEX(TestSummary!$A$1:$CF$296,'J1634 Calcs_old'!$A11,'J1634 Calcs_old'!F$5)</f>
        <v>-14.521599</v>
      </c>
      <c r="G11" s="179">
        <f>INDEX(TestSummary!$A$1:$CF$296,'J1634 Calcs_old'!$A11,'J1634 Calcs_old'!G$5)</f>
        <v>321.66363412204487</v>
      </c>
      <c r="H11" s="179">
        <f>INDEX(TestSummary!$A$1:$CF$296,'J1634 Calcs_old'!$A11,'J1634 Calcs_old'!H$5)</f>
        <v>-3250</v>
      </c>
      <c r="I11" s="179">
        <f>INDEX(TestSummary!$A$1:$CF$296,'J1634 Calcs_old'!$A11,'J1634 Calcs_old'!I$5)</f>
        <v>58</v>
      </c>
      <c r="J11" s="180">
        <f>INDEX(TestSummary!$A$1:$CF$296,'J1634 Calcs_old'!$A11,'J1634 Calcs_old'!J$5)</f>
        <v>86.3</v>
      </c>
      <c r="K11" s="181">
        <f>INDEX(TestSummary!$A$1:$CF$296,'J1634 Calcs_old'!$A11,'J1634 Calcs_old'!K$5)</f>
        <v>321.76090162555926</v>
      </c>
      <c r="L11" s="181">
        <f>INDEX(TestSummary!$A$1:$CF$296,'J1634 Calcs_old'!$A11,'J1634 Calcs_old'!L$5)</f>
        <v>-3250</v>
      </c>
      <c r="N11" s="190" t="s">
        <v>304</v>
      </c>
      <c r="O11" s="191">
        <f>TestSummary!W173</f>
        <v>61212</v>
      </c>
      <c r="P11" s="191">
        <f>$O$27</f>
        <v>76123</v>
      </c>
      <c r="Q11" s="183" t="s">
        <v>305</v>
      </c>
      <c r="R11" s="184" t="s">
        <v>58</v>
      </c>
      <c r="S11" s="184">
        <v>3</v>
      </c>
      <c r="T11" s="192"/>
      <c r="U11" s="192">
        <f>I10/O11</f>
        <v>-5.3322877867084888E-2</v>
      </c>
      <c r="V11" s="192">
        <f>(1-U11)/S11</f>
        <v>0.35110762595569495</v>
      </c>
      <c r="W11" s="193">
        <f>U11*K10+V11*K12*3</f>
        <v>404.19001232632581</v>
      </c>
      <c r="X11" s="193">
        <f>P11/W11</f>
        <v>188.33468833599363</v>
      </c>
      <c r="Y11" s="194">
        <f>W11/T14</f>
        <v>567.75516909843236</v>
      </c>
      <c r="Z11" s="188"/>
      <c r="AD11" s="45"/>
      <c r="AE11" s="45"/>
      <c r="AF11" s="45"/>
      <c r="AG11" s="45"/>
      <c r="AH11" s="45"/>
      <c r="AK11" s="143"/>
      <c r="AL11" s="143"/>
      <c r="AM11" s="143"/>
      <c r="AO11" s="162"/>
    </row>
    <row r="12" spans="1:44">
      <c r="A12" s="279">
        <v>158</v>
      </c>
      <c r="B12" s="26">
        <f>INDEX(TestSummary!$A$1:$CF$296,'J1634 Calcs_old'!$A12,'J1634 Calcs_old'!B$5)</f>
        <v>62006017</v>
      </c>
      <c r="C12" s="26" t="str">
        <f>INDEX(TestSummary!$A$1:$CF$296,'J1634 Calcs_old'!$A12,'J1634 Calcs_old'!C$5)</f>
        <v>UDDS 2, combined</v>
      </c>
      <c r="D12" s="2" t="str">
        <f>INDEX(TestSummary!$A$1:$CF$296,'J1634 Calcs_old'!$A12,'J1634 Calcs_old'!D$5)</f>
        <v xml:space="preserve">J1634 MCT in deep cold (0°F) Test Cell, HVAC-AUTO-72°F, charged over weekend and soaked at 0°F, </v>
      </c>
      <c r="E12" s="117">
        <f>INDEX(TestSummary!$A$1:$CF$296,'J1634 Calcs_old'!$A12,'J1634 Calcs_old'!E$5)</f>
        <v>0</v>
      </c>
      <c r="F12" s="117">
        <f>INDEX(TestSummary!$A$1:$CF$296,'J1634 Calcs_old'!$A12,'J1634 Calcs_old'!F$5)</f>
        <v>-17.803893000000002</v>
      </c>
      <c r="G12" s="179">
        <f>INDEX(TestSummary!$A$1:$CF$296,'J1634 Calcs_old'!$A12,'J1634 Calcs_old'!G$5)</f>
        <v>419.65296629742369</v>
      </c>
      <c r="H12" s="179">
        <f>INDEX(TestSummary!$A$1:$CF$296,'J1634 Calcs_old'!$A12,'J1634 Calcs_old'!H$5)</f>
        <v>107</v>
      </c>
      <c r="I12" s="179">
        <f>INDEX(TestSummary!$A$1:$CF$296,'J1634 Calcs_old'!$A12,'J1634 Calcs_old'!I$5)</f>
        <v>3236</v>
      </c>
      <c r="J12" s="180">
        <f>INDEX(TestSummary!$A$1:$CF$296,'J1634 Calcs_old'!$A12,'J1634 Calcs_old'!J$5)</f>
        <v>82.6</v>
      </c>
      <c r="K12" s="181">
        <f>INDEX(TestSummary!$A$1:$CF$296,'J1634 Calcs_old'!$A12,'J1634 Calcs_old'!K$5)</f>
        <v>419.29468774498673</v>
      </c>
      <c r="L12" s="181">
        <f>INDEX(TestSummary!$A$1:$CF$296,'J1634 Calcs_old'!$A12,'J1634 Calcs_old'!L$5)</f>
        <v>107</v>
      </c>
      <c r="Q12" s="183" t="s">
        <v>305</v>
      </c>
      <c r="R12" s="184" t="s">
        <v>56</v>
      </c>
      <c r="S12" s="184">
        <v>2</v>
      </c>
      <c r="T12" s="192">
        <f>1/S12</f>
        <v>0.5</v>
      </c>
      <c r="U12" s="192"/>
      <c r="V12" s="192"/>
      <c r="W12" s="193">
        <f>T12*K11*2</f>
        <v>321.76090162555926</v>
      </c>
      <c r="X12" s="193">
        <f>P11/W12</f>
        <v>236.58250463440748</v>
      </c>
      <c r="Y12" s="194">
        <f>W12/T14</f>
        <v>451.96914703620695</v>
      </c>
      <c r="Z12" s="188"/>
      <c r="AC12" s="279" t="s">
        <v>307</v>
      </c>
      <c r="AD12" s="45"/>
      <c r="AE12" s="45"/>
      <c r="AF12" s="45"/>
      <c r="AG12" s="45"/>
      <c r="AH12" s="45"/>
    </row>
    <row r="13" spans="1:44">
      <c r="A13" s="44">
        <v>161</v>
      </c>
      <c r="B13" s="26">
        <f>INDEX(TestSummary!$A$1:$CF$296,'J1634 Calcs_old'!$A13,'J1634 Calcs_old'!B$5)</f>
        <v>62006017</v>
      </c>
      <c r="C13" s="26" t="str">
        <f>INDEX(TestSummary!$A$1:$CF$296,'J1634 Calcs_old'!$A13,'J1634 Calcs_old'!C$5)</f>
        <v>US06 1, combined</v>
      </c>
      <c r="D13" s="2" t="str">
        <f>INDEX(TestSummary!$A$1:$CF$296,'J1634 Calcs_old'!$A13,'J1634 Calcs_old'!D$5)</f>
        <v xml:space="preserve">J1634 MCT in deep cold (0°F) Test Cell, HVAC-AUTO-72°F, charged over weekend and soaked at 0°F, </v>
      </c>
      <c r="E13" s="117">
        <f>INDEX(TestSummary!$A$1:$CF$296,'J1634 Calcs_old'!$A13,'J1634 Calcs_old'!E$5)</f>
        <v>0</v>
      </c>
      <c r="F13" s="117">
        <f>INDEX(TestSummary!$A$1:$CF$296,'J1634 Calcs_old'!$A13,'J1634 Calcs_old'!F$5)</f>
        <v>-12.8787935</v>
      </c>
      <c r="G13" s="179">
        <f>INDEX(TestSummary!$A$1:$CF$296,'J1634 Calcs_old'!$A13,'J1634 Calcs_old'!G$5)</f>
        <v>384.62255313857463</v>
      </c>
      <c r="H13" s="179">
        <f>INDEX(TestSummary!$A$1:$CF$296,'J1634 Calcs_old'!$A13,'J1634 Calcs_old'!H$5)</f>
        <v>3299</v>
      </c>
      <c r="I13" s="179">
        <f>INDEX(TestSummary!$A$1:$CF$296,'J1634 Calcs_old'!$A13,'J1634 Calcs_old'!I$5)</f>
        <v>6067</v>
      </c>
      <c r="J13" s="180">
        <f>INDEX(TestSummary!$A$1:$CF$296,'J1634 Calcs_old'!$A13,'J1634 Calcs_old'!J$5)</f>
        <v>79.099999999999994</v>
      </c>
      <c r="K13" s="181">
        <f>INDEX(TestSummary!$A$1:$CF$296,'J1634 Calcs_old'!$A13,'J1634 Calcs_old'!K$5)</f>
        <v>385.44860365303276</v>
      </c>
      <c r="L13" s="181">
        <f>INDEX(TestSummary!$A$1:$CF$296,'J1634 Calcs_old'!$A13,'J1634 Calcs_old'!L$5)</f>
        <v>3299</v>
      </c>
      <c r="Q13" s="183" t="s">
        <v>305</v>
      </c>
      <c r="R13" s="184" t="s">
        <v>224</v>
      </c>
      <c r="S13" s="184">
        <v>2</v>
      </c>
      <c r="T13" s="192">
        <f>1/S13</f>
        <v>0.5</v>
      </c>
      <c r="U13" s="192"/>
      <c r="V13" s="192"/>
      <c r="W13" s="193">
        <f>T13*K13*2</f>
        <v>385.44860365303276</v>
      </c>
      <c r="X13" s="193">
        <f>P11/W13</f>
        <v>197.49195944298515</v>
      </c>
      <c r="Y13" s="194">
        <f>W13/T14</f>
        <v>541.42960110825254</v>
      </c>
      <c r="Z13" s="188"/>
      <c r="AC13" s="279" t="s">
        <v>58</v>
      </c>
      <c r="AD13" s="143">
        <f>Y11</f>
        <v>567.75516909843236</v>
      </c>
      <c r="AE13" s="143">
        <f>Y18</f>
        <v>381.68104860934295</v>
      </c>
      <c r="AF13" s="143">
        <f>Y59</f>
        <v>364.9141411202009</v>
      </c>
      <c r="AG13" s="143">
        <f>Y25</f>
        <v>192.19205291721761</v>
      </c>
      <c r="AH13" s="143">
        <f>Y36</f>
        <v>245.80393421608062</v>
      </c>
      <c r="AI13" s="143">
        <f>Y66</f>
        <v>230.81934136249112</v>
      </c>
      <c r="AP13" s="189"/>
    </row>
    <row r="14" spans="1:44" ht="15.75" thickBot="1">
      <c r="B14" s="154"/>
      <c r="C14" s="154"/>
      <c r="D14" s="20"/>
      <c r="E14" s="155"/>
      <c r="F14" s="155"/>
      <c r="G14" s="202"/>
      <c r="H14" s="202"/>
      <c r="I14" s="202"/>
      <c r="J14" s="203"/>
      <c r="K14" s="204"/>
      <c r="L14" s="204"/>
      <c r="Q14" s="195" t="s">
        <v>305</v>
      </c>
      <c r="R14" s="196" t="s">
        <v>308</v>
      </c>
      <c r="S14" s="196"/>
      <c r="T14" s="376">
        <f>O11/O10</f>
        <v>0.71190899585847878</v>
      </c>
      <c r="U14" s="197"/>
      <c r="V14" s="197"/>
      <c r="W14" s="198" t="s">
        <v>293</v>
      </c>
      <c r="X14" s="198" t="s">
        <v>309</v>
      </c>
      <c r="Y14" s="199" t="s">
        <v>307</v>
      </c>
      <c r="Z14" s="200"/>
      <c r="AC14" s="279" t="s">
        <v>56</v>
      </c>
      <c r="AD14" s="143">
        <f>Y12</f>
        <v>451.96914703620695</v>
      </c>
      <c r="AE14" s="143">
        <f>Y19</f>
        <v>315.87362923174317</v>
      </c>
      <c r="AF14" s="143">
        <f>Y60</f>
        <v>311.22445889233319</v>
      </c>
      <c r="AG14" s="143">
        <f>Y26</f>
        <v>212.1834802595796</v>
      </c>
      <c r="AH14" s="143">
        <f>Y37</f>
        <v>208.10964895893559</v>
      </c>
      <c r="AI14" s="143">
        <f>Y67</f>
        <v>212.27826295376039</v>
      </c>
    </row>
    <row r="15" spans="1:44" ht="15.75" thickBot="1">
      <c r="L15" s="512"/>
      <c r="AC15" s="279" t="s">
        <v>224</v>
      </c>
      <c r="AD15" s="143">
        <f>Y13</f>
        <v>541.42960110825254</v>
      </c>
      <c r="AE15" s="143">
        <f>Y20</f>
        <v>396.19096582190053</v>
      </c>
      <c r="AF15" s="143">
        <f>Y61</f>
        <v>386.88041473655989</v>
      </c>
      <c r="AG15" s="143">
        <f>Y27</f>
        <v>280.72976326743128</v>
      </c>
      <c r="AH15" s="143">
        <f>Y38</f>
        <v>275.72612550201933</v>
      </c>
      <c r="AI15" s="143">
        <f>Y68</f>
        <v>290.65415767998172</v>
      </c>
    </row>
    <row r="16" spans="1:44" ht="16.5" thickBot="1">
      <c r="B16" s="119" t="s">
        <v>416</v>
      </c>
      <c r="C16" s="174"/>
      <c r="D16" s="174"/>
      <c r="E16" s="158"/>
      <c r="F16" s="158"/>
      <c r="G16" s="174"/>
      <c r="H16" s="174"/>
      <c r="I16" s="174"/>
      <c r="J16" s="174"/>
      <c r="K16" s="174"/>
      <c r="L16" s="174"/>
      <c r="N16" s="175" t="s">
        <v>294</v>
      </c>
      <c r="O16" s="334" t="s">
        <v>311</v>
      </c>
      <c r="P16" s="279" t="s">
        <v>312</v>
      </c>
      <c r="Q16" s="176" t="s">
        <v>295</v>
      </c>
      <c r="R16" s="177"/>
      <c r="S16" s="177"/>
      <c r="T16" s="177"/>
      <c r="U16" s="177"/>
      <c r="V16" s="177"/>
      <c r="W16" s="177"/>
      <c r="X16" s="177"/>
      <c r="Y16" s="177"/>
      <c r="Z16" s="178"/>
      <c r="AD16" s="45"/>
      <c r="AE16" s="45"/>
      <c r="AF16" s="45"/>
      <c r="AG16" s="45"/>
      <c r="AH16" s="45"/>
    </row>
    <row r="17" spans="1:51">
      <c r="A17" s="279">
        <v>117</v>
      </c>
      <c r="B17" s="26">
        <f>INDEX(TestSummary!$A$1:$CF$296,'J1634 Calcs_old'!$A17,'J1634 Calcs_old'!B$5)</f>
        <v>62006009</v>
      </c>
      <c r="C17" s="26" t="str">
        <f>INDEX(TestSummary!$A$1:$CF$296,'J1634 Calcs_old'!$A17,'J1634 Calcs_old'!C$5)</f>
        <v>UDDS 1 , Combined</v>
      </c>
      <c r="D17" s="2" t="str">
        <f>INDEX(TestSummary!$A$1:$CF$296,'J1634 Calcs_old'!$A17,'J1634 Calcs_old'!D$5)</f>
        <v>J1634 MCT Cold, 20°F Test Cell, HVAC-AUTO-72°F, charge NOT plugged in overnight</v>
      </c>
      <c r="E17" s="117">
        <f>INDEX(TestSummary!$A$1:$CF$296,'J1634 Calcs_old'!$A17,'J1634 Calcs_old'!E$5)</f>
        <v>0</v>
      </c>
      <c r="F17" s="117">
        <f>INDEX(TestSummary!$A$1:$CF$296,'J1634 Calcs_old'!$A17,'J1634 Calcs_old'!F$5)</f>
        <v>-5.8730845</v>
      </c>
      <c r="G17" s="179">
        <f>INDEX(TestSummary!$A$1:$CF$296,'J1634 Calcs_old'!$A17,'J1634 Calcs_old'!G$5)</f>
        <v>469.0965060193933</v>
      </c>
      <c r="H17" s="179">
        <f>INDEX(TestSummary!$A$1:$CF$296,'J1634 Calcs_old'!$A17,'J1634 Calcs_old'!H$5)</f>
        <v>24</v>
      </c>
      <c r="I17" s="179">
        <f>INDEX(TestSummary!$A$1:$CF$296,'J1634 Calcs_old'!$A17,'J1634 Calcs_old'!I$5)</f>
        <v>3532</v>
      </c>
      <c r="J17" s="180">
        <f>INDEX(TestSummary!$A$1:$CF$296,'J1634 Calcs_old'!$A17,'J1634 Calcs_old'!J$5)</f>
        <v>95.6</v>
      </c>
      <c r="K17" s="181">
        <f>INDEX(TestSummary!$A$1:$CF$296,'J1634 Calcs_old'!$A17,'J1634 Calcs_old'!K$5)</f>
        <v>470.19803431674404</v>
      </c>
      <c r="L17" s="181">
        <f>INDEX(TestSummary!$A$1:$CF$296,'J1634 Calcs_old'!$A17,'J1634 Calcs_old'!L$5)</f>
        <v>24</v>
      </c>
      <c r="N17" s="182" t="s">
        <v>297</v>
      </c>
      <c r="O17" s="205">
        <f>TestSummary!BL137</f>
        <v>84074</v>
      </c>
      <c r="P17" s="205">
        <f>$O$24</f>
        <v>85754.6</v>
      </c>
      <c r="Q17" s="183" t="s">
        <v>16</v>
      </c>
      <c r="R17" s="184" t="s">
        <v>1</v>
      </c>
      <c r="S17" s="184" t="s">
        <v>420</v>
      </c>
      <c r="T17" s="185" t="s">
        <v>298</v>
      </c>
      <c r="U17" s="184" t="s">
        <v>299</v>
      </c>
      <c r="V17" s="185" t="s">
        <v>300</v>
      </c>
      <c r="W17" s="186" t="s">
        <v>301</v>
      </c>
      <c r="X17" s="187" t="s">
        <v>302</v>
      </c>
      <c r="Y17" s="186" t="s">
        <v>303</v>
      </c>
      <c r="Z17" s="188"/>
      <c r="AC17" s="279" t="s">
        <v>418</v>
      </c>
      <c r="AD17" s="114"/>
      <c r="AE17" s="114"/>
      <c r="AF17" s="520"/>
      <c r="AG17" s="114"/>
    </row>
    <row r="18" spans="1:51">
      <c r="A18" s="279">
        <v>118</v>
      </c>
      <c r="B18" s="26">
        <f>INDEX(TestSummary!$A$1:$CF$296,'J1634 Calcs_old'!$A18,'J1634 Calcs_old'!B$5)</f>
        <v>62006009</v>
      </c>
      <c r="C18" s="26" t="str">
        <f>INDEX(TestSummary!$A$1:$CF$296,'J1634 Calcs_old'!$A18,'J1634 Calcs_old'!C$5)</f>
        <v>HWY 1</v>
      </c>
      <c r="D18" s="2" t="str">
        <f>INDEX(TestSummary!$A$1:$CF$296,'J1634 Calcs_old'!$A18,'J1634 Calcs_old'!D$5)</f>
        <v>J1634 MCT Cold, 20°F Test Cell, HVAC-AUTO-72°F, charge NOT plugged in overnight</v>
      </c>
      <c r="E18" s="117">
        <f>INDEX(TestSummary!$A$1:$CF$296,'J1634 Calcs_old'!$A18,'J1634 Calcs_old'!E$5)</f>
        <v>0</v>
      </c>
      <c r="F18" s="117">
        <f>INDEX(TestSummary!$A$1:$CF$296,'J1634 Calcs_old'!$A18,'J1634 Calcs_old'!F$5)</f>
        <v>-4.2884739999999999</v>
      </c>
      <c r="G18" s="179">
        <f>INDEX(TestSummary!$A$1:$CF$296,'J1634 Calcs_old'!$A18,'J1634 Calcs_old'!G$5)</f>
        <v>278.10190061988408</v>
      </c>
      <c r="H18" s="179">
        <f>INDEX(TestSummary!$A$1:$CF$296,'J1634 Calcs_old'!$A18,'J1634 Calcs_old'!H$5)</f>
        <v>3543</v>
      </c>
      <c r="I18" s="179">
        <f>INDEX(TestSummary!$A$1:$CF$296,'J1634 Calcs_old'!$A18,'J1634 Calcs_old'!I$5)</f>
        <v>6407</v>
      </c>
      <c r="J18" s="180">
        <f>INDEX(TestSummary!$A$1:$CF$296,'J1634 Calcs_old'!$A18,'J1634 Calcs_old'!J$5)</f>
        <v>92.2</v>
      </c>
      <c r="K18" s="181">
        <f>INDEX(TestSummary!$A$1:$CF$296,'J1634 Calcs_old'!$A18,'J1634 Calcs_old'!K$5)</f>
        <v>278.58826281054496</v>
      </c>
      <c r="L18" s="181">
        <f>INDEX(TestSummary!$A$1:$CF$296,'J1634 Calcs_old'!$A18,'J1634 Calcs_old'!L$5)</f>
        <v>3543</v>
      </c>
      <c r="N18" s="190" t="s">
        <v>304</v>
      </c>
      <c r="O18" s="191">
        <f>TestSummary!W136</f>
        <v>74150</v>
      </c>
      <c r="P18" s="191">
        <f>$O$27</f>
        <v>76123</v>
      </c>
      <c r="Q18" s="183" t="s">
        <v>305</v>
      </c>
      <c r="R18" s="184" t="s">
        <v>58</v>
      </c>
      <c r="S18" s="184">
        <v>3</v>
      </c>
      <c r="T18" s="192"/>
      <c r="U18" s="192">
        <f>I17/O18</f>
        <v>4.763317599460553E-2</v>
      </c>
      <c r="V18" s="192">
        <f>(1-U18)/S18</f>
        <v>0.31745560800179817</v>
      </c>
      <c r="W18" s="193">
        <f>U18*K17+V18*K19*3</f>
        <v>336.62784873305395</v>
      </c>
      <c r="X18" s="193">
        <f>P18/W18</f>
        <v>226.13399422091658</v>
      </c>
      <c r="Y18" s="194">
        <f>W18/T21</f>
        <v>381.68104860934295</v>
      </c>
      <c r="Z18" s="188"/>
      <c r="AC18" s="279" t="s">
        <v>58</v>
      </c>
      <c r="AD18" s="201">
        <f t="shared" ref="AD18:AI18" si="0">AD13/$AG13-1</f>
        <v>1.9541032549508177</v>
      </c>
      <c r="AE18" s="201">
        <f t="shared" si="0"/>
        <v>0.98593564518374466</v>
      </c>
      <c r="AF18" s="201">
        <f t="shared" si="0"/>
        <v>0.89869526643424447</v>
      </c>
      <c r="AG18" s="201">
        <f t="shared" si="0"/>
        <v>0</v>
      </c>
      <c r="AH18" s="201">
        <f t="shared" si="0"/>
        <v>0.27894952202813039</v>
      </c>
      <c r="AI18" s="201">
        <f t="shared" si="0"/>
        <v>0.20098275583700298</v>
      </c>
    </row>
    <row r="19" spans="1:51">
      <c r="A19" s="279">
        <v>121</v>
      </c>
      <c r="B19" s="26">
        <f>INDEX(TestSummary!$A$1:$CF$296,'J1634 Calcs_old'!$A19,'J1634 Calcs_old'!B$5)</f>
        <v>62006009</v>
      </c>
      <c r="C19" s="26" t="str">
        <f>INDEX(TestSummary!$A$1:$CF$296,'J1634 Calcs_old'!$A19,'J1634 Calcs_old'!C$5)</f>
        <v>UDDS 2, combined</v>
      </c>
      <c r="D19" s="2" t="str">
        <f>INDEX(TestSummary!$A$1:$CF$296,'J1634 Calcs_old'!$A19,'J1634 Calcs_old'!D$5)</f>
        <v>J1634 MCT Cold, 20°F Test Cell, HVAC-AUTO-72°F, charge NOT plugged in overnight</v>
      </c>
      <c r="E19" s="117">
        <f>INDEX(TestSummary!$A$1:$CF$296,'J1634 Calcs_old'!$A19,'J1634 Calcs_old'!E$5)</f>
        <v>0</v>
      </c>
      <c r="F19" s="117">
        <f>INDEX(TestSummary!$A$1:$CF$296,'J1634 Calcs_old'!$A19,'J1634 Calcs_old'!F$5)</f>
        <v>-6.7439245000000003</v>
      </c>
      <c r="G19" s="179">
        <f>INDEX(TestSummary!$A$1:$CF$296,'J1634 Calcs_old'!$A19,'J1634 Calcs_old'!G$5)</f>
        <v>328.74062524614067</v>
      </c>
      <c r="H19" s="179">
        <f>INDEX(TestSummary!$A$1:$CF$296,'J1634 Calcs_old'!$A19,'J1634 Calcs_old'!H$5)</f>
        <v>6461</v>
      </c>
      <c r="I19" s="179">
        <f>INDEX(TestSummary!$A$1:$CF$296,'J1634 Calcs_old'!$A19,'J1634 Calcs_old'!I$5)</f>
        <v>8922</v>
      </c>
      <c r="J19" s="180">
        <f>INDEX(TestSummary!$A$1:$CF$296,'J1634 Calcs_old'!$A19,'J1634 Calcs_old'!J$5)</f>
        <v>89.2</v>
      </c>
      <c r="K19" s="181">
        <f>INDEX(TestSummary!$A$1:$CF$296,'J1634 Calcs_old'!$A19,'J1634 Calcs_old'!K$5)</f>
        <v>329.9472588624601</v>
      </c>
      <c r="L19" s="181">
        <f>INDEX(TestSummary!$A$1:$CF$296,'J1634 Calcs_old'!$A19,'J1634 Calcs_old'!L$5)</f>
        <v>6461</v>
      </c>
      <c r="Q19" s="183" t="s">
        <v>305</v>
      </c>
      <c r="R19" s="184" t="s">
        <v>56</v>
      </c>
      <c r="S19" s="184">
        <v>2</v>
      </c>
      <c r="T19" s="192">
        <f>1/S19</f>
        <v>0.5</v>
      </c>
      <c r="U19" s="192"/>
      <c r="V19" s="192"/>
      <c r="W19" s="193">
        <f>T19*K18*2</f>
        <v>278.58826281054496</v>
      </c>
      <c r="X19" s="193">
        <f>P18/W19</f>
        <v>273.24553888965431</v>
      </c>
      <c r="Y19" s="194">
        <f>W19/T21</f>
        <v>315.87362923174317</v>
      </c>
      <c r="Z19" s="188"/>
      <c r="AC19" s="279" t="s">
        <v>56</v>
      </c>
      <c r="AD19" s="201">
        <f t="shared" ref="AD19:AF20" si="1">AD14/$AG14-1</f>
        <v>1.1300864067423158</v>
      </c>
      <c r="AE19" s="201">
        <f t="shared" si="1"/>
        <v>0.48868153564694006</v>
      </c>
      <c r="AF19" s="201">
        <f t="shared" si="1"/>
        <v>0.46677045032718611</v>
      </c>
      <c r="AG19" s="201">
        <f>AG14/$AG13-1</f>
        <v>0.10401797076892061</v>
      </c>
      <c r="AH19" s="201">
        <f>AH14/$AG14-1</f>
        <v>-1.9199568673584744E-2</v>
      </c>
      <c r="AI19" s="201">
        <f>AI14/$AG14-1</f>
        <v>4.4670157198312133E-4</v>
      </c>
    </row>
    <row r="20" spans="1:51">
      <c r="A20" s="44">
        <v>124</v>
      </c>
      <c r="B20" s="26">
        <f>INDEX(TestSummary!$A$1:$CF$296,'J1634 Calcs_old'!$A20,'J1634 Calcs_old'!B$5)</f>
        <v>62006009</v>
      </c>
      <c r="C20" s="26" t="str">
        <f>INDEX(TestSummary!$A$1:$CF$296,'J1634 Calcs_old'!$A20,'J1634 Calcs_old'!C$5)</f>
        <v>US06 1, combined</v>
      </c>
      <c r="D20" s="2" t="str">
        <f>INDEX(TestSummary!$A$1:$CF$296,'J1634 Calcs_old'!$A20,'J1634 Calcs_old'!D$5)</f>
        <v>J1634 MCT Cold, 20°F Test Cell, HVAC-AUTO-72°F, charge NOT plugged in overnight</v>
      </c>
      <c r="E20" s="117">
        <f>INDEX(TestSummary!$A$1:$CF$296,'J1634 Calcs_old'!$A20,'J1634 Calcs_old'!E$5)</f>
        <v>0</v>
      </c>
      <c r="F20" s="117">
        <f>INDEX(TestSummary!$A$1:$CF$296,'J1634 Calcs_old'!$A20,'J1634 Calcs_old'!F$5)</f>
        <v>-3.5318399999999999</v>
      </c>
      <c r="G20" s="179">
        <f>INDEX(TestSummary!$A$1:$CF$296,'J1634 Calcs_old'!$A20,'J1634 Calcs_old'!G$5)</f>
        <v>348.80172626287606</v>
      </c>
      <c r="H20" s="179">
        <f>INDEX(TestSummary!$A$1:$CF$296,'J1634 Calcs_old'!$A20,'J1634 Calcs_old'!H$5)</f>
        <v>8971</v>
      </c>
      <c r="I20" s="179">
        <f>INDEX(TestSummary!$A$1:$CF$296,'J1634 Calcs_old'!$A20,'J1634 Calcs_old'!I$5)</f>
        <v>11496</v>
      </c>
      <c r="J20" s="180">
        <f>INDEX(TestSummary!$A$1:$CF$296,'J1634 Calcs_old'!$A20,'J1634 Calcs_old'!J$5)</f>
        <v>86.2</v>
      </c>
      <c r="K20" s="181">
        <f>INDEX(TestSummary!$A$1:$CF$296,'J1634 Calcs_old'!$A20,'J1634 Calcs_old'!K$5)</f>
        <v>349.42503170651952</v>
      </c>
      <c r="L20" s="181">
        <f>INDEX(TestSummary!$A$1:$CF$296,'J1634 Calcs_old'!$A20,'J1634 Calcs_old'!L$5)</f>
        <v>8971</v>
      </c>
      <c r="Q20" s="183" t="s">
        <v>305</v>
      </c>
      <c r="R20" s="184" t="s">
        <v>224</v>
      </c>
      <c r="S20" s="184">
        <v>2</v>
      </c>
      <c r="T20" s="192">
        <f>1/S20</f>
        <v>0.5</v>
      </c>
      <c r="U20" s="192"/>
      <c r="V20" s="192"/>
      <c r="W20" s="193">
        <f>T20*K20*2</f>
        <v>349.42503170651952</v>
      </c>
      <c r="X20" s="193">
        <f>P18/W20</f>
        <v>217.85216596598997</v>
      </c>
      <c r="Y20" s="194">
        <f>W20/T21</f>
        <v>396.19096582190053</v>
      </c>
      <c r="Z20" s="188"/>
      <c r="AC20" s="279" t="s">
        <v>224</v>
      </c>
      <c r="AD20" s="201">
        <f t="shared" si="1"/>
        <v>0.92865051003683941</v>
      </c>
      <c r="AE20" s="201">
        <f t="shared" si="1"/>
        <v>0.41128949495988265</v>
      </c>
      <c r="AF20" s="201">
        <f t="shared" si="1"/>
        <v>0.37812396602923237</v>
      </c>
      <c r="AG20" s="201">
        <f>AG15/$AG14-1</f>
        <v>0.32305193092315188</v>
      </c>
      <c r="AH20" s="201">
        <f>AH15/$AG15-1</f>
        <v>-1.78236810631488E-2</v>
      </c>
      <c r="AI20" s="201">
        <f>AI15/$AG15-1</f>
        <v>3.535212760143347E-2</v>
      </c>
    </row>
    <row r="21" spans="1:51" ht="18" customHeight="1" thickBot="1">
      <c r="B21" s="154"/>
      <c r="C21" s="154"/>
      <c r="D21" s="20"/>
      <c r="E21" s="155"/>
      <c r="F21" s="155"/>
      <c r="G21" s="202"/>
      <c r="H21" s="202"/>
      <c r="I21" s="202"/>
      <c r="J21" s="203"/>
      <c r="K21" s="204"/>
      <c r="L21" s="204"/>
      <c r="Q21" s="195" t="s">
        <v>305</v>
      </c>
      <c r="R21" s="196" t="s">
        <v>308</v>
      </c>
      <c r="S21" s="196"/>
      <c r="T21" s="376">
        <f>O18/O17</f>
        <v>0.88196112948117134</v>
      </c>
      <c r="U21" s="197"/>
      <c r="V21" s="197"/>
      <c r="W21" s="198" t="s">
        <v>293</v>
      </c>
      <c r="X21" s="198" t="s">
        <v>309</v>
      </c>
      <c r="Y21" s="199" t="s">
        <v>307</v>
      </c>
      <c r="Z21" s="200"/>
      <c r="AC21" s="512"/>
      <c r="AD21" s="201"/>
      <c r="AE21" s="201"/>
      <c r="AF21" s="201"/>
      <c r="AG21" s="201"/>
      <c r="AH21" s="201"/>
      <c r="AI21" s="201"/>
    </row>
    <row r="22" spans="1:51" ht="15.75" thickBot="1">
      <c r="L22" s="512"/>
      <c r="AC22" s="512" t="s">
        <v>1282</v>
      </c>
      <c r="AD22" s="520"/>
      <c r="AE22" s="520"/>
      <c r="AF22" s="520"/>
      <c r="AG22" s="520"/>
      <c r="AH22" s="512"/>
      <c r="AI22" s="512"/>
    </row>
    <row r="23" spans="1:51" ht="16.5" thickBot="1">
      <c r="B23" s="119" t="s">
        <v>22</v>
      </c>
      <c r="C23" s="174"/>
      <c r="D23" s="174"/>
      <c r="E23" s="158"/>
      <c r="F23" s="158"/>
      <c r="G23" s="174"/>
      <c r="H23" s="174"/>
      <c r="I23" s="174"/>
      <c r="J23" s="174"/>
      <c r="K23" s="174"/>
      <c r="L23" s="174"/>
      <c r="N23" s="175" t="s">
        <v>294</v>
      </c>
      <c r="O23" s="334" t="s">
        <v>311</v>
      </c>
      <c r="P23" s="279" t="s">
        <v>312</v>
      </c>
      <c r="Q23" s="176" t="s">
        <v>295</v>
      </c>
      <c r="R23" s="177"/>
      <c r="S23" s="177"/>
      <c r="T23" s="177"/>
      <c r="U23" s="177"/>
      <c r="V23" s="177"/>
      <c r="W23" s="177"/>
      <c r="X23" s="177"/>
      <c r="Y23" s="177"/>
      <c r="Z23" s="178"/>
      <c r="AC23" s="512" t="s">
        <v>58</v>
      </c>
      <c r="AD23" s="201">
        <f t="shared" ref="AD23:AI23" si="2">AD7/$AG7-1</f>
        <v>2.4447642239708176</v>
      </c>
      <c r="AE23" s="201">
        <f t="shared" si="2"/>
        <v>1.3054468208935432</v>
      </c>
      <c r="AF23" s="201">
        <f t="shared" si="2"/>
        <v>0.46693264437464843</v>
      </c>
      <c r="AG23" s="201">
        <f t="shared" si="2"/>
        <v>0</v>
      </c>
      <c r="AH23" s="201">
        <f t="shared" si="2"/>
        <v>0.25429559073322339</v>
      </c>
      <c r="AI23" s="201">
        <f t="shared" si="2"/>
        <v>8.3017442993530421E-2</v>
      </c>
    </row>
    <row r="24" spans="1:51" ht="17.25" customHeight="1">
      <c r="A24" s="279">
        <v>200</v>
      </c>
      <c r="B24" s="26">
        <f>INDEX(TestSummary!$A$1:$CF$296,'J1634 Calcs_old'!$A24,'J1634 Calcs_old'!B$5)</f>
        <v>62006032</v>
      </c>
      <c r="C24" s="26" t="str">
        <f>INDEX(TestSummary!$A$1:$CF$296,'J1634 Calcs_old'!$A24,'J1634 Calcs_old'!C$5)</f>
        <v>UDDS 1 , Combined</v>
      </c>
      <c r="D24" s="2" t="str">
        <f>INDEX(TestSummary!$A$1:$CF$296,'J1634 Calcs_old'!$A24,'J1634 Calcs_old'!D$5)</f>
        <v>J1634MCT, 72°F Tesrt Cell</v>
      </c>
      <c r="E24" s="117">
        <f>INDEX(TestSummary!$A$1:$CF$296,'J1634 Calcs_old'!$A24,'J1634 Calcs_old'!E$5)</f>
        <v>0</v>
      </c>
      <c r="F24" s="117">
        <f>INDEX(TestSummary!$A$1:$CF$296,'J1634 Calcs_old'!$A24,'J1634 Calcs_old'!F$5)</f>
        <v>22.951995500000002</v>
      </c>
      <c r="G24" s="179">
        <f>INDEX(TestSummary!$A$1:$CF$296,'J1634 Calcs_old'!$A24,'J1634 Calcs_old'!G$5)</f>
        <v>203.41457470979122</v>
      </c>
      <c r="H24" s="179">
        <f>INDEX(TestSummary!$A$1:$CF$296,'J1634 Calcs_old'!$A24,'J1634 Calcs_old'!H$5)</f>
        <v>22</v>
      </c>
      <c r="I24" s="179">
        <f>INDEX(TestSummary!$A$1:$CF$296,'J1634 Calcs_old'!$A24,'J1634 Calcs_old'!I$5)</f>
        <v>1543</v>
      </c>
      <c r="J24" s="180">
        <f>INDEX(TestSummary!$A$1:$CF$296,'J1634 Calcs_old'!$A24,'J1634 Calcs_old'!J$5)</f>
        <v>98.1</v>
      </c>
      <c r="K24" s="181">
        <f>INDEX(TestSummary!$A$1:$CF$296,'J1634 Calcs_old'!$A24,'J1634 Calcs_old'!K$5)</f>
        <v>203.95093482768127</v>
      </c>
      <c r="L24" s="181">
        <f>INDEX(TestSummary!$A$1:$CF$296,'J1634 Calcs_old'!$A24,'J1634 Calcs_old'!L$5)</f>
        <v>22</v>
      </c>
      <c r="N24" s="182" t="s">
        <v>297</v>
      </c>
      <c r="O24" s="205">
        <f>TestSummary!BL220</f>
        <v>85754.6</v>
      </c>
      <c r="P24" s="205">
        <f>$O$24</f>
        <v>85754.6</v>
      </c>
      <c r="Q24" s="183" t="s">
        <v>16</v>
      </c>
      <c r="R24" s="184" t="s">
        <v>1</v>
      </c>
      <c r="S24" s="184" t="s">
        <v>420</v>
      </c>
      <c r="T24" s="185" t="s">
        <v>298</v>
      </c>
      <c r="U24" s="184" t="s">
        <v>299</v>
      </c>
      <c r="V24" s="185" t="s">
        <v>300</v>
      </c>
      <c r="W24" s="186" t="s">
        <v>301</v>
      </c>
      <c r="X24" s="187" t="s">
        <v>302</v>
      </c>
      <c r="Y24" s="186" t="s">
        <v>303</v>
      </c>
      <c r="Z24" s="188"/>
      <c r="AC24" s="512" t="s">
        <v>56</v>
      </c>
      <c r="AD24" s="201">
        <f t="shared" ref="AD24:AI26" si="3">AD8/$AG8-1</f>
        <v>0.70829642409425997</v>
      </c>
      <c r="AE24" s="201">
        <f t="shared" si="3"/>
        <v>0.4790837878360843</v>
      </c>
      <c r="AF24" s="201">
        <f t="shared" si="3"/>
        <v>0.3494899238231326</v>
      </c>
      <c r="AG24" s="201">
        <f t="shared" si="3"/>
        <v>0</v>
      </c>
      <c r="AH24" s="201">
        <f t="shared" si="3"/>
        <v>-2.4716731017797033E-2</v>
      </c>
      <c r="AI24" s="201">
        <f t="shared" si="3"/>
        <v>-5.1809742456547792E-3</v>
      </c>
      <c r="AO24" s="162"/>
    </row>
    <row r="25" spans="1:51">
      <c r="A25" s="279">
        <v>201</v>
      </c>
      <c r="B25" s="26">
        <f>INDEX(TestSummary!$A$1:$CF$296,'J1634 Calcs_old'!$A25,'J1634 Calcs_old'!B$5)</f>
        <v>62006032</v>
      </c>
      <c r="C25" s="26" t="str">
        <f>INDEX(TestSummary!$A$1:$CF$296,'J1634 Calcs_old'!$A25,'J1634 Calcs_old'!C$5)</f>
        <v>HWY 1</v>
      </c>
      <c r="D25" s="2" t="str">
        <f>INDEX(TestSummary!$A$1:$CF$296,'J1634 Calcs_old'!$A25,'J1634 Calcs_old'!D$5)</f>
        <v>J1634MCT, 72°F Tesrt Cell</v>
      </c>
      <c r="E25" s="117">
        <f>INDEX(TestSummary!$A$1:$CF$296,'J1634 Calcs_old'!$A25,'J1634 Calcs_old'!E$5)</f>
        <v>0</v>
      </c>
      <c r="F25" s="117">
        <f>INDEX(TestSummary!$A$1:$CF$296,'J1634 Calcs_old'!$A25,'J1634 Calcs_old'!F$5)</f>
        <v>24.704509000000002</v>
      </c>
      <c r="G25" s="179">
        <f>INDEX(TestSummary!$A$1:$CF$296,'J1634 Calcs_old'!$A25,'J1634 Calcs_old'!G$5)</f>
        <v>188.15743630364653</v>
      </c>
      <c r="H25" s="179">
        <f>INDEX(TestSummary!$A$1:$CF$296,'J1634 Calcs_old'!$A25,'J1634 Calcs_old'!H$5)</f>
        <v>1545</v>
      </c>
      <c r="I25" s="179">
        <f>INDEX(TestSummary!$A$1:$CF$296,'J1634 Calcs_old'!$A25,'J1634 Calcs_old'!I$5)</f>
        <v>3482</v>
      </c>
      <c r="J25" s="180">
        <f>INDEX(TestSummary!$A$1:$CF$296,'J1634 Calcs_old'!$A25,'J1634 Calcs_old'!J$5)</f>
        <v>95.9</v>
      </c>
      <c r="K25" s="181">
        <f>INDEX(TestSummary!$A$1:$CF$296,'J1634 Calcs_old'!$A25,'J1634 Calcs_old'!K$5)</f>
        <v>188.35191427398621</v>
      </c>
      <c r="L25" s="181">
        <f>INDEX(TestSummary!$A$1:$CF$296,'J1634 Calcs_old'!$A25,'J1634 Calcs_old'!L$5)</f>
        <v>1545</v>
      </c>
      <c r="N25" s="190" t="s">
        <v>304</v>
      </c>
      <c r="O25" s="191">
        <f>TestSummary!W219</f>
        <v>76123</v>
      </c>
      <c r="P25" s="191">
        <f>O25</f>
        <v>76123</v>
      </c>
      <c r="Q25" s="183" t="s">
        <v>305</v>
      </c>
      <c r="R25" s="184" t="s">
        <v>58</v>
      </c>
      <c r="S25" s="184">
        <v>3</v>
      </c>
      <c r="T25" s="192"/>
      <c r="U25" s="192">
        <f>I24/O25</f>
        <v>2.0269826465063121E-2</v>
      </c>
      <c r="V25" s="192">
        <f>(1-U25)/S25</f>
        <v>0.3265767245116456</v>
      </c>
      <c r="W25" s="193">
        <f>U25*K24+(V25*K26)+(V25*K29)+(V25*K31)</f>
        <v>170.60584090203156</v>
      </c>
      <c r="X25" s="193">
        <f>P25/W25</f>
        <v>446.1922264649354</v>
      </c>
      <c r="Y25" s="194">
        <f>W25/T28</f>
        <v>192.19205291721761</v>
      </c>
      <c r="Z25" s="188"/>
      <c r="AC25" s="512" t="s">
        <v>1283</v>
      </c>
      <c r="AD25" s="201">
        <f t="shared" si="3"/>
        <v>1.3964679214874374</v>
      </c>
      <c r="AE25" s="201">
        <f t="shared" si="3"/>
        <v>0.88580500721130662</v>
      </c>
      <c r="AF25" s="201">
        <f t="shared" si="3"/>
        <v>0.70340431302563577</v>
      </c>
      <c r="AG25" s="201">
        <f t="shared" si="3"/>
        <v>0</v>
      </c>
      <c r="AH25" s="201">
        <f t="shared" si="3"/>
        <v>0.23415002578658628</v>
      </c>
      <c r="AI25" s="201">
        <f t="shared" si="3"/>
        <v>0.1622762658437884</v>
      </c>
      <c r="AK25" s="143"/>
      <c r="AL25" s="143"/>
      <c r="AM25" s="143"/>
      <c r="AO25" s="162"/>
      <c r="AP25" s="189"/>
      <c r="AQ25" s="189"/>
      <c r="AR25" s="189"/>
    </row>
    <row r="26" spans="1:51">
      <c r="A26" s="279">
        <v>204</v>
      </c>
      <c r="B26" s="26">
        <f>INDEX(TestSummary!$A$1:$CF$296,'J1634 Calcs_old'!$A26,'J1634 Calcs_old'!B$5)</f>
        <v>62006032</v>
      </c>
      <c r="C26" s="26" t="str">
        <f>INDEX(TestSummary!$A$1:$CF$296,'J1634 Calcs_old'!$A26,'J1634 Calcs_old'!C$5)</f>
        <v>UDDS 2, combined</v>
      </c>
      <c r="D26" s="2" t="str">
        <f>INDEX(TestSummary!$A$1:$CF$296,'J1634 Calcs_old'!$A26,'J1634 Calcs_old'!D$5)</f>
        <v>J1634MCT, 72°F Tesrt Cell</v>
      </c>
      <c r="E26" s="117">
        <f>INDEX(TestSummary!$A$1:$CF$296,'J1634 Calcs_old'!$A26,'J1634 Calcs_old'!E$5)</f>
        <v>0</v>
      </c>
      <c r="F26" s="117">
        <f>INDEX(TestSummary!$A$1:$CF$296,'J1634 Calcs_old'!$A26,'J1634 Calcs_old'!F$5)</f>
        <v>20.117266499999999</v>
      </c>
      <c r="G26" s="179">
        <f>INDEX(TestSummary!$A$1:$CF$296,'J1634 Calcs_old'!$A26,'J1634 Calcs_old'!G$5)</f>
        <v>174.5613985316528</v>
      </c>
      <c r="H26" s="179">
        <f>INDEX(TestSummary!$A$1:$CF$296,'J1634 Calcs_old'!$A26,'J1634 Calcs_old'!H$5)</f>
        <v>3525</v>
      </c>
      <c r="I26" s="179">
        <f>INDEX(TestSummary!$A$1:$CF$296,'J1634 Calcs_old'!$A26,'J1634 Calcs_old'!I$5)</f>
        <v>4830</v>
      </c>
      <c r="J26" s="180">
        <f>INDEX(TestSummary!$A$1:$CF$296,'J1634 Calcs_old'!$A26,'J1634 Calcs_old'!J$5)</f>
        <v>94.3</v>
      </c>
      <c r="K26" s="181">
        <f>INDEX(TestSummary!$A$1:$CF$296,'J1634 Calcs_old'!$A26,'J1634 Calcs_old'!K$5)</f>
        <v>174.96361373564278</v>
      </c>
      <c r="L26" s="181">
        <f>INDEX(TestSummary!$A$1:$CF$296,'J1634 Calcs_old'!$A26,'J1634 Calcs_old'!L$5)</f>
        <v>3525</v>
      </c>
      <c r="Q26" s="183" t="s">
        <v>305</v>
      </c>
      <c r="R26" s="184" t="s">
        <v>56</v>
      </c>
      <c r="S26" s="184">
        <v>2</v>
      </c>
      <c r="T26" s="192">
        <f>1/S26</f>
        <v>0.5</v>
      </c>
      <c r="U26" s="192"/>
      <c r="V26" s="192"/>
      <c r="W26" s="193">
        <f>T26*K25*2</f>
        <v>188.35191427398621</v>
      </c>
      <c r="X26" s="193">
        <f>P25/W26</f>
        <v>404.15304667022201</v>
      </c>
      <c r="Y26" s="194">
        <f>W26/T28</f>
        <v>212.1834802595796</v>
      </c>
      <c r="Z26" s="188"/>
      <c r="AC26" s="512" t="s">
        <v>224</v>
      </c>
      <c r="AD26" s="201">
        <f t="shared" si="3"/>
        <v>0.54674794374295832</v>
      </c>
      <c r="AE26" s="201">
        <f t="shared" si="3"/>
        <v>0.40219070496592413</v>
      </c>
      <c r="AF26" s="201">
        <f t="shared" si="3"/>
        <v>0.26793146502288234</v>
      </c>
      <c r="AG26" s="201">
        <f t="shared" si="3"/>
        <v>0</v>
      </c>
      <c r="AH26" s="201">
        <f t="shared" si="3"/>
        <v>-2.3348582999506262E-2</v>
      </c>
      <c r="AI26" s="201">
        <f t="shared" si="3"/>
        <v>2.9528103071104095E-2</v>
      </c>
      <c r="AK26" s="143"/>
      <c r="AL26" s="143"/>
      <c r="AM26" s="143"/>
      <c r="AO26" s="162"/>
    </row>
    <row r="27" spans="1:51">
      <c r="A27" s="44">
        <v>207</v>
      </c>
      <c r="B27" s="26">
        <f>INDEX(TestSummary!$A$1:$CF$296,'J1634 Calcs_old'!$A27,'J1634 Calcs_old'!B$5)</f>
        <v>62006032</v>
      </c>
      <c r="C27" s="26" t="str">
        <f>INDEX(TestSummary!$A$1:$CF$296,'J1634 Calcs_old'!$A27,'J1634 Calcs_old'!C$5)</f>
        <v>US06 1, combined</v>
      </c>
      <c r="D27" s="2" t="str">
        <f>INDEX(TestSummary!$A$1:$CF$296,'J1634 Calcs_old'!$A27,'J1634 Calcs_old'!D$5)</f>
        <v>J1634MCT, 72°F Tesrt Cell</v>
      </c>
      <c r="E27" s="117">
        <f>INDEX(TestSummary!$A$1:$CF$296,'J1634 Calcs_old'!$A27,'J1634 Calcs_old'!E$5)</f>
        <v>0</v>
      </c>
      <c r="F27" s="117">
        <f>INDEX(TestSummary!$A$1:$CF$296,'J1634 Calcs_old'!$A27,'J1634 Calcs_old'!F$5)</f>
        <v>24.892365499999997</v>
      </c>
      <c r="G27" s="179">
        <f>INDEX(TestSummary!$A$1:$CF$296,'J1634 Calcs_old'!$A27,'J1634 Calcs_old'!G$5)</f>
        <v>248.82556482745954</v>
      </c>
      <c r="H27" s="179">
        <f>INDEX(TestSummary!$A$1:$CF$296,'J1634 Calcs_old'!$A27,'J1634 Calcs_old'!H$5)</f>
        <v>4839</v>
      </c>
      <c r="I27" s="179">
        <f>INDEX(TestSummary!$A$1:$CF$296,'J1634 Calcs_old'!$A27,'J1634 Calcs_old'!I$5)</f>
        <v>6687</v>
      </c>
      <c r="J27" s="180">
        <f>INDEX(TestSummary!$A$1:$CF$296,'J1634 Calcs_old'!$A27,'J1634 Calcs_old'!J$5)</f>
        <v>92.1</v>
      </c>
      <c r="K27" s="181">
        <f>INDEX(TestSummary!$A$1:$CF$296,'J1634 Calcs_old'!$A27,'J1634 Calcs_old'!K$5)</f>
        <v>249.19936387326945</v>
      </c>
      <c r="L27" s="181">
        <f>INDEX(TestSummary!$A$1:$CF$296,'J1634 Calcs_old'!$A27,'J1634 Calcs_old'!L$5)</f>
        <v>4839</v>
      </c>
      <c r="N27" s="190" t="s">
        <v>1257</v>
      </c>
      <c r="O27" s="191">
        <f>TestSummary!W219</f>
        <v>76123</v>
      </c>
      <c r="P27" s="191">
        <f>$O$27</f>
        <v>76123</v>
      </c>
      <c r="Q27" s="183" t="s">
        <v>305</v>
      </c>
      <c r="R27" s="184" t="s">
        <v>224</v>
      </c>
      <c r="S27" s="184">
        <v>2</v>
      </c>
      <c r="T27" s="192">
        <f>1/S27</f>
        <v>0.5</v>
      </c>
      <c r="U27" s="192"/>
      <c r="V27" s="192"/>
      <c r="W27" s="193">
        <f>T27*K27*2</f>
        <v>249.19936387326945</v>
      </c>
      <c r="X27" s="193">
        <f>P25/W27</f>
        <v>305.47028217420495</v>
      </c>
      <c r="Y27" s="194">
        <f>W27/T28</f>
        <v>280.72976326743128</v>
      </c>
      <c r="Z27" s="188"/>
      <c r="AC27" s="512"/>
      <c r="AD27" s="201"/>
      <c r="AE27" s="201"/>
      <c r="AF27" s="201"/>
      <c r="AG27" s="201"/>
      <c r="AH27" s="201"/>
      <c r="AI27" s="201"/>
      <c r="AK27" s="143"/>
      <c r="AL27" s="143"/>
      <c r="AM27" s="143"/>
      <c r="AO27" s="162"/>
    </row>
    <row r="28" spans="1:51" ht="15.75" thickBot="1">
      <c r="A28" s="44">
        <v>211</v>
      </c>
      <c r="B28" s="26">
        <f>INDEX(TestSummary!$A$1:$CF$296,'J1634 Calcs_old'!$A28,'J1634 Calcs_old'!B$5)</f>
        <v>62006034</v>
      </c>
      <c r="C28" s="26" t="str">
        <f>INDEX(TestSummary!$A$1:$CF$296,'J1634 Calcs_old'!$A28,'J1634 Calcs_old'!C$5)</f>
        <v>US06 2, combined</v>
      </c>
      <c r="D28" s="2" t="str">
        <f>INDEX(TestSummary!$A$1:$CF$296,'J1634 Calcs_old'!$A28,'J1634 Calcs_old'!D$5)</f>
        <v>J1634MCT, 72°F Test Cell, US06/UDDS/HWY/UDDS</v>
      </c>
      <c r="E28" s="117">
        <f>INDEX(TestSummary!$A$1:$CF$296,'J1634 Calcs_old'!$A28,'J1634 Calcs_old'!E$5)</f>
        <v>0</v>
      </c>
      <c r="F28" s="117">
        <f>INDEX(TestSummary!$A$1:$CF$296,'J1634 Calcs_old'!$A28,'J1634 Calcs_old'!F$5)</f>
        <v>24.059113500000002</v>
      </c>
      <c r="G28" s="179">
        <f>INDEX(TestSummary!$A$1:$CF$296,'J1634 Calcs_old'!$A28,'J1634 Calcs_old'!G$5)</f>
        <v>238.11024673630439</v>
      </c>
      <c r="H28" s="179">
        <f>INDEX(TestSummary!$A$1:$CF$296,'J1634 Calcs_old'!$A28,'J1634 Calcs_old'!H$5)</f>
        <v>63798</v>
      </c>
      <c r="I28" s="179">
        <f>INDEX(TestSummary!$A$1:$CF$296,'J1634 Calcs_old'!$A28,'J1634 Calcs_old'!I$5)</f>
        <v>65562</v>
      </c>
      <c r="J28" s="180">
        <f>INDEX(TestSummary!$A$1:$CF$296,'J1634 Calcs_old'!$A28,'J1634 Calcs_old'!J$5)</f>
        <v>18.5</v>
      </c>
      <c r="K28" s="181">
        <f>INDEX(TestSummary!$A$1:$CF$296,'J1634 Calcs_old'!$A28,'J1634 Calcs_old'!K$5)</f>
        <v>238.23484655144637</v>
      </c>
      <c r="L28" s="181">
        <f>INDEX(TestSummary!$A$1:$CF$296,'J1634 Calcs_old'!$A28,'J1634 Calcs_old'!L$5)</f>
        <v>63798</v>
      </c>
      <c r="Q28" s="195" t="s">
        <v>305</v>
      </c>
      <c r="R28" s="196" t="s">
        <v>308</v>
      </c>
      <c r="S28" s="196"/>
      <c r="T28" s="376">
        <f>O25/O24</f>
        <v>0.88768415921711485</v>
      </c>
      <c r="U28" s="197"/>
      <c r="V28" s="197"/>
      <c r="W28" s="198" t="s">
        <v>293</v>
      </c>
      <c r="X28" s="198" t="s">
        <v>309</v>
      </c>
      <c r="Y28" s="199" t="s">
        <v>307</v>
      </c>
      <c r="Z28" s="200"/>
      <c r="AC28" s="279" t="s">
        <v>310</v>
      </c>
      <c r="AD28" s="45"/>
      <c r="AE28" s="45"/>
      <c r="AF28" s="45"/>
      <c r="AG28" s="45"/>
      <c r="AH28" s="45"/>
    </row>
    <row r="29" spans="1:51">
      <c r="A29" s="44">
        <v>214</v>
      </c>
      <c r="B29" s="26">
        <f>INDEX(TestSummary!$A$1:$CF$296,'J1634 Calcs_old'!$A29,'J1634 Calcs_old'!B$5)</f>
        <v>62006034</v>
      </c>
      <c r="C29" s="26" t="str">
        <f>INDEX(TestSummary!$A$1:$CF$296,'J1634 Calcs_old'!$A29,'J1634 Calcs_old'!C$5)</f>
        <v>UDDS 3, combined</v>
      </c>
      <c r="D29" s="2" t="str">
        <f>INDEX(TestSummary!$A$1:$CF$296,'J1634 Calcs_old'!$A29,'J1634 Calcs_old'!D$5)</f>
        <v>J1634MCT, 72°F Test Cell, US06/UDDS/HWY/UDDS</v>
      </c>
      <c r="E29" s="117">
        <f>INDEX(TestSummary!$A$1:$CF$296,'J1634 Calcs_old'!$A29,'J1634 Calcs_old'!E$5)</f>
        <v>0</v>
      </c>
      <c r="F29" s="117">
        <f>INDEX(TestSummary!$A$1:$CF$296,'J1634 Calcs_old'!$A29,'J1634 Calcs_old'!F$5)</f>
        <v>20.501139000000002</v>
      </c>
      <c r="G29" s="179">
        <f>INDEX(TestSummary!$A$1:$CF$296,'J1634 Calcs_old'!$A29,'J1634 Calcs_old'!G$5)</f>
        <v>167.59052710017522</v>
      </c>
      <c r="H29" s="179">
        <f>INDEX(TestSummary!$A$1:$CF$296,'J1634 Calcs_old'!$A29,'J1634 Calcs_old'!H$5)</f>
        <v>65749</v>
      </c>
      <c r="I29" s="179">
        <f>INDEX(TestSummary!$A$1:$CF$296,'J1634 Calcs_old'!$A29,'J1634 Calcs_old'!I$5)</f>
        <v>67000</v>
      </c>
      <c r="J29" s="180">
        <f>INDEX(TestSummary!$A$1:$CF$296,'J1634 Calcs_old'!$A29,'J1634 Calcs_old'!J$5)</f>
        <v>16.399999999999999</v>
      </c>
      <c r="K29" s="181">
        <f>INDEX(TestSummary!$A$1:$CF$296,'J1634 Calcs_old'!$A29,'J1634 Calcs_old'!K$5)</f>
        <v>167.72459952185537</v>
      </c>
      <c r="L29" s="181">
        <f>INDEX(TestSummary!$A$1:$CF$296,'J1634 Calcs_old'!$A29,'J1634 Calcs_old'!L$5)</f>
        <v>65749</v>
      </c>
      <c r="O29" s="361"/>
      <c r="AC29" s="279" t="s">
        <v>58</v>
      </c>
      <c r="AD29" s="143">
        <f>X11</f>
        <v>188.33468833599363</v>
      </c>
      <c r="AE29" s="143">
        <f>X18</f>
        <v>226.13399422091658</v>
      </c>
      <c r="AF29" s="143">
        <f>X59</f>
        <v>255.42255094939028</v>
      </c>
      <c r="AG29" s="143">
        <f>X25</f>
        <v>446.1922264649354</v>
      </c>
      <c r="AH29" s="143">
        <f>X36</f>
        <v>350.84756767130159</v>
      </c>
      <c r="AI29" s="143">
        <f>X66</f>
        <v>373.62428960540626</v>
      </c>
      <c r="AK29" s="201">
        <f>(AK35-AK34)/AK34</f>
        <v>-0.10964146636229366</v>
      </c>
      <c r="AO29" s="201">
        <f>(AO35-AO34)/AO34</f>
        <v>-6.2084257206208429E-2</v>
      </c>
      <c r="AP29" s="189"/>
      <c r="AS29" s="201">
        <f>(AS35-AS34)/AS34</f>
        <v>2.1302657161373948</v>
      </c>
      <c r="AW29" s="201">
        <f>(AW35-AW34)/AW34</f>
        <v>2.222959522229595</v>
      </c>
    </row>
    <row r="30" spans="1:51">
      <c r="A30" s="44">
        <v>215</v>
      </c>
      <c r="B30" s="26">
        <f>INDEX(TestSummary!$A$1:$CF$296,'J1634 Calcs_old'!$A30,'J1634 Calcs_old'!B$5)</f>
        <v>62006034</v>
      </c>
      <c r="C30" s="26" t="str">
        <f>INDEX(TestSummary!$A$1:$CF$296,'J1634 Calcs_old'!$A30,'J1634 Calcs_old'!C$5)</f>
        <v>HWY</v>
      </c>
      <c r="D30" s="2" t="str">
        <f>INDEX(TestSummary!$A$1:$CF$296,'J1634 Calcs_old'!$A30,'J1634 Calcs_old'!D$5)</f>
        <v>J1634MCT, 72°F Test Cell, US06/UDDS/HWY/UDDS</v>
      </c>
      <c r="E30" s="117">
        <f>INDEX(TestSummary!$A$1:$CF$296,'J1634 Calcs_old'!$A30,'J1634 Calcs_old'!E$5)</f>
        <v>0</v>
      </c>
      <c r="F30" s="117">
        <f>INDEX(TestSummary!$A$1:$CF$296,'J1634 Calcs_old'!$A30,'J1634 Calcs_old'!F$5)</f>
        <v>25.32254</v>
      </c>
      <c r="G30" s="179">
        <f>INDEX(TestSummary!$A$1:$CF$296,'J1634 Calcs_old'!$A30,'J1634 Calcs_old'!G$5)</f>
        <v>179.39888160403564</v>
      </c>
      <c r="H30" s="179">
        <f>INDEX(TestSummary!$A$1:$CF$296,'J1634 Calcs_old'!$A30,'J1634 Calcs_old'!H$5)</f>
        <v>67001</v>
      </c>
      <c r="I30" s="179">
        <f>INDEX(TestSummary!$A$1:$CF$296,'J1634 Calcs_old'!$A30,'J1634 Calcs_old'!I$5)</f>
        <v>68848</v>
      </c>
      <c r="J30" s="180">
        <f>INDEX(TestSummary!$A$1:$CF$296,'J1634 Calcs_old'!$A30,'J1634 Calcs_old'!J$5)</f>
        <v>13.8</v>
      </c>
      <c r="K30" s="181">
        <f>INDEX(TestSummary!$A$1:$CF$296,'J1634 Calcs_old'!$A30,'J1634 Calcs_old'!K$5)</f>
        <v>179.59335193639774</v>
      </c>
      <c r="L30" s="181">
        <f>INDEX(TestSummary!$A$1:$CF$296,'J1634 Calcs_old'!$A30,'J1634 Calcs_old'!L$5)</f>
        <v>67001</v>
      </c>
      <c r="O30" s="361"/>
      <c r="AC30" s="279" t="s">
        <v>56</v>
      </c>
      <c r="AD30" s="143">
        <f>X12</f>
        <v>236.58250463440748</v>
      </c>
      <c r="AE30" s="143">
        <f>X19</f>
        <v>273.24553888965431</v>
      </c>
      <c r="AF30" s="143">
        <f>X60</f>
        <v>299.48578313593345</v>
      </c>
      <c r="AG30" s="143">
        <f>X26</f>
        <v>404.15304667022201</v>
      </c>
      <c r="AH30" s="143">
        <f>X37</f>
        <v>414.39555001491266</v>
      </c>
      <c r="AI30" s="143">
        <f>X67</f>
        <v>406.2578581704982</v>
      </c>
    </row>
    <row r="31" spans="1:51">
      <c r="A31" s="44">
        <v>218</v>
      </c>
      <c r="B31" s="26">
        <f>INDEX(TestSummary!$A$1:$CF$296,'J1634 Calcs_old'!$A31,'J1634 Calcs_old'!B$5)</f>
        <v>62006034</v>
      </c>
      <c r="C31" s="26" t="str">
        <f>INDEX(TestSummary!$A$1:$CF$296,'J1634 Calcs_old'!$A31,'J1634 Calcs_old'!C$5)</f>
        <v>UDDS 4, combined</v>
      </c>
      <c r="D31" s="2" t="str">
        <f>INDEX(TestSummary!$A$1:$CF$296,'J1634 Calcs_old'!$A31,'J1634 Calcs_old'!D$5)</f>
        <v>J1634MCT, 72°F Test Cell, US06/UDDS/HWY/UDDS</v>
      </c>
      <c r="E31" s="117">
        <f>INDEX(TestSummary!$A$1:$CF$296,'J1634 Calcs_old'!$A31,'J1634 Calcs_old'!E$5)</f>
        <v>0</v>
      </c>
      <c r="F31" s="117">
        <f>INDEX(TestSummary!$A$1:$CF$296,'J1634 Calcs_old'!$A31,'J1634 Calcs_old'!F$5)</f>
        <v>20.0296135</v>
      </c>
      <c r="G31" s="179">
        <f>INDEX(TestSummary!$A$1:$CF$296,'J1634 Calcs_old'!$A31,'J1634 Calcs_old'!G$5)</f>
        <v>166.79150666810389</v>
      </c>
      <c r="H31" s="179">
        <f>INDEX(TestSummary!$A$1:$CF$296,'J1634 Calcs_old'!$A31,'J1634 Calcs_old'!H$5)</f>
        <v>68888</v>
      </c>
      <c r="I31" s="179">
        <f>INDEX(TestSummary!$A$1:$CF$296,'J1634 Calcs_old'!$A31,'J1634 Calcs_old'!I$5)</f>
        <v>70134</v>
      </c>
      <c r="J31" s="180">
        <f>INDEX(TestSummary!$A$1:$CF$296,'J1634 Calcs_old'!$A31,'J1634 Calcs_old'!J$5)</f>
        <v>11.9</v>
      </c>
      <c r="K31" s="181">
        <f>INDEX(TestSummary!$A$1:$CF$296,'J1634 Calcs_old'!$A31,'J1634 Calcs_old'!K$5)</f>
        <v>167.05966021580181</v>
      </c>
      <c r="L31" s="181">
        <f>INDEX(TestSummary!$A$1:$CF$296,'J1634 Calcs_old'!$A31,'J1634 Calcs_old'!L$5)</f>
        <v>68888</v>
      </c>
      <c r="O31" s="361"/>
      <c r="AC31" s="279" t="s">
        <v>224</v>
      </c>
      <c r="AD31" s="143">
        <f>X13</f>
        <v>197.49195944298515</v>
      </c>
      <c r="AE31" s="143">
        <f>X20</f>
        <v>217.85216596598997</v>
      </c>
      <c r="AF31" s="143">
        <f>X61</f>
        <v>240.92018425356466</v>
      </c>
      <c r="AG31" s="143">
        <f>X27</f>
        <v>305.47028217420495</v>
      </c>
      <c r="AH31" s="143">
        <f>X38</f>
        <v>312.77309064104963</v>
      </c>
      <c r="AI31" s="143">
        <f>X68</f>
        <v>296.70902743012135</v>
      </c>
    </row>
    <row r="32" spans="1:51">
      <c r="L32" s="512"/>
      <c r="AK32" s="752" t="s">
        <v>1273</v>
      </c>
      <c r="AL32" s="752"/>
      <c r="AM32" s="752"/>
      <c r="AO32" s="752" t="s">
        <v>1279</v>
      </c>
      <c r="AP32" s="752"/>
      <c r="AQ32" s="752"/>
      <c r="AR32" s="512"/>
      <c r="AS32" s="752" t="s">
        <v>1278</v>
      </c>
      <c r="AT32" s="752"/>
      <c r="AU32" s="752"/>
      <c r="AW32" s="752" t="s">
        <v>1281</v>
      </c>
      <c r="AX32" s="752"/>
      <c r="AY32" s="752"/>
    </row>
    <row r="33" spans="1:59" ht="16.5" thickBot="1">
      <c r="B33" s="119" t="s">
        <v>1258</v>
      </c>
      <c r="C33" s="174"/>
      <c r="D33" s="174"/>
      <c r="E33" s="158"/>
      <c r="F33" s="158"/>
      <c r="G33" s="174"/>
      <c r="H33" s="174"/>
      <c r="I33" s="174"/>
      <c r="J33" s="174"/>
      <c r="K33" s="174"/>
      <c r="L33" s="174"/>
      <c r="AC33" s="279" t="s">
        <v>419</v>
      </c>
      <c r="AD33" s="114"/>
      <c r="AE33" s="114"/>
      <c r="AF33" s="520"/>
      <c r="AG33" s="114"/>
      <c r="AK33" s="279" t="s">
        <v>1269</v>
      </c>
      <c r="AL33" s="279" t="s">
        <v>1270</v>
      </c>
      <c r="AM33" s="279" t="s">
        <v>1271</v>
      </c>
      <c r="AO33" s="512" t="s">
        <v>1269</v>
      </c>
      <c r="AP33" s="512" t="s">
        <v>1270</v>
      </c>
      <c r="AQ33" s="512" t="s">
        <v>1271</v>
      </c>
      <c r="AR33" s="512"/>
      <c r="AS33" s="512" t="s">
        <v>1269</v>
      </c>
      <c r="AT33" s="512" t="s">
        <v>1270</v>
      </c>
      <c r="AU33" s="512" t="s">
        <v>1271</v>
      </c>
      <c r="AV33" s="512"/>
      <c r="AW33" s="512" t="s">
        <v>1269</v>
      </c>
      <c r="AX33" s="512" t="s">
        <v>1270</v>
      </c>
      <c r="AY33" s="512" t="s">
        <v>1271</v>
      </c>
      <c r="AZ33" s="512"/>
      <c r="BA33" s="512"/>
      <c r="BC33" s="279" t="s">
        <v>1274</v>
      </c>
      <c r="BD33" s="279" t="s">
        <v>1275</v>
      </c>
      <c r="BF33" s="279" t="s">
        <v>101</v>
      </c>
      <c r="BG33" s="279" t="s">
        <v>219</v>
      </c>
    </row>
    <row r="34" spans="1:59" ht="15.75" thickBot="1">
      <c r="A34" s="279">
        <v>272</v>
      </c>
      <c r="B34" s="26">
        <f>INDEX(TestSummary!$A$1:$CF$296,'J1634 Calcs_old'!$A34,'J1634 Calcs_old'!B$5)</f>
        <v>62007002</v>
      </c>
      <c r="C34" s="26" t="str">
        <f>INDEX(TestSummary!$A$1:$CF$296,'J1634 Calcs_old'!$A34,'J1634 Calcs_old'!C$5)</f>
        <v>UDDS 1 , Combined</v>
      </c>
      <c r="D34" s="2" t="str">
        <f>INDEX(TestSummary!$A$1:$CF$296,'J1634 Calcs_old'!$A34,'J1634 Calcs_old'!D$5)</f>
        <v>J1634 MCT Test in hot test cell 95°F with solar @ 850W/m^2-HVAC AUTO-72°F, solar lights on 30 minutes prior to test</v>
      </c>
      <c r="E34" s="117">
        <f>INDEX(TestSummary!$A$1:$CF$296,'J1634 Calcs_old'!$A34,'J1634 Calcs_old'!E$5)</f>
        <v>0</v>
      </c>
      <c r="F34" s="117">
        <f>INDEX(TestSummary!$A$1:$CF$296,'J1634 Calcs_old'!$A34,'J1634 Calcs_old'!F$5)</f>
        <v>35.151537500000003</v>
      </c>
      <c r="G34" s="179">
        <f>INDEX(TestSummary!$A$1:$CF$296,'J1634 Calcs_old'!$A34,'J1634 Calcs_old'!G$5)</f>
        <v>256.35105756388606</v>
      </c>
      <c r="H34" s="179">
        <f>INDEX(TestSummary!$A$1:$CF$296,'J1634 Calcs_old'!$A34,'J1634 Calcs_old'!H$5)</f>
        <v>69</v>
      </c>
      <c r="I34" s="179">
        <f>INDEX(TestSummary!$A$1:$CF$296,'J1634 Calcs_old'!$A34,'J1634 Calcs_old'!I$5)</f>
        <v>1977</v>
      </c>
      <c r="J34" s="180">
        <f>INDEX(TestSummary!$A$1:$CF$296,'J1634 Calcs_old'!$A34,'J1634 Calcs_old'!J$5)</f>
        <v>97.2</v>
      </c>
      <c r="K34" s="181">
        <f>INDEX(TestSummary!$A$1:$CF$296,'J1634 Calcs_old'!$A34,'J1634 Calcs_old'!K$5)</f>
        <v>255.81475828027962</v>
      </c>
      <c r="L34" s="181">
        <f>INDEX(TestSummary!$A$1:$CF$296,'J1634 Calcs_old'!$A34,'J1634 Calcs_old'!L$5)</f>
        <v>69</v>
      </c>
      <c r="N34" s="175" t="s">
        <v>294</v>
      </c>
      <c r="O34" s="334" t="s">
        <v>311</v>
      </c>
      <c r="P34" s="279" t="s">
        <v>312</v>
      </c>
      <c r="Q34" s="176" t="s">
        <v>295</v>
      </c>
      <c r="R34" s="177"/>
      <c r="S34" s="177"/>
      <c r="T34" s="177"/>
      <c r="U34" s="177"/>
      <c r="V34" s="177"/>
      <c r="W34" s="177"/>
      <c r="X34" s="177"/>
      <c r="Y34" s="177"/>
      <c r="Z34" s="178"/>
      <c r="AC34" s="279" t="s">
        <v>58</v>
      </c>
      <c r="AD34" s="201">
        <f t="shared" ref="AD34:AE36" si="4">(AD29/$AG29)</f>
        <v>0.4220931633617202</v>
      </c>
      <c r="AE34" s="201">
        <f t="shared" si="4"/>
        <v>0.50680845789833051</v>
      </c>
      <c r="AF34" s="201"/>
      <c r="AG34" s="201">
        <f>(AG29/$AG29)</f>
        <v>1</v>
      </c>
      <c r="AH34" s="201">
        <f>(AH29/$AG29)</f>
        <v>0.78631483665902324</v>
      </c>
      <c r="AJ34" s="279" t="s">
        <v>1262</v>
      </c>
      <c r="AK34" s="279">
        <v>1489.4</v>
      </c>
      <c r="AL34" s="279">
        <v>7.4589999999999996</v>
      </c>
      <c r="AM34" s="279">
        <f>AK34/AL34</f>
        <v>199.67824105107925</v>
      </c>
      <c r="AO34" s="512">
        <v>1353</v>
      </c>
      <c r="AP34" s="512">
        <v>7.4550000000000001</v>
      </c>
      <c r="AQ34" s="512">
        <f>AO34/AP34</f>
        <v>181.48893360160966</v>
      </c>
      <c r="AR34" s="512"/>
      <c r="AS34" s="45">
        <f>I24</f>
        <v>1543</v>
      </c>
      <c r="AT34" s="561">
        <f>J24</f>
        <v>98.1</v>
      </c>
      <c r="AU34" s="512">
        <f t="shared" ref="AU34:AU39" si="5">AS34/AT34</f>
        <v>15.728848114169216</v>
      </c>
      <c r="AV34" s="512"/>
      <c r="AW34" s="45">
        <f>I45</f>
        <v>1507</v>
      </c>
      <c r="AX34" s="45">
        <f>J45</f>
        <v>97.9</v>
      </c>
      <c r="AY34" s="512">
        <f t="shared" ref="AY34:AY39" si="6">AW34/AX34</f>
        <v>15.393258426966291</v>
      </c>
      <c r="AZ34" s="512"/>
      <c r="BA34" s="512"/>
      <c r="BC34" s="563">
        <f t="shared" ref="BC34:BC39" si="7">(AU34-AM34)/AM34</f>
        <v>-0.92122903311159654</v>
      </c>
      <c r="BD34" s="563">
        <f t="shared" ref="BD34:BD39" si="8">(AU34-AQ34)/AQ34</f>
        <v>-0.91333439564587471</v>
      </c>
      <c r="BE34" s="279" t="s">
        <v>58</v>
      </c>
      <c r="BF34" s="279">
        <v>455.32</v>
      </c>
    </row>
    <row r="35" spans="1:59">
      <c r="A35" s="279">
        <v>273</v>
      </c>
      <c r="B35" s="26">
        <f>INDEX(TestSummary!$A$1:$CF$296,'J1634 Calcs_old'!$A35,'J1634 Calcs_old'!B$5)</f>
        <v>62007002</v>
      </c>
      <c r="C35" s="26" t="str">
        <f>INDEX(TestSummary!$A$1:$CF$296,'J1634 Calcs_old'!$A35,'J1634 Calcs_old'!C$5)</f>
        <v>HWY 1</v>
      </c>
      <c r="D35" s="2" t="str">
        <f>INDEX(TestSummary!$A$1:$CF$296,'J1634 Calcs_old'!$A35,'J1634 Calcs_old'!D$5)</f>
        <v>J1634 MCT Test in hot test cell 95°F with solar @ 850W/m^2-HVAC AUTO-72°F, solar lights on 30 minutes prior to test</v>
      </c>
      <c r="E35" s="117">
        <f>INDEX(TestSummary!$A$1:$CF$296,'J1634 Calcs_old'!$A35,'J1634 Calcs_old'!E$5)</f>
        <v>0</v>
      </c>
      <c r="F35" s="117">
        <f>INDEX(TestSummary!$A$1:$CF$296,'J1634 Calcs_old'!$A35,'J1634 Calcs_old'!F$5)</f>
        <v>37.950699</v>
      </c>
      <c r="G35" s="179">
        <f>INDEX(TestSummary!$A$1:$CF$296,'J1634 Calcs_old'!$A35,'J1634 Calcs_old'!G$5)</f>
        <v>184.08545208176477</v>
      </c>
      <c r="H35" s="179">
        <f>INDEX(TestSummary!$A$1:$CF$296,'J1634 Calcs_old'!$A35,'J1634 Calcs_old'!H$5)</f>
        <v>1984</v>
      </c>
      <c r="I35" s="179">
        <f>INDEX(TestSummary!$A$1:$CF$296,'J1634 Calcs_old'!$A35,'J1634 Calcs_old'!I$5)</f>
        <v>3873</v>
      </c>
      <c r="J35" s="180">
        <f>INDEX(TestSummary!$A$1:$CF$296,'J1634 Calcs_old'!$A35,'J1634 Calcs_old'!J$5)</f>
        <v>95.1</v>
      </c>
      <c r="K35" s="181">
        <f>INDEX(TestSummary!$A$1:$CF$296,'J1634 Calcs_old'!$A35,'J1634 Calcs_old'!K$5)</f>
        <v>183.69647067218892</v>
      </c>
      <c r="L35" s="181">
        <f>INDEX(TestSummary!$A$1:$CF$296,'J1634 Calcs_old'!$A35,'J1634 Calcs_old'!L$5)</f>
        <v>1984</v>
      </c>
      <c r="N35" s="182" t="s">
        <v>297</v>
      </c>
      <c r="O35" s="205">
        <f>TestSummary!BL288</f>
        <v>86098.099999999991</v>
      </c>
      <c r="P35" s="205">
        <f>$O$24</f>
        <v>85754.6</v>
      </c>
      <c r="Q35" s="183" t="s">
        <v>16</v>
      </c>
      <c r="R35" s="184" t="s">
        <v>1</v>
      </c>
      <c r="S35" s="184" t="s">
        <v>420</v>
      </c>
      <c r="T35" s="185" t="s">
        <v>298</v>
      </c>
      <c r="U35" s="184" t="s">
        <v>299</v>
      </c>
      <c r="V35" s="185" t="s">
        <v>300</v>
      </c>
      <c r="W35" s="186" t="s">
        <v>301</v>
      </c>
      <c r="X35" s="187" t="s">
        <v>302</v>
      </c>
      <c r="Y35" s="186" t="s">
        <v>303</v>
      </c>
      <c r="Z35" s="188"/>
      <c r="AC35" s="279" t="s">
        <v>56</v>
      </c>
      <c r="AD35" s="201">
        <f t="shared" si="4"/>
        <v>0.58537850100002442</v>
      </c>
      <c r="AE35" s="201">
        <f t="shared" si="4"/>
        <v>0.67609422010027631</v>
      </c>
      <c r="AF35" s="201"/>
      <c r="AG35" s="201">
        <f>(AG30/$AG29)</f>
        <v>0.90578235724145428</v>
      </c>
      <c r="AH35" s="201">
        <f>(AH30/$AG30)</f>
        <v>1.0253431303539033</v>
      </c>
      <c r="AJ35" s="279" t="s">
        <v>1263</v>
      </c>
      <c r="AK35" s="279">
        <v>1326.1</v>
      </c>
      <c r="AL35" s="279">
        <v>7.4530000000000003</v>
      </c>
      <c r="AM35" s="512">
        <f t="shared" ref="AM35:AM41" si="9">AK35/AL35</f>
        <v>177.92835099959746</v>
      </c>
      <c r="AO35" s="512">
        <v>1269</v>
      </c>
      <c r="AP35" s="512">
        <v>7.4589999999999996</v>
      </c>
      <c r="AQ35" s="512">
        <f t="shared" ref="AQ35:AQ41" si="10">AO35/AP35</f>
        <v>170.13004424185547</v>
      </c>
      <c r="AR35" s="512"/>
      <c r="AS35" s="189">
        <f>I26</f>
        <v>4830</v>
      </c>
      <c r="AT35" s="561">
        <f>J26</f>
        <v>94.3</v>
      </c>
      <c r="AU35" s="512">
        <f t="shared" si="5"/>
        <v>51.219512195121951</v>
      </c>
      <c r="AV35" s="512"/>
      <c r="AW35" s="189">
        <f>I47</f>
        <v>4857</v>
      </c>
      <c r="AX35" s="189">
        <f>J47</f>
        <v>94</v>
      </c>
      <c r="AY35" s="512">
        <f t="shared" si="6"/>
        <v>51.670212765957444</v>
      </c>
      <c r="AZ35" s="512"/>
      <c r="BA35" s="512"/>
      <c r="BC35" s="563">
        <f t="shared" si="7"/>
        <v>-0.71213405897726867</v>
      </c>
      <c r="BD35" s="563">
        <f t="shared" si="8"/>
        <v>-0.69893905322031946</v>
      </c>
      <c r="BF35" s="279">
        <v>422.7</v>
      </c>
    </row>
    <row r="36" spans="1:59">
      <c r="A36" s="279">
        <v>276</v>
      </c>
      <c r="B36" s="26">
        <f>INDEX(TestSummary!$A$1:$CF$296,'J1634 Calcs_old'!$A36,'J1634 Calcs_old'!B$5)</f>
        <v>62007002</v>
      </c>
      <c r="C36" s="26" t="str">
        <f>INDEX(TestSummary!$A$1:$CF$296,'J1634 Calcs_old'!$A36,'J1634 Calcs_old'!C$5)</f>
        <v>UDDS 2, combined</v>
      </c>
      <c r="D36" s="2" t="str">
        <f>INDEX(TestSummary!$A$1:$CF$296,'J1634 Calcs_old'!$A36,'J1634 Calcs_old'!D$5)</f>
        <v>J1634 MCT Test in hot test cell 95°F with solar @ 850W/m^2-HVAC AUTO-72°F, solar lights on 30 minutes prior to test</v>
      </c>
      <c r="E36" s="117">
        <f>INDEX(TestSummary!$A$1:$CF$296,'J1634 Calcs_old'!$A36,'J1634 Calcs_old'!E$5)</f>
        <v>0</v>
      </c>
      <c r="F36" s="117">
        <f>INDEX(TestSummary!$A$1:$CF$296,'J1634 Calcs_old'!$A36,'J1634 Calcs_old'!F$5)</f>
        <v>34.835033500000002</v>
      </c>
      <c r="G36" s="179">
        <f>INDEX(TestSummary!$A$1:$CF$296,'J1634 Calcs_old'!$A36,'J1634 Calcs_old'!G$5)</f>
        <v>216.60152639363722</v>
      </c>
      <c r="H36" s="179">
        <f>INDEX(TestSummary!$A$1:$CF$296,'J1634 Calcs_old'!$A36,'J1634 Calcs_old'!H$5)</f>
        <v>3915</v>
      </c>
      <c r="I36" s="179">
        <f>INDEX(TestSummary!$A$1:$CF$296,'J1634 Calcs_old'!$A36,'J1634 Calcs_old'!I$5)</f>
        <v>5526</v>
      </c>
      <c r="J36" s="180">
        <f>INDEX(TestSummary!$A$1:$CF$296,'J1634 Calcs_old'!$A36,'J1634 Calcs_old'!J$5)</f>
        <v>93.2</v>
      </c>
      <c r="K36" s="181">
        <f>INDEX(TestSummary!$A$1:$CF$296,'J1634 Calcs_old'!$A36,'J1634 Calcs_old'!K$5)</f>
        <v>215.93134840355788</v>
      </c>
      <c r="L36" s="181">
        <f>INDEX(TestSummary!$A$1:$CF$296,'J1634 Calcs_old'!$A36,'J1634 Calcs_old'!L$5)</f>
        <v>3915</v>
      </c>
      <c r="N36" s="190" t="s">
        <v>304</v>
      </c>
      <c r="O36" s="191">
        <f>TestSummary!W287</f>
        <v>75998</v>
      </c>
      <c r="P36" s="191">
        <f>$O$27</f>
        <v>76123</v>
      </c>
      <c r="Q36" s="183" t="s">
        <v>305</v>
      </c>
      <c r="R36" s="184" t="s">
        <v>58</v>
      </c>
      <c r="S36" s="184">
        <v>3</v>
      </c>
      <c r="T36" s="192"/>
      <c r="U36" s="192">
        <f>I34/O36</f>
        <v>2.6013842469538671E-2</v>
      </c>
      <c r="V36" s="192">
        <f>(1-U36)/S36</f>
        <v>0.32466205251015379</v>
      </c>
      <c r="W36" s="193">
        <f>U36*K34+V36*K36*3</f>
        <v>216.96886914523895</v>
      </c>
      <c r="X36" s="193">
        <f>P36/W36</f>
        <v>350.84756767130159</v>
      </c>
      <c r="Y36" s="194">
        <f>W36/T39</f>
        <v>245.80393421608062</v>
      </c>
      <c r="Z36" s="188"/>
      <c r="AC36" s="279" t="s">
        <v>224</v>
      </c>
      <c r="AD36" s="201">
        <f t="shared" si="4"/>
        <v>0.64651774973762766</v>
      </c>
      <c r="AE36" s="201">
        <f t="shared" si="4"/>
        <v>0.71316975391325388</v>
      </c>
      <c r="AF36" s="201"/>
      <c r="AG36" s="201">
        <f>(AG31/$AG30)</f>
        <v>0.75582823064417093</v>
      </c>
      <c r="AH36" s="201">
        <f>(AH31/$AG31)</f>
        <v>1.0239067722557706</v>
      </c>
      <c r="AJ36" s="279" t="s">
        <v>1264</v>
      </c>
      <c r="AK36" s="279">
        <v>1271.5</v>
      </c>
      <c r="AL36" s="279">
        <v>7.4669999999999996</v>
      </c>
      <c r="AM36" s="512">
        <f t="shared" si="9"/>
        <v>170.28257667068436</v>
      </c>
      <c r="AO36" s="512">
        <v>1252</v>
      </c>
      <c r="AP36" s="512">
        <v>7.4429999999999996</v>
      </c>
      <c r="AQ36" s="512">
        <f t="shared" si="10"/>
        <v>168.21174257691791</v>
      </c>
      <c r="AR36" s="512"/>
      <c r="AS36" s="45">
        <f>I29</f>
        <v>67000</v>
      </c>
      <c r="AT36" s="561">
        <f>J29</f>
        <v>16.399999999999999</v>
      </c>
      <c r="AU36" s="512">
        <f t="shared" si="5"/>
        <v>4085.3658536585372</v>
      </c>
      <c r="AV36" s="512"/>
      <c r="AW36" s="45">
        <f>I50</f>
        <v>68302</v>
      </c>
      <c r="AX36" s="45">
        <f>J50</f>
        <v>14.1</v>
      </c>
      <c r="AY36" s="512">
        <f t="shared" si="6"/>
        <v>4844.1134751773052</v>
      </c>
      <c r="AZ36" s="512"/>
      <c r="BA36" s="512"/>
      <c r="BC36" s="563">
        <f t="shared" si="7"/>
        <v>22.991684490183481</v>
      </c>
      <c r="BD36" s="563">
        <f t="shared" si="8"/>
        <v>23.287043169952469</v>
      </c>
    </row>
    <row r="37" spans="1:59">
      <c r="A37" s="44">
        <v>279</v>
      </c>
      <c r="B37" s="26">
        <f>INDEX(TestSummary!$A$1:$CF$296,'J1634 Calcs_old'!$A37,'J1634 Calcs_old'!B$5)</f>
        <v>62007002</v>
      </c>
      <c r="C37" s="26" t="str">
        <f>INDEX(TestSummary!$A$1:$CF$296,'J1634 Calcs_old'!$A37,'J1634 Calcs_old'!C$5)</f>
        <v>US06 1, combined</v>
      </c>
      <c r="D37" s="2" t="str">
        <f>INDEX(TestSummary!$A$1:$CF$296,'J1634 Calcs_old'!$A37,'J1634 Calcs_old'!D$5)</f>
        <v>J1634 MCT Test in hot test cell 95°F with solar @ 850W/m^2-HVAC AUTO-72°F, solar lights on 30 minutes prior to test</v>
      </c>
      <c r="E37" s="117">
        <f>INDEX(TestSummary!$A$1:$CF$296,'J1634 Calcs_old'!$A37,'J1634 Calcs_old'!E$5)</f>
        <v>0</v>
      </c>
      <c r="F37" s="117">
        <f>INDEX(TestSummary!$A$1:$CF$296,'J1634 Calcs_old'!$A37,'J1634 Calcs_old'!F$5)</f>
        <v>37.690309499999998</v>
      </c>
      <c r="G37" s="179">
        <f>INDEX(TestSummary!$A$1:$CF$296,'J1634 Calcs_old'!$A37,'J1634 Calcs_old'!G$5)</f>
        <v>243.75476884988871</v>
      </c>
      <c r="H37" s="179">
        <f>INDEX(TestSummary!$A$1:$CF$296,'J1634 Calcs_old'!$A37,'J1634 Calcs_old'!H$5)</f>
        <v>5557</v>
      </c>
      <c r="I37" s="179">
        <f>INDEX(TestSummary!$A$1:$CF$296,'J1634 Calcs_old'!$A37,'J1634 Calcs_old'!I$5)</f>
        <v>7342</v>
      </c>
      <c r="J37" s="180">
        <f>INDEX(TestSummary!$A$1:$CF$296,'J1634 Calcs_old'!$A37,'J1634 Calcs_old'!J$5)</f>
        <v>91</v>
      </c>
      <c r="K37" s="181">
        <f>INDEX(TestSummary!$A$1:$CF$296,'J1634 Calcs_old'!$A37,'J1634 Calcs_old'!K$5)</f>
        <v>243.38091184245025</v>
      </c>
      <c r="L37" s="181">
        <f>INDEX(TestSummary!$A$1:$CF$296,'J1634 Calcs_old'!$A37,'J1634 Calcs_old'!L$5)</f>
        <v>5557</v>
      </c>
      <c r="Q37" s="183" t="s">
        <v>305</v>
      </c>
      <c r="R37" s="184" t="s">
        <v>56</v>
      </c>
      <c r="S37" s="184">
        <v>2</v>
      </c>
      <c r="T37" s="192">
        <f>1/S37</f>
        <v>0.5</v>
      </c>
      <c r="U37" s="192"/>
      <c r="V37" s="192"/>
      <c r="W37" s="193">
        <f>T37*K35*2</f>
        <v>183.69647067218892</v>
      </c>
      <c r="X37" s="193">
        <f>P36/W37</f>
        <v>414.39555001491266</v>
      </c>
      <c r="Y37" s="194">
        <f>W37/T39</f>
        <v>208.10964895893559</v>
      </c>
      <c r="Z37" s="188"/>
      <c r="AJ37" s="279" t="s">
        <v>1265</v>
      </c>
      <c r="AK37" s="279">
        <v>1285.5999999999999</v>
      </c>
      <c r="AL37" s="279">
        <v>7.4630000000000001</v>
      </c>
      <c r="AM37" s="512">
        <f t="shared" si="9"/>
        <v>172.2631649470722</v>
      </c>
      <c r="AO37" s="512">
        <v>1261</v>
      </c>
      <c r="AP37" s="512">
        <v>7.452</v>
      </c>
      <c r="AQ37" s="512">
        <f t="shared" si="10"/>
        <v>169.2163177670424</v>
      </c>
      <c r="AR37" s="512"/>
      <c r="AS37" s="45">
        <f>I31</f>
        <v>70134</v>
      </c>
      <c r="AT37" s="561">
        <f>J31</f>
        <v>11.9</v>
      </c>
      <c r="AU37" s="512">
        <f t="shared" si="5"/>
        <v>5893.6134453781515</v>
      </c>
      <c r="AV37" s="512"/>
      <c r="AW37" s="45">
        <f>I52</f>
        <v>71469</v>
      </c>
      <c r="AX37" s="45">
        <f>J52</f>
        <v>9.3000000000000007</v>
      </c>
      <c r="AY37" s="512">
        <f t="shared" si="6"/>
        <v>7684.8387096774186</v>
      </c>
      <c r="AZ37" s="512"/>
      <c r="BA37" s="512"/>
      <c r="BC37" s="563">
        <f t="shared" si="7"/>
        <v>33.212847808694114</v>
      </c>
      <c r="BD37" s="563">
        <f t="shared" si="8"/>
        <v>33.82887184374146</v>
      </c>
    </row>
    <row r="38" spans="1:59">
      <c r="B38" s="154"/>
      <c r="C38" s="154"/>
      <c r="D38" s="20"/>
      <c r="E38" s="155"/>
      <c r="F38" s="155"/>
      <c r="G38" s="202"/>
      <c r="H38" s="202"/>
      <c r="I38" s="202"/>
      <c r="J38" s="203"/>
      <c r="K38" s="204"/>
      <c r="L38" s="204"/>
      <c r="Q38" s="183" t="s">
        <v>305</v>
      </c>
      <c r="R38" s="184" t="s">
        <v>224</v>
      </c>
      <c r="S38" s="184">
        <v>2</v>
      </c>
      <c r="T38" s="192">
        <f>1/S38</f>
        <v>0.5</v>
      </c>
      <c r="U38" s="192"/>
      <c r="V38" s="192"/>
      <c r="W38" s="193">
        <f>T38*K37*2</f>
        <v>243.38091184245025</v>
      </c>
      <c r="X38" s="193">
        <f>P36/W38</f>
        <v>312.77309064104963</v>
      </c>
      <c r="Y38" s="194">
        <f>W38/T39</f>
        <v>275.72612550201933</v>
      </c>
      <c r="Z38" s="188"/>
      <c r="AJ38" s="279" t="s">
        <v>1266</v>
      </c>
      <c r="AK38" s="279">
        <v>1950.9</v>
      </c>
      <c r="AL38" s="279">
        <v>10.266</v>
      </c>
      <c r="AM38" s="512">
        <f t="shared" si="9"/>
        <v>190.03506721215663</v>
      </c>
      <c r="AO38" s="512">
        <v>1844</v>
      </c>
      <c r="AP38" s="512">
        <v>10.262</v>
      </c>
      <c r="AQ38" s="512">
        <f t="shared" si="10"/>
        <v>179.69206782303644</v>
      </c>
      <c r="AR38" s="512"/>
      <c r="AS38" s="45">
        <f>I25</f>
        <v>3482</v>
      </c>
      <c r="AT38" s="561">
        <f>J25</f>
        <v>95.9</v>
      </c>
      <c r="AU38" s="512">
        <f t="shared" si="5"/>
        <v>36.308654848800835</v>
      </c>
      <c r="AV38" s="512"/>
      <c r="AW38" s="45">
        <f>I46</f>
        <v>3464</v>
      </c>
      <c r="AX38" s="45">
        <f>J46</f>
        <v>95.6</v>
      </c>
      <c r="AY38" s="512">
        <f t="shared" si="6"/>
        <v>36.234309623430967</v>
      </c>
      <c r="AZ38" s="512"/>
      <c r="BA38" s="512"/>
      <c r="BC38" s="563">
        <f t="shared" si="7"/>
        <v>-0.80893707997447872</v>
      </c>
      <c r="BD38" s="563">
        <f t="shared" si="8"/>
        <v>-0.79793957914403779</v>
      </c>
    </row>
    <row r="39" spans="1:59" ht="15.75" thickBot="1">
      <c r="L39" s="512"/>
      <c r="Q39" s="195" t="s">
        <v>305</v>
      </c>
      <c r="R39" s="196" t="s">
        <v>308</v>
      </c>
      <c r="S39" s="196"/>
      <c r="T39" s="376">
        <f>O36/O35</f>
        <v>0.88269079108598225</v>
      </c>
      <c r="U39" s="197"/>
      <c r="V39" s="197"/>
      <c r="W39" s="198" t="s">
        <v>293</v>
      </c>
      <c r="X39" s="198" t="s">
        <v>309</v>
      </c>
      <c r="Y39" s="199" t="s">
        <v>307</v>
      </c>
      <c r="Z39" s="200"/>
      <c r="AJ39" s="279" t="s">
        <v>1267</v>
      </c>
      <c r="AK39" s="279">
        <v>1895.5</v>
      </c>
      <c r="AL39" s="279">
        <v>10.257999999999999</v>
      </c>
      <c r="AM39" s="512">
        <f t="shared" si="9"/>
        <v>184.78260869565219</v>
      </c>
      <c r="AO39" s="512">
        <v>1863</v>
      </c>
      <c r="AP39" s="512">
        <v>10.266999999999999</v>
      </c>
      <c r="AQ39" s="512">
        <f t="shared" si="10"/>
        <v>181.45514756014416</v>
      </c>
      <c r="AR39" s="512"/>
      <c r="AS39" s="45">
        <f>I30</f>
        <v>68848</v>
      </c>
      <c r="AT39" s="561">
        <f>J30</f>
        <v>13.8</v>
      </c>
      <c r="AU39" s="512">
        <f t="shared" si="5"/>
        <v>4988.985507246377</v>
      </c>
      <c r="AV39" s="512"/>
      <c r="AW39" s="45">
        <f>I50</f>
        <v>68302</v>
      </c>
      <c r="AX39" s="45">
        <f>J50</f>
        <v>14.1</v>
      </c>
      <c r="AY39" s="512">
        <f t="shared" si="6"/>
        <v>4844.1134751773052</v>
      </c>
      <c r="AZ39" s="512"/>
      <c r="BA39" s="512"/>
      <c r="BC39" s="563">
        <f t="shared" si="7"/>
        <v>25.999215686274511</v>
      </c>
      <c r="BD39" s="563">
        <f t="shared" si="8"/>
        <v>26.494317875951989</v>
      </c>
    </row>
    <row r="40" spans="1:59">
      <c r="L40" s="512"/>
      <c r="AC40" s="279" t="s">
        <v>1284</v>
      </c>
      <c r="AJ40" s="279" t="s">
        <v>1272</v>
      </c>
      <c r="AK40" s="279">
        <v>64945.5</v>
      </c>
      <c r="AL40" s="279">
        <v>344.048</v>
      </c>
      <c r="AM40" s="512">
        <f t="shared" si="9"/>
        <v>188.76871831837417</v>
      </c>
      <c r="AO40" s="512">
        <v>62943</v>
      </c>
      <c r="AP40" s="512">
        <v>287.036</v>
      </c>
      <c r="AQ40" s="512">
        <f t="shared" si="10"/>
        <v>219.28608258197579</v>
      </c>
      <c r="AR40" s="512"/>
      <c r="AS40" s="279">
        <f>TestSummary!X207+TestSummary!X208+TestSummary!X211</f>
        <v>60754</v>
      </c>
      <c r="AT40" s="512"/>
      <c r="AU40" s="512">
        <f>TestSummary!Y207+TestSummary!Y208+TestSummary!Y211</f>
        <v>710.06302204074518</v>
      </c>
      <c r="AV40" s="512"/>
      <c r="AW40" s="512"/>
      <c r="AX40" s="512"/>
      <c r="AY40" s="512">
        <f>TestSummary!AC207+TestSummary!AC208+TestSummary!AC211</f>
        <v>710.78907769738476</v>
      </c>
      <c r="AZ40" s="512"/>
      <c r="BA40" s="512"/>
      <c r="BC40" s="201"/>
    </row>
    <row r="41" spans="1:59" s="512" customFormat="1">
      <c r="A41" s="560"/>
      <c r="B41" s="560"/>
      <c r="C41" s="560"/>
      <c r="D41" s="560"/>
      <c r="E41" s="560"/>
      <c r="F41" s="560"/>
      <c r="G41" s="560"/>
      <c r="H41" s="560"/>
      <c r="I41" s="560"/>
      <c r="J41" s="560"/>
      <c r="K41" s="560"/>
      <c r="L41" s="560"/>
      <c r="M41" s="560"/>
      <c r="N41" s="560"/>
      <c r="O41" s="559"/>
      <c r="P41" s="560"/>
      <c r="Q41" s="560"/>
      <c r="R41" s="560"/>
      <c r="S41" s="560"/>
      <c r="T41" s="560"/>
      <c r="U41" s="560"/>
      <c r="V41" s="560"/>
      <c r="W41" s="560"/>
      <c r="X41" s="560"/>
      <c r="Y41" s="560"/>
      <c r="Z41" s="560"/>
      <c r="AC41" s="279"/>
      <c r="AD41" s="564">
        <f>T14</f>
        <v>0.71190899585847878</v>
      </c>
      <c r="AE41" s="564">
        <f>T21</f>
        <v>0.88196112948117134</v>
      </c>
      <c r="AF41" s="564">
        <f>T62</f>
        <v>0.81670640974099995</v>
      </c>
      <c r="AG41" s="564">
        <f>T28</f>
        <v>0.88768415921711485</v>
      </c>
      <c r="AH41" s="564">
        <f>T39</f>
        <v>0.88269079108598225</v>
      </c>
      <c r="AI41" s="564">
        <f>T69</f>
        <v>0.88269079108598225</v>
      </c>
      <c r="AJ41" s="512" t="s">
        <v>1268</v>
      </c>
      <c r="AK41" s="512">
        <v>5053.8999999999996</v>
      </c>
      <c r="AL41" s="512">
        <v>25.983000000000001</v>
      </c>
      <c r="AM41" s="512">
        <f t="shared" si="9"/>
        <v>194.50794750413729</v>
      </c>
      <c r="AO41" s="512">
        <v>7980</v>
      </c>
      <c r="AP41" s="512">
        <v>36.113999999999997</v>
      </c>
      <c r="AQ41" s="512">
        <f t="shared" si="10"/>
        <v>220.96693802957304</v>
      </c>
      <c r="AS41" s="512">
        <f>TestSummary!X219</f>
        <v>6047</v>
      </c>
      <c r="AU41" s="512">
        <f>TestSummary!Y219</f>
        <v>221.92969537074885</v>
      </c>
      <c r="AY41" s="512">
        <f>TestSummary!AC219</f>
        <v>222.03979774979834</v>
      </c>
      <c r="BC41" s="201"/>
    </row>
    <row r="42" spans="1:59" s="512" customFormat="1">
      <c r="A42" s="560"/>
      <c r="B42" s="560"/>
      <c r="C42" s="560"/>
      <c r="D42" s="560"/>
      <c r="E42" s="560"/>
      <c r="F42" s="560"/>
      <c r="G42" s="560"/>
      <c r="H42" s="560"/>
      <c r="I42" s="560"/>
      <c r="J42" s="560"/>
      <c r="K42" s="560"/>
      <c r="L42" s="560"/>
      <c r="M42" s="560"/>
      <c r="N42" s="560"/>
      <c r="O42" s="559"/>
      <c r="P42" s="560"/>
      <c r="Q42" s="560"/>
      <c r="R42" s="560"/>
      <c r="S42" s="560"/>
      <c r="T42" s="560"/>
      <c r="U42" s="560"/>
      <c r="V42" s="560"/>
      <c r="W42" s="560"/>
      <c r="X42" s="560"/>
      <c r="Y42" s="560"/>
      <c r="Z42" s="560"/>
      <c r="AC42" s="279"/>
      <c r="AD42" s="279"/>
      <c r="AE42" s="279"/>
      <c r="AG42" s="279"/>
      <c r="AH42" s="279"/>
      <c r="AI42" s="279"/>
      <c r="AJ42" s="512" t="s">
        <v>1280</v>
      </c>
      <c r="AK42" s="512">
        <v>79218</v>
      </c>
      <c r="AL42" s="512">
        <v>420.39699999999999</v>
      </c>
      <c r="AO42" s="561">
        <f>SUM(AO34:AO41)</f>
        <v>79765</v>
      </c>
      <c r="AP42" s="561">
        <f>SUM(AP34:AP41)</f>
        <v>373.488</v>
      </c>
      <c r="AS42" s="45">
        <f>SUM(AS34:AS41)</f>
        <v>282638</v>
      </c>
      <c r="AW42" s="45"/>
      <c r="BC42" s="563">
        <f>(AS42-AK42)/AK42</f>
        <v>2.5678507409932085</v>
      </c>
      <c r="BD42" s="563">
        <f>(AS42-AO42)/AO42</f>
        <v>2.5433836895881652</v>
      </c>
    </row>
    <row r="43" spans="1:59" s="512" customFormat="1" ht="15.75" thickBot="1">
      <c r="O43" s="549"/>
      <c r="AC43" s="279"/>
      <c r="AD43" s="279" t="s">
        <v>227</v>
      </c>
      <c r="AE43" s="279" t="s">
        <v>1287</v>
      </c>
      <c r="AF43" s="512" t="s">
        <v>1288</v>
      </c>
      <c r="AG43" s="279"/>
      <c r="AH43" s="279"/>
      <c r="AI43" s="279"/>
    </row>
    <row r="44" spans="1:59" s="512" customFormat="1" ht="16.5" thickBot="1">
      <c r="B44" s="119" t="s">
        <v>1259</v>
      </c>
      <c r="C44" s="174"/>
      <c r="D44" s="174"/>
      <c r="E44" s="158"/>
      <c r="F44" s="158"/>
      <c r="G44" s="174"/>
      <c r="H44" s="174"/>
      <c r="I44" s="174"/>
      <c r="J44" s="174"/>
      <c r="K44" s="174"/>
      <c r="L44" s="174"/>
      <c r="N44" s="175" t="s">
        <v>294</v>
      </c>
      <c r="O44" s="549" t="s">
        <v>311</v>
      </c>
      <c r="P44" s="512" t="s">
        <v>312</v>
      </c>
      <c r="Q44" s="176" t="s">
        <v>295</v>
      </c>
      <c r="R44" s="177"/>
      <c r="S44" s="177"/>
      <c r="T44" s="177"/>
      <c r="U44" s="177"/>
      <c r="V44" s="177"/>
      <c r="W44" s="177"/>
      <c r="X44" s="177"/>
      <c r="Y44" s="177"/>
      <c r="Z44" s="178"/>
      <c r="AC44" s="279" t="s">
        <v>1286</v>
      </c>
      <c r="AD44" s="279">
        <v>79218.399999999994</v>
      </c>
      <c r="AE44" s="279">
        <v>89577</v>
      </c>
      <c r="AF44" s="562">
        <f>AD44/AE44</f>
        <v>0.88436094086651706</v>
      </c>
      <c r="AG44" s="279"/>
      <c r="AH44" s="279"/>
      <c r="AI44" s="279"/>
    </row>
    <row r="45" spans="1:59" s="512" customFormat="1">
      <c r="A45" s="512">
        <v>35</v>
      </c>
      <c r="B45" s="465">
        <f>INDEX(TestSummary!$A$1:$CF$296,'J1634 Calcs_old'!$A45,'J1634 Calcs_old'!B$5)</f>
        <v>62005016</v>
      </c>
      <c r="C45" s="465" t="str">
        <f>INDEX(TestSummary!$A$1:$CF$296,'J1634 Calcs_old'!$A45,'J1634 Calcs_old'!C$5)</f>
        <v>UDDS 1 , Combined</v>
      </c>
      <c r="D45" s="513" t="str">
        <f>INDEX(TestSummary!$A$1:$CF$296,'J1634 Calcs_old'!$A45,'J1634 Calcs_old'!D$5)</f>
        <v>J1634 MCT, UDDS-HWY-UDDS-US06</v>
      </c>
      <c r="E45" s="521">
        <f>INDEX(TestSummary!$A$1:$CF$296,'J1634 Calcs_old'!$A45,'J1634 Calcs_old'!E$5)</f>
        <v>0</v>
      </c>
      <c r="F45" s="521">
        <f>INDEX(TestSummary!$A$1:$CF$296,'J1634 Calcs_old'!$A45,'J1634 Calcs_old'!F$5)</f>
        <v>21.889978499999998</v>
      </c>
      <c r="G45" s="179">
        <f>INDEX(TestSummary!$A$1:$CF$296,'J1634 Calcs_old'!$A45,'J1634 Calcs_old'!G$5)</f>
        <v>199.73446568709571</v>
      </c>
      <c r="H45" s="179">
        <f>INDEX(TestSummary!$A$1:$CF$296,'J1634 Calcs_old'!$A45,'J1634 Calcs_old'!H$5)</f>
        <v>21</v>
      </c>
      <c r="I45" s="179">
        <f>INDEX(TestSummary!$A$1:$CF$296,'J1634 Calcs_old'!$A45,'J1634 Calcs_old'!I$5)</f>
        <v>1507</v>
      </c>
      <c r="J45" s="180">
        <f>INDEX(TestSummary!$A$1:$CF$296,'J1634 Calcs_old'!$A45,'J1634 Calcs_old'!J$5)</f>
        <v>97.9</v>
      </c>
      <c r="K45" s="181">
        <f>INDEX(TestSummary!$A$1:$CF$296,'J1634 Calcs_old'!$A45,'J1634 Calcs_old'!K$5)</f>
        <v>198.93070526179551</v>
      </c>
      <c r="L45" s="181">
        <f>INDEX(TestSummary!$A$1:$CF$296,'J1634 Calcs_old'!$A45,'J1634 Calcs_old'!L$5)</f>
        <v>21</v>
      </c>
      <c r="N45" s="182" t="s">
        <v>297</v>
      </c>
      <c r="O45" s="205">
        <f>TestSummary!BL55</f>
        <v>85641.2</v>
      </c>
      <c r="P45" s="205">
        <f>$O$24</f>
        <v>85754.6</v>
      </c>
      <c r="Q45" s="183" t="s">
        <v>16</v>
      </c>
      <c r="R45" s="184" t="s">
        <v>1</v>
      </c>
      <c r="S45" s="184" t="s">
        <v>420</v>
      </c>
      <c r="T45" s="185" t="s">
        <v>298</v>
      </c>
      <c r="U45" s="184" t="s">
        <v>299</v>
      </c>
      <c r="V45" s="185" t="s">
        <v>300</v>
      </c>
      <c r="W45" s="186" t="s">
        <v>301</v>
      </c>
      <c r="X45" s="187" t="s">
        <v>302</v>
      </c>
      <c r="Y45" s="186" t="s">
        <v>303</v>
      </c>
      <c r="Z45" s="188"/>
      <c r="AC45" s="279" t="s">
        <v>1285</v>
      </c>
      <c r="AD45" s="279">
        <v>79764.800000000003</v>
      </c>
      <c r="AE45" s="279">
        <v>89907</v>
      </c>
      <c r="AF45" s="562">
        <f>AD45/AE45</f>
        <v>0.88719232095387457</v>
      </c>
      <c r="AG45" s="279"/>
      <c r="AH45" s="279"/>
      <c r="AI45" s="279"/>
    </row>
    <row r="46" spans="1:59" s="512" customFormat="1">
      <c r="A46" s="512">
        <v>36</v>
      </c>
      <c r="B46" s="465">
        <f>INDEX(TestSummary!$A$1:$CF$296,'J1634 Calcs_old'!$A46,'J1634 Calcs_old'!B$5)</f>
        <v>62005016</v>
      </c>
      <c r="C46" s="465" t="str">
        <f>INDEX(TestSummary!$A$1:$CF$296,'J1634 Calcs_old'!$A46,'J1634 Calcs_old'!C$5)</f>
        <v>HWY 1</v>
      </c>
      <c r="D46" s="513" t="str">
        <f>INDEX(TestSummary!$A$1:$CF$296,'J1634 Calcs_old'!$A46,'J1634 Calcs_old'!D$5)</f>
        <v>J1634 MCT, UDDS-HWY-UDDS-US06</v>
      </c>
      <c r="E46" s="521">
        <f>INDEX(TestSummary!$A$1:$CF$296,'J1634 Calcs_old'!$A46,'J1634 Calcs_old'!E$5)</f>
        <v>0</v>
      </c>
      <c r="F46" s="521">
        <f>INDEX(TestSummary!$A$1:$CF$296,'J1634 Calcs_old'!$A46,'J1634 Calcs_old'!F$5)</f>
        <v>25.225954000000002</v>
      </c>
      <c r="G46" s="179">
        <f>INDEX(TestSummary!$A$1:$CF$296,'J1634 Calcs_old'!$A46,'J1634 Calcs_old'!G$5)</f>
        <v>190.02820485858501</v>
      </c>
      <c r="H46" s="179">
        <f>INDEX(TestSummary!$A$1:$CF$296,'J1634 Calcs_old'!$A46,'J1634 Calcs_old'!H$5)</f>
        <v>1509</v>
      </c>
      <c r="I46" s="179">
        <f>INDEX(TestSummary!$A$1:$CF$296,'J1634 Calcs_old'!$A46,'J1634 Calcs_old'!I$5)</f>
        <v>3464</v>
      </c>
      <c r="J46" s="180">
        <f>INDEX(TestSummary!$A$1:$CF$296,'J1634 Calcs_old'!$A46,'J1634 Calcs_old'!J$5)</f>
        <v>95.6</v>
      </c>
      <c r="K46" s="181">
        <f>INDEX(TestSummary!$A$1:$CF$296,'J1634 Calcs_old'!$A46,'J1634 Calcs_old'!K$5)</f>
        <v>189.93105342460822</v>
      </c>
      <c r="L46" s="181">
        <f>INDEX(TestSummary!$A$1:$CF$296,'J1634 Calcs_old'!$A46,'J1634 Calcs_old'!L$5)</f>
        <v>1509</v>
      </c>
      <c r="N46" s="190" t="s">
        <v>304</v>
      </c>
      <c r="O46" s="191">
        <f>TestSummary!W54</f>
        <v>76421</v>
      </c>
      <c r="P46" s="191">
        <f>O46</f>
        <v>76421</v>
      </c>
      <c r="Q46" s="183" t="s">
        <v>305</v>
      </c>
      <c r="R46" s="184" t="s">
        <v>58</v>
      </c>
      <c r="S46" s="184">
        <v>3</v>
      </c>
      <c r="T46" s="192"/>
      <c r="U46" s="192">
        <f>I45/O46</f>
        <v>1.9719710550764841E-2</v>
      </c>
      <c r="V46" s="192">
        <f>(1-U46)/S46</f>
        <v>0.32676009648307841</v>
      </c>
      <c r="W46" s="193">
        <f>U46*K45+(V46*K47)+(V46*K50)+(V46*K52)</f>
        <v>173.92372098641584</v>
      </c>
      <c r="X46" s="193">
        <f>P46/W46</f>
        <v>439.3937731240743</v>
      </c>
      <c r="Y46" s="194">
        <f>W46/T49</f>
        <v>194.90763237515651</v>
      </c>
      <c r="Z46" s="188"/>
      <c r="AC46" s="279"/>
      <c r="AD46" s="279"/>
      <c r="AE46" s="279"/>
      <c r="AG46" s="279"/>
      <c r="AH46" s="279"/>
      <c r="AI46" s="279"/>
    </row>
    <row r="47" spans="1:59" s="512" customFormat="1">
      <c r="A47" s="512">
        <v>39</v>
      </c>
      <c r="B47" s="465">
        <f>INDEX(TestSummary!$A$1:$CF$296,'J1634 Calcs_old'!$A47,'J1634 Calcs_old'!B$5)</f>
        <v>62005016</v>
      </c>
      <c r="C47" s="465" t="str">
        <f>INDEX(TestSummary!$A$1:$CF$296,'J1634 Calcs_old'!$A47,'J1634 Calcs_old'!C$5)</f>
        <v>UDDS 2, combined</v>
      </c>
      <c r="D47" s="513" t="str">
        <f>INDEX(TestSummary!$A$1:$CF$296,'J1634 Calcs_old'!$A47,'J1634 Calcs_old'!D$5)</f>
        <v>J1634 MCT, UDDS-HWY-UDDS-US06</v>
      </c>
      <c r="E47" s="521">
        <f>INDEX(TestSummary!$A$1:$CF$296,'J1634 Calcs_old'!$A47,'J1634 Calcs_old'!E$5)</f>
        <v>0</v>
      </c>
      <c r="F47" s="521">
        <f>INDEX(TestSummary!$A$1:$CF$296,'J1634 Calcs_old'!$A47,'J1634 Calcs_old'!F$5)</f>
        <v>19.997267999999998</v>
      </c>
      <c r="G47" s="179">
        <f>INDEX(TestSummary!$A$1:$CF$296,'J1634 Calcs_old'!$A47,'J1634 Calcs_old'!G$5)</f>
        <v>181.0241397323835</v>
      </c>
      <c r="H47" s="179">
        <f>INDEX(TestSummary!$A$1:$CF$296,'J1634 Calcs_old'!$A47,'J1634 Calcs_old'!H$5)</f>
        <v>3507</v>
      </c>
      <c r="I47" s="179">
        <f>INDEX(TestSummary!$A$1:$CF$296,'J1634 Calcs_old'!$A47,'J1634 Calcs_old'!I$5)</f>
        <v>4857</v>
      </c>
      <c r="J47" s="180">
        <f>INDEX(TestSummary!$A$1:$CF$296,'J1634 Calcs_old'!$A47,'J1634 Calcs_old'!J$5)</f>
        <v>94</v>
      </c>
      <c r="K47" s="181">
        <f>INDEX(TestSummary!$A$1:$CF$296,'J1634 Calcs_old'!$A47,'J1634 Calcs_old'!K$5)</f>
        <v>180.75635254343027</v>
      </c>
      <c r="L47" s="181">
        <f>INDEX(TestSummary!$A$1:$CF$296,'J1634 Calcs_old'!$A47,'J1634 Calcs_old'!L$5)</f>
        <v>3507</v>
      </c>
      <c r="O47" s="549"/>
      <c r="Q47" s="183" t="s">
        <v>305</v>
      </c>
      <c r="R47" s="184" t="s">
        <v>56</v>
      </c>
      <c r="S47" s="184">
        <v>2</v>
      </c>
      <c r="T47" s="192">
        <f>1/S47</f>
        <v>0.5</v>
      </c>
      <c r="U47" s="192"/>
      <c r="V47" s="192"/>
      <c r="W47" s="193">
        <f>T47*K46*2</f>
        <v>189.93105342460822</v>
      </c>
      <c r="X47" s="193">
        <f>P46/W47</f>
        <v>402.36179719992322</v>
      </c>
      <c r="Y47" s="194">
        <f>W47/T49</f>
        <v>212.84625080210355</v>
      </c>
      <c r="Z47" s="188"/>
    </row>
    <row r="48" spans="1:59" s="512" customFormat="1">
      <c r="A48" s="519">
        <v>42</v>
      </c>
      <c r="B48" s="465">
        <f>INDEX(TestSummary!$A$1:$CF$296,'J1634 Calcs_old'!$A48,'J1634 Calcs_old'!B$5)</f>
        <v>62005016</v>
      </c>
      <c r="C48" s="465" t="str">
        <f>INDEX(TestSummary!$A$1:$CF$296,'J1634 Calcs_old'!$A48,'J1634 Calcs_old'!C$5)</f>
        <v>US06 1, combined</v>
      </c>
      <c r="D48" s="513" t="str">
        <f>INDEX(TestSummary!$A$1:$CF$296,'J1634 Calcs_old'!$A48,'J1634 Calcs_old'!D$5)</f>
        <v>J1634 MCT, UDDS-HWY-UDDS-US06</v>
      </c>
      <c r="E48" s="521">
        <f>INDEX(TestSummary!$A$1:$CF$296,'J1634 Calcs_old'!$A48,'J1634 Calcs_old'!E$5)</f>
        <v>0</v>
      </c>
      <c r="F48" s="521">
        <f>INDEX(TestSummary!$A$1:$CF$296,'J1634 Calcs_old'!$A48,'J1634 Calcs_old'!F$5)</f>
        <v>24.9519135</v>
      </c>
      <c r="G48" s="179">
        <f>INDEX(TestSummary!$A$1:$CF$296,'J1634 Calcs_old'!$A48,'J1634 Calcs_old'!G$5)</f>
        <v>252.95242558957906</v>
      </c>
      <c r="H48" s="179">
        <f>INDEX(TestSummary!$A$1:$CF$296,'J1634 Calcs_old'!$A48,'J1634 Calcs_old'!H$5)</f>
        <v>4868</v>
      </c>
      <c r="I48" s="179">
        <f>INDEX(TestSummary!$A$1:$CF$296,'J1634 Calcs_old'!$A48,'J1634 Calcs_old'!I$5)</f>
        <v>6740</v>
      </c>
      <c r="J48" s="180">
        <f>INDEX(TestSummary!$A$1:$CF$296,'J1634 Calcs_old'!$A48,'J1634 Calcs_old'!J$5)</f>
        <v>91.8</v>
      </c>
      <c r="K48" s="181">
        <f>INDEX(TestSummary!$A$1:$CF$296,'J1634 Calcs_old'!$A48,'J1634 Calcs_old'!K$5)</f>
        <v>252.95242558957906</v>
      </c>
      <c r="L48" s="181">
        <f>INDEX(TestSummary!$A$1:$CF$296,'J1634 Calcs_old'!$A48,'J1634 Calcs_old'!L$5)</f>
        <v>4868</v>
      </c>
      <c r="N48" s="190" t="s">
        <v>1257</v>
      </c>
      <c r="O48" s="191">
        <f>TestSummary!W240</f>
        <v>12151</v>
      </c>
      <c r="P48" s="191">
        <f>$O$27</f>
        <v>76123</v>
      </c>
      <c r="Q48" s="183" t="s">
        <v>305</v>
      </c>
      <c r="R48" s="184" t="s">
        <v>224</v>
      </c>
      <c r="S48" s="184">
        <v>2</v>
      </c>
      <c r="T48" s="192">
        <f>1/S48</f>
        <v>0.5</v>
      </c>
      <c r="U48" s="192"/>
      <c r="V48" s="192"/>
      <c r="W48" s="193">
        <f>T48*K48*2</f>
        <v>252.95242558957906</v>
      </c>
      <c r="X48" s="193">
        <f>P46/W48</f>
        <v>302.11609879556869</v>
      </c>
      <c r="Y48" s="194">
        <f>W48/T49</f>
        <v>283.47115675537162</v>
      </c>
      <c r="Z48" s="188"/>
    </row>
    <row r="49" spans="1:35" s="512" customFormat="1" ht="15.75" thickBot="1">
      <c r="A49" s="519">
        <v>46</v>
      </c>
      <c r="B49" s="465">
        <f>INDEX(TestSummary!$A$1:$CF$296,'J1634 Calcs_old'!$A49,'J1634 Calcs_old'!B$5)</f>
        <v>62005018</v>
      </c>
      <c r="C49" s="465" t="str">
        <f>INDEX(TestSummary!$A$1:$CF$296,'J1634 Calcs_old'!$A49,'J1634 Calcs_old'!C$5)</f>
        <v>US06 2, combined</v>
      </c>
      <c r="D49" s="513" t="str">
        <f>INDEX(TestSummary!$A$1:$CF$296,'J1634 Calcs_old'!$A49,'J1634 Calcs_old'!D$5)</f>
        <v>J1634 MCT, US06-UDDS-HWY-UDDS</v>
      </c>
      <c r="E49" s="521">
        <f>INDEX(TestSummary!$A$1:$CF$296,'J1634 Calcs_old'!$A49,'J1634 Calcs_old'!E$5)</f>
        <v>0</v>
      </c>
      <c r="F49" s="521">
        <f>INDEX(TestSummary!$A$1:$CF$296,'J1634 Calcs_old'!$A49,'J1634 Calcs_old'!F$5)</f>
        <v>23.643376499999999</v>
      </c>
      <c r="G49" s="179">
        <f>INDEX(TestSummary!$A$1:$CF$296,'J1634 Calcs_old'!$A49,'J1634 Calcs_old'!G$5)</f>
        <v>242.79794068229546</v>
      </c>
      <c r="H49" s="179">
        <f>INDEX(TestSummary!$A$1:$CF$296,'J1634 Calcs_old'!$A49,'J1634 Calcs_old'!H$5)</f>
        <v>65039</v>
      </c>
      <c r="I49" s="179">
        <f>INDEX(TestSummary!$A$1:$CF$296,'J1634 Calcs_old'!$A49,'J1634 Calcs_old'!I$5)</f>
        <v>66837</v>
      </c>
      <c r="J49" s="180">
        <f>INDEX(TestSummary!$A$1:$CF$296,'J1634 Calcs_old'!$A49,'J1634 Calcs_old'!J$5)</f>
        <v>16.2</v>
      </c>
      <c r="K49" s="181">
        <f>INDEX(TestSummary!$A$1:$CF$296,'J1634 Calcs_old'!$A49,'J1634 Calcs_old'!K$5)</f>
        <v>242.79794068229546</v>
      </c>
      <c r="L49" s="181">
        <f>INDEX(TestSummary!$A$1:$CF$296,'J1634 Calcs_old'!$A49,'J1634 Calcs_old'!L$5)</f>
        <v>65039</v>
      </c>
      <c r="O49" s="549"/>
      <c r="Q49" s="195" t="s">
        <v>305</v>
      </c>
      <c r="R49" s="196" t="s">
        <v>308</v>
      </c>
      <c r="S49" s="196"/>
      <c r="T49" s="376">
        <f>O46/O45</f>
        <v>0.89233920122557842</v>
      </c>
      <c r="U49" s="197"/>
      <c r="V49" s="197"/>
      <c r="W49" s="198" t="s">
        <v>293</v>
      </c>
      <c r="X49" s="198" t="s">
        <v>309</v>
      </c>
      <c r="Y49" s="199" t="s">
        <v>307</v>
      </c>
      <c r="Z49" s="200"/>
    </row>
    <row r="50" spans="1:35" s="512" customFormat="1">
      <c r="A50" s="519">
        <v>49</v>
      </c>
      <c r="B50" s="465">
        <f>INDEX(TestSummary!$A$1:$CF$296,'J1634 Calcs_old'!$A50,'J1634 Calcs_old'!B$5)</f>
        <v>62005018</v>
      </c>
      <c r="C50" s="465" t="str">
        <f>INDEX(TestSummary!$A$1:$CF$296,'J1634 Calcs_old'!$A50,'J1634 Calcs_old'!C$5)</f>
        <v>UDDS 3, combined</v>
      </c>
      <c r="D50" s="513" t="str">
        <f>INDEX(TestSummary!$A$1:$CF$296,'J1634 Calcs_old'!$A50,'J1634 Calcs_old'!D$5)</f>
        <v>J1634 MCT, US06-UDDS-HWY-UDDS</v>
      </c>
      <c r="E50" s="521">
        <f>INDEX(TestSummary!$A$1:$CF$296,'J1634 Calcs_old'!$A50,'J1634 Calcs_old'!E$5)</f>
        <v>0</v>
      </c>
      <c r="F50" s="521">
        <f>INDEX(TestSummary!$A$1:$CF$296,'J1634 Calcs_old'!$A50,'J1634 Calcs_old'!F$5)</f>
        <v>20.788361999999999</v>
      </c>
      <c r="G50" s="179">
        <f>INDEX(TestSummary!$A$1:$CF$296,'J1634 Calcs_old'!$A50,'J1634 Calcs_old'!G$5)</f>
        <v>170.60663983324872</v>
      </c>
      <c r="H50" s="179">
        <f>INDEX(TestSummary!$A$1:$CF$296,'J1634 Calcs_old'!$A50,'J1634 Calcs_old'!H$5)</f>
        <v>67029</v>
      </c>
      <c r="I50" s="179">
        <f>INDEX(TestSummary!$A$1:$CF$296,'J1634 Calcs_old'!$A50,'J1634 Calcs_old'!I$5)</f>
        <v>68302</v>
      </c>
      <c r="J50" s="180">
        <f>INDEX(TestSummary!$A$1:$CF$296,'J1634 Calcs_old'!$A50,'J1634 Calcs_old'!J$5)</f>
        <v>14.1</v>
      </c>
      <c r="K50" s="181">
        <f>INDEX(TestSummary!$A$1:$CF$296,'J1634 Calcs_old'!$A50,'J1634 Calcs_old'!K$5)</f>
        <v>170.60663983324872</v>
      </c>
      <c r="L50" s="181">
        <f>INDEX(TestSummary!$A$1:$CF$296,'J1634 Calcs_old'!$A50,'J1634 Calcs_old'!L$5)</f>
        <v>67029</v>
      </c>
      <c r="O50" s="549"/>
    </row>
    <row r="51" spans="1:35" s="512" customFormat="1">
      <c r="A51" s="519">
        <v>50</v>
      </c>
      <c r="B51" s="465">
        <f>INDEX(TestSummary!$A$1:$CF$296,'J1634 Calcs_old'!$A51,'J1634 Calcs_old'!B$5)</f>
        <v>62005018</v>
      </c>
      <c r="C51" s="465" t="str">
        <f>INDEX(TestSummary!$A$1:$CF$296,'J1634 Calcs_old'!$A51,'J1634 Calcs_old'!C$5)</f>
        <v>HWY</v>
      </c>
      <c r="D51" s="513" t="str">
        <f>INDEX(TestSummary!$A$1:$CF$296,'J1634 Calcs_old'!$A51,'J1634 Calcs_old'!D$5)</f>
        <v>J1634 MCT, US06-UDDS-HWY-UDDS</v>
      </c>
      <c r="E51" s="521">
        <f>INDEX(TestSummary!$A$1:$CF$296,'J1634 Calcs_old'!$A51,'J1634 Calcs_old'!E$5)</f>
        <v>0</v>
      </c>
      <c r="F51" s="521">
        <f>INDEX(TestSummary!$A$1:$CF$296,'J1634 Calcs_old'!$A51,'J1634 Calcs_old'!F$5)</f>
        <v>25.581983000000001</v>
      </c>
      <c r="G51" s="179">
        <f>INDEX(TestSummary!$A$1:$CF$296,'J1634 Calcs_old'!$A51,'J1634 Calcs_old'!G$5)</f>
        <v>181.35266160245243</v>
      </c>
      <c r="H51" s="179">
        <f>INDEX(TestSummary!$A$1:$CF$296,'J1634 Calcs_old'!$A51,'J1634 Calcs_old'!H$5)</f>
        <v>68304</v>
      </c>
      <c r="I51" s="179">
        <f>INDEX(TestSummary!$A$1:$CF$296,'J1634 Calcs_old'!$A51,'J1634 Calcs_old'!I$5)</f>
        <v>70169</v>
      </c>
      <c r="J51" s="180">
        <f>INDEX(TestSummary!$A$1:$CF$296,'J1634 Calcs_old'!$A51,'J1634 Calcs_old'!J$5)</f>
        <v>11.3</v>
      </c>
      <c r="K51" s="181">
        <f>INDEX(TestSummary!$A$1:$CF$296,'J1634 Calcs_old'!$A51,'J1634 Calcs_old'!K$5)</f>
        <v>181.35266160245243</v>
      </c>
      <c r="L51" s="181">
        <f>INDEX(TestSummary!$A$1:$CF$296,'J1634 Calcs_old'!$A51,'J1634 Calcs_old'!L$5)</f>
        <v>68304</v>
      </c>
      <c r="O51" s="549"/>
    </row>
    <row r="52" spans="1:35" s="512" customFormat="1">
      <c r="A52" s="519">
        <v>53</v>
      </c>
      <c r="B52" s="465">
        <f>INDEX(TestSummary!$A$1:$CF$296,'J1634 Calcs_old'!$A52,'J1634 Calcs_old'!B$5)</f>
        <v>62005018</v>
      </c>
      <c r="C52" s="465" t="str">
        <f>INDEX(TestSummary!$A$1:$CF$296,'J1634 Calcs_old'!$A52,'J1634 Calcs_old'!C$5)</f>
        <v>UDDS 4, combined</v>
      </c>
      <c r="D52" s="513" t="str">
        <f>INDEX(TestSummary!$A$1:$CF$296,'J1634 Calcs_old'!$A52,'J1634 Calcs_old'!D$5)</f>
        <v>J1634 MCT, US06-UDDS-HWY-UDDS</v>
      </c>
      <c r="E52" s="521">
        <f>INDEX(TestSummary!$A$1:$CF$296,'J1634 Calcs_old'!$A52,'J1634 Calcs_old'!E$5)</f>
        <v>0</v>
      </c>
      <c r="F52" s="521">
        <f>INDEX(TestSummary!$A$1:$CF$296,'J1634 Calcs_old'!$A52,'J1634 Calcs_old'!F$5)</f>
        <v>19.921703999999998</v>
      </c>
      <c r="G52" s="179">
        <f>INDEX(TestSummary!$A$1:$CF$296,'J1634 Calcs_old'!$A52,'J1634 Calcs_old'!G$5)</f>
        <v>168.89901907672194</v>
      </c>
      <c r="H52" s="179">
        <f>INDEX(TestSummary!$A$1:$CF$296,'J1634 Calcs_old'!$A52,'J1634 Calcs_old'!H$5)</f>
        <v>70209</v>
      </c>
      <c r="I52" s="179">
        <f>INDEX(TestSummary!$A$1:$CF$296,'J1634 Calcs_old'!$A52,'J1634 Calcs_old'!I$5)</f>
        <v>71469</v>
      </c>
      <c r="J52" s="180">
        <f>INDEX(TestSummary!$A$1:$CF$296,'J1634 Calcs_old'!$A52,'J1634 Calcs_old'!J$5)</f>
        <v>9.3000000000000007</v>
      </c>
      <c r="K52" s="181">
        <f>INDEX(TestSummary!$A$1:$CF$296,'J1634 Calcs_old'!$A52,'J1634 Calcs_old'!K$5)</f>
        <v>168.89901907672194</v>
      </c>
      <c r="L52" s="181">
        <f>INDEX(TestSummary!$A$1:$CF$296,'J1634 Calcs_old'!$A52,'J1634 Calcs_old'!L$5)</f>
        <v>70209</v>
      </c>
      <c r="O52" s="549"/>
    </row>
    <row r="53" spans="1:35" s="512" customFormat="1">
      <c r="O53" s="549"/>
    </row>
    <row r="54" spans="1:35">
      <c r="L54" s="512"/>
      <c r="AC54" s="512"/>
      <c r="AD54" s="512"/>
      <c r="AE54" s="512"/>
      <c r="AG54" s="512"/>
      <c r="AH54" s="512"/>
      <c r="AI54" s="512"/>
    </row>
    <row r="55" spans="1:35">
      <c r="L55" s="512"/>
      <c r="AC55" s="512"/>
      <c r="AD55" s="512"/>
      <c r="AE55" s="512"/>
      <c r="AG55" s="512"/>
      <c r="AH55" s="512"/>
      <c r="AI55" s="512"/>
    </row>
    <row r="56" spans="1:35" ht="16.5" thickBot="1">
      <c r="A56" s="512"/>
      <c r="B56" s="119" t="s">
        <v>1260</v>
      </c>
      <c r="C56" s="174"/>
      <c r="D56" s="174"/>
      <c r="E56" s="158"/>
      <c r="F56" s="158"/>
      <c r="G56" s="174"/>
      <c r="H56" s="174"/>
      <c r="I56" s="174"/>
      <c r="J56" s="174"/>
      <c r="K56" s="174"/>
      <c r="L56" s="174"/>
      <c r="M56" s="512"/>
      <c r="N56" s="512"/>
      <c r="O56" s="549"/>
      <c r="P56" s="512"/>
      <c r="Q56" s="512"/>
      <c r="R56" s="512"/>
      <c r="S56" s="512"/>
      <c r="T56" s="512"/>
      <c r="U56" s="512"/>
      <c r="V56" s="512"/>
      <c r="W56" s="512"/>
      <c r="X56" s="512"/>
      <c r="Y56" s="512"/>
      <c r="Z56" s="512"/>
      <c r="AC56" s="512"/>
      <c r="AD56" s="512"/>
      <c r="AE56" s="512"/>
      <c r="AG56" s="512"/>
      <c r="AH56" s="512"/>
      <c r="AI56" s="512"/>
    </row>
    <row r="57" spans="1:35" ht="15.75" thickBot="1">
      <c r="A57" s="512">
        <v>142</v>
      </c>
      <c r="B57" s="465">
        <f>INDEX(TestSummary!$A$1:$CF$296,'J1634 Calcs_old'!$A57,'J1634 Calcs_old'!B$5)</f>
        <v>62006015</v>
      </c>
      <c r="C57" s="465" t="str">
        <f>INDEX(TestSummary!$A$1:$CF$296,'J1634 Calcs_old'!$A57,'J1634 Calcs_old'!C$5)</f>
        <v>UDDS 1 , Combined</v>
      </c>
      <c r="D57" s="513" t="str">
        <f>INDEX(TestSummary!$A$1:$CF$296,'J1634 Calcs_old'!$A57,'J1634 Calcs_old'!D$5)</f>
        <v>J1634 MCT  first half with precondition in cold test cell, test started after @ 50 minutes precondion with HVAC ON-AUTO-72°F, Climate turned back on at 300 seconds</v>
      </c>
      <c r="E57" s="521">
        <f>INDEX(TestSummary!$A$1:$CF$296,'J1634 Calcs_old'!$A57,'J1634 Calcs_old'!E$5)</f>
        <v>0</v>
      </c>
      <c r="F57" s="521">
        <f>INDEX(TestSummary!$A$1:$CF$296,'J1634 Calcs_old'!$A57,'J1634 Calcs_old'!F$5)</f>
        <v>-5.7092794999999992</v>
      </c>
      <c r="G57" s="179">
        <f>INDEX(TestSummary!$A$1:$CF$296,'J1634 Calcs_old'!$A57,'J1634 Calcs_old'!G$5)</f>
        <v>298.10994621343252</v>
      </c>
      <c r="H57" s="179">
        <f>INDEX(TestSummary!$A$1:$CF$296,'J1634 Calcs_old'!$A57,'J1634 Calcs_old'!H$5)</f>
        <v>-2623</v>
      </c>
      <c r="I57" s="179">
        <f>INDEX(TestSummary!$A$1:$CF$296,'J1634 Calcs_old'!$A57,'J1634 Calcs_old'!I$5)</f>
        <v>-391</v>
      </c>
      <c r="J57" s="180">
        <f>INDEX(TestSummary!$A$1:$CF$296,'J1634 Calcs_old'!$A57,'J1634 Calcs_old'!J$5)</f>
        <v>95.7</v>
      </c>
      <c r="K57" s="181">
        <f>INDEX(TestSummary!$A$1:$CF$296,'J1634 Calcs_old'!$A57,'J1634 Calcs_old'!K$5)</f>
        <v>299.18228414945207</v>
      </c>
      <c r="L57" s="181">
        <f>INDEX(TestSummary!$A$1:$CF$296,'J1634 Calcs_old'!$A57,'J1634 Calcs_old'!L$5)</f>
        <v>-2623</v>
      </c>
      <c r="M57" s="512"/>
      <c r="N57" s="175" t="s">
        <v>294</v>
      </c>
      <c r="O57" s="549" t="s">
        <v>311</v>
      </c>
      <c r="P57" s="512" t="s">
        <v>312</v>
      </c>
      <c r="Q57" s="176" t="s">
        <v>295</v>
      </c>
      <c r="R57" s="177"/>
      <c r="S57" s="177"/>
      <c r="T57" s="177"/>
      <c r="U57" s="177"/>
      <c r="V57" s="177"/>
      <c r="W57" s="177"/>
      <c r="X57" s="177"/>
      <c r="Y57" s="177"/>
      <c r="Z57" s="178"/>
      <c r="AC57" s="512"/>
      <c r="AD57" s="512"/>
      <c r="AE57" s="512"/>
      <c r="AG57" s="512"/>
      <c r="AH57" s="512"/>
      <c r="AI57" s="512"/>
    </row>
    <row r="58" spans="1:35">
      <c r="A58" s="512">
        <v>143</v>
      </c>
      <c r="B58" s="465">
        <f>INDEX(TestSummary!$A$1:$CF$296,'J1634 Calcs_old'!$A58,'J1634 Calcs_old'!B$5)</f>
        <v>62006015</v>
      </c>
      <c r="C58" s="465" t="str">
        <f>INDEX(TestSummary!$A$1:$CF$296,'J1634 Calcs_old'!$A58,'J1634 Calcs_old'!C$5)</f>
        <v>HWY 1</v>
      </c>
      <c r="D58" s="513" t="str">
        <f>INDEX(TestSummary!$A$1:$CF$296,'J1634 Calcs_old'!$A58,'J1634 Calcs_old'!D$5)</f>
        <v>J1634 MCT  first half with precondition in cold test cell, test started after @ 50 minutes precondion with HVAC ON-AUTO-72°F, Climate turned back on at 300 seconds</v>
      </c>
      <c r="E58" s="521">
        <f>INDEX(TestSummary!$A$1:$CF$296,'J1634 Calcs_old'!$A58,'J1634 Calcs_old'!E$5)</f>
        <v>0</v>
      </c>
      <c r="F58" s="521">
        <f>INDEX(TestSummary!$A$1:$CF$296,'J1634 Calcs_old'!$A58,'J1634 Calcs_old'!F$5)</f>
        <v>-4.6861629999999996</v>
      </c>
      <c r="G58" s="179">
        <f>INDEX(TestSummary!$A$1:$CF$296,'J1634 Calcs_old'!$A58,'J1634 Calcs_old'!G$5)</f>
        <v>253.5955850198836</v>
      </c>
      <c r="H58" s="179">
        <f>INDEX(TestSummary!$A$1:$CF$296,'J1634 Calcs_old'!$A58,'J1634 Calcs_old'!H$5)</f>
        <v>-384</v>
      </c>
      <c r="I58" s="179">
        <f>INDEX(TestSummary!$A$1:$CF$296,'J1634 Calcs_old'!$A58,'J1634 Calcs_old'!I$5)</f>
        <v>2230</v>
      </c>
      <c r="J58" s="180">
        <f>INDEX(TestSummary!$A$1:$CF$296,'J1634 Calcs_old'!$A58,'J1634 Calcs_old'!J$5)</f>
        <v>92.7</v>
      </c>
      <c r="K58" s="181">
        <f>INDEX(TestSummary!$A$1:$CF$296,'J1634 Calcs_old'!$A58,'J1634 Calcs_old'!K$5)</f>
        <v>254.17901044554284</v>
      </c>
      <c r="L58" s="181">
        <f>INDEX(TestSummary!$A$1:$CF$296,'J1634 Calcs_old'!$A58,'J1634 Calcs_old'!L$5)</f>
        <v>-384</v>
      </c>
      <c r="M58" s="512"/>
      <c r="N58" s="182" t="s">
        <v>297</v>
      </c>
      <c r="O58" s="205">
        <f>O17+O61</f>
        <v>90791.5</v>
      </c>
      <c r="P58" s="205">
        <f>$O$24</f>
        <v>85754.6</v>
      </c>
      <c r="Q58" s="183" t="s">
        <v>16</v>
      </c>
      <c r="R58" s="184" t="s">
        <v>1</v>
      </c>
      <c r="S58" s="184" t="s">
        <v>420</v>
      </c>
      <c r="T58" s="185" t="s">
        <v>298</v>
      </c>
      <c r="U58" s="184" t="s">
        <v>299</v>
      </c>
      <c r="V58" s="185" t="s">
        <v>300</v>
      </c>
      <c r="W58" s="186" t="s">
        <v>301</v>
      </c>
      <c r="X58" s="187" t="s">
        <v>302</v>
      </c>
      <c r="Y58" s="186" t="s">
        <v>303</v>
      </c>
      <c r="Z58" s="188"/>
      <c r="AC58" s="512"/>
      <c r="AD58" s="512"/>
      <c r="AE58" s="512"/>
      <c r="AG58" s="512"/>
      <c r="AH58" s="512"/>
      <c r="AI58" s="512"/>
    </row>
    <row r="59" spans="1:35">
      <c r="A59" s="512">
        <v>146</v>
      </c>
      <c r="B59" s="465">
        <f>INDEX(TestSummary!$A$1:$CF$296,'J1634 Calcs_old'!$A59,'J1634 Calcs_old'!B$5)</f>
        <v>62006015</v>
      </c>
      <c r="C59" s="465" t="str">
        <f>INDEX(TestSummary!$A$1:$CF$296,'J1634 Calcs_old'!$A59,'J1634 Calcs_old'!C$5)</f>
        <v>UDDS 2, combined</v>
      </c>
      <c r="D59" s="513" t="str">
        <f>INDEX(TestSummary!$A$1:$CF$296,'J1634 Calcs_old'!$A59,'J1634 Calcs_old'!D$5)</f>
        <v>J1634 MCT  first half with precondition in cold test cell, test started after @ 50 minutes precondion with HVAC ON-AUTO-72°F, Climate turned back on at 300 seconds</v>
      </c>
      <c r="E59" s="521">
        <f>INDEX(TestSummary!$A$1:$CF$296,'J1634 Calcs_old'!$A59,'J1634 Calcs_old'!E$5)</f>
        <v>0</v>
      </c>
      <c r="F59" s="521">
        <f>INDEX(TestSummary!$A$1:$CF$296,'J1634 Calcs_old'!$A59,'J1634 Calcs_old'!F$5)</f>
        <v>-6.6290420000000001</v>
      </c>
      <c r="G59" s="179">
        <f>INDEX(TestSummary!$A$1:$CF$296,'J1634 Calcs_old'!$A59,'J1634 Calcs_old'!G$5)</f>
        <v>296.69309151463682</v>
      </c>
      <c r="H59" s="179">
        <f>INDEX(TestSummary!$A$1:$CF$296,'J1634 Calcs_old'!$A59,'J1634 Calcs_old'!H$5)</f>
        <v>2284</v>
      </c>
      <c r="I59" s="179">
        <f>INDEX(TestSummary!$A$1:$CF$296,'J1634 Calcs_old'!$A59,'J1634 Calcs_old'!I$5)</f>
        <v>4507</v>
      </c>
      <c r="J59" s="180">
        <f>INDEX(TestSummary!$A$1:$CF$296,'J1634 Calcs_old'!$A59,'J1634 Calcs_old'!J$5)</f>
        <v>90.1</v>
      </c>
      <c r="K59" s="181">
        <f>INDEX(TestSummary!$A$1:$CF$296,'J1634 Calcs_old'!$A59,'J1634 Calcs_old'!K$5)</f>
        <v>298.0337742598453</v>
      </c>
      <c r="L59" s="181">
        <f>INDEX(TestSummary!$A$1:$CF$296,'J1634 Calcs_old'!$A59,'J1634 Calcs_old'!L$5)</f>
        <v>2284</v>
      </c>
      <c r="M59" s="512"/>
      <c r="N59" s="190" t="s">
        <v>304</v>
      </c>
      <c r="O59" s="191">
        <f>TestSummary!W136</f>
        <v>74150</v>
      </c>
      <c r="P59" s="191">
        <f>$O$27</f>
        <v>76123</v>
      </c>
      <c r="Q59" s="183" t="s">
        <v>305</v>
      </c>
      <c r="R59" s="184" t="s">
        <v>58</v>
      </c>
      <c r="S59" s="184">
        <v>3</v>
      </c>
      <c r="T59" s="192"/>
      <c r="U59" s="192">
        <f>I57/O59</f>
        <v>-5.2730950775455162E-3</v>
      </c>
      <c r="V59" s="192">
        <f>(1-U59)/S59</f>
        <v>0.33509103169251514</v>
      </c>
      <c r="W59" s="193">
        <f>U59*K57+V59*K59*3</f>
        <v>298.02771805799989</v>
      </c>
      <c r="X59" s="193">
        <f>P59/W59</f>
        <v>255.42255094939028</v>
      </c>
      <c r="Y59" s="194">
        <f>W59/T62</f>
        <v>364.9141411202009</v>
      </c>
      <c r="Z59" s="188"/>
      <c r="AC59" s="512"/>
      <c r="AD59" s="512"/>
      <c r="AE59" s="512"/>
      <c r="AG59" s="512"/>
      <c r="AH59" s="512"/>
      <c r="AI59" s="512"/>
    </row>
    <row r="60" spans="1:35">
      <c r="A60" s="519">
        <v>149</v>
      </c>
      <c r="B60" s="465">
        <f>INDEX(TestSummary!$A$1:$CF$296,'J1634 Calcs_old'!$A60,'J1634 Calcs_old'!B$5)</f>
        <v>62006015</v>
      </c>
      <c r="C60" s="465" t="str">
        <f>INDEX(TestSummary!$A$1:$CF$296,'J1634 Calcs_old'!$A60,'J1634 Calcs_old'!C$5)</f>
        <v>US06 1, combined</v>
      </c>
      <c r="D60" s="513" t="str">
        <f>INDEX(TestSummary!$A$1:$CF$296,'J1634 Calcs_old'!$A60,'J1634 Calcs_old'!D$5)</f>
        <v>J1634 MCT  first half with precondition in cold test cell, test started after @ 50 minutes precondion with HVAC ON-AUTO-72°F, Climate turned back on at 300 seconds</v>
      </c>
      <c r="E60" s="521">
        <f>INDEX(TestSummary!$A$1:$CF$296,'J1634 Calcs_old'!$A60,'J1634 Calcs_old'!E$5)</f>
        <v>0</v>
      </c>
      <c r="F60" s="521">
        <f>INDEX(TestSummary!$A$1:$CF$296,'J1634 Calcs_old'!$A60,'J1634 Calcs_old'!F$5)</f>
        <v>-3.4090125000000002</v>
      </c>
      <c r="G60" s="179">
        <f>INDEX(TestSummary!$A$1:$CF$296,'J1634 Calcs_old'!$A60,'J1634 Calcs_old'!G$5)</f>
        <v>315.5139080067076</v>
      </c>
      <c r="H60" s="179">
        <f>INDEX(TestSummary!$A$1:$CF$296,'J1634 Calcs_old'!$A60,'J1634 Calcs_old'!H$5)</f>
        <v>4553</v>
      </c>
      <c r="I60" s="179">
        <f>INDEX(TestSummary!$A$1:$CF$296,'J1634 Calcs_old'!$A60,'J1634 Calcs_old'!I$5)</f>
        <v>6887</v>
      </c>
      <c r="J60" s="180">
        <f>INDEX(TestSummary!$A$1:$CF$296,'J1634 Calcs_old'!$A60,'J1634 Calcs_old'!J$5)</f>
        <v>87.3</v>
      </c>
      <c r="K60" s="181">
        <f>INDEX(TestSummary!$A$1:$CF$296,'J1634 Calcs_old'!$A60,'J1634 Calcs_old'!K$5)</f>
        <v>315.96771451860485</v>
      </c>
      <c r="L60" s="181">
        <f>INDEX(TestSummary!$A$1:$CF$296,'J1634 Calcs_old'!$A60,'J1634 Calcs_old'!L$5)</f>
        <v>4553</v>
      </c>
      <c r="M60" s="512"/>
      <c r="N60" s="512"/>
      <c r="O60" s="549"/>
      <c r="P60" s="512"/>
      <c r="Q60" s="183" t="s">
        <v>305</v>
      </c>
      <c r="R60" s="184" t="s">
        <v>56</v>
      </c>
      <c r="S60" s="184">
        <v>2</v>
      </c>
      <c r="T60" s="192">
        <f>1/S60</f>
        <v>0.5</v>
      </c>
      <c r="U60" s="192"/>
      <c r="V60" s="192"/>
      <c r="W60" s="193">
        <f>T60*K58*2</f>
        <v>254.17901044554284</v>
      </c>
      <c r="X60" s="193">
        <f>P59/W60</f>
        <v>299.48578313593345</v>
      </c>
      <c r="Y60" s="194">
        <f>W60/T62</f>
        <v>311.22445889233319</v>
      </c>
      <c r="Z60" s="188"/>
    </row>
    <row r="61" spans="1:35">
      <c r="A61" s="512"/>
      <c r="B61" s="472"/>
      <c r="C61" s="472"/>
      <c r="D61" s="20"/>
      <c r="E61" s="155"/>
      <c r="F61" s="155"/>
      <c r="G61" s="202"/>
      <c r="H61" s="202"/>
      <c r="I61" s="202"/>
      <c r="J61" s="203"/>
      <c r="K61" s="204"/>
      <c r="L61" s="204"/>
      <c r="M61" s="512"/>
      <c r="N61" s="512" t="s">
        <v>1302</v>
      </c>
      <c r="O61" s="549">
        <f>TestSummary!BL139</f>
        <v>6717.5</v>
      </c>
      <c r="P61" s="512"/>
      <c r="Q61" s="183" t="s">
        <v>305</v>
      </c>
      <c r="R61" s="184" t="s">
        <v>224</v>
      </c>
      <c r="S61" s="184">
        <v>2</v>
      </c>
      <c r="T61" s="192">
        <f>1/S61</f>
        <v>0.5</v>
      </c>
      <c r="U61" s="192"/>
      <c r="V61" s="192"/>
      <c r="W61" s="193">
        <f>T61*K60*2</f>
        <v>315.96771451860485</v>
      </c>
      <c r="X61" s="193">
        <f>P59/W61</f>
        <v>240.92018425356466</v>
      </c>
      <c r="Y61" s="194">
        <f>W61/T62</f>
        <v>386.88041473655989</v>
      </c>
      <c r="Z61" s="188"/>
    </row>
    <row r="62" spans="1:35" ht="15.75" thickBot="1">
      <c r="A62" s="512"/>
      <c r="B62" s="512"/>
      <c r="C62" s="512"/>
      <c r="D62" s="512"/>
      <c r="E62" s="512"/>
      <c r="F62" s="512"/>
      <c r="G62" s="512"/>
      <c r="H62" s="512"/>
      <c r="I62" s="512"/>
      <c r="J62" s="512"/>
      <c r="K62" s="512"/>
      <c r="L62" s="512"/>
      <c r="M62" s="512"/>
      <c r="N62" s="512"/>
      <c r="O62" s="549"/>
      <c r="P62" s="512"/>
      <c r="Q62" s="195" t="s">
        <v>305</v>
      </c>
      <c r="R62" s="196" t="s">
        <v>308</v>
      </c>
      <c r="S62" s="196"/>
      <c r="T62" s="376">
        <f>O59/O58</f>
        <v>0.81670640974099995</v>
      </c>
      <c r="U62" s="197"/>
      <c r="V62" s="197"/>
      <c r="W62" s="198" t="s">
        <v>293</v>
      </c>
      <c r="X62" s="198" t="s">
        <v>309</v>
      </c>
      <c r="Y62" s="199" t="s">
        <v>307</v>
      </c>
      <c r="Z62" s="200"/>
    </row>
    <row r="63" spans="1:35" ht="16.5" thickBot="1">
      <c r="A63" s="512"/>
      <c r="B63" s="119" t="s">
        <v>1261</v>
      </c>
      <c r="C63" s="174"/>
      <c r="D63" s="174"/>
      <c r="E63" s="158"/>
      <c r="F63" s="158"/>
      <c r="G63" s="174"/>
      <c r="H63" s="174"/>
      <c r="I63" s="174"/>
      <c r="J63" s="174"/>
      <c r="K63" s="174"/>
      <c r="L63" s="174"/>
      <c r="M63" s="512"/>
      <c r="N63" s="512"/>
      <c r="O63" s="549"/>
      <c r="P63" s="512"/>
      <c r="Q63" s="512"/>
      <c r="R63" s="512"/>
      <c r="S63" s="512"/>
      <c r="T63" s="512"/>
      <c r="U63" s="512"/>
      <c r="V63" s="512"/>
      <c r="W63" s="512"/>
      <c r="X63" s="512"/>
      <c r="Y63" s="512"/>
      <c r="Z63" s="512"/>
    </row>
    <row r="64" spans="1:35" ht="15.75" thickBot="1">
      <c r="A64" s="512">
        <v>91</v>
      </c>
      <c r="B64" s="465">
        <f>INDEX(TestSummary!$A$1:$CF$296,'J1634 Calcs_old'!$A64,'J1634 Calcs_old'!B$5)</f>
        <v>62006005</v>
      </c>
      <c r="C64" s="465" t="str">
        <f>INDEX(TestSummary!$A$1:$CF$296,'J1634 Calcs_old'!$A64,'J1634 Calcs_old'!C$5)</f>
        <v>UDDS 1 , Combined</v>
      </c>
      <c r="D64" s="513" t="str">
        <f>INDEX(TestSummary!$A$1:$CF$296,'J1634 Calcs_old'!$A64,'J1634 Calcs_old'!D$5)</f>
        <v>J1634 MCT in hot test cell (95°F), NO Solar, HVAC-AUTO-72°F</v>
      </c>
      <c r="E64" s="521">
        <f>INDEX(TestSummary!$A$1:$CF$296,'J1634 Calcs_old'!$A64,'J1634 Calcs_old'!E$5)</f>
        <v>0</v>
      </c>
      <c r="F64" s="521">
        <f>INDEX(TestSummary!$A$1:$CF$296,'J1634 Calcs_old'!$A64,'J1634 Calcs_old'!F$5)</f>
        <v>35.045067500000002</v>
      </c>
      <c r="G64" s="179">
        <f>INDEX(TestSummary!$A$1:$CF$296,'J1634 Calcs_old'!$A64,'J1634 Calcs_old'!G$5)</f>
        <v>220.08670870744461</v>
      </c>
      <c r="H64" s="179">
        <f>INDEX(TestSummary!$A$1:$CF$296,'J1634 Calcs_old'!$A64,'J1634 Calcs_old'!H$5)</f>
        <v>26</v>
      </c>
      <c r="I64" s="179">
        <f>INDEX(TestSummary!$A$1:$CF$296,'J1634 Calcs_old'!$A64,'J1634 Calcs_old'!I$5)</f>
        <v>1674</v>
      </c>
      <c r="J64" s="180">
        <f>INDEX(TestSummary!$A$1:$CF$296,'J1634 Calcs_old'!$A64,'J1634 Calcs_old'!J$5)</f>
        <v>97.6</v>
      </c>
      <c r="K64" s="181">
        <f>INDEX(TestSummary!$A$1:$CF$296,'J1634 Calcs_old'!$A64,'J1634 Calcs_old'!K$5)</f>
        <v>220.88241993321552</v>
      </c>
      <c r="L64" s="181">
        <f>INDEX(TestSummary!$A$1:$CF$296,'J1634 Calcs_old'!$A64,'J1634 Calcs_old'!L$5)</f>
        <v>26</v>
      </c>
      <c r="M64" s="512"/>
      <c r="N64" s="175" t="s">
        <v>294</v>
      </c>
      <c r="O64" s="549" t="s">
        <v>311</v>
      </c>
      <c r="P64" s="512" t="s">
        <v>312</v>
      </c>
      <c r="Q64" s="176" t="s">
        <v>295</v>
      </c>
      <c r="R64" s="177"/>
      <c r="S64" s="177"/>
      <c r="T64" s="177"/>
      <c r="U64" s="177"/>
      <c r="V64" s="177"/>
      <c r="W64" s="177"/>
      <c r="X64" s="177"/>
      <c r="Y64" s="177"/>
      <c r="Z64" s="178"/>
    </row>
    <row r="65" spans="1:26">
      <c r="A65" s="512">
        <v>92</v>
      </c>
      <c r="B65" s="465">
        <f>INDEX(TestSummary!$A$1:$CF$296,'J1634 Calcs_old'!$A65,'J1634 Calcs_old'!B$5)</f>
        <v>62006005</v>
      </c>
      <c r="C65" s="465" t="str">
        <f>INDEX(TestSummary!$A$1:$CF$296,'J1634 Calcs_old'!$A65,'J1634 Calcs_old'!C$5)</f>
        <v>HWY 1</v>
      </c>
      <c r="D65" s="513" t="str">
        <f>INDEX(TestSummary!$A$1:$CF$296,'J1634 Calcs_old'!$A65,'J1634 Calcs_old'!D$5)</f>
        <v>J1634 MCT in hot test cell (95°F), NO Solar, HVAC-AUTO-72°F</v>
      </c>
      <c r="E65" s="521">
        <f>INDEX(TestSummary!$A$1:$CF$296,'J1634 Calcs_old'!$A65,'J1634 Calcs_old'!E$5)</f>
        <v>0</v>
      </c>
      <c r="F65" s="521">
        <f>INDEX(TestSummary!$A$1:$CF$296,'J1634 Calcs_old'!$A65,'J1634 Calcs_old'!F$5)</f>
        <v>37.486905</v>
      </c>
      <c r="G65" s="179">
        <f>INDEX(TestSummary!$A$1:$CF$296,'J1634 Calcs_old'!$A65,'J1634 Calcs_old'!G$5)</f>
        <v>187.27883066559775</v>
      </c>
      <c r="H65" s="179">
        <f>INDEX(TestSummary!$A$1:$CF$296,'J1634 Calcs_old'!$A65,'J1634 Calcs_old'!H$5)</f>
        <v>1679</v>
      </c>
      <c r="I65" s="179">
        <f>INDEX(TestSummary!$A$1:$CF$296,'J1634 Calcs_old'!$A65,'J1634 Calcs_old'!I$5)</f>
        <v>3606</v>
      </c>
      <c r="J65" s="180">
        <f>INDEX(TestSummary!$A$1:$CF$296,'J1634 Calcs_old'!$A65,'J1634 Calcs_old'!J$5)</f>
        <v>95.4</v>
      </c>
      <c r="K65" s="181">
        <f>INDEX(TestSummary!$A$1:$CF$296,'J1634 Calcs_old'!$A65,'J1634 Calcs_old'!K$5)</f>
        <v>187.37606785701291</v>
      </c>
      <c r="L65" s="181">
        <f>INDEX(TestSummary!$A$1:$CF$296,'J1634 Calcs_old'!$A65,'J1634 Calcs_old'!L$5)</f>
        <v>1679</v>
      </c>
      <c r="M65" s="512"/>
      <c r="N65" s="182" t="s">
        <v>297</v>
      </c>
      <c r="O65" s="205">
        <f>O35</f>
        <v>86098.099999999991</v>
      </c>
      <c r="P65" s="205">
        <f>$O$24</f>
        <v>85754.6</v>
      </c>
      <c r="Q65" s="183" t="s">
        <v>16</v>
      </c>
      <c r="R65" s="184" t="s">
        <v>1</v>
      </c>
      <c r="S65" s="184" t="s">
        <v>420</v>
      </c>
      <c r="T65" s="185" t="s">
        <v>298</v>
      </c>
      <c r="U65" s="184" t="s">
        <v>299</v>
      </c>
      <c r="V65" s="185" t="s">
        <v>300</v>
      </c>
      <c r="W65" s="186" t="s">
        <v>301</v>
      </c>
      <c r="X65" s="187" t="s">
        <v>302</v>
      </c>
      <c r="Y65" s="186" t="s">
        <v>303</v>
      </c>
      <c r="Z65" s="188"/>
    </row>
    <row r="66" spans="1:26">
      <c r="A66" s="512">
        <v>95</v>
      </c>
      <c r="B66" s="465">
        <f>INDEX(TestSummary!$A$1:$CF$296,'J1634 Calcs_old'!$A66,'J1634 Calcs_old'!B$5)</f>
        <v>62006005</v>
      </c>
      <c r="C66" s="465" t="str">
        <f>INDEX(TestSummary!$A$1:$CF$296,'J1634 Calcs_old'!$A66,'J1634 Calcs_old'!C$5)</f>
        <v>UDDS 2, combined</v>
      </c>
      <c r="D66" s="513" t="str">
        <f>INDEX(TestSummary!$A$1:$CF$296,'J1634 Calcs_old'!$A66,'J1634 Calcs_old'!D$5)</f>
        <v>J1634 MCT in hot test cell (95°F), NO Solar, HVAC-AUTO-72°F</v>
      </c>
      <c r="E66" s="521">
        <f>INDEX(TestSummary!$A$1:$CF$296,'J1634 Calcs_old'!$A66,'J1634 Calcs_old'!E$5)</f>
        <v>0</v>
      </c>
      <c r="F66" s="521">
        <f>INDEX(TestSummary!$A$1:$CF$296,'J1634 Calcs_old'!$A66,'J1634 Calcs_old'!F$5)</f>
        <v>33.167870499999999</v>
      </c>
      <c r="G66" s="179">
        <f>INDEX(TestSummary!$A$1:$CF$296,'J1634 Calcs_old'!$A66,'J1634 Calcs_old'!G$5)</f>
        <v>202.83206270718966</v>
      </c>
      <c r="H66" s="179">
        <f>INDEX(TestSummary!$A$1:$CF$296,'J1634 Calcs_old'!$A66,'J1634 Calcs_old'!H$5)</f>
        <v>3636</v>
      </c>
      <c r="I66" s="179">
        <f>INDEX(TestSummary!$A$1:$CF$296,'J1634 Calcs_old'!$A66,'J1634 Calcs_old'!I$5)</f>
        <v>5153</v>
      </c>
      <c r="J66" s="180">
        <f>INDEX(TestSummary!$A$1:$CF$296,'J1634 Calcs_old'!$A66,'J1634 Calcs_old'!J$5)</f>
        <v>93.5</v>
      </c>
      <c r="K66" s="181">
        <f>INDEX(TestSummary!$A$1:$CF$296,'J1634 Calcs_old'!$A66,'J1634 Calcs_old'!K$5)</f>
        <v>203.35605563119788</v>
      </c>
      <c r="L66" s="181">
        <f>INDEX(TestSummary!$A$1:$CF$296,'J1634 Calcs_old'!$A66,'J1634 Calcs_old'!L$5)</f>
        <v>3636</v>
      </c>
      <c r="M66" s="512"/>
      <c r="N66" s="190" t="s">
        <v>304</v>
      </c>
      <c r="O66" s="191">
        <f>O36</f>
        <v>75998</v>
      </c>
      <c r="P66" s="191">
        <f>$O$27</f>
        <v>76123</v>
      </c>
      <c r="Q66" s="183" t="s">
        <v>305</v>
      </c>
      <c r="R66" s="184" t="s">
        <v>58</v>
      </c>
      <c r="S66" s="184">
        <v>3</v>
      </c>
      <c r="T66" s="192"/>
      <c r="U66" s="192">
        <f>I64/O66</f>
        <v>2.2026895444616962E-2</v>
      </c>
      <c r="V66" s="192">
        <f>(1-U66)/S66</f>
        <v>0.32599103485179431</v>
      </c>
      <c r="W66" s="193">
        <f>U66*K64+V66*K66*3</f>
        <v>203.74210702520267</v>
      </c>
      <c r="X66" s="193">
        <f>P66/W66</f>
        <v>373.62428960540626</v>
      </c>
      <c r="Y66" s="194">
        <f>W66/T69</f>
        <v>230.81934136249112</v>
      </c>
      <c r="Z66" s="188"/>
    </row>
    <row r="67" spans="1:26" ht="15.75" customHeight="1">
      <c r="A67" s="519">
        <v>98</v>
      </c>
      <c r="B67" s="465">
        <f>INDEX(TestSummary!$A$1:$CF$296,'J1634 Calcs_old'!$A67,'J1634 Calcs_old'!B$5)</f>
        <v>62006005</v>
      </c>
      <c r="C67" s="465" t="str">
        <f>INDEX(TestSummary!$A$1:$CF$296,'J1634 Calcs_old'!$A67,'J1634 Calcs_old'!C$5)</f>
        <v>US06 1, combined</v>
      </c>
      <c r="D67" s="513" t="str">
        <f>INDEX(TestSummary!$A$1:$CF$296,'J1634 Calcs_old'!$A67,'J1634 Calcs_old'!D$5)</f>
        <v>J1634 MCT in hot test cell (95°F), NO Solar, HVAC-AUTO-72°F</v>
      </c>
      <c r="E67" s="521">
        <f>INDEX(TestSummary!$A$1:$CF$296,'J1634 Calcs_old'!$A67,'J1634 Calcs_old'!E$5)</f>
        <v>0</v>
      </c>
      <c r="F67" s="521">
        <f>INDEX(TestSummary!$A$1:$CF$296,'J1634 Calcs_old'!$A67,'J1634 Calcs_old'!F$5)</f>
        <v>37.054412499999998</v>
      </c>
      <c r="G67" s="179">
        <f>INDEX(TestSummary!$A$1:$CF$296,'J1634 Calcs_old'!$A67,'J1634 Calcs_old'!G$5)</f>
        <v>256.30866318237582</v>
      </c>
      <c r="H67" s="179">
        <f>INDEX(TestSummary!$A$1:$CF$296,'J1634 Calcs_old'!$A67,'J1634 Calcs_old'!H$5)</f>
        <v>5189</v>
      </c>
      <c r="I67" s="179">
        <f>INDEX(TestSummary!$A$1:$CF$296,'J1634 Calcs_old'!$A67,'J1634 Calcs_old'!I$5)</f>
        <v>7014</v>
      </c>
      <c r="J67" s="180">
        <f>INDEX(TestSummary!$A$1:$CF$296,'J1634 Calcs_old'!$A67,'J1634 Calcs_old'!J$5)</f>
        <v>91.3</v>
      </c>
      <c r="K67" s="181">
        <f>INDEX(TestSummary!$A$1:$CF$296,'J1634 Calcs_old'!$A67,'J1634 Calcs_old'!K$5)</f>
        <v>256.5577483749729</v>
      </c>
      <c r="L67" s="181">
        <f>INDEX(TestSummary!$A$1:$CF$296,'J1634 Calcs_old'!$A67,'J1634 Calcs_old'!L$5)</f>
        <v>5189</v>
      </c>
      <c r="M67" s="512"/>
      <c r="N67" s="512"/>
      <c r="O67" s="549"/>
      <c r="P67" s="512"/>
      <c r="Q67" s="183" t="s">
        <v>305</v>
      </c>
      <c r="R67" s="184" t="s">
        <v>56</v>
      </c>
      <c r="S67" s="184">
        <v>2</v>
      </c>
      <c r="T67" s="192">
        <f>1/S67</f>
        <v>0.5</v>
      </c>
      <c r="U67" s="192"/>
      <c r="V67" s="192"/>
      <c r="W67" s="193">
        <f>T67*K65*2</f>
        <v>187.37606785701291</v>
      </c>
      <c r="X67" s="193">
        <f>P66/W67</f>
        <v>406.2578581704982</v>
      </c>
      <c r="Y67" s="194">
        <f>W67/T69</f>
        <v>212.27826295376039</v>
      </c>
      <c r="Z67" s="188"/>
    </row>
    <row r="68" spans="1:26">
      <c r="A68" s="512"/>
      <c r="B68" s="472"/>
      <c r="C68" s="472"/>
      <c r="D68" s="20"/>
      <c r="E68" s="155"/>
      <c r="F68" s="155"/>
      <c r="G68" s="202"/>
      <c r="H68" s="202"/>
      <c r="I68" s="202"/>
      <c r="J68" s="203"/>
      <c r="K68" s="204"/>
      <c r="L68" s="204"/>
      <c r="M68" s="512"/>
      <c r="N68" s="512"/>
      <c r="O68" s="549"/>
      <c r="P68" s="512"/>
      <c r="Q68" s="183" t="s">
        <v>305</v>
      </c>
      <c r="R68" s="184" t="s">
        <v>224</v>
      </c>
      <c r="S68" s="184">
        <v>2</v>
      </c>
      <c r="T68" s="192">
        <f>1/S68</f>
        <v>0.5</v>
      </c>
      <c r="U68" s="192"/>
      <c r="V68" s="192"/>
      <c r="W68" s="193">
        <f>T68*K67*2</f>
        <v>256.5577483749729</v>
      </c>
      <c r="X68" s="193">
        <f>P66/W68</f>
        <v>296.70902743012135</v>
      </c>
      <c r="Y68" s="194">
        <f>W68/T69</f>
        <v>290.65415767998172</v>
      </c>
      <c r="Z68" s="188"/>
    </row>
    <row r="69" spans="1:26" ht="15.75" thickBot="1">
      <c r="A69" s="512"/>
      <c r="B69" s="512"/>
      <c r="C69" s="512"/>
      <c r="D69" s="512"/>
      <c r="E69" s="512"/>
      <c r="F69" s="512"/>
      <c r="G69" s="512"/>
      <c r="H69" s="512"/>
      <c r="I69" s="512"/>
      <c r="J69" s="512"/>
      <c r="K69" s="512"/>
      <c r="L69" s="512"/>
      <c r="M69" s="512"/>
      <c r="N69" s="512"/>
      <c r="O69" s="549"/>
      <c r="P69" s="512"/>
      <c r="Q69" s="195" t="s">
        <v>305</v>
      </c>
      <c r="R69" s="196" t="s">
        <v>308</v>
      </c>
      <c r="S69" s="196"/>
      <c r="T69" s="376">
        <f>O66/O65</f>
        <v>0.88269079108598225</v>
      </c>
      <c r="U69" s="197"/>
      <c r="V69" s="197"/>
      <c r="W69" s="198" t="s">
        <v>293</v>
      </c>
      <c r="X69" s="198" t="s">
        <v>309</v>
      </c>
      <c r="Y69" s="199" t="s">
        <v>307</v>
      </c>
      <c r="Z69" s="200"/>
    </row>
  </sheetData>
  <mergeCells count="4">
    <mergeCell ref="AK32:AM32"/>
    <mergeCell ref="AO32:AQ32"/>
    <mergeCell ref="AS32:AU32"/>
    <mergeCell ref="AW32:AY32"/>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TestPlan</vt:lpstr>
      <vt:lpstr>TestInfoInstru</vt:lpstr>
      <vt:lpstr>TestSummary</vt:lpstr>
      <vt:lpstr>TestSummary_G2</vt:lpstr>
      <vt:lpstr>TestSummary_D3</vt:lpstr>
      <vt:lpstr>Channel Names</vt:lpstr>
      <vt:lpstr>ANL cert calcs</vt:lpstr>
      <vt:lpstr>J1634 Calcs_new</vt:lpstr>
      <vt:lpstr>AVTEReporting</vt:lpstr>
      <vt:lpstr>J1634ShortcutWorksheet</vt:lpstr>
      <vt:lpstr>Vehicle Distance</vt:lpstr>
      <vt:lpstr>Accessory Load</vt:lpstr>
      <vt:lpstr>Charge Summary</vt:lpstr>
      <vt:lpstr>J1634 Calcs_old</vt:lpstr>
      <vt:lpstr>'Accessory Load'!Print_Area</vt:lpstr>
      <vt:lpstr>TestPlan!Print_Area</vt:lpstr>
      <vt:lpstr>TestSummary_D3!Print_Area</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Michael Stutenberg</dc:creator>
  <cp:lastModifiedBy>Stutenberg, Kevin M.</cp:lastModifiedBy>
  <cp:lastPrinted>2020-05-21T15:44:07Z</cp:lastPrinted>
  <dcterms:created xsi:type="dcterms:W3CDTF">2011-08-29T21:53:01Z</dcterms:created>
  <dcterms:modified xsi:type="dcterms:W3CDTF">2021-11-15T22:12:50Z</dcterms:modified>
</cp:coreProperties>
</file>