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3.xml" ContentType="application/vnd.openxmlformats-officedocument.spreadsheetml.comments+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omments7.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comments2.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 Sintesi_Budget" sheetId="1" state="visible" r:id="rId2"/>
    <sheet name="2 - Budget_analitico_2022_2024" sheetId="2" state="visible" r:id="rId3"/>
    <sheet name="3 - BILANCIO_CEE_2022_2024" sheetId="3" state="visible" r:id="rId4"/>
    <sheet name="4 - CASH FLOW" sheetId="4" state="visible" r:id="rId5"/>
    <sheet name="5 - Ammortamenti" sheetId="5" state="visible" r:id="rId6"/>
    <sheet name="6 - Funzionigramma" sheetId="6" state="visible" r:id="rId7"/>
    <sheet name="7 - Costi_Generali_indivisibili" sheetId="7" state="visible" r:id="rId8"/>
    <sheet name="8 - Costo_Differenziale_Convenz" sheetId="8" state="visible" r:id="rId9"/>
  </sheets>
  <externalReferences>
    <externalReference r:id="rId10"/>
    <externalReference r:id="rId11"/>
  </externalReferences>
  <definedNames>
    <definedName function="false" hidden="false" localSheetId="0" name="_xlnm.Print_Area" vbProcedure="false">'1 - Sintesi_Budget'!$A$1:$R$55</definedName>
    <definedName function="false" hidden="false" localSheetId="1" name="_xlnm.Print_Area" vbProcedure="false">'2 - Budget_analitico_2022_2024'!$A$1:$Q$149</definedName>
    <definedName function="false" hidden="false" localSheetId="2" name="_xlnm.Print_Area" vbProcedure="false">'3 - BILANCIO_CEE_2022_2024'!$A$1:$L$142</definedName>
    <definedName function="false" hidden="false" localSheetId="3" name="_xlnm.Print_Area" vbProcedure="false">'4 - CASH FLOW'!$A$1:$R$77</definedName>
    <definedName function="false" hidden="false" localSheetId="4" name="_xlnm.Print_Area" vbProcedure="false">'5 - Ammortamenti'!$A$1:$V$19</definedName>
    <definedName function="false" hidden="false" localSheetId="5" name="_xlnm.Print_Area" vbProcedure="false">'6 - Funzionigramma'!$A$1:$AC$32</definedName>
    <definedName function="false" hidden="false" localSheetId="6" name="_xlnm.Print_Area" vbProcedure="false">'7 - Costi_Generali_indivisibili'!$A$1:$H$46</definedName>
    <definedName function="false" hidden="false" localSheetId="7" name="_xlnm.Print_Area" vbProcedure="false">'8 - Costo_Differenziale_Convenz'!$A$1:$G$26</definedName>
    <definedName function="false" hidden="false" name="Capitale" vbProcedure="false">[1]PRLEAS!$D$7-[1]PRLEAS!$D$8</definedName>
    <definedName function="false" hidden="false" name="Capitale_di_riferimento" vbProcedure="false">[1]PRLEAS!$D$19:$D$150</definedName>
    <definedName function="false" hidden="false" name="Interessi" vbProcedure="false">[1]PRLEAS!$E$19:$E$150</definedName>
    <definedName function="false" hidden="false" name="Pagamenti" vbProcedure="false">[1]PRLEAS!$D$13</definedName>
    <definedName function="false" hidden="false" name="Periodo" vbProcedure="false">[1]PRLEAS!$D$11</definedName>
    <definedName function="false" hidden="false" name="Tasso" vbProcedure="false">[1]PRLEAS!$D$9</definedName>
    <definedName function="false" hidden="false" localSheetId="1" name="_xlnm._FilterDatabase" vbProcedure="false">'2 - Budget_analitico_2022_2024'!$A$1:$I$45</definedName>
  </definedName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D48" authorId="0">
      <text>
        <r>
          <rPr>
            <sz val="8"/>
            <rFont val="Roboto"/>
            <family val="0"/>
            <charset val="1"/>
          </rPr>
          <t xml:space="preserve">Si ipotizza che sia indetraibile per il 96%</t>
        </r>
      </text>
    </comment>
  </commentList>
</comments>
</file>

<file path=xl/comments2.xml><?xml version="1.0" encoding="utf-8"?>
<comments xmlns="http://schemas.openxmlformats.org/spreadsheetml/2006/main" xmlns:xdr="http://schemas.openxmlformats.org/drawingml/2006/spreadsheetDrawing">
  <authors>
    <author> </author>
  </authors>
  <commentList>
    <comment ref="C107" authorId="0">
      <text>
        <r>
          <rPr>
            <sz val="8"/>
            <color rgb="FF000000"/>
            <rFont val="Roboto"/>
            <family val="0"/>
            <charset val="1"/>
          </rPr>
          <t xml:space="preserve">Stimo una crescita annua del 25% su tutte le voci del servizio</t>
        </r>
      </text>
    </comment>
    <comment ref="C117" authorId="0">
      <text>
        <r>
          <rPr>
            <sz val="8"/>
            <color rgb="FF000000"/>
            <rFont val="Roboto"/>
            <family val="0"/>
            <charset val="1"/>
          </rPr>
          <t xml:space="preserve">Stimo una crescita del 50% annuo su tutte le voci del servizio</t>
        </r>
      </text>
    </comment>
    <comment ref="C121" authorId="0">
      <text>
        <r>
          <rPr>
            <sz val="8"/>
            <color rgb="FF000000"/>
            <rFont val="Roboto"/>
            <family val="0"/>
            <charset val="1"/>
          </rPr>
          <t xml:space="preserve">Stimo crestita annua del servizio del  10% su tutte le voci di costo  e +30% sulle voci di ricavo</t>
        </r>
      </text>
    </comment>
    <comment ref="D4" authorId="0">
      <text>
        <r>
          <rPr>
            <sz val="8"/>
            <rFont val="Roboto"/>
            <family val="0"/>
            <charset val="1"/>
          </rPr>
          <t xml:space="preserve">vd. funzionigramma: 0,55 fte (3 persone)</t>
        </r>
      </text>
    </comment>
    <comment ref="D5" authorId="0">
      <text>
        <r>
          <rPr>
            <sz val="8"/>
            <rFont val="Roboto"/>
            <family val="0"/>
            <charset val="1"/>
          </rPr>
          <t xml:space="preserve">CdA 3 membri; €30 cad x riunione: 20 riunioni/anno</t>
        </r>
      </text>
    </comment>
    <comment ref="D7" authorId="0">
      <text>
        <r>
          <rPr>
            <sz val="10"/>
            <rFont val="Arial"/>
            <family val="2"/>
            <charset val="1"/>
          </rPr>
          <t xml:space="preserve">Ipotesi bilancio da 2 mln </t>
        </r>
        <r>
          <rPr>
            <sz val="8"/>
            <rFont val="URW Gothic L"/>
            <family val="2"/>
            <charset val="1"/>
          </rPr>
          <t xml:space="preserve">€</t>
        </r>
      </text>
    </comment>
    <comment ref="D8" authorId="0">
      <text>
        <r>
          <rPr>
            <sz val="8"/>
            <rFont val="Roboto"/>
            <family val="0"/>
            <charset val="1"/>
          </rPr>
          <t xml:space="preserve">Redazione piano, formazione del personale, redazione DVR e duvri</t>
        </r>
      </text>
    </comment>
    <comment ref="D12" authorId="0">
      <text>
        <r>
          <rPr>
            <sz val="8"/>
            <rFont val="Roboto"/>
            <family val="0"/>
            <charset val="1"/>
          </rPr>
          <t xml:space="preserve">Su vari aspetti di compliance (anticorruzione, gdpr, ecc).  Importo complessivo €12.000</t>
        </r>
      </text>
    </comment>
    <comment ref="D13" authorId="0">
      <text>
        <r>
          <rPr>
            <sz val="8"/>
            <rFont val="Roboto"/>
            <family val="0"/>
            <charset val="1"/>
          </rPr>
          <t xml:space="preserve">vd. funzionigramma: 0,96 fte (5 persone)</t>
        </r>
      </text>
    </comment>
    <comment ref="D17" authorId="0">
      <text>
        <r>
          <rPr>
            <sz val="10"/>
            <rFont val="Arial"/>
            <family val="2"/>
            <charset val="1"/>
          </rPr>
          <t xml:space="preserve">Si ipotizza fido bancario per €400.000</t>
        </r>
      </text>
    </comment>
    <comment ref="D18" authorId="0">
      <text>
        <r>
          <rPr>
            <sz val="8"/>
            <rFont val="Roboto"/>
            <family val="0"/>
            <charset val="1"/>
          </rPr>
          <t xml:space="preserve">vd. funzionigramma: 0,55 fte (3 persone)</t>
        </r>
      </text>
    </comment>
    <comment ref="D19" authorId="0">
      <text>
        <r>
          <rPr>
            <sz val="8"/>
            <rFont val="Roboto"/>
            <family val="0"/>
            <charset val="1"/>
          </rPr>
          <t xml:space="preserve">Si ipotizzano 20 dipendentii; €25 x cedolino;+ 20% x forfait consulenze diritto del lavoro</t>
        </r>
      </text>
    </comment>
    <comment ref="D21" authorId="0">
      <text>
        <r>
          <rPr>
            <sz val="8"/>
            <rFont val="Roboto"/>
            <family val="0"/>
            <charset val="1"/>
          </rPr>
          <t xml:space="preserve">per redazione contratti di lavoro, bandi, impostazione contrattazione. Importo complessivo €10.000</t>
        </r>
      </text>
    </comment>
    <comment ref="D23" authorId="0">
      <text>
        <r>
          <rPr>
            <sz val="8"/>
            <rFont val="Roboto"/>
            <family val="0"/>
            <charset val="1"/>
          </rPr>
          <t xml:space="preserve">vd. funzionigramma: 0,25 fte (1 persona)</t>
        </r>
      </text>
    </comment>
    <comment ref="D24" authorId="0">
      <text>
        <r>
          <rPr>
            <sz val="8"/>
            <rFont val="Roboto"/>
            <family val="0"/>
            <charset val="1"/>
          </rPr>
          <t xml:space="preserve">vd. funzionigramma: 1,02 fte (4 persone)</t>
        </r>
      </text>
    </comment>
    <comment ref="D26" authorId="0">
      <text>
        <r>
          <rPr>
            <sz val="8"/>
            <rFont val="Roboto"/>
            <family val="0"/>
            <charset val="1"/>
          </rPr>
          <t xml:space="preserve">Il progetto parte solo se 70% costi coperti da sponsor. 10 nri/anno – tiratura: 20.000 x nro; formato: 4 ante A3. Ogni nro costa: €3000 </t>
        </r>
      </text>
    </comment>
    <comment ref="D35" authorId="0">
      <text>
        <r>
          <rPr>
            <sz val="8"/>
            <rFont val="Roboto"/>
            <family val="0"/>
            <charset val="1"/>
          </rPr>
          <t xml:space="preserve">CCIAA, AIB, RETE delle RETI,  FEDERCULTURE, ecc</t>
        </r>
      </text>
    </comment>
    <comment ref="D39" authorId="0">
      <text>
        <r>
          <rPr>
            <sz val="8"/>
            <rFont val="Roboto"/>
            <family val="0"/>
            <charset val="1"/>
          </rPr>
          <t xml:space="preserve">Stima su soluzioni virtuali (es: Lyber) su 10 utenze,  comprensive di contact-center</t>
        </r>
      </text>
    </comment>
    <comment ref="D44" authorId="0">
      <text>
        <r>
          <rPr>
            <sz val="8"/>
            <rFont val="Roboto"/>
            <family val="0"/>
            <charset val="1"/>
          </rPr>
          <t xml:space="preserve">Stima su importo 2019 riparametrati su 7 fte (personale servizi generali</t>
        </r>
      </text>
    </comment>
    <comment ref="D45" authorId="0">
      <text>
        <r>
          <rPr>
            <sz val="8"/>
            <rFont val="Roboto"/>
            <family val="0"/>
            <charset val="1"/>
          </rPr>
          <t xml:space="preserve">Si stima servizo mensa in convenzione: €4 a pasto in carico Ente. 200 pasti x anno, solo x dipendenti da 30H, dedicati a servizi di base (7 in tutto)</t>
        </r>
      </text>
    </comment>
    <comment ref="D47" authorId="0">
      <text>
        <r>
          <rPr>
            <sz val="8"/>
            <rFont val="Roboto"/>
            <family val="0"/>
            <charset val="1"/>
          </rPr>
          <t xml:space="preserve">vd. funzionigramma: 0,41 fte (3 persone)</t>
        </r>
      </text>
    </comment>
    <comment ref="D49" authorId="0">
      <text>
        <r>
          <rPr>
            <sz val="8"/>
            <rFont val="Roboto"/>
            <family val="0"/>
            <charset val="1"/>
          </rPr>
          <t xml:space="preserve">vd. funzionigramma: 0,66 fte (2 persone)</t>
        </r>
      </text>
    </comment>
    <comment ref="D50" authorId="0">
      <text>
        <r>
          <rPr>
            <sz val="8"/>
            <rFont val="Roboto"/>
            <family val="0"/>
            <charset val="1"/>
          </rPr>
          <t xml:space="preserve">Linee-dati, apparati e sicurezza informatica x tutte le biblioteche</t>
        </r>
      </text>
    </comment>
    <comment ref="D52" authorId="0">
      <text>
        <r>
          <rPr>
            <sz val="8"/>
            <rFont val="Roboto"/>
            <family val="0"/>
            <charset val="1"/>
          </rPr>
          <t xml:space="preserve">Calcolato sul totale degli accounti attivi nel 2020. Per costo unitario annuo di €63+iva</t>
        </r>
      </text>
    </comment>
    <comment ref="D55" authorId="0">
      <text>
        <r>
          <rPr>
            <sz val="8"/>
            <rFont val="Roboto"/>
            <family val="0"/>
            <charset val="1"/>
          </rPr>
          <t xml:space="preserve">Configurazione e mantenimento sw sistemistici (Nagios, Ansible, Antivirus, Security Parrot, Asset IT) e un forfait interventi/anno ad hoc</t>
        </r>
      </text>
    </comment>
    <comment ref="D56" authorId="0">
      <text>
        <r>
          <rPr>
            <sz val="8"/>
            <rFont val="Roboto"/>
            <family val="0"/>
            <charset val="1"/>
          </rPr>
          <t xml:space="preserve">Solo il primo anno: messa a punto architetture di rete e prima ingegnerizzazione configurazioni desktop. Importo complessivo €8.000</t>
        </r>
      </text>
    </comment>
    <comment ref="D57" authorId="0">
      <text>
        <r>
          <rPr>
            <sz val="8"/>
            <rFont val="Roboto"/>
            <family val="0"/>
            <charset val="1"/>
          </rPr>
          <t xml:space="preserve">X multifunzione con consumabili e assistenza onsite. Sia le A4 che le A3 (tot: 67 macchine)</t>
        </r>
      </text>
    </comment>
    <comment ref="D58" authorId="0">
      <text>
        <r>
          <rPr>
            <sz val="8"/>
            <rFont val="Roboto"/>
            <family val="0"/>
            <charset val="1"/>
          </rPr>
          <t xml:space="preserve">237 pezzi (euro 473 cad i.e.) con assistenza onsite 5 anni. Tot spesa 2022: €112.101</t>
        </r>
      </text>
    </comment>
    <comment ref="D59" authorId="0">
      <text>
        <r>
          <rPr>
            <sz val="8"/>
            <rFont val="Roboto"/>
            <family val="0"/>
            <charset val="1"/>
          </rPr>
          <t xml:space="preserve">Nro 9 stampanti B/N con assistenza onsite. Importo anno: 1139+iva. Acquisto ripetuto (stessi importi) anche negli anni successivi (fino a 2026)</t>
        </r>
      </text>
    </comment>
    <comment ref="D60" authorId="0">
      <text>
        <r>
          <rPr>
            <sz val="8"/>
            <rFont val="Roboto"/>
            <family val="0"/>
            <charset val="1"/>
          </rPr>
          <t xml:space="preserve">(3kit da 2 + 3 Kit da 4) ogni anno (da 2022 a 2026. Importo anno: 2383+iva</t>
        </r>
      </text>
    </comment>
    <comment ref="D61" authorId="0">
      <text>
        <r>
          <rPr>
            <sz val="8"/>
            <rFont val="Roboto"/>
            <family val="0"/>
            <charset val="1"/>
          </rPr>
          <t xml:space="preserve">quota anno barcode (23 pezzi nel 2022; acquisto ripetuto annualmente fino al 2026. Valore acquisto anno= 3850 + iva.</t>
        </r>
      </text>
    </comment>
    <comment ref="D62" authorId="0">
      <text>
        <r>
          <rPr>
            <sz val="8"/>
            <rFont val="Roboto"/>
            <family val="0"/>
            <charset val="1"/>
          </rPr>
          <t xml:space="preserve">35 switch tutti nel 2022. Valore acquisto 2022 = 3850 + iva.</t>
        </r>
      </text>
    </comment>
    <comment ref="D63" authorId="0">
      <text>
        <r>
          <rPr>
            <sz val="8"/>
            <rFont val="Roboto"/>
            <family val="0"/>
            <charset val="1"/>
          </rPr>
          <t xml:space="preserve">Nel 2022 hanno bisogno di ass. 50 pc (quelli del 2018); quelli più vecchi sono stati riacquistati e quelli più giovani sono ancora in assistenza venditore. Costo/anno assistenza unitario: 60 euro + iva</t>
        </r>
      </text>
    </comment>
    <comment ref="D65" authorId="0">
      <text>
        <r>
          <rPr>
            <sz val="8"/>
            <rFont val="Roboto"/>
            <family val="0"/>
            <charset val="1"/>
          </rPr>
          <t xml:space="preserve">vd. funzionigramma: 0,93 fte (3 persone)</t>
        </r>
      </text>
    </comment>
    <comment ref="D66" authorId="0">
      <text>
        <r>
          <rPr>
            <sz val="8"/>
            <rFont val="Roboto"/>
            <family val="0"/>
            <charset val="1"/>
          </rPr>
          <t xml:space="preserve">vd. funzionigramma: 0,18 fte (2 persone)</t>
        </r>
      </text>
    </comment>
    <comment ref="D68" authorId="0">
      <text>
        <r>
          <rPr>
            <sz val="8"/>
            <rFont val="Roboto"/>
            <family val="0"/>
            <charset val="1"/>
          </rPr>
          <t xml:space="preserve">Sostituzione casse e imballi. Sostituzione massiva nel 2023</t>
        </r>
      </text>
    </comment>
    <comment ref="D69" authorId="0">
      <text>
        <r>
          <rPr>
            <sz val="8"/>
            <rFont val="Roboto"/>
            <family val="0"/>
            <charset val="1"/>
          </rPr>
          <t xml:space="preserve">vd. funzionigramma: 0,50 fte (1 persona)</t>
        </r>
      </text>
    </comment>
    <comment ref="D70" authorId="0">
      <text>
        <r>
          <rPr>
            <sz val="8"/>
            <rFont val="Roboto"/>
            <family val="0"/>
            <charset val="1"/>
          </rPr>
          <t xml:space="preserve">Derivazione catalografica dal Centro di catalogazione Prov. BS</t>
        </r>
      </text>
    </comment>
    <comment ref="D71" authorId="0">
      <text>
        <r>
          <rPr>
            <sz val="8"/>
            <rFont val="Roboto"/>
            <family val="0"/>
            <charset val="1"/>
          </rPr>
          <t xml:space="preserve">Gestione coordinamento acquisti e gestione fatturazioni libri; gestione acquisti digitali e comunicazione del servizio. vd. funzionigramma: 0,40 fte (2 persone)</t>
        </r>
      </text>
    </comment>
    <comment ref="D72" authorId="0">
      <text>
        <r>
          <rPr>
            <sz val="8"/>
            <rFont val="Roboto"/>
            <family val="0"/>
            <charset val="1"/>
          </rPr>
          <t xml:space="preserve">L’uscita sarebbe pari alla quota annua ricevuta da comuni, dedicata a LIBRI € 383.981 (iva al 4% assolta dall’editore). I libri saranno asset della ASC. Per coef ammto vd foglio “Ammortamenti”</t>
        </r>
      </text>
    </comment>
    <comment ref="D75" authorId="0">
      <text>
        <r>
          <rPr>
            <sz val="8"/>
            <rFont val="Roboto"/>
            <family val="0"/>
            <charset val="1"/>
          </rPr>
          <t xml:space="preserve">70 stampanti. Ciclo di vita 5 anni Assistenza onsite compresa. Prezzo cad. € 250 (ie). Costo globale acquisto: € 17.500 (IE). Servono tutte nel 2022</t>
        </r>
      </text>
    </comment>
    <comment ref="D76" authorId="0">
      <text>
        <r>
          <rPr>
            <sz val="8"/>
            <rFont val="Roboto"/>
            <family val="0"/>
            <charset val="1"/>
          </rPr>
          <t xml:space="preserve">Etichette e ribbon x 1 anno</t>
        </r>
      </text>
    </comment>
    <comment ref="D77" authorId="0">
      <text>
        <r>
          <rPr>
            <sz val="8"/>
            <rFont val="Roboto"/>
            <family val="0"/>
            <charset val="1"/>
          </rPr>
          <t xml:space="preserve">vd. funzionigramma: 0,25 fte (1 persona)</t>
        </r>
      </text>
    </comment>
    <comment ref="D79" authorId="0">
      <text>
        <r>
          <rPr>
            <sz val="8"/>
            <rFont val="Roboto"/>
            <family val="0"/>
            <charset val="1"/>
          </rPr>
          <t xml:space="preserve">vd. funzionigramma: 0,20 fte (1 persona)</t>
        </r>
      </text>
    </comment>
    <comment ref="D81" authorId="0">
      <text>
        <r>
          <rPr>
            <sz val="8"/>
            <rFont val="Roboto"/>
            <family val="0"/>
            <charset val="1"/>
          </rPr>
          <t xml:space="preserve">vd. funzionigramma: 0,35 fte (3 persone)</t>
        </r>
      </text>
    </comment>
    <comment ref="D83" authorId="0">
      <text>
        <r>
          <rPr>
            <sz val="8"/>
            <rFont val="Roboto"/>
            <family val="0"/>
            <charset val="1"/>
          </rPr>
          <t xml:space="preserve">Ipotesi super prudenziale visto fase di avvio ente. In crescita negli anni seguenti</t>
        </r>
      </text>
    </comment>
    <comment ref="D84" authorId="0">
      <text>
        <r>
          <rPr>
            <sz val="8"/>
            <rFont val="Roboto"/>
            <family val="0"/>
            <charset val="1"/>
          </rPr>
          <t xml:space="preserve">vd file CUBI_2_B_Quote</t>
        </r>
      </text>
    </comment>
    <comment ref="D85" authorId="0">
      <text>
        <r>
          <rPr>
            <sz val="8"/>
            <rFont val="Roboto"/>
            <family val="0"/>
            <charset val="1"/>
          </rPr>
          <t xml:space="preserve">vd file CUBI_2_B_Quote</t>
        </r>
      </text>
    </comment>
    <comment ref="D86" authorId="0">
      <text>
        <r>
          <rPr>
            <sz val="8"/>
            <rFont val="Roboto"/>
            <family val="0"/>
            <charset val="1"/>
          </rPr>
          <t xml:space="preserve">vd file CUBI_2_B_Quote</t>
        </r>
      </text>
    </comment>
    <comment ref="D87" authorId="0">
      <text>
        <r>
          <rPr>
            <sz val="12"/>
            <rFont val="Arial"/>
            <family val="2"/>
            <charset val="1"/>
          </rPr>
          <t xml:space="preserve">Totale incassi da tariffe 40.000 anno di cui 2000 direttamente da privati (gli altri 38.000 mediati da incassi c/o comuni)
</t>
        </r>
      </text>
    </comment>
    <comment ref="D89" authorId="0">
      <text>
        <r>
          <rPr>
            <sz val="8"/>
            <rFont val="Roboto"/>
            <family val="0"/>
            <charset val="1"/>
          </rPr>
          <t xml:space="preserve">Copre acquisto ibri e digitale (ebook e banche-dati). vd file CUBI_2_B_Quote</t>
        </r>
      </text>
    </comment>
    <comment ref="D100" authorId="0">
      <text>
        <r>
          <rPr>
            <sz val="8"/>
            <rFont val="Roboto"/>
            <family val="0"/>
            <charset val="1"/>
          </rPr>
          <t xml:space="preserve">vd. funzionigramma: 9,83 fte (17 persone)</t>
        </r>
      </text>
    </comment>
    <comment ref="D103" authorId="0">
      <text>
        <r>
          <rPr>
            <sz val="8"/>
            <rFont val="Roboto"/>
            <family val="0"/>
            <charset val="1"/>
          </rPr>
          <t xml:space="preserve">Acquisto attrezzature per tecnologia rfid e assistenza remota utente. Spesa complessiva: €180.200 (IE). Coeff. Ammto: 20% </t>
        </r>
      </text>
    </comment>
    <comment ref="D104" authorId="0">
      <text>
        <r>
          <rPr>
            <sz val="8"/>
            <rFont val="Roboto"/>
            <family val="0"/>
            <charset val="1"/>
          </rPr>
          <t xml:space="preserve">Prestazioni propedeutiche all’automazione smart-library (scarto libri, posa chip su libri buoni). Costo complessivo: €161990,74 . Coefficiente ammto: 20%</t>
        </r>
      </text>
    </comment>
    <comment ref="D134" authorId="0">
      <text>
        <r>
          <rPr>
            <sz val="8"/>
            <rFont val="Roboto"/>
            <family val="0"/>
            <charset val="1"/>
          </rPr>
          <t xml:space="preserve">ipotizzo che sia indetraibile per il 96%</t>
        </r>
      </text>
    </comment>
  </commentList>
</comments>
</file>

<file path=xl/comments3.xml><?xml version="1.0" encoding="utf-8"?>
<comments xmlns="http://schemas.openxmlformats.org/spreadsheetml/2006/main" xmlns:xdr="http://schemas.openxmlformats.org/drawingml/2006/spreadsheetDrawing">
  <authors>
    <author> </author>
  </authors>
  <commentList>
    <comment ref="A6" authorId="0">
      <text>
        <r>
          <rPr>
            <sz val="8"/>
            <rFont val="Arial"/>
            <family val="2"/>
            <charset val="1"/>
          </rPr>
          <t xml:space="preserve">Si ipotizza che tutti i soci abbiano versato le quote del fondo di dotazione</t>
        </r>
      </text>
    </comment>
    <comment ref="A29" authorId="0">
      <text>
        <r>
          <rPr>
            <sz val="8"/>
            <rFont val="Arial"/>
            <family val="2"/>
            <charset val="1"/>
          </rPr>
          <t xml:space="preserve">Incasso a 60gg</t>
        </r>
      </text>
    </comment>
  </commentList>
</comments>
</file>

<file path=xl/comments7.xml><?xml version="1.0" encoding="utf-8"?>
<comments xmlns="http://schemas.openxmlformats.org/spreadsheetml/2006/main" xmlns:xdr="http://schemas.openxmlformats.org/drawingml/2006/spreadsheetDrawing">
  <authors>
    <author> </author>
  </authors>
  <commentList>
    <comment ref="D17" authorId="0">
      <text>
        <r>
          <rPr>
            <sz val="8"/>
            <rFont val="Roboto"/>
            <family val="0"/>
            <charset val="1"/>
          </rPr>
          <t xml:space="preserve">Si ipotizzano 20 dipendentii; €25 x cedolino;+ 20% x forfait consulenze diritto del lavoro</t>
        </r>
      </text>
    </comment>
    <comment ref="D19" authorId="0">
      <text>
        <r>
          <rPr>
            <sz val="8"/>
            <rFont val="Roboto"/>
            <family val="0"/>
            <charset val="1"/>
          </rPr>
          <t xml:space="preserve">per redazione contratti di lavoro, bandi, impostazione contrattazione. Importo complessivo €10.000</t>
        </r>
      </text>
    </comment>
    <comment ref="D28" authorId="0">
      <text>
        <r>
          <rPr>
            <sz val="8"/>
            <rFont val="Roboto"/>
            <family val="0"/>
            <charset val="1"/>
          </rPr>
          <t xml:space="preserve">CCIAA, AIB, RETE delle RETI,  FEDERCULTURE, ecc</t>
        </r>
      </text>
    </comment>
    <comment ref="D32" authorId="0">
      <text>
        <r>
          <rPr>
            <sz val="8"/>
            <rFont val="Roboto"/>
            <family val="0"/>
            <charset val="1"/>
          </rPr>
          <t xml:space="preserve">Stima su soluzioni virtuali (es: Lyber) su 10 utenze,  comprensive di contact-center</t>
        </r>
      </text>
    </comment>
  </commentList>
</comments>
</file>

<file path=xl/comments8.xml><?xml version="1.0" encoding="utf-8"?>
<comments xmlns="http://schemas.openxmlformats.org/spreadsheetml/2006/main" xmlns:xdr="http://schemas.openxmlformats.org/drawingml/2006/spreadsheetDrawing">
  <authors>
    <author> </author>
  </authors>
  <commentList>
    <comment ref="D20" authorId="0">
      <text>
        <r>
          <rPr>
            <sz val="8"/>
            <rFont val="Roboto"/>
            <family val="0"/>
            <charset val="1"/>
          </rPr>
          <t xml:space="preserve">Si ipotizzano 20 dipendentii; €25 x cedolino;+ 20% x forfait consulenze diritto del lavoro</t>
        </r>
      </text>
    </comment>
    <comment ref="D22" authorId="0">
      <text>
        <r>
          <rPr>
            <sz val="8"/>
            <rFont val="Roboto"/>
            <family val="0"/>
            <charset val="1"/>
          </rPr>
          <t xml:space="preserve">per redazione contratti di lavoro, bandi, impostazione contrattazione. Importo complessivo €10.000</t>
        </r>
      </text>
    </comment>
  </commentList>
</comments>
</file>

<file path=xl/sharedStrings.xml><?xml version="1.0" encoding="utf-8"?>
<sst xmlns="http://schemas.openxmlformats.org/spreadsheetml/2006/main" count="984" uniqueCount="481">
  <si>
    <t xml:space="preserve">CUBI_2 – Sintesi budget 2022/2024 per aggregati di centri di costo/ricavo</t>
  </si>
  <si>
    <t xml:space="preserve">%  sui Costi</t>
  </si>
  <si>
    <t xml:space="preserve">%  sui Ricavi</t>
  </si>
  <si>
    <t xml:space="preserve">TIPO SERVIZIO</t>
  </si>
  <si>
    <t xml:space="preserve">MACRO SERVIZIO  </t>
  </si>
  <si>
    <t xml:space="preserve">Costo / Ricavo</t>
  </si>
  <si>
    <t xml:space="preserve">Centro di Costo/Ricavo</t>
  </si>
  <si>
    <t xml:space="preserve">EURO (I.E.)</t>
  </si>
  <si>
    <t xml:space="preserve">DELEGATI</t>
  </si>
  <si>
    <t xml:space="preserve">Servizi generali</t>
  </si>
  <si>
    <t xml:space="preserve">C </t>
  </si>
  <si>
    <t xml:space="preserve">AFFARI GENERALI E FUNZIONAMENTO ORGANI</t>
  </si>
  <si>
    <t xml:space="preserve">AFFARI  FINANZIARI, AMM.NE E CONTROLLO</t>
  </si>
  <si>
    <t xml:space="preserve">GESTIONE RISORSE UMANE</t>
  </si>
  <si>
    <t xml:space="preserve">FUND-RISING</t>
  </si>
  <si>
    <t xml:space="preserve">COMUNICAZIONE E MARKETING</t>
  </si>
  <si>
    <t xml:space="preserve">SEDE</t>
  </si>
  <si>
    <t xml:space="preserve">ALTRE GENERALI di ENTE</t>
  </si>
  <si>
    <t xml:space="preserve">Servizi di base</t>
  </si>
  <si>
    <t xml:space="preserve">COORD. BIBLIOTECONOMICO</t>
  </si>
  <si>
    <t xml:space="preserve">GESTIONE RISORSE IT</t>
  </si>
  <si>
    <t xml:space="preserve">HELP-DESK</t>
  </si>
  <si>
    <t xml:space="preserve">LOGISTICA (pib)</t>
  </si>
  <si>
    <t xml:space="preserve">CATALOGAZIONE</t>
  </si>
  <si>
    <t xml:space="preserve">ACQUISTO CONTENUTI (libri e digitale)</t>
  </si>
  <si>
    <t xml:space="preserve">PROMOZIONE LETTURA e EVENTI</t>
  </si>
  <si>
    <t xml:space="preserve">FORMAZIONE</t>
  </si>
  <si>
    <t xml:space="preserve">SERVIZI INNOVATIVI</t>
  </si>
  <si>
    <t xml:space="preserve">R</t>
  </si>
  <si>
    <t xml:space="preserve">CONTRIBUTO COMUNI QUOTA ABITANTI</t>
  </si>
  <si>
    <t xml:space="preserve">CONTRIBUTO COMUNI QUOTA SERVIZI IT</t>
  </si>
  <si>
    <t xml:space="preserve">CONTRIBUTO COMUNI QUOTA SEDE</t>
  </si>
  <si>
    <t xml:space="preserve">CONTRIBUTO COMUNI QUOTA CONTENUTI (libri + digitale)</t>
  </si>
  <si>
    <t xml:space="preserve">TARIFFE RITARDO PRESTITI (trasferite da Comuni)</t>
  </si>
  <si>
    <t xml:space="preserve">TARIFFE RITARDO PRESTITI (incasso diretto da Privati)</t>
  </si>
  <si>
    <t xml:space="preserve">ENTRATE DA TERZI x FUND-RISING</t>
  </si>
  <si>
    <t xml:space="preserve">CONTRIBUTO REGIONALE</t>
  </si>
  <si>
    <t xml:space="preserve">CONTRIBUTO MIBAC</t>
  </si>
  <si>
    <t xml:space="preserve">SPONSORIZZAZIONI X TABLOID EVENTI</t>
  </si>
  <si>
    <t xml:space="preserve">CONTRIBUTO A COSTI GENERALI DA  “GESTIONI DIRETTE”</t>
  </si>
  <si>
    <t xml:space="preserve">CONTRIBUTO A COSTI GENERALI DA  “SMART-LIBRARY”</t>
  </si>
  <si>
    <t xml:space="preserve">CONTRIBUTO A COSTI GENERALI DA  “ESTENSIONE d’ORARIO”</t>
  </si>
  <si>
    <t xml:space="preserve">CONTRIBUTO A COSTI GENERALI DA  “COSEdaFARE”</t>
  </si>
  <si>
    <t xml:space="preserve">ECONOMICI</t>
  </si>
  <si>
    <t xml:space="preserve">Servizi a domanda</t>
  </si>
  <si>
    <t xml:space="preserve">GEST. DIRETTA BIBLIOTECHE + SMART-LIBRARY (17 sedi)</t>
  </si>
  <si>
    <t xml:space="preserve">SMART-LIBRARY (per 6 sedi NON in gestione diretta)</t>
  </si>
  <si>
    <t xml:space="preserve">ESTENSIONE APERTURE BIBLIOTECHE (24 sedi)</t>
  </si>
  <si>
    <t xml:space="preserve">COSEdaFARE (data-entry) (1.000 record)</t>
  </si>
  <si>
    <t xml:space="preserve">CORSI FORMAZIONE UTENTI</t>
  </si>
  <si>
    <t xml:space="preserve">RATEI INVESTIMENTO x SMART-LIBRARY (SL) (17 biblioteche)</t>
  </si>
  <si>
    <t xml:space="preserve">CANONI GESTIONE DIRETTA (17 biblioteche – incluso SL) </t>
  </si>
  <si>
    <t xml:space="preserve">CANONI X SERVIZIO SMART-LIBRARY (altre 6 biblioteche)</t>
  </si>
  <si>
    <t xml:space="preserve">CANONI SERVIZIO ESTENSIONI D’ORARIO  (24 biblioteche) </t>
  </si>
  <si>
    <t xml:space="preserve">CANONI COSE DA FARE (1.000 data-entry)</t>
  </si>
  <si>
    <t xml:space="preserve">INCASSI DA VENDITA CORSI AI CITTADINI</t>
  </si>
  <si>
    <t xml:space="preserve">TASSE e IMPOSTE</t>
  </si>
  <si>
    <t xml:space="preserve">Entrambi (DEL + ECO)</t>
  </si>
  <si>
    <t xml:space="preserve">IRES e IRAP</t>
  </si>
  <si>
    <t xml:space="preserve">IVA – pro-rata</t>
  </si>
  <si>
    <t xml:space="preserve">IVA – cespiti - pro-rata</t>
  </si>
  <si>
    <t xml:space="preserve">RICAVI CREDITO IMPOSTA</t>
  </si>
  <si>
    <t xml:space="preserve">S I N T E S I </t>
  </si>
  <si>
    <t xml:space="preserve">RICAVI</t>
  </si>
  <si>
    <t xml:space="preserve">COSTI</t>
  </si>
  <si>
    <t xml:space="preserve">UTILE PRE-IMPOSTE</t>
  </si>
  <si>
    <t xml:space="preserve">UTILE NETTO</t>
  </si>
  <si>
    <t xml:space="preserve">% spesa di personale sul totale della SPESA</t>
  </si>
  <si>
    <t xml:space="preserve">% spesa per interessi passivi sul totale della SPESA </t>
  </si>
  <si>
    <t xml:space="preserve">% ratei pluriennali ammortamenti sul totale della SPESA:</t>
  </si>
  <si>
    <t xml:space="preserve">CUBI_2 – Budget analitico 2022 / 2024</t>
  </si>
  <si>
    <t xml:space="preserve">2 0 2 2</t>
  </si>
  <si>
    <t xml:space="preserve">2 0 2 3</t>
  </si>
  <si>
    <t xml:space="preserve">2 0 2 4</t>
  </si>
  <si>
    <t xml:space="preserve">TIPO</t>
  </si>
  <si>
    <t xml:space="preserve">MACRO</t>
  </si>
  <si>
    <t xml:space="preserve">Centro di Analisi  (CdA)</t>
  </si>
  <si>
    <t xml:space="preserve">Voci di analisi (VDA)</t>
  </si>
  <si>
    <t xml:space="preserve">Costi–Ricavi</t>
  </si>
  <si>
    <t xml:space="preserve">NETTO</t>
  </si>
  <si>
    <t xml:space="preserve">IVA</t>
  </si>
  <si>
    <t xml:space="preserve">LORDO  </t>
  </si>
  <si>
    <t xml:space="preserve">S E R V I Z I    D E L E G A T I</t>
  </si>
  <si>
    <t xml:space="preserve">Servizi istituzionali</t>
  </si>
  <si>
    <t xml:space="preserve">AFF. GENERALI E FUNZIONAMENTO ORGANI</t>
  </si>
  <si>
    <t xml:space="preserve">Stipendi (quota-parte)</t>
  </si>
  <si>
    <t xml:space="preserve">CdA – Compensi</t>
  </si>
  <si>
    <t xml:space="preserve">esente</t>
  </si>
  <si>
    <t xml:space="preserve">CdA – Rimborso spese</t>
  </si>
  <si>
    <t xml:space="preserve">Revisore conti – compenso</t>
  </si>
  <si>
    <t xml:space="preserve">Consulenza sicurezza sul lavoro – ordinaria</t>
  </si>
  <si>
    <t xml:space="preserve">Altre Consulenze (forfait annuo) – ordinarie</t>
  </si>
  <si>
    <t xml:space="preserve">Canone software protocollo, documentale, trasparenza</t>
  </si>
  <si>
    <t xml:space="preserve">Bolli, vidimazioni e spese contrattuali</t>
  </si>
  <si>
    <r>
      <rPr>
        <b val="true"/>
        <sz val="8"/>
        <color rgb="FF2A6099"/>
        <rFont val="Roboto"/>
        <family val="0"/>
        <charset val="1"/>
      </rPr>
      <t xml:space="preserve">Ammortamento </t>
    </r>
    <r>
      <rPr>
        <sz val="8"/>
        <rFont val="Roboto"/>
        <family val="0"/>
        <charset val="1"/>
      </rPr>
      <t xml:space="preserve">– Consulenze e formazione per start-up nuovo ente</t>
    </r>
  </si>
  <si>
    <t xml:space="preserve">AFF. FINANZIARI, AMM.NE e CONTROLLO</t>
  </si>
  <si>
    <t xml:space="preserve">Canone sw contabilità, controllo gest.</t>
  </si>
  <si>
    <t xml:space="preserve">Commercialista</t>
  </si>
  <si>
    <t xml:space="preserve">Costi gestione bancaria (no fidi)</t>
  </si>
  <si>
    <t xml:space="preserve">Interessi passivi fido</t>
  </si>
  <si>
    <t xml:space="preserve">C</t>
  </si>
  <si>
    <t xml:space="preserve">Servizio paghe e contributi + forfait di consulenza del lavoro</t>
  </si>
  <si>
    <t xml:space="preserve">Consulenza giuslavorista  ordinaria (forfait annuo)</t>
  </si>
  <si>
    <r>
      <rPr>
        <b val="true"/>
        <sz val="8"/>
        <color rgb="FF2A6099"/>
        <rFont val="Roboto"/>
        <family val="0"/>
        <charset val="1"/>
      </rPr>
      <t xml:space="preserve">Ammortamento -</t>
    </r>
    <r>
      <rPr>
        <sz val="8"/>
        <rFont val="Roboto"/>
        <family val="0"/>
        <charset val="1"/>
      </rPr>
      <t xml:space="preserve">Consulenza giuslavoristica per start-up  ente </t>
    </r>
  </si>
  <si>
    <t xml:space="preserve">Medico del lavoro (forfait annuo)</t>
  </si>
  <si>
    <t xml:space="preserve">Prestazioni di grafica e stampa</t>
  </si>
  <si>
    <t xml:space="preserve">Impaginazione/Stampa tabloid eventi</t>
  </si>
  <si>
    <t xml:space="preserve">Canoni software x uff comunicazione</t>
  </si>
  <si>
    <t xml:space="preserve">Affitto</t>
  </si>
  <si>
    <t xml:space="preserve">Consumi energia e calore</t>
  </si>
  <si>
    <t xml:space="preserve">Pulizie</t>
  </si>
  <si>
    <t xml:space="preserve">Contact-center e telefonia fissa</t>
  </si>
  <si>
    <r>
      <rPr>
        <b val="true"/>
        <sz val="8"/>
        <color rgb="FF2A6099"/>
        <rFont val="Roboto"/>
        <family val="0"/>
        <charset val="1"/>
      </rPr>
      <t xml:space="preserve">Ammortamento </t>
    </r>
    <r>
      <rPr>
        <sz val="8"/>
        <color rgb="FF000000"/>
        <rFont val="Roboto"/>
        <family val="0"/>
        <charset val="1"/>
      </rPr>
      <t xml:space="preserve">-Arredi (</t>
    </r>
    <r>
      <rPr>
        <sz val="8"/>
        <rFont val="Roboto"/>
        <family val="0"/>
        <charset val="1"/>
      </rPr>
      <t xml:space="preserve">unatantum)</t>
    </r>
  </si>
  <si>
    <t xml:space="preserve">Piccole manutenzioni</t>
  </si>
  <si>
    <t xml:space="preserve">Beni di consumo vari servizi generali</t>
  </si>
  <si>
    <t xml:space="preserve">Quote adesione annuale a organismi, enti e associazioni</t>
  </si>
  <si>
    <t xml:space="preserve">Assicurazione RC ente + mezzo</t>
  </si>
  <si>
    <t xml:space="preserve">Automezzo (leasing)</t>
  </si>
  <si>
    <t xml:space="preserve">Automezzo (consumi)</t>
  </si>
  <si>
    <t xml:space="preserve">Telefonia mobile (consumi e devices)</t>
  </si>
  <si>
    <t xml:space="preserve">Attrezzature informatiche (x servizi generali) – canone nolo operativo</t>
  </si>
  <si>
    <t xml:space="preserve">Indennità di direzione</t>
  </si>
  <si>
    <t xml:space="preserve">Straordinari (personale servizi base)</t>
  </si>
  <si>
    <t xml:space="preserve">Trasferte e missioni (personale servizi base)</t>
  </si>
  <si>
    <t xml:space="preserve">Premi personale (personale servizi di base)</t>
  </si>
  <si>
    <t xml:space="preserve">Mensa o buoni pasto (personale servizi base)</t>
  </si>
  <si>
    <t xml:space="preserve">Gruppi di lavoro (prestazioni)</t>
  </si>
  <si>
    <t xml:space="preserve">Canoni linee-dati e security</t>
  </si>
  <si>
    <t xml:space="preserve">Canoni applicativo gest biblioteche</t>
  </si>
  <si>
    <t xml:space="preserve">Canoni account posta elettronica  e office-automation</t>
  </si>
  <si>
    <t xml:space="preserve">CoseDaFare – canoni e adesione al network</t>
  </si>
  <si>
    <t xml:space="preserve">MLOL – canoni e adesione al network</t>
  </si>
  <si>
    <t xml:space="preserve">Assistenza sistemistica e security</t>
  </si>
  <si>
    <r>
      <rPr>
        <b val="true"/>
        <sz val="8"/>
        <color rgb="FF2A6099"/>
        <rFont val="Roboto"/>
        <family val="0"/>
        <charset val="1"/>
      </rPr>
      <t xml:space="preserve">Ammortamento </t>
    </r>
    <r>
      <rPr>
        <sz val="8"/>
        <color rgb="FF000000"/>
        <rFont val="Roboto"/>
        <family val="0"/>
        <charset val="1"/>
      </rPr>
      <t xml:space="preserve">- </t>
    </r>
    <r>
      <rPr>
        <sz val="8"/>
        <rFont val="Roboto"/>
        <family val="0"/>
        <charset val="1"/>
      </rPr>
      <t xml:space="preserve">Supporto sistemistico x progettazione nuova  architettura servizi IT</t>
    </r>
  </si>
  <si>
    <t xml:space="preserve">Noleggio devices multifunzione per biblioteche</t>
  </si>
  <si>
    <r>
      <rPr>
        <b val="true"/>
        <sz val="8"/>
        <color rgb="FF2A6099"/>
        <rFont val="Roboto"/>
        <family val="0"/>
        <charset val="1"/>
      </rPr>
      <t xml:space="preserve">Ammortamento </t>
    </r>
    <r>
      <rPr>
        <sz val="8"/>
        <rFont val="Roboto"/>
        <family val="0"/>
        <charset val="1"/>
      </rPr>
      <t xml:space="preserve">-  pc+monitor (lotto_acquisti 2022) </t>
    </r>
  </si>
  <si>
    <r>
      <rPr>
        <sz val="8"/>
        <color rgb="FF000000"/>
        <rFont val="Roboto"/>
        <family val="0"/>
        <charset val="1"/>
      </rPr>
      <t xml:space="preserve">Aquisto </t>
    </r>
    <r>
      <rPr>
        <sz val="8"/>
        <rFont val="Roboto"/>
        <family val="0"/>
        <charset val="1"/>
      </rPr>
      <t xml:space="preserve">stampanti B/N</t>
    </r>
  </si>
  <si>
    <t xml:space="preserve">Toner stampanti B/N </t>
  </si>
  <si>
    <r>
      <rPr>
        <sz val="8"/>
        <color rgb="FF000000"/>
        <rFont val="Roboto"/>
        <family val="0"/>
        <charset val="1"/>
      </rPr>
      <t xml:space="preserve">Acquisto </t>
    </r>
    <r>
      <rPr>
        <sz val="8"/>
        <rFont val="Roboto"/>
        <family val="0"/>
        <charset val="1"/>
      </rPr>
      <t xml:space="preserve">barcode</t>
    </r>
  </si>
  <si>
    <r>
      <rPr>
        <b val="true"/>
        <sz val="8"/>
        <color rgb="FF2A6099"/>
        <rFont val="Roboto"/>
        <family val="0"/>
        <charset val="1"/>
      </rPr>
      <t xml:space="preserve">Ammortamento –</t>
    </r>
    <r>
      <rPr>
        <sz val="8"/>
        <rFont val="Roboto"/>
        <family val="0"/>
        <charset val="1"/>
      </rPr>
      <t xml:space="preserve"> </t>
    </r>
    <r>
      <rPr>
        <sz val="8"/>
        <color rgb="FF000000"/>
        <rFont val="Roboto"/>
        <family val="0"/>
        <charset val="1"/>
      </rPr>
      <t xml:space="preserve">Acquisto switch</t>
    </r>
  </si>
  <si>
    <t xml:space="preserve">Assistenza onsite pc usati acquisiti ancora in ciclo di vita</t>
  </si>
  <si>
    <t xml:space="preserve">Consumi per invio SMS ad utenti</t>
  </si>
  <si>
    <r>
      <rPr>
        <b val="true"/>
        <sz val="9"/>
        <rFont val="Roboto"/>
        <family val="0"/>
        <charset val="1"/>
      </rPr>
      <t xml:space="preserve">LOGISTICA </t>
    </r>
    <r>
      <rPr>
        <sz val="9"/>
        <rFont val="Roboto"/>
        <family val="0"/>
        <charset val="1"/>
      </rPr>
      <t xml:space="preserve">(pib)</t>
    </r>
  </si>
  <si>
    <t xml:space="preserve">Canone servizio pib</t>
  </si>
  <si>
    <t xml:space="preserve">Beni di consumo  </t>
  </si>
  <si>
    <t xml:space="preserve">Prestazioni derivazione catalografica</t>
  </si>
  <si>
    <t xml:space="preserve">ACQUISTO CONTENUTI</t>
  </si>
  <si>
    <t xml:space="preserve">Acquisto libri per biblioteche</t>
  </si>
  <si>
    <t xml:space="preserve">Acquisto banche-dati MLOL</t>
  </si>
  <si>
    <t xml:space="preserve">Acquisto ebook MLOL</t>
  </si>
  <si>
    <r>
      <rPr>
        <b val="true"/>
        <sz val="8"/>
        <color rgb="FF2A6099"/>
        <rFont val="Roboto"/>
        <family val="0"/>
        <charset val="1"/>
      </rPr>
      <t xml:space="preserve">Ammortamento</t>
    </r>
    <r>
      <rPr>
        <sz val="8"/>
        <rFont val="Roboto"/>
        <family val="0"/>
        <charset val="1"/>
      </rPr>
      <t xml:space="preserve">  - stampanti etichette</t>
    </r>
  </si>
  <si>
    <t xml:space="preserve">Consumabili etichette</t>
  </si>
  <si>
    <t xml:space="preserve">Prestazione di servizi</t>
  </si>
  <si>
    <t xml:space="preserve">FORMAZIONE OPERATORI</t>
  </si>
  <si>
    <t xml:space="preserve">Contributi</t>
  </si>
  <si>
    <t xml:space="preserve">CONTRIBUTI  PER SERVIZI DELEGATI</t>
  </si>
  <si>
    <t xml:space="preserve">Ricerca fondi (entrate da terzi)</t>
  </si>
  <si>
    <t xml:space="preserve">Contributo comuni quota abitanti</t>
  </si>
  <si>
    <t xml:space="preserve">Contributo comuni quota IT</t>
  </si>
  <si>
    <t xml:space="preserve">Contributo comuni quota SEDE</t>
  </si>
  <si>
    <t xml:space="preserve">Contributo comuni quota TARIFFE ritardo prestiti</t>
  </si>
  <si>
    <t xml:space="preserve">Versamento tariffe ritardo prestiti da privati</t>
  </si>
  <si>
    <t xml:space="preserve">Contributo comuni quota LIBRI</t>
  </si>
  <si>
    <t xml:space="preserve">Contributo Regionale</t>
  </si>
  <si>
    <t xml:space="preserve">Contributo MIBAC</t>
  </si>
  <si>
    <t xml:space="preserve">Contributo x costi generali ente da “Gestioni Dirette”</t>
  </si>
  <si>
    <t xml:space="preserve">Sponsorizzazioni x tabloid eventi</t>
  </si>
  <si>
    <t xml:space="preserve">RIEPILOGO Servizi di Base</t>
  </si>
  <si>
    <t xml:space="preserve">TOTALE C</t>
  </si>
  <si>
    <t xml:space="preserve">TOTALE R</t>
  </si>
  <si>
    <t xml:space="preserve">R-C</t>
  </si>
  <si>
    <t xml:space="preserve">S E R V I Z I   E C O N O M I C I</t>
  </si>
  <si>
    <t xml:space="preserve">S e r v i z i    a    d o m a n d a</t>
  </si>
  <si>
    <r>
      <rPr>
        <b val="true"/>
        <sz val="9"/>
        <rFont val="Roboto"/>
        <family val="0"/>
        <charset val="1"/>
      </rPr>
      <t xml:space="preserve">GESTIONE  DIRETTA BIBLIOTECHE</t>
    </r>
    <r>
      <rPr>
        <sz val="9"/>
        <rFont val="Roboto"/>
        <family val="0"/>
        <charset val="1"/>
      </rPr>
      <t xml:space="preserve"> </t>
    </r>
    <r>
      <rPr>
        <sz val="9"/>
        <color rgb="FF000000"/>
        <rFont val="Roboto"/>
        <family val="0"/>
        <charset val="1"/>
      </rPr>
      <t xml:space="preserve"> (17 sedi)</t>
    </r>
  </si>
  <si>
    <t xml:space="preserve">Premi  personale gestioni dirette</t>
  </si>
  <si>
    <t xml:space="preserve">Buoni-pasto</t>
  </si>
  <si>
    <r>
      <rPr>
        <b val="true"/>
        <sz val="8"/>
        <color rgb="FF2A6099"/>
        <rFont val="Roboto"/>
        <family val="0"/>
        <charset val="1"/>
      </rPr>
      <t xml:space="preserve">Ammortamento –</t>
    </r>
    <r>
      <rPr>
        <sz val="8"/>
        <rFont val="Roboto"/>
        <family val="0"/>
        <charset val="1"/>
      </rPr>
      <t xml:space="preserve"> </t>
    </r>
    <r>
      <rPr>
        <sz val="8"/>
        <color rgb="FF000000"/>
        <rFont val="Roboto"/>
        <family val="0"/>
        <charset val="1"/>
      </rPr>
      <t xml:space="preserve">Attrezzature smart-library per biblioteche in gestione diretta</t>
    </r>
  </si>
  <si>
    <r>
      <rPr>
        <b val="true"/>
        <sz val="8"/>
        <color rgb="FF2A6099"/>
        <rFont val="Roboto"/>
        <family val="0"/>
        <charset val="1"/>
      </rPr>
      <t xml:space="preserve">Ammortamento –</t>
    </r>
    <r>
      <rPr>
        <sz val="8"/>
        <rFont val="Roboto"/>
        <family val="0"/>
        <charset val="1"/>
      </rPr>
      <t xml:space="preserve"> Lavorazioni una tantum preliminari a</t>
    </r>
    <r>
      <rPr>
        <sz val="8"/>
        <color rgb="FF000000"/>
        <rFont val="Roboto"/>
        <family val="0"/>
        <charset val="1"/>
      </rPr>
      <t xml:space="preserve"> smart-library</t>
    </r>
  </si>
  <si>
    <t xml:space="preserve">Contributo comuni (rate 5 anni) per attrezzature e lavorazioni UT preliminari a smart-library </t>
  </si>
  <si>
    <t xml:space="preserve">Canoni Comuni per gestione diretta 17 biblioteche (+ servizio smart-library)</t>
  </si>
  <si>
    <r>
      <rPr>
        <b val="true"/>
        <sz val="9"/>
        <color rgb="FF000000"/>
        <rFont val="Roboto"/>
        <family val="0"/>
        <charset val="1"/>
      </rPr>
      <t xml:space="preserve">SMART-LIBRARY </t>
    </r>
    <r>
      <rPr>
        <sz val="9"/>
        <color rgb="FF000000"/>
        <rFont val="Roboto"/>
        <family val="0"/>
        <charset val="1"/>
      </rPr>
      <t xml:space="preserve">(6 sedi)</t>
    </r>
  </si>
  <si>
    <t xml:space="preserve">Stipendi (quota-parte): operatori smart</t>
  </si>
  <si>
    <t xml:space="preserve">Stipendi (quota-parte): coordinatore</t>
  </si>
  <si>
    <t xml:space="preserve">Contributo ai costi generali indivisibili allocato su “Smart Library” (ECO) (da 6 biblio)</t>
  </si>
  <si>
    <t xml:space="preserve">Canoni Comuni per  servizio smart-library) (6 biblio)</t>
  </si>
  <si>
    <r>
      <rPr>
        <b val="true"/>
        <sz val="9"/>
        <color rgb="FF000000"/>
        <rFont val="Roboto"/>
        <family val="0"/>
        <charset val="1"/>
      </rPr>
      <t xml:space="preserve">ESTENSIONI di ORARIO </t>
    </r>
    <r>
      <rPr>
        <sz val="9"/>
        <color rgb="FF000000"/>
        <rFont val="Roboto"/>
        <family val="0"/>
        <charset val="1"/>
      </rPr>
      <t xml:space="preserve">(24 sedi x domenicale)</t>
    </r>
  </si>
  <si>
    <t xml:space="preserve">Straordinari e reperibilità</t>
  </si>
  <si>
    <t xml:space="preserve">Prestazioni di servizi (comunicazione)</t>
  </si>
  <si>
    <t xml:space="preserve">Contributo ai costi generali indivisibili allocato su “Estensioni d’Orario” (ECO) (da 24 biblio)</t>
  </si>
  <si>
    <t xml:space="preserve">Canoni Comuni per  servizio “Estensioni d’Orario” (6 biblio)</t>
  </si>
  <si>
    <t xml:space="preserve">COSEdaFARE</t>
  </si>
  <si>
    <t xml:space="preserve">Stipendi (quota-parte): operatori (DOTE COMUNE)</t>
  </si>
  <si>
    <t xml:space="preserve">Contributo ai costi generali per servizio “CoseDaFare” (ECO) (1.000 data-entry)</t>
  </si>
  <si>
    <t xml:space="preserve">Canoni Comuni per  servizio “CoseDaFare”</t>
  </si>
  <si>
    <t xml:space="preserve">CORSI di FORMAZIONE x CITTADINI</t>
  </si>
  <si>
    <t xml:space="preserve">Stipendi (quota-parte): operatori amm.vo</t>
  </si>
  <si>
    <t xml:space="preserve">Compensi docenti (prestazioni occasionali o collaborazioni con P.iva)</t>
  </si>
  <si>
    <t xml:space="preserve">Incassi da vendita corsi ai cittadini</t>
  </si>
  <si>
    <t xml:space="preserve">RIEPILOGO Servizi a domanda</t>
  </si>
  <si>
    <t xml:space="preserve">ricavi</t>
  </si>
  <si>
    <t xml:space="preserve">costi</t>
  </si>
  <si>
    <t xml:space="preserve">utile pre-imposte</t>
  </si>
  <si>
    <t xml:space="preserve">utile netto</t>
  </si>
  <si>
    <t xml:space="preserve">iva a debito</t>
  </si>
  <si>
    <t xml:space="preserve">iva dovuta</t>
  </si>
  <si>
    <t xml:space="preserve">Simulazione bilancio CEE 2022/2024</t>
  </si>
  <si>
    <t xml:space="preserve">ATTIVO</t>
  </si>
  <si>
    <t xml:space="preserve">A) CREDITI VERSO SOCI PER VERSAMENTI ANCORA DOVUTI</t>
  </si>
  <si>
    <t xml:space="preserve">Totale crediti verso soci per versamenti ancora dovuti (A)</t>
  </si>
  <si>
    <t xml:space="preserve">B) IMMOBILIZZAZIONI</t>
  </si>
  <si>
    <t xml:space="preserve">I - Immobilizzazioni immateriali</t>
  </si>
  <si>
    <t xml:space="preserve">4) Concessioni, licenze, marchi e diritti simili</t>
  </si>
  <si>
    <t xml:space="preserve">7) Altre</t>
  </si>
  <si>
    <t xml:space="preserve">(fondi ammortamento)</t>
  </si>
  <si>
    <t xml:space="preserve">Totale immobilizzazioni immateriali</t>
  </si>
  <si>
    <t xml:space="preserve">II - Immobilizzazioni materiali</t>
  </si>
  <si>
    <t xml:space="preserve">2) Impianti e macchinario</t>
  </si>
  <si>
    <t xml:space="preserve">3) Attrezzature industriali e commerciali</t>
  </si>
  <si>
    <t xml:space="preserve">4) Altri beni</t>
  </si>
  <si>
    <t xml:space="preserve">Totale immobilizzazioni materiali</t>
  </si>
  <si>
    <t xml:space="preserve">III - Immobilizzazioni finanziarie</t>
  </si>
  <si>
    <t xml:space="preserve">Totale immobilizzazioni finanziarie (III)</t>
  </si>
  <si>
    <t xml:space="preserve">Totale immobilizzazioni (B)</t>
  </si>
  <si>
    <t xml:space="preserve">C) ATTIVO CIRCOLANTE</t>
  </si>
  <si>
    <t xml:space="preserve">I) Rimanenze</t>
  </si>
  <si>
    <t xml:space="preserve">Totale rimanenze</t>
  </si>
  <si>
    <t xml:space="preserve">II) Crediti</t>
  </si>
  <si>
    <t xml:space="preserve">1) Verso clienti</t>
  </si>
  <si>
    <t xml:space="preserve">Esigibili entro l'esercizio successivo</t>
  </si>
  <si>
    <t xml:space="preserve">Totale crediti verso clienti</t>
  </si>
  <si>
    <t xml:space="preserve">4) Verso controllanti</t>
  </si>
  <si>
    <t xml:space="preserve">Totale crediti verso controllanti</t>
  </si>
  <si>
    <t xml:space="preserve">5-bis) Crediti tributari</t>
  </si>
  <si>
    <t xml:space="preserve">Totale crediti tributari</t>
  </si>
  <si>
    <t xml:space="preserve">5-ter) Imposte anticipate</t>
  </si>
  <si>
    <t xml:space="preserve">5-quater) Verso altri</t>
  </si>
  <si>
    <t xml:space="preserve">Totale crediti verso altri</t>
  </si>
  <si>
    <t xml:space="preserve">Totale crediti</t>
  </si>
  <si>
    <t xml:space="preserve">III - Attività finanziarie che non costituiscono immobilizzazioni</t>
  </si>
  <si>
    <t xml:space="preserve">Totale attività finanziarie che non costituiscono immobilizzazioni</t>
  </si>
  <si>
    <t xml:space="preserve">IV - Disponibilità liquide</t>
  </si>
  <si>
    <t xml:space="preserve">1) Depositi bancari e postali</t>
  </si>
  <si>
    <t xml:space="preserve">3) Danaro e valori in cassa</t>
  </si>
  <si>
    <t xml:space="preserve">Totale disponibilità liquide</t>
  </si>
  <si>
    <t xml:space="preserve">Totale attivo circolante (C)</t>
  </si>
  <si>
    <t xml:space="preserve">D) RATEI E RISCONTI</t>
  </si>
  <si>
    <t xml:space="preserve">TOTALE ATTIVO</t>
  </si>
  <si>
    <t xml:space="preserve">PASSIVO</t>
  </si>
  <si>
    <t xml:space="preserve">A) PATRIMONIO NETTO</t>
  </si>
  <si>
    <t xml:space="preserve">I - Capitale</t>
  </si>
  <si>
    <t xml:space="preserve">II - Riserva da soprapprezzo delle azioni</t>
  </si>
  <si>
    <t xml:space="preserve">III - Riserve di rivalutazione</t>
  </si>
  <si>
    <t xml:space="preserve">IV - Riserva legale</t>
  </si>
  <si>
    <t xml:space="preserve">V - Riserve statutarie</t>
  </si>
  <si>
    <t xml:space="preserve">VI - Altre riserve, distintamente indicate</t>
  </si>
  <si>
    <t xml:space="preserve">       Riserva straordinaria</t>
  </si>
  <si>
    <t xml:space="preserve">       Varie altre riserve</t>
  </si>
  <si>
    <t xml:space="preserve">Totale altre riserve</t>
  </si>
  <si>
    <t xml:space="preserve">VII - Riserva per operazioni di copertura dei flussi finanziari attesi</t>
  </si>
  <si>
    <t xml:space="preserve">VIII - Utili (perdite) portati a nuovo</t>
  </si>
  <si>
    <t xml:space="preserve">IX - Utile (perdita) dell'esercizio</t>
  </si>
  <si>
    <t xml:space="preserve">      Perdita ripianata nell'esercizio</t>
  </si>
  <si>
    <t xml:space="preserve">X - Riserva negativa per azioni proprie in portafoglio</t>
  </si>
  <si>
    <t xml:space="preserve">Totale patrimonio netto</t>
  </si>
  <si>
    <t xml:space="preserve">B) FONDI PER RISCHI E ONERI</t>
  </si>
  <si>
    <t xml:space="preserve">Totale fondi per rischi e oneri (B)</t>
  </si>
  <si>
    <t xml:space="preserve">C) TRATTAMENTO DI FINE RAPPORTO DI LAVORO SUBORDINATO</t>
  </si>
  <si>
    <t xml:space="preserve">D) DEBITI</t>
  </si>
  <si>
    <t xml:space="preserve">4) Debiti verso banche</t>
  </si>
  <si>
    <t xml:space="preserve">Totale debiti verso banche (4)</t>
  </si>
  <si>
    <t xml:space="preserve">7) Debiti verso fornitori</t>
  </si>
  <si>
    <t xml:space="preserve">Totale debiti verso fornitori (7)</t>
  </si>
  <si>
    <t xml:space="preserve">12) Debiti tributari</t>
  </si>
  <si>
    <t xml:space="preserve">Totale debiti tributari (12)</t>
  </si>
  <si>
    <t xml:space="preserve">13) Debiti verso istituti di previdenza e di sicurezza sociale</t>
  </si>
  <si>
    <t xml:space="preserve">Totale debiti verso istituti di previdenza e di sicurezza sociale (13)</t>
  </si>
  <si>
    <t xml:space="preserve">14) Altri debiti</t>
  </si>
  <si>
    <t xml:space="preserve">Totale altri debiti (14)</t>
  </si>
  <si>
    <t xml:space="preserve">Totale debiti (D)</t>
  </si>
  <si>
    <t xml:space="preserve">E) RATEI E RISCONTI</t>
  </si>
  <si>
    <t xml:space="preserve">TOTALE PASSIVO</t>
  </si>
  <si>
    <t xml:space="preserve">CONTO ECONOMICO</t>
  </si>
  <si>
    <t xml:space="preserve">A) VALORE DELLA PRODUZIONE:</t>
  </si>
  <si>
    <t xml:space="preserve">1) Ricavi delle vendite e delle prestazioni</t>
  </si>
  <si>
    <t xml:space="preserve">5) Altri ricavi e proventi</t>
  </si>
  <si>
    <t xml:space="preserve">Totale valore della produzione</t>
  </si>
  <si>
    <t xml:space="preserve">B) COSTI DELLA PRODUZIONE:</t>
  </si>
  <si>
    <t xml:space="preserve">6) Per materie prime, sussidiarie, di consumo e merci</t>
  </si>
  <si>
    <t xml:space="preserve">7) Per servizi</t>
  </si>
  <si>
    <t xml:space="preserve">8) Per godimento di beni di terzi</t>
  </si>
  <si>
    <t xml:space="preserve">9) Per il personale:</t>
  </si>
  <si>
    <t xml:space="preserve">      a) Salari e stipendi</t>
  </si>
  <si>
    <t xml:space="preserve">      b) Oneri sociali</t>
  </si>
  <si>
    <t xml:space="preserve">      c) Trattamento di fine rapporto</t>
  </si>
  <si>
    <t xml:space="preserve">      d) altri costi del personale</t>
  </si>
  <si>
    <t xml:space="preserve">Totale costi per il personale</t>
  </si>
  <si>
    <t xml:space="preserve">10) Ammortamenti e svalutazioni:</t>
  </si>
  <si>
    <t xml:space="preserve">      a) Ammortamento delle immobilizzazioni immateriali</t>
  </si>
  <si>
    <t xml:space="preserve">      b) Ammortamento delle immobilizzazioni materiali</t>
  </si>
  <si>
    <t xml:space="preserve">Totale ammortamenti e svalutazioni</t>
  </si>
  <si>
    <t xml:space="preserve">14) Oneri diversi di gestione</t>
  </si>
  <si>
    <t xml:space="preserve">Totale costi della produzione</t>
  </si>
  <si>
    <t xml:space="preserve">Differenza tra valore e costi della produzione (A-B)</t>
  </si>
  <si>
    <t xml:space="preserve">C) PROVENTI E ONERI FINANZIARI:</t>
  </si>
  <si>
    <t xml:space="preserve">17) Interessi e altri oneri finanziari</t>
  </si>
  <si>
    <t xml:space="preserve">Totale proventi e oneri finanziari  (C) (15+16-17+-17-bis)</t>
  </si>
  <si>
    <t xml:space="preserve">D) RETTIFICHE DI VALORE DI ATTIVITA' E PASSIVITA' FINANZIARIE:</t>
  </si>
  <si>
    <t xml:space="preserve">Totale rettifiche di valore di attività e passività finanziarie (18-19)</t>
  </si>
  <si>
    <t xml:space="preserve">RISULTATO PRIMA DELLE IMPOSTE (A-B+-C+-D)</t>
  </si>
  <si>
    <t xml:space="preserve">20) Imposte sul reddito dell'esercizio, correnti, differite e anticipate</t>
  </si>
  <si>
    <t xml:space="preserve">Imposte correnti</t>
  </si>
  <si>
    <t xml:space="preserve">Imposte differite e anticipate</t>
  </si>
  <si>
    <t xml:space="preserve">Totale delle imposte sul reddito dell'esercizio, correnti, differite e anticipate</t>
  </si>
  <si>
    <t xml:space="preserve">21) UTILE (PERDITA) D'ESERCIZIO</t>
  </si>
  <si>
    <t xml:space="preserve"> </t>
  </si>
  <si>
    <t xml:space="preserve">CASH FLOW  2022 / 2024 </t>
  </si>
  <si>
    <t xml:space="preserve">ANNO 2022</t>
  </si>
  <si>
    <t xml:space="preserve">partenza</t>
  </si>
  <si>
    <t xml:space="preserve">Gennaio</t>
  </si>
  <si>
    <t xml:space="preserve">Febbraio</t>
  </si>
  <si>
    <t xml:space="preserve">Marzo</t>
  </si>
  <si>
    <t xml:space="preserve">Aprile</t>
  </si>
  <si>
    <t xml:space="preserve">Maggio</t>
  </si>
  <si>
    <t xml:space="preserve">Giugno</t>
  </si>
  <si>
    <t xml:space="preserve">Luglio</t>
  </si>
  <si>
    <t xml:space="preserve">Agosto</t>
  </si>
  <si>
    <t xml:space="preserve">Settembre</t>
  </si>
  <si>
    <t xml:space="preserve">Ottobre</t>
  </si>
  <si>
    <t xml:space="preserve">Novembre</t>
  </si>
  <si>
    <t xml:space="preserve">Dicembre</t>
  </si>
  <si>
    <t xml:space="preserve">DISPONIBILITA' LIQUIDA INIZIALE</t>
  </si>
  <si>
    <t xml:space="preserve">Entrate da attività caratteristica:</t>
  </si>
  <si>
    <t xml:space="preserve">Ricavi da attività delegate</t>
  </si>
  <si>
    <t xml:space="preserve">Ricavi da attività economiche</t>
  </si>
  <si>
    <t xml:space="preserve">Uscite da attività caratteristica:</t>
  </si>
  <si>
    <t xml:space="preserve">Costi per acquisto di beni</t>
  </si>
  <si>
    <t xml:space="preserve">Costi per servizi</t>
  </si>
  <si>
    <t xml:space="preserve">Costo godimento beni di terzi</t>
  </si>
  <si>
    <t xml:space="preserve">Costo del personale</t>
  </si>
  <si>
    <t xml:space="preserve">Costo oneri di gestione</t>
  </si>
  <si>
    <t xml:space="preserve">Ires/iva</t>
  </si>
  <si>
    <t xml:space="preserve">DISPONIBILITA' LIQUIDA OPERATIVA</t>
  </si>
  <si>
    <t xml:space="preserve">Erogazione quote Soci</t>
  </si>
  <si>
    <t xml:space="preserve">Affidamento bancario</t>
  </si>
  <si>
    <t xml:space="preserve">Investimenti totali</t>
  </si>
  <si>
    <t xml:space="preserve">Investimenti in patrimonio librario</t>
  </si>
  <si>
    <t xml:space="preserve">DISPONIBILITA'  A FINE PERIODO</t>
  </si>
  <si>
    <t xml:space="preserve">ANNO 2023</t>
  </si>
  <si>
    <t xml:space="preserve">ANNO 2024</t>
  </si>
  <si>
    <t xml:space="preserve">Riepilogo AMMORTAMENTI/INVESTIMENTI del periodo 2022/2024</t>
  </si>
  <si>
    <t xml:space="preserve">Rateo annuale di ammto</t>
  </si>
  <si>
    <t xml:space="preserve">Coeff. Ammto</t>
  </si>
  <si>
    <t xml:space="preserve">Anno di avvio</t>
  </si>
  <si>
    <t xml:space="preserve">Anno di termine</t>
  </si>
  <si>
    <t xml:space="preserve">Importo complessivo (IE)</t>
  </si>
  <si>
    <t xml:space="preserve">Importo Compressivo (I.I.)</t>
  </si>
  <si>
    <t xml:space="preserve">Anno Cassa Uscita Importo Complessivo</t>
  </si>
  <si>
    <t xml:space="preserve">L’esigenza si ripeterà alla restituzione del debito?</t>
  </si>
  <si>
    <r>
      <rPr>
        <b val="true"/>
        <sz val="9"/>
        <rFont val="Arial"/>
        <family val="2"/>
        <charset val="1"/>
      </rPr>
      <t xml:space="preserve">Rateizzazione della fornitura su + anni? </t>
    </r>
    <r>
      <rPr>
        <sz val="9"/>
        <rFont val="Arial"/>
        <family val="2"/>
        <charset val="1"/>
      </rPr>
      <t xml:space="preserve">(Si/No)</t>
    </r>
  </si>
  <si>
    <t xml:space="preserve">DEL</t>
  </si>
  <si>
    <t xml:space="preserve">AFF. GENERALI </t>
  </si>
  <si>
    <t xml:space="preserve">NO</t>
  </si>
  <si>
    <t xml:space="preserve">RISORSE UMANE</t>
  </si>
  <si>
    <t xml:space="preserve">RISORSE IT</t>
  </si>
  <si>
    <t xml:space="preserve">SI</t>
  </si>
  <si>
    <r>
      <rPr>
        <b val="true"/>
        <sz val="8"/>
        <color rgb="FFFF0000"/>
        <rFont val="Arial"/>
        <family val="2"/>
        <charset val="1"/>
      </rPr>
      <t xml:space="preserve">SI </t>
    </r>
    <r>
      <rPr>
        <sz val="8"/>
        <rFont val="Arial"/>
        <family val="2"/>
        <charset val="1"/>
      </rPr>
      <t xml:space="preserve">(2022: 237 pezzi,2023: 42, 2024: 35, 2025: 48, 2026: 19) </t>
    </r>
  </si>
  <si>
    <t xml:space="preserve">Ammortamento -  pc+monitor (lotto_acquisti 2023) </t>
  </si>
  <si>
    <r>
      <rPr>
        <b val="true"/>
        <sz val="10"/>
        <color rgb="FFFF0000"/>
        <rFont val="Arial"/>
        <family val="2"/>
        <charset val="1"/>
      </rPr>
      <t xml:space="preserve">SI </t>
    </r>
    <r>
      <rPr>
        <sz val="10"/>
        <rFont val="Arial"/>
        <family val="2"/>
        <charset val="1"/>
      </rPr>
      <t xml:space="preserve">(2023: 42 pezzi)</t>
    </r>
  </si>
  <si>
    <t xml:space="preserve">Ammortamento -  pc+monitor (lotto_acquisti 2024) </t>
  </si>
  <si>
    <r>
      <rPr>
        <b val="true"/>
        <sz val="10"/>
        <color rgb="FFFF0000"/>
        <rFont val="Arial"/>
        <family val="2"/>
        <charset val="1"/>
      </rPr>
      <t xml:space="preserve">SI </t>
    </r>
    <r>
      <rPr>
        <sz val="10"/>
        <rFont val="Arial"/>
        <family val="2"/>
        <charset val="1"/>
      </rPr>
      <t xml:space="preserve">(2024: 35 pezzi)</t>
    </r>
  </si>
  <si>
    <t xml:space="preserve">Ammortamento -  pc+monitor (lotto_acquisti 2025) </t>
  </si>
  <si>
    <r>
      <rPr>
        <b val="true"/>
        <sz val="10"/>
        <color rgb="FFFF0000"/>
        <rFont val="Arial"/>
        <family val="2"/>
        <charset val="1"/>
      </rPr>
      <t xml:space="preserve">SI </t>
    </r>
    <r>
      <rPr>
        <sz val="10"/>
        <rFont val="Arial"/>
        <family val="2"/>
        <charset val="1"/>
      </rPr>
      <t xml:space="preserve">(2025: 48 pezzi)</t>
    </r>
  </si>
  <si>
    <t xml:space="preserve">Ammortamento -  pc+monitor (lotto_acquisti 2026) </t>
  </si>
  <si>
    <r>
      <rPr>
        <b val="true"/>
        <sz val="10"/>
        <color rgb="FFFF0000"/>
        <rFont val="Arial"/>
        <family val="2"/>
        <charset val="1"/>
      </rPr>
      <t xml:space="preserve">SI </t>
    </r>
    <r>
      <rPr>
        <sz val="10"/>
        <rFont val="Arial"/>
        <family val="2"/>
        <charset val="1"/>
      </rPr>
      <t xml:space="preserve">(2026: 19 pezzi)</t>
    </r>
  </si>
  <si>
    <t xml:space="preserve">ECO</t>
  </si>
  <si>
    <t xml:space="preserve">GESTIONE DIRETTA BIBLIO</t>
  </si>
  <si>
    <r>
      <rPr>
        <b val="true"/>
        <sz val="8"/>
        <color rgb="FF2A6099"/>
        <rFont val="Roboto"/>
        <family val="0"/>
        <charset val="1"/>
      </rPr>
      <t xml:space="preserve">Ammortamento –</t>
    </r>
    <r>
      <rPr>
        <sz val="8"/>
        <rFont val="Roboto"/>
        <family val="0"/>
        <charset val="1"/>
      </rPr>
      <t xml:space="preserve"> Patrimonio librario</t>
    </r>
    <r>
      <rPr>
        <b val="true"/>
        <sz val="8"/>
        <color rgb="FF2A6099"/>
        <rFont val="Roboto"/>
        <family val="0"/>
        <charset val="1"/>
      </rPr>
      <t xml:space="preserve"> 2022</t>
    </r>
  </si>
  <si>
    <t xml:space="preserve">assolta da editore</t>
  </si>
  <si>
    <t xml:space="preserve">% decrescente </t>
  </si>
  <si>
    <r>
      <rPr>
        <b val="true"/>
        <sz val="8"/>
        <color rgb="FF2A6099"/>
        <rFont val="Roboto"/>
        <family val="0"/>
        <charset val="1"/>
      </rPr>
      <t xml:space="preserve">Ammortamento –</t>
    </r>
    <r>
      <rPr>
        <sz val="8"/>
        <rFont val="Roboto"/>
        <family val="0"/>
        <charset val="1"/>
      </rPr>
      <t xml:space="preserve"> Patrimonio librario</t>
    </r>
    <r>
      <rPr>
        <b val="true"/>
        <sz val="8"/>
        <color rgb="FF2A6099"/>
        <rFont val="Roboto"/>
        <family val="0"/>
        <charset val="1"/>
      </rPr>
      <t xml:space="preserve"> 2023</t>
    </r>
  </si>
  <si>
    <r>
      <rPr>
        <b val="true"/>
        <sz val="8"/>
        <color rgb="FF2A6099"/>
        <rFont val="Roboto"/>
        <family val="0"/>
        <charset val="1"/>
      </rPr>
      <t xml:space="preserve">Ammortamento –</t>
    </r>
    <r>
      <rPr>
        <sz val="8"/>
        <rFont val="Roboto"/>
        <family val="0"/>
        <charset val="1"/>
      </rPr>
      <t xml:space="preserve"> Patrimonio librario</t>
    </r>
    <r>
      <rPr>
        <b val="true"/>
        <sz val="8"/>
        <color rgb="FF2A6099"/>
        <rFont val="Roboto"/>
        <family val="0"/>
        <charset val="1"/>
      </rPr>
      <t xml:space="preserve"> 2024</t>
    </r>
  </si>
  <si>
    <t xml:space="preserve">base per conteggio credito imposta beni strumentali</t>
  </si>
  <si>
    <t xml:space="preserve">credito imposta 10%</t>
  </si>
  <si>
    <r>
      <rPr>
        <b val="true"/>
        <sz val="18"/>
        <color rgb="FFFF0000"/>
        <rFont val="Roboto"/>
        <family val="0"/>
        <charset val="1"/>
      </rPr>
      <t xml:space="preserve">CUBI2 – FUNZIONIGRAMMA e RIPARTIZIONE TEMPO-LAVORO e COSTI del PERSONALE </t>
    </r>
    <r>
      <rPr>
        <sz val="18"/>
        <color rgb="FFFF0000"/>
        <rFont val="Roboto"/>
        <family val="0"/>
        <charset val="1"/>
      </rPr>
      <t xml:space="preserve">(per Area e Settore)</t>
    </r>
  </si>
  <si>
    <t xml:space="preserve">AREA ISTITUZIONALE</t>
  </si>
  <si>
    <t xml:space="preserve">AREE FUNZIONALI SERVIZI di BASE</t>
  </si>
  <si>
    <t xml:space="preserve">SERVIZI A DOMANDA</t>
  </si>
  <si>
    <t xml:space="preserve">BIBLIOTECONOMICA</t>
  </si>
  <si>
    <t xml:space="preserve">TECNICO-LOGISTICA</t>
  </si>
  <si>
    <t xml:space="preserve">PROMO CULTURALE</t>
  </si>
  <si>
    <t xml:space="preserve">Risorse Umane</t>
  </si>
  <si>
    <t xml:space="preserve">contratto</t>
  </si>
  <si>
    <t xml:space="preserve">FTE</t>
  </si>
  <si>
    <r>
      <rPr>
        <b val="true"/>
        <sz val="10"/>
        <rFont val="Roboto"/>
        <family val="0"/>
        <charset val="1"/>
      </rPr>
      <t xml:space="preserve">Costo Az. Lordo </t>
    </r>
    <r>
      <rPr>
        <b val="true"/>
        <sz val="10.5"/>
        <color rgb="FFC9211E"/>
        <rFont val="Roboto"/>
        <family val="0"/>
        <charset val="1"/>
      </rPr>
      <t xml:space="preserve">*</t>
    </r>
  </si>
  <si>
    <t xml:space="preserve">Affari generali e funzionamento organi</t>
  </si>
  <si>
    <t xml:space="preserve">Affari finanziari,  amministrazione e controllo</t>
  </si>
  <si>
    <t xml:space="preserve">Comunicazione &amp; Marketing</t>
  </si>
  <si>
    <t xml:space="preserve">Fund-rising</t>
  </si>
  <si>
    <t xml:space="preserve">Coord. Servizi Biblioteconomici</t>
  </si>
  <si>
    <t xml:space="preserve">Coord. &amp; Amm.ne Acquisti documentari</t>
  </si>
  <si>
    <t xml:space="preserve">Catalogazione</t>
  </si>
  <si>
    <t xml:space="preserve">Help-desk</t>
  </si>
  <si>
    <t xml:space="preserve">Gestione risorse IT</t>
  </si>
  <si>
    <t xml:space="preserve">Logistica (PIB)</t>
  </si>
  <si>
    <t xml:space="preserve">Promozione lettura </t>
  </si>
  <si>
    <t xml:space="preserve">Formazione professionale</t>
  </si>
  <si>
    <t xml:space="preserve">Servizi Innovativi</t>
  </si>
  <si>
    <t xml:space="preserve">Gestione diretta biblioteche</t>
  </si>
  <si>
    <t xml:space="preserve">Smart Library</t>
  </si>
  <si>
    <t xml:space="preserve">Estensioni d’orario</t>
  </si>
  <si>
    <r>
      <rPr>
        <b val="true"/>
        <sz val="9"/>
        <rFont val="Roboto"/>
        <family val="0"/>
        <charset val="1"/>
      </rPr>
      <t xml:space="preserve">CoseDaFare           </t>
    </r>
    <r>
      <rPr>
        <i val="true"/>
        <sz val="9"/>
        <rFont val="Roboto"/>
        <family val="0"/>
        <charset val="1"/>
      </rPr>
      <t xml:space="preserve">(data-entry)</t>
    </r>
  </si>
  <si>
    <t xml:space="preserve">Corsi x utenza e altro</t>
  </si>
  <si>
    <t xml:space="preserve">TOT</t>
  </si>
  <si>
    <t xml:space="preserve">Direttore</t>
  </si>
  <si>
    <t xml:space="preserve">FederCult Q1</t>
  </si>
  <si>
    <t xml:space="preserve">Resp. Area Amm.va</t>
  </si>
  <si>
    <t xml:space="preserve">FederCult D1</t>
  </si>
  <si>
    <t xml:space="preserve">Resp. Area Tecnica</t>
  </si>
  <si>
    <t xml:space="preserve">Resp. Comunicazione</t>
  </si>
  <si>
    <t xml:space="preserve">Resp. Gest Diretta Biblio</t>
  </si>
  <si>
    <t xml:space="preserve">Risorsa multi focus A</t>
  </si>
  <si>
    <r>
      <rPr>
        <sz val="8"/>
        <rFont val="Roboto"/>
        <family val="0"/>
        <charset val="1"/>
      </rPr>
      <t xml:space="preserve">FederCult C6</t>
    </r>
    <r>
      <rPr>
        <sz val="8"/>
        <color rgb="FFFF0000"/>
        <rFont val="Roboto"/>
        <family val="0"/>
        <charset val="1"/>
      </rPr>
      <t xml:space="preserve"> **</t>
    </r>
  </si>
  <si>
    <t xml:space="preserve">Risorsa multi focus B</t>
  </si>
  <si>
    <t xml:space="preserve">Risorsa multi focus C</t>
  </si>
  <si>
    <r>
      <rPr>
        <sz val="8"/>
        <rFont val="Roboto"/>
        <family val="0"/>
        <charset val="1"/>
      </rPr>
      <t xml:space="preserve">FederCult C3 </t>
    </r>
    <r>
      <rPr>
        <sz val="8"/>
        <color rgb="FFFF0000"/>
        <rFont val="Roboto"/>
        <family val="0"/>
        <charset val="1"/>
      </rPr>
      <t xml:space="preserve">**</t>
    </r>
  </si>
  <si>
    <t xml:space="preserve">Risorsa multi focus D</t>
  </si>
  <si>
    <t xml:space="preserve">Risorsa amm.va</t>
  </si>
  <si>
    <t xml:space="preserve">FederCult C1</t>
  </si>
  <si>
    <t xml:space="preserve">Referente risorse digitali</t>
  </si>
  <si>
    <t xml:space="preserve">Comando EELL c</t>
  </si>
  <si>
    <t xml:space="preserve">Referente analisi dati</t>
  </si>
  <si>
    <t xml:space="preserve">Risorsa DoteComune (20h)</t>
  </si>
  <si>
    <t xml:space="preserve">come istituto DC</t>
  </si>
  <si>
    <t xml:space="preserve">9 Risorse per Gestioni Dirette di biblioteche CUBI</t>
  </si>
  <si>
    <r>
      <rPr>
        <sz val="8"/>
        <rFont val="Roboto"/>
        <family val="0"/>
        <charset val="1"/>
      </rPr>
      <t xml:space="preserve">FederCult C1 (</t>
    </r>
    <r>
      <rPr>
        <b val="true"/>
        <sz val="8"/>
        <rFont val="Roboto"/>
        <family val="0"/>
        <charset val="1"/>
      </rPr>
      <t xml:space="preserve">30h</t>
    </r>
    <r>
      <rPr>
        <sz val="8"/>
        <rFont val="Roboto"/>
        <family val="0"/>
        <charset val="1"/>
      </rPr>
      <t xml:space="preserve">)</t>
    </r>
  </si>
  <si>
    <t xml:space="preserve">5 Risorse per Servizio Smart-library x gestioni dirette</t>
  </si>
  <si>
    <r>
      <rPr>
        <sz val="8"/>
        <rFont val="Roboto"/>
        <family val="0"/>
        <charset val="1"/>
      </rPr>
      <t xml:space="preserve">FederCult C1 (</t>
    </r>
    <r>
      <rPr>
        <b val="true"/>
        <sz val="8"/>
        <rFont val="Roboto"/>
        <family val="0"/>
        <charset val="1"/>
      </rPr>
      <t xml:space="preserve">7h</t>
    </r>
    <r>
      <rPr>
        <sz val="8"/>
        <rFont val="Roboto"/>
        <family val="0"/>
        <charset val="1"/>
      </rPr>
      <t xml:space="preserve">) (5 a 30h di pto13, diventano a 37h)</t>
    </r>
  </si>
  <si>
    <t xml:space="preserve">Risorse x servizio Smart-Library (x biblio a gestione comunale)</t>
  </si>
  <si>
    <r>
      <rPr>
        <sz val="8"/>
        <rFont val="Roboto"/>
        <family val="0"/>
        <charset val="1"/>
      </rPr>
      <t xml:space="preserve">FederCult C1 (3x1</t>
    </r>
    <r>
      <rPr>
        <b val="true"/>
        <sz val="8"/>
        <rFont val="Roboto"/>
        <family val="0"/>
        <charset val="1"/>
      </rPr>
      <t xml:space="preserve">0h</t>
    </r>
    <r>
      <rPr>
        <sz val="8"/>
        <rFont val="Roboto"/>
        <family val="0"/>
        <charset val="1"/>
      </rPr>
      <t xml:space="preserve">)</t>
    </r>
  </si>
  <si>
    <t xml:space="preserve">Risorse x servizio “Estensioni d’Orario” </t>
  </si>
  <si>
    <t xml:space="preserve">FederCult C1 (6x7hX6mesi) (0,56 fte netti)</t>
  </si>
  <si>
    <t xml:space="preserve">1.008h produttive</t>
  </si>
  <si>
    <t xml:space="preserve">Referente “Offerta Corsi”</t>
  </si>
  <si>
    <t xml:space="preserve">Ammvo “Offerta Corsi”</t>
  </si>
  <si>
    <t xml:space="preserve">Costo Lordo Settore</t>
  </si>
  <si>
    <t xml:space="preserve">FTE Settore</t>
  </si>
  <si>
    <t xml:space="preserve">Costo Lordo Area</t>
  </si>
  <si>
    <t xml:space="preserve">FTE Area</t>
  </si>
  <si>
    <t xml:space="preserve">Costo lordo Personale Azienda</t>
  </si>
  <si>
    <t xml:space="preserve">*</t>
  </si>
  <si>
    <t xml:space="preserve"> Non comprende premi, buoni-pasto e voci variabili e Senza IRAP (3,9%)</t>
  </si>
  <si>
    <r>
      <rPr>
        <b val="true"/>
        <sz val="9"/>
        <rFont val="Roboto"/>
        <family val="0"/>
        <charset val="1"/>
      </rPr>
      <t xml:space="preserve">Attuali FTE </t>
    </r>
    <r>
      <rPr>
        <sz val="9"/>
        <rFont val="Roboto"/>
        <family val="0"/>
        <charset val="1"/>
      </rPr>
      <t xml:space="preserve">(dic 2020)</t>
    </r>
  </si>
  <si>
    <t xml:space="preserve">FTE tot Azienda</t>
  </si>
  <si>
    <t xml:space="preserve"> Compresa 1 “dote comune”</t>
  </si>
  <si>
    <t xml:space="preserve">* * </t>
  </si>
  <si>
    <t xml:space="preserve">Valori relativi al costo di personale 2020 del  Comune Vime, tolto irap; in caso di migrazione andranno convertiti su FederCulture</t>
  </si>
  <si>
    <t xml:space="preserve">Attuale nro persone</t>
  </si>
  <si>
    <t xml:space="preserve">Nro persone</t>
  </si>
  <si>
    <t xml:space="preserve">di cui: 2 comandi a tempo-parziale, 1 dote comune e 12 connesse esclusivamente a servizi a “domanda” (in 4 casi tramite contratti a tempo-parziale)</t>
  </si>
  <si>
    <r>
      <rPr>
        <b val="true"/>
        <sz val="24"/>
        <color rgb="FFC9211E"/>
        <rFont val="Roboto"/>
        <family val="0"/>
        <charset val="1"/>
      </rPr>
      <t xml:space="preserve">CUBI_2 – Costi generali indivisibili</t>
    </r>
    <r>
      <rPr>
        <b val="true"/>
        <sz val="15"/>
        <color rgb="FFC9211E"/>
        <rFont val="Roboto"/>
        <family val="0"/>
        <charset val="1"/>
      </rPr>
      <t xml:space="preserve"> </t>
    </r>
    <r>
      <rPr>
        <sz val="15"/>
        <color rgb="FFC9211E"/>
        <rFont val="Roboto"/>
        <family val="0"/>
        <charset val="1"/>
      </rPr>
      <t xml:space="preserve">(da allocare in quota-parte ai servizi “a domanda”)</t>
    </r>
  </si>
  <si>
    <t xml:space="preserve">Nella costruzione del budget si è seguito un approccio per centro di costo/ricavo. Per cui – anche nella definizione dei costi/ricavi dei vari servizi “a domanda” (cosidetti “economici”) le principali voci di costo sono state direttamente contabilizzate (come ad esempio le quote di tempo lavoro di natura amministrativa svolte dal personale dei servizi “di base” (cosiddetti “delegati”) nella costruzione del costo del singoli servizio a domanda. Tuttavia, nella tabella sottostante, sono riportate le voci di costi generali (cosiddetti “indivisibii”) che non risultano analiticamente allocabili sui singoli servizi. Pertanto l’importo complessivo di queste voci di costo (calcolati sulla previsione 2022) verrà – per una percentuale convenzionalmente stabilità  - “allocato” anche sui singoli servizi a domanda, a parziale copertura dei costi generali indivisibili.  </t>
  </si>
  <si>
    <t xml:space="preserve">Centro di Costo</t>
  </si>
  <si>
    <t xml:space="preserve">Voci di costo</t>
  </si>
  <si>
    <r>
      <rPr>
        <b val="true"/>
        <sz val="8"/>
        <color rgb="FF2A6099"/>
        <rFont val="Roboto"/>
        <family val="0"/>
        <charset val="1"/>
      </rPr>
      <t xml:space="preserve">Ammortamento </t>
    </r>
    <r>
      <rPr>
        <sz val="8"/>
        <rFont val="Roboto"/>
        <family val="0"/>
        <charset val="1"/>
      </rPr>
      <t xml:space="preserve">– Consulenze e formazione per fase di start-up </t>
    </r>
  </si>
  <si>
    <t xml:space="preserve">TOTALE INDIVISIBILI</t>
  </si>
  <si>
    <t xml:space="preserve">TOTALE COSTI SERVIZI DELEGATI</t>
  </si>
  <si>
    <t xml:space="preserve">PESO % COSTI “indivisibili” SU “delegati”</t>
  </si>
  <si>
    <t xml:space="preserve">In virtù di questa analisi ponderata, si propone di assegnare convenzionalmente le seguenti percentuali di messa in carico dei costi generali indivisibilisui vari servizi “economici” (a domanda) previsti nel presente PEF: </t>
  </si>
  <si>
    <t xml:space="preserve">Gestione diretta di biblioteche</t>
  </si>
  <si>
    <t xml:space="preserve">In ragione del rilevante costo degli investimenti connessi alla proposta di gestione (preventiva automazione dei servizi bibliotecari tramite tecnologia rfid)</t>
  </si>
  <si>
    <t xml:space="preserve">Corsi di formazione</t>
  </si>
  <si>
    <t xml:space="preserve">In ragione del necessario start-up che richiede il servizio nel primo triennio di avvio (permettendo così che la tariffa di iscrizione ai corsi - richiesta ai cittadini - sia quanto più contenuta)</t>
  </si>
  <si>
    <t xml:space="preserve">Tutti i restanti servizi a domanda</t>
  </si>
  <si>
    <t xml:space="preserve">CUBI_2 – Costo differenziale tra “Convenzione” vs “Ente”</t>
  </si>
  <si>
    <r>
      <rPr>
        <sz val="9"/>
        <color rgb="FF000000"/>
        <rFont val="Roboto"/>
        <family val="0"/>
        <charset val="1"/>
      </rPr>
      <t xml:space="preserve">L’eventuale decisione di dotare CUBI di autonoma personalità giuridica (così detta “entizzazione”) implica un incremento dei costi di gestione (al netto degli specifici servizi erogati) del nuovo soggetto  rispetto all’attuale assetto “convenzionale” (che – è bene ribadire – non permetterebbe al sistema bibliotecario di svolgere una gran parte degli obiettivi di servizio delineati dal Piano Strategico CUBI 2021/2025, già sintetizzati nella slide</t>
    </r>
    <r>
      <rPr>
        <b val="true"/>
        <sz val="9"/>
        <color rgb="FFC9211E"/>
        <rFont val="Roboto"/>
        <family val="0"/>
        <charset val="1"/>
      </rPr>
      <t xml:space="preserve"> 9 </t>
    </r>
    <r>
      <rPr>
        <sz val="9"/>
        <color rgb="FF000000"/>
        <rFont val="Roboto"/>
        <family val="0"/>
        <charset val="1"/>
      </rPr>
      <t xml:space="preserve">di presentazione del PEF). </t>
    </r>
  </si>
  <si>
    <t xml:space="preserve">I costi a cui si allude vengono elencati analiticamente nella tabella seguente e hanno a che fare principalmente con la formalizzazione, il  perfezionamento e la gestione  degli atti amministrativi e contabili connessi con il funzionamento degli Organi, con la gestione del bilancio, del contratti e dei rapporti di lavoro con i dipendenti. Tali attività anche nell’assetto convenzionale hanno un costo (che ricade integralmente sull’ente-capofila) ma  - per come sono attualmente disciplinati i rapporti tra gli aderenti di SBV e di SBME – tale costo non è oggetto di rimborso. Non rientrano invece tra questi costi “differenziali” quelli che – già nell’assetto convenzionale attuale – vengono sopportati e sono rimborsati in quota-parte da tutti i Comuni aderenti, tramite il versamento della propria quota annuale; si fa riferimento ad esempio ai costi per la gestione della sede, per le spese del personale di coordinamento e di amministrazione (di tali voci di costo si espongono in tabella esclusivamente gli importi eccedenti rispetto a quelli già attualmente contabilizzati)</t>
  </si>
  <si>
    <t xml:space="preserve">Stipendio Responsabile Area Amministrativa</t>
  </si>
  <si>
    <r>
      <rPr>
        <b val="true"/>
        <sz val="8"/>
        <color rgb="FF2A6099"/>
        <rFont val="Roboto"/>
        <family val="0"/>
        <charset val="1"/>
      </rPr>
      <t xml:space="preserve">Ammortamento </t>
    </r>
    <r>
      <rPr>
        <sz val="8"/>
        <rFont val="Roboto"/>
        <family val="0"/>
        <charset val="1"/>
      </rPr>
      <t xml:space="preserve">–</t>
    </r>
    <r>
      <rPr>
        <sz val="9"/>
        <rFont val="Roboto"/>
        <family val="0"/>
        <charset val="1"/>
      </rPr>
      <t xml:space="preserve"> Consulenze e formazione per fase di start-up </t>
    </r>
  </si>
  <si>
    <r>
      <rPr>
        <b val="true"/>
        <sz val="8"/>
        <color rgb="FF2A6099"/>
        <rFont val="Roboto"/>
        <family val="0"/>
        <charset val="1"/>
      </rPr>
      <t xml:space="preserve">Ammortamento</t>
    </r>
    <r>
      <rPr>
        <b val="true"/>
        <sz val="9"/>
        <color rgb="FF2A6099"/>
        <rFont val="Roboto"/>
        <family val="0"/>
        <charset val="1"/>
      </rPr>
      <t xml:space="preserve"> -</t>
    </r>
    <r>
      <rPr>
        <sz val="9"/>
        <rFont val="Roboto"/>
        <family val="0"/>
        <charset val="1"/>
      </rPr>
      <t xml:space="preserve">Consulenza giuslavoristica per start-up  ente </t>
    </r>
  </si>
  <si>
    <t xml:space="preserve">ALTRE SPESE GENERALI ENTE</t>
  </si>
  <si>
    <t xml:space="preserve">TOTALE COSTI DIFFERENZIALI</t>
  </si>
</sst>
</file>

<file path=xl/styles.xml><?xml version="1.0" encoding="utf-8"?>
<styleSheet xmlns="http://schemas.openxmlformats.org/spreadsheetml/2006/main">
  <numFmts count="21">
    <numFmt numFmtId="164" formatCode="General"/>
    <numFmt numFmtId="165" formatCode="0%"/>
    <numFmt numFmtId="166" formatCode="_-&quot;L. &quot;* #,##0.00_-;&quot;-L. &quot;* #,##0.00_-;_-&quot;L. &quot;* \-??_-;_-@_-"/>
    <numFmt numFmtId="167" formatCode="[$€-410]\ #,##0;[RED]\-[$€-410]\ #,##0"/>
    <numFmt numFmtId="168" formatCode="0.0"/>
    <numFmt numFmtId="169" formatCode="[$€-410]\ #,##0.00;[RED]\-[$€-410]\ #,##0.00"/>
    <numFmt numFmtId="170" formatCode="0"/>
    <numFmt numFmtId="171" formatCode="0.0%"/>
    <numFmt numFmtId="172" formatCode="_-* #,##0.00&quot; €&quot;_-;\-* #,##0.00&quot; €&quot;_-;_-* \-??&quot; €&quot;_-;_-@_-"/>
    <numFmt numFmtId="173" formatCode="[$€-410]\ #,##0.00;\-[$€-410]\ #,##0.00"/>
    <numFmt numFmtId="174" formatCode="0.00%"/>
    <numFmt numFmtId="175" formatCode="dd/mm/yyyy"/>
    <numFmt numFmtId="176" formatCode="_-* #,##0&quot; €&quot;_-;\-* #,##0&quot; €&quot;_-;_-* \-??&quot; €&quot;_-;_-@_-"/>
    <numFmt numFmtId="177" formatCode="_-* #,##0.00\ _€_-;\-* #,##0.00\ _€_-;_-* \-??\ _€_-;_-@_-"/>
    <numFmt numFmtId="178" formatCode="@"/>
    <numFmt numFmtId="179" formatCode="[$€-2]\ * #,##0.00\ ;\-[$€-2]\ * #,##0.00\ ;[$€-2]\ * \-??\ "/>
    <numFmt numFmtId="180" formatCode="[$€-2]\ * #,##0\ ;\-[$€-2]\ * #,##0\ ;[$€-2]\ * \-??\ "/>
    <numFmt numFmtId="181" formatCode="&quot; € &quot;* #,##0.00\ ;&quot;-€ &quot;* #,##0.00\ ;&quot; € &quot;* \-??\ "/>
    <numFmt numFmtId="182" formatCode="General"/>
    <numFmt numFmtId="183" formatCode="[$€-410]\ #,##0;\-[$€-410]\ #,##0"/>
    <numFmt numFmtId="184" formatCode="0.00"/>
  </numFmts>
  <fonts count="90">
    <font>
      <sz val="10"/>
      <name val="Arial"/>
      <family val="2"/>
      <charset val="1"/>
    </font>
    <font>
      <sz val="10"/>
      <name val="Arial"/>
      <family val="0"/>
    </font>
    <font>
      <sz val="10"/>
      <name val="Arial"/>
      <family val="0"/>
    </font>
    <font>
      <sz val="10"/>
      <name val="Arial"/>
      <family val="0"/>
    </font>
    <font>
      <sz val="10"/>
      <name val="Cantarell"/>
      <family val="0"/>
      <charset val="1"/>
    </font>
    <font>
      <b val="true"/>
      <sz val="22"/>
      <color rgb="FFC9211E"/>
      <name val="Roboto"/>
      <family val="0"/>
      <charset val="1"/>
    </font>
    <font>
      <b val="true"/>
      <sz val="16"/>
      <name val="Cantarell"/>
      <family val="0"/>
      <charset val="1"/>
    </font>
    <font>
      <b val="true"/>
      <sz val="10"/>
      <name val="Cantarell"/>
      <family val="0"/>
      <charset val="1"/>
    </font>
    <font>
      <b val="true"/>
      <sz val="8"/>
      <name val="Cantarell"/>
      <family val="0"/>
      <charset val="1"/>
    </font>
    <font>
      <sz val="9"/>
      <name val="Cantarell"/>
      <family val="0"/>
      <charset val="1"/>
    </font>
    <font>
      <b val="true"/>
      <sz val="9"/>
      <name val="Cantarell"/>
      <family val="0"/>
      <charset val="1"/>
    </font>
    <font>
      <b val="true"/>
      <sz val="9"/>
      <color rgb="FFFF0000"/>
      <name val="Cantarell"/>
      <family val="0"/>
      <charset val="1"/>
    </font>
    <font>
      <sz val="9"/>
      <color rgb="FF000000"/>
      <name val="Cantarell"/>
      <family val="0"/>
      <charset val="1"/>
    </font>
    <font>
      <sz val="8"/>
      <color rgb="FFC9211E"/>
      <name val="Cantarell"/>
      <family val="0"/>
      <charset val="1"/>
    </font>
    <font>
      <b val="true"/>
      <sz val="9"/>
      <color rgb="FFC9211E"/>
      <name val="Cantarell"/>
      <family val="0"/>
      <charset val="1"/>
    </font>
    <font>
      <sz val="8"/>
      <name val="Cantarell"/>
      <family val="0"/>
      <charset val="1"/>
    </font>
    <font>
      <b val="true"/>
      <sz val="9"/>
      <color rgb="FF127622"/>
      <name val="Cantarell"/>
      <family val="0"/>
      <charset val="1"/>
    </font>
    <font>
      <b val="true"/>
      <sz val="18"/>
      <name val="Cantarell"/>
      <family val="0"/>
      <charset val="1"/>
    </font>
    <font>
      <b val="true"/>
      <sz val="9"/>
      <color rgb="FF000000"/>
      <name val="Cantarell"/>
      <family val="0"/>
      <charset val="1"/>
    </font>
    <font>
      <sz val="9"/>
      <name val="Arial"/>
      <family val="2"/>
      <charset val="1"/>
    </font>
    <font>
      <sz val="10"/>
      <color rgb="FF000000"/>
      <name val="Cantarell"/>
      <family val="0"/>
      <charset val="1"/>
    </font>
    <font>
      <sz val="8"/>
      <name val="Roboto"/>
      <family val="0"/>
      <charset val="1"/>
    </font>
    <font>
      <sz val="10"/>
      <name val="Roboto"/>
      <family val="0"/>
      <charset val="1"/>
    </font>
    <font>
      <b val="true"/>
      <sz val="24"/>
      <color rgb="FFC9211E"/>
      <name val="Roboto"/>
      <family val="0"/>
      <charset val="1"/>
    </font>
    <font>
      <b val="true"/>
      <sz val="15"/>
      <color rgb="FFC9211E"/>
      <name val="Roboto"/>
      <family val="0"/>
      <charset val="1"/>
    </font>
    <font>
      <b val="true"/>
      <sz val="18"/>
      <name val="Roboto"/>
      <family val="0"/>
      <charset val="1"/>
    </font>
    <font>
      <b val="true"/>
      <sz val="10"/>
      <name val="Roboto"/>
      <family val="0"/>
      <charset val="1"/>
    </font>
    <font>
      <b val="true"/>
      <sz val="9"/>
      <name val="Roboto"/>
      <family val="0"/>
      <charset val="1"/>
    </font>
    <font>
      <b val="true"/>
      <sz val="8"/>
      <name val="Roboto"/>
      <family val="0"/>
      <charset val="1"/>
    </font>
    <font>
      <b val="true"/>
      <sz val="24"/>
      <name val="Roboto"/>
      <family val="0"/>
      <charset val="1"/>
    </font>
    <font>
      <b val="true"/>
      <sz val="18"/>
      <color rgb="FF333333"/>
      <name val="Roboto"/>
      <family val="0"/>
      <charset val="1"/>
    </font>
    <font>
      <b val="true"/>
      <sz val="9"/>
      <color rgb="FF000000"/>
      <name val="Roboto"/>
      <family val="0"/>
      <charset val="1"/>
    </font>
    <font>
      <sz val="9"/>
      <name val="Roboto"/>
      <family val="0"/>
      <charset val="1"/>
    </font>
    <font>
      <sz val="8"/>
      <color rgb="FF000000"/>
      <name val="Roboto"/>
      <family val="0"/>
      <charset val="1"/>
    </font>
    <font>
      <b val="true"/>
      <sz val="8"/>
      <color rgb="FF2A6099"/>
      <name val="Roboto"/>
      <family val="0"/>
      <charset val="1"/>
    </font>
    <font>
      <b val="true"/>
      <sz val="9"/>
      <color rgb="FF2A6099"/>
      <name val="Roboto"/>
      <family val="0"/>
      <charset val="1"/>
    </font>
    <font>
      <sz val="8"/>
      <color rgb="FF158466"/>
      <name val="Roboto"/>
      <family val="0"/>
      <charset val="1"/>
    </font>
    <font>
      <b val="true"/>
      <sz val="20"/>
      <name val="Roboto"/>
      <family val="0"/>
      <charset val="1"/>
    </font>
    <font>
      <sz val="10"/>
      <color rgb="FF000000"/>
      <name val="Roboto"/>
      <family val="0"/>
      <charset val="1"/>
    </font>
    <font>
      <sz val="9"/>
      <color rgb="FF2A6099"/>
      <name val="Roboto"/>
      <family val="0"/>
      <charset val="1"/>
    </font>
    <font>
      <sz val="9"/>
      <color rgb="FF000000"/>
      <name val="Roboto"/>
      <family val="0"/>
      <charset val="1"/>
    </font>
    <font>
      <sz val="9"/>
      <color rgb="FF127622"/>
      <name val="Roboto"/>
      <family val="0"/>
      <charset val="1"/>
    </font>
    <font>
      <sz val="8"/>
      <color rgb="FFFF0000"/>
      <name val="Roboto"/>
      <family val="0"/>
      <charset val="1"/>
    </font>
    <font>
      <b val="true"/>
      <sz val="8"/>
      <color rgb="FF000000"/>
      <name val="Roboto"/>
      <family val="0"/>
      <charset val="1"/>
    </font>
    <font>
      <b val="true"/>
      <sz val="10"/>
      <name val="Arial"/>
      <family val="2"/>
      <charset val="1"/>
    </font>
    <font>
      <sz val="8"/>
      <color rgb="FF1E6A39"/>
      <name val="Roboto"/>
      <family val="0"/>
      <charset val="1"/>
    </font>
    <font>
      <b val="true"/>
      <sz val="18"/>
      <color rgb="FFFF0000"/>
      <name val="Roboto"/>
      <family val="0"/>
      <charset val="1"/>
    </font>
    <font>
      <sz val="10"/>
      <color rgb="FF000000"/>
      <name val="Arial"/>
      <family val="2"/>
      <charset val="1"/>
    </font>
    <font>
      <b val="true"/>
      <sz val="16"/>
      <name val="Roboto"/>
      <family val="0"/>
      <charset val="1"/>
    </font>
    <font>
      <b val="true"/>
      <sz val="10"/>
      <color rgb="FF000000"/>
      <name val="Roboto"/>
      <family val="0"/>
      <charset val="1"/>
    </font>
    <font>
      <sz val="10"/>
      <name val="Arial"/>
      <family val="0"/>
      <charset val="1"/>
    </font>
    <font>
      <sz val="10"/>
      <color rgb="FF000000"/>
      <name val="Arial"/>
      <family val="0"/>
      <charset val="1"/>
    </font>
    <font>
      <sz val="8"/>
      <name val="URW Gothic L"/>
      <family val="2"/>
      <charset val="1"/>
    </font>
    <font>
      <sz val="12"/>
      <name val="Arial"/>
      <family val="2"/>
      <charset val="1"/>
    </font>
    <font>
      <sz val="8"/>
      <name val="Arial"/>
      <family val="2"/>
      <charset val="1"/>
    </font>
    <font>
      <sz val="7"/>
      <name val="Arial"/>
      <family val="2"/>
      <charset val="1"/>
    </font>
    <font>
      <b val="true"/>
      <sz val="20"/>
      <color rgb="FF158466"/>
      <name val="Arial"/>
      <family val="2"/>
      <charset val="1"/>
    </font>
    <font>
      <b val="true"/>
      <sz val="12"/>
      <name val="Arial"/>
      <family val="2"/>
      <charset val="1"/>
    </font>
    <font>
      <b val="true"/>
      <sz val="8"/>
      <name val="Arial"/>
      <family val="2"/>
      <charset val="1"/>
    </font>
    <font>
      <b val="true"/>
      <sz val="7"/>
      <name val="Arial"/>
      <family val="2"/>
      <charset val="1"/>
    </font>
    <font>
      <i val="true"/>
      <sz val="10"/>
      <name val="Arial"/>
      <family val="2"/>
      <charset val="1"/>
    </font>
    <font>
      <i val="true"/>
      <sz val="8"/>
      <name val="Arial"/>
      <family val="2"/>
      <charset val="1"/>
    </font>
    <font>
      <i val="true"/>
      <sz val="7"/>
      <name val="Arial"/>
      <family val="2"/>
      <charset val="1"/>
    </font>
    <font>
      <sz val="7"/>
      <color rgb="FFFFFFFF"/>
      <name val="Arial"/>
      <family val="2"/>
      <charset val="1"/>
    </font>
    <font>
      <b val="true"/>
      <sz val="20"/>
      <color rgb="FFBF0041"/>
      <name val="Arial"/>
      <family val="2"/>
      <charset val="1"/>
    </font>
    <font>
      <b val="true"/>
      <sz val="20"/>
      <name val="Arial"/>
      <family val="2"/>
      <charset val="1"/>
    </font>
    <font>
      <b val="true"/>
      <sz val="14"/>
      <name val="Arial"/>
      <family val="2"/>
      <charset val="1"/>
    </font>
    <font>
      <b val="true"/>
      <sz val="11"/>
      <name val="Calibri"/>
      <family val="2"/>
      <charset val="1"/>
    </font>
    <font>
      <b val="true"/>
      <sz val="11"/>
      <name val="Arial"/>
      <family val="2"/>
      <charset val="1"/>
    </font>
    <font>
      <b val="true"/>
      <sz val="9"/>
      <name val="Arial"/>
      <family val="2"/>
      <charset val="1"/>
    </font>
    <font>
      <b val="true"/>
      <sz val="24"/>
      <color rgb="FFC9211E"/>
      <name val="Arial"/>
      <family val="2"/>
      <charset val="1"/>
    </font>
    <font>
      <b val="true"/>
      <sz val="9"/>
      <color rgb="FF000000"/>
      <name val="Arial"/>
      <family val="2"/>
      <charset val="1"/>
    </font>
    <font>
      <sz val="9"/>
      <color rgb="FF000000"/>
      <name val="Arial"/>
      <family val="2"/>
      <charset val="1"/>
    </font>
    <font>
      <b val="true"/>
      <sz val="10"/>
      <color rgb="FF3465A4"/>
      <name val="Arial"/>
      <family val="2"/>
      <charset val="1"/>
    </font>
    <font>
      <b val="true"/>
      <sz val="8"/>
      <color rgb="FFFF0000"/>
      <name val="Arial"/>
      <family val="2"/>
      <charset val="1"/>
    </font>
    <font>
      <b val="true"/>
      <sz val="10"/>
      <color rgb="FFFF0000"/>
      <name val="Arial"/>
      <family val="2"/>
      <charset val="1"/>
    </font>
    <font>
      <b val="true"/>
      <sz val="10"/>
      <color rgb="FFBF0041"/>
      <name val="Arial"/>
      <family val="2"/>
      <charset val="1"/>
    </font>
    <font>
      <sz val="8"/>
      <color rgb="FF000000"/>
      <name val="Arial"/>
      <family val="2"/>
      <charset val="1"/>
    </font>
    <font>
      <sz val="18"/>
      <color rgb="FFFF0000"/>
      <name val="Roboto"/>
      <family val="0"/>
      <charset val="1"/>
    </font>
    <font>
      <b val="true"/>
      <sz val="10.5"/>
      <color rgb="FFC9211E"/>
      <name val="Roboto"/>
      <family val="0"/>
      <charset val="1"/>
    </font>
    <font>
      <b val="true"/>
      <sz val="9"/>
      <color rgb="FF333333"/>
      <name val="Roboto"/>
      <family val="0"/>
      <charset val="1"/>
    </font>
    <font>
      <i val="true"/>
      <sz val="9"/>
      <name val="Roboto"/>
      <family val="0"/>
      <charset val="1"/>
    </font>
    <font>
      <b val="true"/>
      <sz val="9"/>
      <color rgb="FFC9211E"/>
      <name val="Roboto"/>
      <family val="0"/>
      <charset val="1"/>
    </font>
    <font>
      <sz val="10"/>
      <color rgb="FFC9211E"/>
      <name val="Roboto"/>
      <family val="0"/>
      <charset val="1"/>
    </font>
    <font>
      <b val="true"/>
      <sz val="10"/>
      <color rgb="FFC9211E"/>
      <name val="Roboto"/>
      <family val="0"/>
      <charset val="1"/>
    </font>
    <font>
      <i val="true"/>
      <sz val="9"/>
      <color rgb="FFC9211E"/>
      <name val="Roboto"/>
      <family val="0"/>
      <charset val="1"/>
    </font>
    <font>
      <sz val="10"/>
      <color rgb="FFBF0041"/>
      <name val="Roboto"/>
      <family val="0"/>
      <charset val="1"/>
    </font>
    <font>
      <i val="true"/>
      <sz val="9"/>
      <color rgb="FFFF0000"/>
      <name val="Roboto"/>
      <family val="0"/>
      <charset val="1"/>
    </font>
    <font>
      <sz val="10"/>
      <color rgb="FFFF0000"/>
      <name val="Roboto"/>
      <family val="0"/>
      <charset val="1"/>
    </font>
    <font>
      <sz val="15"/>
      <color rgb="FFC9211E"/>
      <name val="Roboto"/>
      <family val="0"/>
      <charset val="1"/>
    </font>
  </fonts>
  <fills count="10">
    <fill>
      <patternFill patternType="none"/>
    </fill>
    <fill>
      <patternFill patternType="gray125"/>
    </fill>
    <fill>
      <patternFill patternType="solid">
        <fgColor rgb="FFFFFFFF"/>
        <bgColor rgb="FFFFFFCC"/>
      </patternFill>
    </fill>
    <fill>
      <patternFill patternType="solid">
        <fgColor rgb="FFB3CAC7"/>
        <bgColor rgb="FFB4C7DC"/>
      </patternFill>
    </fill>
    <fill>
      <patternFill patternType="solid">
        <fgColor rgb="FFE0C2CD"/>
        <bgColor rgb="FFDDDDDD"/>
      </patternFill>
    </fill>
    <fill>
      <patternFill patternType="solid">
        <fgColor rgb="FF729FCF"/>
        <bgColor rgb="FF969696"/>
      </patternFill>
    </fill>
    <fill>
      <patternFill patternType="solid">
        <fgColor rgb="FFB4C7DC"/>
        <bgColor rgb="FFB3CAC7"/>
      </patternFill>
    </fill>
    <fill>
      <patternFill patternType="solid">
        <fgColor rgb="FF00B0F0"/>
        <bgColor rgb="FF33CCCC"/>
      </patternFill>
    </fill>
    <fill>
      <patternFill patternType="solid">
        <fgColor rgb="FFFFFFA6"/>
        <bgColor rgb="FFFFFFCC"/>
      </patternFill>
    </fill>
    <fill>
      <patternFill patternType="solid">
        <fgColor rgb="FFDDDDDD"/>
        <bgColor rgb="FFE0C2CD"/>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bottom/>
      <diagonal/>
    </border>
    <border diagonalUp="false" diagonalDown="false">
      <left style="medium"/>
      <right style="medium"/>
      <top style="medium"/>
      <bottom style="medium"/>
      <diagonal/>
    </border>
    <border diagonalUp="false" diagonalDown="false">
      <left style="medium"/>
      <right style="medium"/>
      <top/>
      <bottom style="medium"/>
      <diagonal/>
    </border>
    <border diagonalUp="false" diagonalDown="false">
      <left style="thin"/>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72" fontId="5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cellStyleXfs>
  <cellXfs count="46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7" fillId="2" borderId="1" xfId="0" applyFont="true" applyBorder="true" applyAlignment="true" applyProtection="false">
      <alignment horizontal="center" vertical="center" textRotation="90" wrapText="fals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8" fillId="3" borderId="1" xfId="0" applyFont="true" applyBorder="true" applyAlignment="true" applyProtection="false">
      <alignment horizontal="center" vertical="center" textRotation="0" wrapText="tru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left" vertical="center" textRotation="0" wrapText="true" indent="0" shrinkToFit="false"/>
      <protection locked="true" hidden="false"/>
    </xf>
    <xf numFmtId="167" fontId="9" fillId="0" borderId="1" xfId="0" applyFont="true" applyBorder="true" applyAlignment="true" applyProtection="false">
      <alignment horizontal="general" vertical="center" textRotation="0" wrapText="false" indent="0" shrinkToFit="false"/>
      <protection locked="true" hidden="false"/>
    </xf>
    <xf numFmtId="167" fontId="9" fillId="2" borderId="1" xfId="0" applyFont="true" applyBorder="true" applyAlignment="true" applyProtection="false">
      <alignment horizontal="center" vertical="center" textRotation="0" wrapText="false" indent="0" shrinkToFit="false"/>
      <protection locked="true" hidden="false"/>
    </xf>
    <xf numFmtId="167" fontId="9" fillId="2" borderId="0" xfId="0" applyFont="true" applyBorder="true" applyAlignment="true" applyProtection="false">
      <alignment horizontal="center" vertical="center" textRotation="0" wrapText="false" indent="0" shrinkToFit="false"/>
      <protection locked="true" hidden="false"/>
    </xf>
    <xf numFmtId="168" fontId="13" fillId="2" borderId="1" xfId="0" applyFont="true" applyBorder="true" applyAlignment="true" applyProtection="false">
      <alignment horizontal="right" vertical="center" textRotation="0" wrapText="false" indent="0" shrinkToFit="false"/>
      <protection locked="true" hidden="false"/>
    </xf>
    <xf numFmtId="168" fontId="14" fillId="2" borderId="1" xfId="0" applyFont="true" applyBorder="true" applyAlignment="true" applyProtection="false">
      <alignment horizontal="right" vertical="center" textRotation="0" wrapText="false" indent="0" shrinkToFit="false"/>
      <protection locked="true" hidden="false"/>
    </xf>
    <xf numFmtId="168" fontId="15" fillId="2" borderId="0" xfId="0" applyFont="true" applyBorder="true" applyAlignment="true" applyProtection="false">
      <alignment horizontal="right" vertical="center" textRotation="0" wrapText="false" indent="0" shrinkToFit="false"/>
      <protection locked="true" hidden="false"/>
    </xf>
    <xf numFmtId="167" fontId="9" fillId="2" borderId="0" xfId="0" applyFont="true" applyBorder="true" applyAlignment="true" applyProtection="false">
      <alignment horizontal="general" vertical="center" textRotation="0" wrapText="false" indent="0" shrinkToFit="false"/>
      <protection locked="true" hidden="false"/>
    </xf>
    <xf numFmtId="167" fontId="15" fillId="2" borderId="0" xfId="0" applyFont="true" applyBorder="true" applyAlignment="true" applyProtection="false">
      <alignment horizontal="right"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7" fontId="9" fillId="2" borderId="0" xfId="0" applyFont="true" applyBorder="true" applyAlignment="true" applyProtection="false">
      <alignment horizontal="right" vertical="center" textRotation="0" wrapText="false" indent="0" shrinkToFit="false"/>
      <protection locked="true" hidden="false"/>
    </xf>
    <xf numFmtId="168" fontId="15" fillId="2" borderId="1" xfId="0" applyFont="true" applyBorder="true" applyAlignment="true" applyProtection="false">
      <alignment horizontal="right" vertical="center" textRotation="0" wrapText="false" indent="0" shrinkToFit="false"/>
      <protection locked="true" hidden="false"/>
    </xf>
    <xf numFmtId="168" fontId="10" fillId="2" borderId="1" xfId="0" applyFont="true" applyBorder="true" applyAlignment="true" applyProtection="false">
      <alignment horizontal="right" vertical="center" textRotation="0" wrapText="false" indent="0" shrinkToFit="false"/>
      <protection locked="true" hidden="false"/>
    </xf>
    <xf numFmtId="164" fontId="4"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9" fillId="3" borderId="0" xfId="0" applyFont="true" applyBorder="false" applyAlignment="true" applyProtection="false">
      <alignment horizontal="left" vertical="center" textRotation="0" wrapText="fals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4"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true" applyProtection="false">
      <alignment horizontal="right" vertical="center" textRotation="0" wrapText="false" indent="0" shrinkToFit="false"/>
      <protection locked="true" hidden="false"/>
    </xf>
    <xf numFmtId="168" fontId="7" fillId="3" borderId="0" xfId="0" applyFont="true" applyBorder="false" applyAlignment="true" applyProtection="false">
      <alignment horizontal="right" vertical="center" textRotation="0" wrapText="fals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4" fillId="3" borderId="0" xfId="0" applyFont="true" applyBorder="true" applyAlignment="true" applyProtection="false">
      <alignment horizontal="general" vertical="center" textRotation="0" wrapText="false" indent="0" shrinkToFit="false"/>
      <protection locked="true" hidden="false"/>
    </xf>
    <xf numFmtId="167" fontId="4" fillId="0" borderId="1" xfId="0" applyFont="true" applyBorder="true" applyAlignment="true" applyProtection="false">
      <alignment horizontal="general" vertical="center" textRotation="0" wrapText="false" indent="0" shrinkToFit="false"/>
      <protection locked="true" hidden="false"/>
    </xf>
    <xf numFmtId="167" fontId="4" fillId="2" borderId="0" xfId="0" applyFont="true" applyBorder="true" applyAlignment="true" applyProtection="false">
      <alignment horizontal="general" vertical="center" textRotation="0" wrapText="false" indent="0" shrinkToFit="false"/>
      <protection locked="true" hidden="false"/>
    </xf>
    <xf numFmtId="167" fontId="4" fillId="2" borderId="0" xfId="0" applyFont="true" applyBorder="true" applyAlignment="true" applyProtection="false">
      <alignment horizontal="right" vertical="center" textRotation="0" wrapText="false" indent="0" shrinkToFit="false"/>
      <protection locked="true" hidden="false"/>
    </xf>
    <xf numFmtId="168" fontId="7" fillId="2" borderId="0" xfId="0" applyFont="true" applyBorder="true" applyAlignment="true" applyProtection="false">
      <alignment horizontal="right" vertical="center" textRotation="0" wrapText="false" indent="0" shrinkToFit="false"/>
      <protection locked="true" hidden="false"/>
    </xf>
    <xf numFmtId="167" fontId="4" fillId="2" borderId="1" xfId="0" applyFont="true" applyBorder="true" applyAlignment="true" applyProtection="false">
      <alignment horizontal="center" vertical="center" textRotation="0" wrapText="false" indent="0" shrinkToFit="false"/>
      <protection locked="true" hidden="false"/>
    </xf>
    <xf numFmtId="168" fontId="10" fillId="2"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9" fontId="4" fillId="0" borderId="1" xfId="0" applyFont="true" applyBorder="true" applyAlignment="true" applyProtection="false">
      <alignment horizontal="general" vertical="center" textRotation="0" wrapText="false" indent="0" shrinkToFit="false"/>
      <protection locked="true" hidden="false"/>
    </xf>
    <xf numFmtId="169" fontId="4"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right" vertical="center" textRotation="0" wrapText="false" indent="0" shrinkToFit="false"/>
      <protection locked="true" hidden="false"/>
    </xf>
    <xf numFmtId="164" fontId="9" fillId="2" borderId="0" xfId="0" applyFont="true" applyBorder="true" applyAlignment="true" applyProtection="false">
      <alignment horizontal="right" vertical="center"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right" vertical="center" textRotation="0" wrapText="false" indent="0" shrinkToFit="false"/>
      <protection locked="true" hidden="false"/>
    </xf>
    <xf numFmtId="164" fontId="9" fillId="2" borderId="0" xfId="0" applyFont="true" applyBorder="false" applyAlignment="true" applyProtection="false">
      <alignment horizontal="right" vertical="center" textRotation="0" wrapText="false" indent="0" shrinkToFit="false"/>
      <protection locked="true" hidden="false"/>
    </xf>
    <xf numFmtId="164" fontId="17" fillId="4" borderId="1" xfId="0" applyFont="true" applyBorder="true" applyAlignment="true" applyProtection="false">
      <alignment horizontal="center" vertical="center" textRotation="0" wrapText="false" indent="0" shrinkToFit="false"/>
      <protection locked="true" hidden="false"/>
    </xf>
    <xf numFmtId="164" fontId="18" fillId="4" borderId="1" xfId="0" applyFont="true" applyBorder="true" applyAlignment="true" applyProtection="false">
      <alignment horizontal="right" vertical="center" textRotation="0" wrapText="false" indent="0" shrinkToFit="false"/>
      <protection locked="true" hidden="false"/>
    </xf>
    <xf numFmtId="167" fontId="7" fillId="4" borderId="1" xfId="0" applyFont="true" applyBorder="true" applyAlignment="true" applyProtection="false">
      <alignment horizontal="right" vertical="center" textRotation="0" wrapText="false" indent="0" shrinkToFit="false"/>
      <protection locked="true" hidden="false"/>
    </xf>
    <xf numFmtId="167" fontId="7" fillId="2" borderId="0"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7" fontId="7" fillId="2" borderId="0" xfId="0" applyFont="true" applyBorder="false" applyAlignment="true" applyProtection="false">
      <alignment horizontal="right" vertical="center" textRotation="0" wrapText="false" indent="0" shrinkToFit="false"/>
      <protection locked="true" hidden="false"/>
    </xf>
    <xf numFmtId="170" fontId="10" fillId="2" borderId="1" xfId="0" applyFont="true" applyBorder="true" applyAlignment="true" applyProtection="false">
      <alignment horizontal="right" vertical="center" textRotation="0" wrapText="false" indent="0" shrinkToFit="false"/>
      <protection locked="true" hidden="false"/>
    </xf>
    <xf numFmtId="167" fontId="4" fillId="0"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right" vertical="center" textRotation="0" wrapText="fals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7" fontId="4" fillId="4" borderId="1" xfId="0" applyFont="true" applyBorder="true" applyAlignment="true" applyProtection="false">
      <alignment horizontal="right" vertical="center" textRotation="0" wrapText="false" indent="0" shrinkToFit="false"/>
      <protection locked="true" hidden="false"/>
    </xf>
    <xf numFmtId="171" fontId="4" fillId="0" borderId="0" xfId="0" applyFont="true" applyBorder="false" applyAlignment="true" applyProtection="false">
      <alignment horizontal="general" vertical="center" textRotation="0" wrapText="false" indent="0" shrinkToFit="false"/>
      <protection locked="true" hidden="false"/>
    </xf>
    <xf numFmtId="170" fontId="4" fillId="0" borderId="0" xfId="0" applyFont="true" applyBorder="false" applyAlignment="true" applyProtection="false">
      <alignment horizontal="general" vertical="center" textRotation="0" wrapText="false" indent="0" shrinkToFit="false"/>
      <protection locked="true" hidden="false"/>
    </xf>
    <xf numFmtId="167" fontId="4" fillId="2"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2" borderId="0" xfId="0" applyFont="true" applyBorder="false" applyAlignment="true" applyProtection="false">
      <alignment horizontal="center" vertical="center" textRotation="0" wrapText="false" indent="0" shrinkToFit="false"/>
      <protection locked="true" hidden="false"/>
    </xf>
    <xf numFmtId="164" fontId="22" fillId="2"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false" applyAlignment="true" applyProtection="false">
      <alignment horizontal="general" vertical="center" textRotation="0" wrapText="true" indent="0" shrinkToFit="false"/>
      <protection locked="true" hidden="false"/>
    </xf>
    <xf numFmtId="164" fontId="23" fillId="0" borderId="0" xfId="0" applyFont="true" applyBorder="true" applyAlignment="true" applyProtection="false">
      <alignment horizontal="left" vertical="center" textRotation="0" wrapText="false" indent="0" shrinkToFit="false"/>
      <protection locked="true" hidden="false"/>
    </xf>
    <xf numFmtId="164" fontId="24" fillId="2" borderId="0" xfId="0" applyFont="true" applyBorder="true" applyAlignment="true" applyProtection="false">
      <alignment horizontal="left" vertical="center" textRotation="0" wrapText="false" indent="0" shrinkToFit="false"/>
      <protection locked="true" hidden="false"/>
    </xf>
    <xf numFmtId="164" fontId="25" fillId="0" borderId="0" xfId="0" applyFont="true" applyBorder="true" applyAlignment="true" applyProtection="false">
      <alignment horizontal="center" vertical="center" textRotation="0" wrapText="false" indent="0" shrinkToFit="false"/>
      <protection locked="true" hidden="false"/>
    </xf>
    <xf numFmtId="164" fontId="26" fillId="3" borderId="1" xfId="0" applyFont="true" applyBorder="true" applyAlignment="true" applyProtection="false">
      <alignment horizontal="center" vertical="center" textRotation="0" wrapText="true" indent="0" shrinkToFit="false"/>
      <protection locked="true" hidden="false"/>
    </xf>
    <xf numFmtId="164" fontId="27" fillId="3" borderId="1" xfId="0" applyFont="true" applyBorder="true" applyAlignment="true" applyProtection="false">
      <alignment horizontal="general" vertical="center" textRotation="0" wrapText="true" indent="0" shrinkToFit="false"/>
      <protection locked="true" hidden="false"/>
    </xf>
    <xf numFmtId="164" fontId="28" fillId="3"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27" fillId="3" borderId="1" xfId="0" applyFont="true" applyBorder="true" applyAlignment="true" applyProtection="false">
      <alignment horizontal="center" vertical="center" textRotation="0" wrapText="false" indent="0" shrinkToFit="false"/>
      <protection locked="true" hidden="false"/>
    </xf>
    <xf numFmtId="164" fontId="27" fillId="2" borderId="0" xfId="0" applyFont="true" applyBorder="true" applyAlignment="true" applyProtection="false">
      <alignment horizontal="center" vertical="center" textRotation="0" wrapText="false" indent="0" shrinkToFit="false"/>
      <protection locked="true" hidden="false"/>
    </xf>
    <xf numFmtId="164" fontId="29" fillId="0" borderId="1" xfId="0" applyFont="true" applyBorder="true" applyAlignment="true" applyProtection="false">
      <alignment horizontal="center" vertical="center" textRotation="90" wrapText="true" indent="0" shrinkToFit="false"/>
      <protection locked="true" hidden="false"/>
    </xf>
    <xf numFmtId="164" fontId="30" fillId="0" borderId="1" xfId="0" applyFont="true" applyBorder="true" applyAlignment="true" applyProtection="false">
      <alignment horizontal="center" vertical="center" textRotation="90" wrapText="false" indent="0" shrinkToFit="false"/>
      <protection locked="true" hidden="false"/>
    </xf>
    <xf numFmtId="164" fontId="31" fillId="2" borderId="1" xfId="0" applyFont="true" applyBorder="true" applyAlignment="true" applyProtection="false">
      <alignment horizontal="left" vertical="center" textRotation="0" wrapText="true" indent="0" shrinkToFit="false"/>
      <protection locked="true" hidden="false"/>
    </xf>
    <xf numFmtId="164" fontId="21" fillId="2" borderId="1" xfId="0" applyFont="true" applyBorder="true" applyAlignment="true" applyProtection="false">
      <alignment horizontal="left" vertical="center" textRotation="0" wrapText="false" indent="0" shrinkToFit="false"/>
      <protection locked="true" hidden="false"/>
    </xf>
    <xf numFmtId="164" fontId="32" fillId="0" borderId="1" xfId="0" applyFont="true" applyBorder="true" applyAlignment="true" applyProtection="false">
      <alignment horizontal="center" vertical="center" textRotation="0" wrapText="false" indent="0" shrinkToFit="false"/>
      <protection locked="true" hidden="false"/>
    </xf>
    <xf numFmtId="164" fontId="21" fillId="2" borderId="0" xfId="0" applyFont="true" applyBorder="true" applyAlignment="true" applyProtection="false">
      <alignment horizontal="general" vertical="center" textRotation="0" wrapText="true" indent="0" shrinkToFit="false"/>
      <protection locked="true" hidden="false"/>
    </xf>
    <xf numFmtId="167" fontId="33" fillId="5" borderId="1" xfId="0" applyFont="true" applyBorder="true" applyAlignment="true" applyProtection="false">
      <alignment horizontal="right" vertical="center" textRotation="0" wrapText="false" indent="0" shrinkToFit="false"/>
      <protection locked="true" hidden="false"/>
    </xf>
    <xf numFmtId="167" fontId="33" fillId="0" borderId="1" xfId="0" applyFont="true" applyBorder="true" applyAlignment="true" applyProtection="false">
      <alignment horizontal="right" vertical="center" textRotation="0" wrapText="false" indent="0" shrinkToFit="false"/>
      <protection locked="true" hidden="false"/>
    </xf>
    <xf numFmtId="167" fontId="33" fillId="2" borderId="0" xfId="0" applyFont="true" applyBorder="true" applyAlignment="true" applyProtection="false">
      <alignment horizontal="general" vertical="center" textRotation="0" wrapText="true" indent="0" shrinkToFit="false"/>
      <protection locked="true" hidden="false"/>
    </xf>
    <xf numFmtId="167" fontId="33" fillId="6" borderId="1" xfId="0" applyFont="true" applyBorder="true" applyAlignment="true" applyProtection="false">
      <alignment horizontal="general" vertical="center" textRotation="0" wrapText="false" indent="0" shrinkToFit="false"/>
      <protection locked="true" hidden="false"/>
    </xf>
    <xf numFmtId="167" fontId="33" fillId="0" borderId="1" xfId="0" applyFont="true" applyBorder="true" applyAlignment="true" applyProtection="false">
      <alignment horizontal="general" vertical="center" textRotation="0" wrapText="false" indent="0" shrinkToFit="false"/>
      <protection locked="true" hidden="false"/>
    </xf>
    <xf numFmtId="167" fontId="33" fillId="2" borderId="0" xfId="0" applyFont="true" applyBorder="false" applyAlignment="true" applyProtection="false">
      <alignment horizontal="general"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7" fontId="33" fillId="2" borderId="1" xfId="0" applyFont="true" applyBorder="true" applyAlignment="true" applyProtection="false">
      <alignment horizontal="right" vertical="center" textRotation="0" wrapText="false" indent="0" shrinkToFit="false"/>
      <protection locked="true" hidden="false"/>
    </xf>
    <xf numFmtId="167" fontId="33" fillId="0" borderId="1" xfId="0" applyFont="true" applyBorder="true" applyAlignment="true" applyProtection="false">
      <alignment horizontal="center" vertical="center" textRotation="0" wrapText="false" indent="0" shrinkToFit="false"/>
      <protection locked="true" hidden="false"/>
    </xf>
    <xf numFmtId="164" fontId="21" fillId="2" borderId="1" xfId="0" applyFont="true" applyBorder="true" applyAlignment="true" applyProtection="false">
      <alignment horizontal="left" vertical="center" textRotation="0" wrapText="true" indent="0" shrinkToFit="false"/>
      <protection locked="true" hidden="false"/>
    </xf>
    <xf numFmtId="164" fontId="34" fillId="2" borderId="1" xfId="0" applyFont="true" applyBorder="true" applyAlignment="true" applyProtection="false">
      <alignment horizontal="left" vertical="center" textRotation="0" wrapText="true" indent="0" shrinkToFit="false"/>
      <protection locked="true" hidden="false"/>
    </xf>
    <xf numFmtId="164" fontId="35" fillId="0" borderId="1" xfId="0" applyFont="true" applyBorder="true" applyAlignment="true" applyProtection="false">
      <alignment horizontal="center" vertical="center" textRotation="0" wrapText="true" indent="0" shrinkToFit="false"/>
      <protection locked="true" hidden="false"/>
    </xf>
    <xf numFmtId="164" fontId="31" fillId="0" borderId="1" xfId="0" applyFont="true" applyBorder="true" applyAlignment="true" applyProtection="false">
      <alignment horizontal="left" vertical="center" textRotation="0" wrapText="true" indent="0" shrinkToFit="false"/>
      <protection locked="true" hidden="false"/>
    </xf>
    <xf numFmtId="164" fontId="21" fillId="0" borderId="1" xfId="0" applyFont="true" applyBorder="true" applyAlignment="true" applyProtection="false">
      <alignment horizontal="left" vertical="center" textRotation="0" wrapText="true" indent="0" shrinkToFit="false"/>
      <protection locked="true" hidden="false"/>
    </xf>
    <xf numFmtId="164" fontId="21" fillId="0" borderId="1" xfId="0" applyFont="true" applyBorder="true" applyAlignment="true" applyProtection="false">
      <alignment horizontal="left" vertical="center" textRotation="0" wrapText="false" indent="0" shrinkToFit="false"/>
      <protection locked="true" hidden="false"/>
    </xf>
    <xf numFmtId="167" fontId="36" fillId="2" borderId="1" xfId="0" applyFont="true" applyBorder="true" applyAlignment="true" applyProtection="false">
      <alignment horizontal="right" vertical="center" textRotation="0" wrapText="false" indent="0" shrinkToFit="false"/>
      <protection locked="true" hidden="false"/>
    </xf>
    <xf numFmtId="164" fontId="34" fillId="0" borderId="1" xfId="0" applyFont="true" applyBorder="true" applyAlignment="true" applyProtection="false">
      <alignment horizontal="left" vertical="center" textRotation="0" wrapText="true" indent="0" shrinkToFit="false"/>
      <protection locked="true" hidden="false"/>
    </xf>
    <xf numFmtId="164" fontId="37" fillId="3" borderId="0" xfId="0" applyFont="true" applyBorder="true" applyAlignment="true" applyProtection="false">
      <alignment horizontal="left" vertical="center" textRotation="90" wrapText="false" indent="0" shrinkToFit="false"/>
      <protection locked="true" hidden="false"/>
    </xf>
    <xf numFmtId="164" fontId="32" fillId="3" borderId="0" xfId="0" applyFont="true" applyBorder="false" applyAlignment="true" applyProtection="false">
      <alignment horizontal="left" vertical="center" textRotation="0" wrapText="true" indent="0" shrinkToFit="false"/>
      <protection locked="true" hidden="false"/>
    </xf>
    <xf numFmtId="164" fontId="21" fillId="3" borderId="0" xfId="0" applyFont="true" applyBorder="false" applyAlignment="true" applyProtection="false">
      <alignment horizontal="left" vertical="center" textRotation="0" wrapText="false" indent="0" shrinkToFit="false"/>
      <protection locked="true" hidden="false"/>
    </xf>
    <xf numFmtId="164" fontId="32" fillId="3" borderId="0" xfId="0" applyFont="true" applyBorder="false" applyAlignment="true" applyProtection="false">
      <alignment horizontal="center" vertical="center" textRotation="0" wrapText="false" indent="0" shrinkToFit="false"/>
      <protection locked="true" hidden="false"/>
    </xf>
    <xf numFmtId="164" fontId="38" fillId="3" borderId="0" xfId="0" applyFont="true" applyBorder="false" applyAlignment="true" applyProtection="false">
      <alignment horizontal="center" vertical="center" textRotation="0" wrapText="false" indent="0" shrinkToFit="false"/>
      <protection locked="true" hidden="false"/>
    </xf>
    <xf numFmtId="169" fontId="38" fillId="3" borderId="0" xfId="0" applyFont="true" applyBorder="false" applyAlignment="true" applyProtection="false">
      <alignment horizontal="general" vertical="center" textRotation="0" wrapText="false" indent="0" shrinkToFit="false"/>
      <protection locked="true" hidden="false"/>
    </xf>
    <xf numFmtId="169" fontId="38" fillId="2" borderId="0" xfId="0" applyFont="true" applyBorder="false" applyAlignment="true" applyProtection="false">
      <alignment horizontal="general" vertical="center" textRotation="0" wrapText="false" indent="0" shrinkToFit="false"/>
      <protection locked="true" hidden="false"/>
    </xf>
    <xf numFmtId="169" fontId="33" fillId="2" borderId="0" xfId="0" applyFont="true" applyBorder="false" applyAlignment="true" applyProtection="false">
      <alignment horizontal="general" vertical="center" textRotation="0" wrapText="true" indent="0" shrinkToFit="false"/>
      <protection locked="true" hidden="false"/>
    </xf>
    <xf numFmtId="164" fontId="27" fillId="0" borderId="1" xfId="0" applyFont="true" applyBorder="true" applyAlignment="true" applyProtection="false">
      <alignment horizontal="left" vertical="center" textRotation="0" wrapText="true" indent="0" shrinkToFit="false"/>
      <protection locked="true" hidden="false"/>
    </xf>
    <xf numFmtId="167" fontId="33" fillId="6" borderId="1" xfId="0" applyFont="true" applyBorder="true" applyAlignment="true" applyProtection="false">
      <alignment horizontal="right" vertical="center" textRotation="0" wrapText="false" indent="0" shrinkToFit="false"/>
      <protection locked="true" hidden="false"/>
    </xf>
    <xf numFmtId="164" fontId="39" fillId="0" borderId="1" xfId="0" applyFont="true" applyBorder="true" applyAlignment="true" applyProtection="false">
      <alignment horizontal="center" vertical="center" textRotation="0" wrapText="true" indent="0" shrinkToFit="false"/>
      <protection locked="true" hidden="false"/>
    </xf>
    <xf numFmtId="164" fontId="33" fillId="2" borderId="1" xfId="0" applyFont="true" applyBorder="true" applyAlignment="true" applyProtection="false">
      <alignment horizontal="left" vertical="center" textRotation="0" wrapText="true" indent="0" shrinkToFit="false"/>
      <protection locked="true" hidden="false"/>
    </xf>
    <xf numFmtId="164" fontId="40" fillId="0" borderId="1" xfId="0" applyFont="true" applyBorder="true" applyAlignment="true" applyProtection="false">
      <alignment horizontal="center" vertical="center" textRotation="0" wrapText="true" indent="0" shrinkToFit="false"/>
      <protection locked="true" hidden="false"/>
    </xf>
    <xf numFmtId="164" fontId="40" fillId="2" borderId="1" xfId="0" applyFont="true" applyBorder="true" applyAlignment="true" applyProtection="false">
      <alignment horizontal="center" vertical="center" textRotation="0" wrapText="true" indent="0" shrinkToFit="false"/>
      <protection locked="true" hidden="false"/>
    </xf>
    <xf numFmtId="169" fontId="33" fillId="2" borderId="1" xfId="0" applyFont="true" applyBorder="true" applyAlignment="true" applyProtection="false">
      <alignment horizontal="right" vertical="center" textRotation="0" wrapText="false" indent="0" shrinkToFit="false"/>
      <protection locked="true" hidden="false"/>
    </xf>
    <xf numFmtId="167" fontId="33" fillId="2" borderId="1" xfId="0" applyFont="true" applyBorder="true" applyAlignment="true" applyProtection="false">
      <alignment horizontal="right" vertical="center" textRotation="0" wrapText="true" indent="0" shrinkToFit="false"/>
      <protection locked="true" hidden="false"/>
    </xf>
    <xf numFmtId="169" fontId="33" fillId="2" borderId="1" xfId="0" applyFont="true" applyBorder="true" applyAlignment="true" applyProtection="false">
      <alignment horizontal="general" vertical="center" textRotation="0" wrapText="false" indent="0" shrinkToFit="false"/>
      <protection locked="true" hidden="false"/>
    </xf>
    <xf numFmtId="167" fontId="33" fillId="2" borderId="0" xfId="0" applyFont="true" applyBorder="true" applyAlignment="true" applyProtection="false">
      <alignment horizontal="general" vertical="center" textRotation="0" wrapText="false" indent="0" shrinkToFit="false"/>
      <protection locked="true" hidden="false"/>
    </xf>
    <xf numFmtId="164" fontId="41" fillId="2" borderId="1" xfId="0" applyFont="true" applyBorder="true" applyAlignment="true" applyProtection="false">
      <alignment horizontal="center" vertical="center" textRotation="0" wrapText="false" indent="0" shrinkToFit="false"/>
      <protection locked="true" hidden="false"/>
    </xf>
    <xf numFmtId="164" fontId="21" fillId="2" borderId="0" xfId="0" applyFont="true" applyBorder="true" applyAlignment="true" applyProtection="false">
      <alignment horizontal="center" vertical="center" textRotation="0" wrapText="true" indent="0" shrinkToFit="false"/>
      <protection locked="true" hidden="false"/>
    </xf>
    <xf numFmtId="167" fontId="33" fillId="2" borderId="0" xfId="0" applyFont="true" applyBorder="true" applyAlignment="true" applyProtection="false">
      <alignment horizontal="center" vertical="center" textRotation="0" wrapText="true" indent="0" shrinkToFit="false"/>
      <protection locked="true" hidden="false"/>
    </xf>
    <xf numFmtId="164" fontId="42" fillId="0" borderId="1" xfId="0" applyFont="true" applyBorder="true" applyAlignment="true" applyProtection="false">
      <alignment horizontal="left" vertical="center" textRotation="0" wrapText="true" indent="0" shrinkToFit="false"/>
      <protection locked="true" hidden="false"/>
    </xf>
    <xf numFmtId="167" fontId="33" fillId="2" borderId="1" xfId="0" applyFont="true" applyBorder="true" applyAlignment="true" applyProtection="false">
      <alignment horizontal="general" vertical="center" textRotation="0" wrapText="false" indent="0" shrinkToFit="false"/>
      <protection locked="true" hidden="false"/>
    </xf>
    <xf numFmtId="164" fontId="27" fillId="2" borderId="0" xfId="0" applyFont="true" applyBorder="true" applyAlignment="true" applyProtection="false">
      <alignment horizontal="center" vertical="center" textRotation="0" wrapText="true" indent="0" shrinkToFit="false"/>
      <protection locked="true" hidden="false"/>
    </xf>
    <xf numFmtId="164" fontId="32" fillId="2" borderId="0" xfId="0" applyFont="true" applyBorder="true" applyAlignment="true" applyProtection="false">
      <alignment horizontal="center" vertical="center" textRotation="0" wrapText="true" indent="0" shrinkToFit="false"/>
      <protection locked="true" hidden="false"/>
    </xf>
    <xf numFmtId="164" fontId="21" fillId="2" borderId="0" xfId="0" applyFont="true" applyBorder="true" applyAlignment="true" applyProtection="false">
      <alignment horizontal="left" vertical="center" textRotation="0" wrapText="false" indent="0" shrinkToFit="false"/>
      <protection locked="true" hidden="false"/>
    </xf>
    <xf numFmtId="164" fontId="32" fillId="2" borderId="0" xfId="0" applyFont="true" applyBorder="true" applyAlignment="true" applyProtection="false">
      <alignment horizontal="center" vertical="center" textRotation="0" wrapText="false" indent="0" shrinkToFit="false"/>
      <protection locked="true" hidden="false"/>
    </xf>
    <xf numFmtId="167" fontId="33" fillId="2" borderId="0" xfId="0" applyFont="true" applyBorder="true" applyAlignment="true" applyProtection="false">
      <alignment horizontal="right" vertical="center" textRotation="0" wrapText="false" indent="0" shrinkToFit="false"/>
      <protection locked="true" hidden="false"/>
    </xf>
    <xf numFmtId="169" fontId="33" fillId="2" borderId="0" xfId="0" applyFont="true" applyBorder="true" applyAlignment="true" applyProtection="false">
      <alignment horizontal="right" vertical="center" textRotation="0" wrapText="false" indent="0" shrinkToFit="false"/>
      <protection locked="true" hidden="false"/>
    </xf>
    <xf numFmtId="169" fontId="33" fillId="2" borderId="0" xfId="0" applyFont="true" applyBorder="true" applyAlignment="true" applyProtection="false">
      <alignment horizontal="general" vertical="center" textRotation="0" wrapText="true" indent="0" shrinkToFit="false"/>
      <protection locked="true" hidden="false"/>
    </xf>
    <xf numFmtId="169" fontId="38" fillId="2" borderId="0" xfId="0" applyFont="true" applyBorder="true" applyAlignment="true" applyProtection="false">
      <alignment horizontal="general" vertical="center" textRotation="0" wrapText="false" indent="0" shrinkToFit="false"/>
      <protection locked="true" hidden="false"/>
    </xf>
    <xf numFmtId="164" fontId="22" fillId="2" borderId="0" xfId="0" applyFont="true" applyBorder="false" applyAlignment="true" applyProtection="false">
      <alignment horizontal="general" vertical="center" textRotation="0" wrapText="false" indent="0" shrinkToFit="false"/>
      <protection locked="true" hidden="false"/>
    </xf>
    <xf numFmtId="164" fontId="32" fillId="2" borderId="0" xfId="0" applyFont="true" applyBorder="true" applyAlignment="true" applyProtection="false">
      <alignment horizontal="left" vertical="center" textRotation="0" wrapText="false" indent="0" shrinkToFit="false"/>
      <protection locked="true" hidden="false"/>
    </xf>
    <xf numFmtId="164" fontId="26" fillId="4" borderId="1" xfId="0" applyFont="true" applyBorder="true" applyAlignment="true" applyProtection="false">
      <alignment horizontal="center" vertical="center" textRotation="0" wrapText="false" indent="0" shrinkToFit="false"/>
      <protection locked="true" hidden="false"/>
    </xf>
    <xf numFmtId="164" fontId="26" fillId="2" borderId="0" xfId="0" applyFont="true" applyBorder="true" applyAlignment="true" applyProtection="false">
      <alignment horizontal="center" vertical="center" textRotation="0" wrapText="false" indent="0" shrinkToFit="false"/>
      <protection locked="true" hidden="false"/>
    </xf>
    <xf numFmtId="169" fontId="43" fillId="4" borderId="1" xfId="0" applyFont="true" applyBorder="true" applyAlignment="true" applyProtection="false">
      <alignment horizontal="center" vertical="center" textRotation="0" wrapText="true" indent="0" shrinkToFit="false"/>
      <protection locked="true" hidden="false"/>
    </xf>
    <xf numFmtId="169" fontId="28" fillId="4" borderId="1" xfId="0" applyFont="true" applyBorder="true" applyAlignment="true" applyProtection="false">
      <alignment horizontal="center" vertical="center" textRotation="0" wrapText="true" indent="0" shrinkToFit="false"/>
      <protection locked="true" hidden="false"/>
    </xf>
    <xf numFmtId="164" fontId="44" fillId="0" borderId="1" xfId="0" applyFont="true" applyBorder="true" applyAlignment="true" applyProtection="false">
      <alignment horizontal="right" vertical="center" textRotation="0" wrapText="false" indent="0" shrinkToFit="false"/>
      <protection locked="true" hidden="false"/>
    </xf>
    <xf numFmtId="164" fontId="44" fillId="2" borderId="0" xfId="0" applyFont="true" applyBorder="true" applyAlignment="true" applyProtection="false">
      <alignment horizontal="general" vertical="center" textRotation="0" wrapText="false" indent="0" shrinkToFit="false"/>
      <protection locked="true" hidden="false"/>
    </xf>
    <xf numFmtId="167" fontId="43" fillId="0" borderId="1" xfId="0" applyFont="true" applyBorder="true" applyAlignment="true" applyProtection="false">
      <alignment horizontal="general" vertical="center" textRotation="0" wrapText="false" indent="0" shrinkToFit="false"/>
      <protection locked="true" hidden="false"/>
    </xf>
    <xf numFmtId="167" fontId="33" fillId="2" borderId="0" xfId="0" applyFont="true" applyBorder="false" applyAlignment="false" applyProtection="false">
      <alignment horizontal="general" vertical="bottom" textRotation="0" wrapText="false" indent="0" shrinkToFit="false"/>
      <protection locked="true" hidden="false"/>
    </xf>
    <xf numFmtId="164" fontId="44" fillId="0" borderId="1" xfId="0" applyFont="true" applyBorder="true" applyAlignment="true" applyProtection="false">
      <alignment horizontal="right"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7" fontId="33" fillId="0" borderId="1" xfId="0" applyFont="true" applyBorder="true" applyAlignment="false" applyProtection="false">
      <alignment horizontal="general" vertical="bottom" textRotation="0" wrapText="false" indent="0" shrinkToFit="false"/>
      <protection locked="true" hidden="false"/>
    </xf>
    <xf numFmtId="164" fontId="22" fillId="3" borderId="0" xfId="0" applyFont="true" applyBorder="false" applyAlignment="true" applyProtection="false">
      <alignment horizontal="center" vertical="center" textRotation="0" wrapText="false" indent="0" shrinkToFit="false"/>
      <protection locked="true" hidden="false"/>
    </xf>
    <xf numFmtId="164" fontId="22" fillId="3" borderId="0" xfId="0" applyFont="true" applyBorder="false" applyAlignment="true" applyProtection="false">
      <alignment horizontal="general" vertical="center" textRotation="0" wrapText="false" indent="0" shrinkToFit="false"/>
      <protection locked="true" hidden="false"/>
    </xf>
    <xf numFmtId="164" fontId="32" fillId="3" borderId="0" xfId="0" applyFont="true" applyBorder="false" applyAlignment="true" applyProtection="false">
      <alignment horizontal="left" vertical="center" textRotation="0" wrapText="false" indent="0" shrinkToFit="false"/>
      <protection locked="true" hidden="false"/>
    </xf>
    <xf numFmtId="169" fontId="43" fillId="3" borderId="0" xfId="0" applyFont="true" applyBorder="false" applyAlignment="true" applyProtection="false">
      <alignment horizontal="general" vertical="center" textRotation="0" wrapText="false" indent="0" shrinkToFit="false"/>
      <protection locked="true" hidden="false"/>
    </xf>
    <xf numFmtId="169" fontId="43" fillId="3" borderId="0" xfId="0" applyFont="true" applyBorder="true" applyAlignment="true" applyProtection="false">
      <alignment horizontal="right" vertical="center" textRotation="0" wrapText="false" indent="0" shrinkToFit="false"/>
      <protection locked="true" hidden="false"/>
    </xf>
    <xf numFmtId="164" fontId="29" fillId="0" borderId="1" xfId="0" applyFont="true" applyBorder="true" applyAlignment="true" applyProtection="false">
      <alignment horizontal="center" vertical="center" textRotation="90" wrapText="false" indent="0" shrinkToFit="false"/>
      <protection locked="true" hidden="false"/>
    </xf>
    <xf numFmtId="164" fontId="30" fillId="0" borderId="1" xfId="0" applyFont="true" applyBorder="true" applyAlignment="true" applyProtection="false">
      <alignment horizontal="center" vertical="center" textRotation="90" wrapText="true" indent="0" shrinkToFit="false"/>
      <protection locked="true" hidden="false"/>
    </xf>
    <xf numFmtId="169" fontId="33" fillId="0" borderId="1" xfId="0" applyFont="true" applyBorder="true" applyAlignment="true" applyProtection="false">
      <alignment horizontal="right" vertical="center" textRotation="0" wrapText="false" indent="0" shrinkToFit="false"/>
      <protection locked="true" hidden="false"/>
    </xf>
    <xf numFmtId="169" fontId="33" fillId="2" borderId="0" xfId="0" applyFont="true" applyBorder="false" applyAlignment="true" applyProtection="false">
      <alignment horizontal="right" vertical="center" textRotation="0" wrapText="true" indent="0" shrinkToFit="false"/>
      <protection locked="true" hidden="false"/>
    </xf>
    <xf numFmtId="164" fontId="34" fillId="0" borderId="1" xfId="0" applyFont="true" applyBorder="true" applyAlignment="true" applyProtection="false">
      <alignment horizontal="center" vertical="center" textRotation="0" wrapText="true" indent="0" shrinkToFit="false"/>
      <protection locked="true" hidden="false"/>
    </xf>
    <xf numFmtId="170" fontId="21" fillId="2" borderId="0" xfId="0" applyFont="true" applyBorder="true" applyAlignment="true" applyProtection="false">
      <alignment horizontal="general" vertical="center" textRotation="0" wrapText="true" indent="0" shrinkToFit="false"/>
      <protection locked="true" hidden="false"/>
    </xf>
    <xf numFmtId="169" fontId="33" fillId="2" borderId="0" xfId="0" applyFont="true" applyBorder="true" applyAlignment="true" applyProtection="false">
      <alignment horizontal="right" vertical="center" textRotation="0" wrapText="true" indent="0" shrinkToFit="false"/>
      <protection locked="true" hidden="false"/>
    </xf>
    <xf numFmtId="164" fontId="34" fillId="2" borderId="1" xfId="0" applyFont="true" applyBorder="true" applyAlignment="true" applyProtection="false">
      <alignment horizontal="center" vertical="center" textRotation="0" wrapText="true" indent="0" shrinkToFit="false"/>
      <protection locked="true" hidden="false"/>
    </xf>
    <xf numFmtId="167" fontId="33" fillId="2" borderId="0" xfId="0" applyFont="true" applyBorder="true" applyAlignment="true" applyProtection="false">
      <alignment horizontal="right" vertical="center" textRotation="0" wrapText="true" indent="0" shrinkToFit="false"/>
      <protection locked="true" hidden="false"/>
    </xf>
    <xf numFmtId="167" fontId="33" fillId="2" borderId="0" xfId="0" applyFont="true" applyBorder="false" applyAlignment="true" applyProtection="false">
      <alignment horizontal="right" vertical="center" textRotation="0" wrapText="true" indent="0" shrinkToFit="false"/>
      <protection locked="true" hidden="false"/>
    </xf>
    <xf numFmtId="164" fontId="32" fillId="2" borderId="1" xfId="0" applyFont="true" applyBorder="true" applyAlignment="true" applyProtection="false">
      <alignment horizontal="center" vertical="center" textRotation="0" wrapText="false" indent="0" shrinkToFit="false"/>
      <protection locked="true" hidden="false"/>
    </xf>
    <xf numFmtId="167" fontId="21" fillId="2" borderId="0" xfId="0" applyFont="true" applyBorder="false" applyAlignment="true" applyProtection="false">
      <alignment horizontal="right"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left" vertical="center" textRotation="0" wrapText="true" indent="0" shrinkToFit="false"/>
      <protection locked="true" hidden="false"/>
    </xf>
    <xf numFmtId="164" fontId="32" fillId="0" borderId="0" xfId="0" applyFont="true" applyBorder="true" applyAlignment="true" applyProtection="false">
      <alignment horizontal="center" vertical="center" textRotation="0" wrapText="false" indent="0" shrinkToFit="false"/>
      <protection locked="true" hidden="false"/>
    </xf>
    <xf numFmtId="164" fontId="45" fillId="0" borderId="0" xfId="0" applyFont="true" applyBorder="true" applyAlignment="true" applyProtection="false">
      <alignment horizontal="left" vertical="center" textRotation="0" wrapText="true" indent="0" shrinkToFit="false"/>
      <protection locked="true" hidden="false"/>
    </xf>
    <xf numFmtId="169" fontId="33" fillId="2" borderId="0" xfId="0" applyFont="true" applyBorder="true" applyAlignment="true" applyProtection="false">
      <alignment horizontal="center" vertical="center" textRotation="0" wrapText="false" indent="0" shrinkToFit="false"/>
      <protection locked="true" hidden="false"/>
    </xf>
    <xf numFmtId="169" fontId="38" fillId="0" borderId="0" xfId="0" applyFont="true" applyBorder="false" applyAlignment="true" applyProtection="false">
      <alignment horizontal="general" vertical="center" textRotation="0" wrapText="false" indent="0" shrinkToFit="false"/>
      <protection locked="true" hidden="false"/>
    </xf>
    <xf numFmtId="164" fontId="32" fillId="0" borderId="0" xfId="0" applyFont="true" applyBorder="true" applyAlignment="true" applyProtection="false">
      <alignment horizontal="left" vertical="center" textRotation="0" wrapText="false" indent="0" shrinkToFit="false"/>
      <protection locked="true" hidden="false"/>
    </xf>
    <xf numFmtId="164" fontId="46" fillId="0" borderId="0" xfId="0" applyFont="true" applyBorder="true" applyAlignment="true" applyProtection="false">
      <alignment horizontal="center" vertical="center" textRotation="0" wrapText="false" indent="0" shrinkToFit="false"/>
      <protection locked="true" hidden="false"/>
    </xf>
    <xf numFmtId="167" fontId="43" fillId="0"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false">
      <alignment horizontal="general" vertical="center" textRotation="0" wrapText="false" indent="0" shrinkToFit="false"/>
      <protection locked="true" hidden="false"/>
    </xf>
    <xf numFmtId="167" fontId="33" fillId="0" borderId="0" xfId="0" applyFont="true" applyBorder="true" applyAlignment="true" applyProtection="false">
      <alignment horizontal="general" vertical="center"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7" fillId="3" borderId="0" xfId="0" applyFont="true" applyBorder="false" applyAlignment="false" applyProtection="false">
      <alignment horizontal="general" vertical="bottom" textRotation="0" wrapText="false" indent="0" shrinkToFit="false"/>
      <protection locked="true" hidden="false"/>
    </xf>
    <xf numFmtId="169" fontId="47" fillId="3" borderId="0" xfId="0" applyFont="true" applyBorder="false" applyAlignment="false" applyProtection="false">
      <alignment horizontal="general" vertical="bottom" textRotation="0" wrapText="false" indent="0" shrinkToFit="false"/>
      <protection locked="true" hidden="false"/>
    </xf>
    <xf numFmtId="164" fontId="32" fillId="2" borderId="0" xfId="0" applyFont="true" applyBorder="false" applyAlignment="true" applyProtection="false">
      <alignment horizontal="left" vertical="center" textRotation="0" wrapText="false" indent="0" shrinkToFit="false"/>
      <protection locked="true" hidden="false"/>
    </xf>
    <xf numFmtId="169" fontId="47" fillId="2" borderId="0" xfId="0" applyFont="true" applyBorder="false" applyAlignment="false" applyProtection="false">
      <alignment horizontal="general" vertical="bottom" textRotation="0" wrapText="false" indent="0" shrinkToFit="false"/>
      <protection locked="true" hidden="false"/>
    </xf>
    <xf numFmtId="164" fontId="48" fillId="0" borderId="1" xfId="0" applyFont="true" applyBorder="true" applyAlignment="true" applyProtection="false">
      <alignment horizontal="center" vertical="center" textRotation="0" wrapText="true" indent="0" shrinkToFit="false"/>
      <protection locked="true" hidden="false"/>
    </xf>
    <xf numFmtId="164" fontId="27" fillId="0" borderId="1" xfId="0" applyFont="true" applyBorder="true" applyAlignment="true" applyProtection="false">
      <alignment horizontal="left" vertical="center" textRotation="0" wrapText="false" indent="0" shrinkToFit="false"/>
      <protection locked="true" hidden="false"/>
    </xf>
    <xf numFmtId="164" fontId="22" fillId="0" borderId="0" xfId="0" applyFont="true" applyBorder="true" applyAlignment="true" applyProtection="false">
      <alignment horizontal="center" vertical="center" textRotation="0" wrapText="false" indent="0" shrinkToFit="false"/>
      <protection locked="true" hidden="false"/>
    </xf>
    <xf numFmtId="164" fontId="38" fillId="0" borderId="0" xfId="0" applyFont="true" applyBorder="true" applyAlignment="true" applyProtection="false">
      <alignment horizontal="general" vertical="center" textRotation="0" wrapText="false" indent="0" shrinkToFit="false"/>
      <protection locked="true" hidden="false"/>
    </xf>
    <xf numFmtId="169" fontId="33" fillId="7" borderId="1" xfId="0" applyFont="true" applyBorder="true" applyAlignment="true" applyProtection="false">
      <alignment horizontal="right" vertical="center" textRotation="0" wrapText="false" indent="0" shrinkToFit="false"/>
      <protection locked="true" hidden="false"/>
    </xf>
    <xf numFmtId="169" fontId="38" fillId="0" borderId="0" xfId="0" applyFont="true" applyBorder="true" applyAlignment="true" applyProtection="false">
      <alignment horizontal="right" vertical="center" textRotation="0" wrapText="false" indent="0" shrinkToFit="false"/>
      <protection locked="true" hidden="false"/>
    </xf>
    <xf numFmtId="169" fontId="38" fillId="2" borderId="0" xfId="0" applyFont="true" applyBorder="true" applyAlignment="true" applyProtection="false">
      <alignment horizontal="right" vertical="center" textRotation="0" wrapText="false" indent="0" shrinkToFit="false"/>
      <protection locked="true" hidden="false"/>
    </xf>
    <xf numFmtId="169" fontId="38" fillId="0" borderId="0" xfId="0" applyFont="true" applyBorder="false" applyAlignment="true" applyProtection="false">
      <alignment horizontal="right" vertical="center" textRotation="0" wrapText="false" indent="0" shrinkToFit="false"/>
      <protection locked="true" hidden="false"/>
    </xf>
    <xf numFmtId="169" fontId="38" fillId="0" borderId="0" xfId="0" applyFont="true" applyBorder="true" applyAlignment="true" applyProtection="false">
      <alignment horizontal="general" vertical="center" textRotation="0" wrapText="false" indent="0" shrinkToFit="false"/>
      <protection locked="true" hidden="false"/>
    </xf>
    <xf numFmtId="169" fontId="38" fillId="0" borderId="0" xfId="0" applyFont="true" applyBorder="false" applyAlignment="false" applyProtection="false">
      <alignment horizontal="general" vertical="bottom" textRotation="0" wrapText="false" indent="0" shrinkToFit="false"/>
      <protection locked="true" hidden="false"/>
    </xf>
    <xf numFmtId="169" fontId="49" fillId="7" borderId="1" xfId="0" applyFont="true" applyBorder="true" applyAlignment="true" applyProtection="false">
      <alignment horizontal="right" vertical="center"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9" fontId="38" fillId="2" borderId="0" xfId="0" applyFont="true" applyBorder="false" applyAlignment="false" applyProtection="false">
      <alignment horizontal="general" vertical="bottom" textRotation="0" wrapText="false" indent="0" shrinkToFit="false"/>
      <protection locked="true" hidden="false"/>
    </xf>
    <xf numFmtId="164" fontId="43" fillId="0" borderId="2" xfId="0" applyFont="true" applyBorder="true" applyAlignment="true" applyProtection="false">
      <alignment horizontal="general" vertical="center" textRotation="0" wrapText="false" indent="0" shrinkToFit="false"/>
      <protection locked="true" hidden="false"/>
    </xf>
    <xf numFmtId="169" fontId="33" fillId="0" borderId="3" xfId="0" applyFont="true" applyBorder="true" applyAlignment="true" applyProtection="false">
      <alignment horizontal="right" vertical="center" textRotation="0" wrapText="false" indent="0" shrinkToFit="false"/>
      <protection locked="true" hidden="false"/>
    </xf>
    <xf numFmtId="169" fontId="33" fillId="0" borderId="4" xfId="0" applyFont="true" applyBorder="true" applyAlignment="true" applyProtection="false">
      <alignment horizontal="right" vertical="center" textRotation="0" wrapText="false" indent="0" shrinkToFit="false"/>
      <protection locked="true" hidden="false"/>
    </xf>
    <xf numFmtId="169" fontId="38" fillId="2" borderId="0" xfId="0" applyFont="true" applyBorder="false" applyAlignment="true" applyProtection="false">
      <alignment horizontal="right" vertical="bottom" textRotation="0" wrapText="false" indent="0" shrinkToFit="false"/>
      <protection locked="true" hidden="false"/>
    </xf>
    <xf numFmtId="169" fontId="43" fillId="0" borderId="2" xfId="0" applyFont="true" applyBorder="true" applyAlignment="true" applyProtection="false">
      <alignment horizontal="right" vertical="center" textRotation="0" wrapText="false" indent="0" shrinkToFit="false"/>
      <protection locked="true" hidden="false"/>
    </xf>
    <xf numFmtId="164" fontId="43" fillId="0" borderId="5" xfId="0" applyFont="true" applyBorder="true" applyAlignment="true" applyProtection="false">
      <alignment horizontal="general" vertical="center" textRotation="0" wrapText="false" indent="0" shrinkToFit="false"/>
      <protection locked="true" hidden="false"/>
    </xf>
    <xf numFmtId="169" fontId="33" fillId="0" borderId="0" xfId="0" applyFont="true" applyBorder="true" applyAlignment="true" applyProtection="false">
      <alignment horizontal="right" vertical="center" textRotation="0" wrapText="false" indent="0" shrinkToFit="false"/>
      <protection locked="true" hidden="false"/>
    </xf>
    <xf numFmtId="169" fontId="33" fillId="0" borderId="6" xfId="0" applyFont="true" applyBorder="true" applyAlignment="true" applyProtection="false">
      <alignment horizontal="right" vertical="center" textRotation="0" wrapText="false" indent="0" shrinkToFit="false"/>
      <protection locked="true" hidden="false"/>
    </xf>
    <xf numFmtId="169" fontId="43" fillId="0" borderId="5" xfId="0" applyFont="true" applyBorder="true" applyAlignment="true" applyProtection="false">
      <alignment horizontal="right" vertical="center" textRotation="0" wrapText="false" indent="0" shrinkToFit="false"/>
      <protection locked="true" hidden="false"/>
    </xf>
    <xf numFmtId="169" fontId="33" fillId="2" borderId="6" xfId="0" applyFont="true" applyBorder="true" applyAlignment="true" applyProtection="false">
      <alignment horizontal="right" vertical="center" textRotation="0" wrapText="false" indent="0" shrinkToFit="false"/>
      <protection locked="true" hidden="false"/>
    </xf>
    <xf numFmtId="164" fontId="43" fillId="0" borderId="5" xfId="0" applyFont="true" applyBorder="true" applyAlignment="true" applyProtection="false">
      <alignment horizontal="right" vertical="center" textRotation="0" wrapText="false" indent="0" shrinkToFit="false"/>
      <protection locked="true" hidden="false"/>
    </xf>
    <xf numFmtId="164" fontId="43" fillId="0" borderId="7" xfId="0" applyFont="true" applyBorder="true" applyAlignment="true" applyProtection="false">
      <alignment horizontal="general" vertical="center" textRotation="0" wrapText="false" indent="0" shrinkToFit="false"/>
      <protection locked="true" hidden="false"/>
    </xf>
    <xf numFmtId="169" fontId="43" fillId="0" borderId="8" xfId="0" applyFont="true" applyBorder="true" applyAlignment="true" applyProtection="false">
      <alignment horizontal="right" vertical="center" textRotation="0" wrapText="false" indent="0" shrinkToFit="false"/>
      <protection locked="true" hidden="false"/>
    </xf>
    <xf numFmtId="169" fontId="33" fillId="0" borderId="9" xfId="0" applyFont="true" applyBorder="true" applyAlignment="true" applyProtection="false">
      <alignment horizontal="right" vertical="center" textRotation="0" wrapText="false" indent="0" shrinkToFit="false"/>
      <protection locked="true" hidden="false"/>
    </xf>
    <xf numFmtId="169" fontId="43" fillId="0" borderId="7" xfId="0" applyFont="true" applyBorder="true" applyAlignment="true" applyProtection="false">
      <alignment horizontal="right" vertical="center" textRotation="0" wrapText="false" indent="0" shrinkToFit="false"/>
      <protection locked="true" hidden="false"/>
    </xf>
    <xf numFmtId="169" fontId="51" fillId="0" borderId="0" xfId="17" applyFont="true" applyBorder="true" applyAlignment="false" applyProtection="true">
      <alignment horizontal="general" vertical="bottom" textRotation="0" wrapText="fals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9" fontId="22" fillId="2" borderId="0" xfId="0" applyFont="true" applyBorder="false" applyAlignment="false" applyProtection="false">
      <alignment horizontal="general" vertical="bottom" textRotation="0" wrapText="false" indent="0" shrinkToFit="false"/>
      <protection locked="true" hidden="false"/>
    </xf>
    <xf numFmtId="169" fontId="21" fillId="2" borderId="0" xfId="0" applyFont="true" applyBorder="false" applyAlignment="true" applyProtection="false">
      <alignment horizontal="general" vertical="center" textRotation="0" wrapText="true" indent="0" shrinkToFit="false"/>
      <protection locked="true" hidden="false"/>
    </xf>
    <xf numFmtId="173" fontId="22" fillId="0" borderId="0" xfId="0" applyFont="true" applyBorder="false" applyAlignment="false" applyProtection="false">
      <alignment horizontal="general" vertical="bottom" textRotation="0" wrapText="false" indent="0" shrinkToFit="false"/>
      <protection locked="true" hidden="false"/>
    </xf>
    <xf numFmtId="174" fontId="2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54" fillId="0" borderId="0" xfId="0" applyFont="true" applyBorder="false" applyAlignment="true" applyProtection="false">
      <alignment horizontal="general" vertical="center" textRotation="0" wrapText="true" indent="0" shrinkToFit="false"/>
      <protection locked="true" hidden="false"/>
    </xf>
    <xf numFmtId="164" fontId="55" fillId="0" borderId="0" xfId="0" applyFont="true" applyBorder="false" applyAlignment="true" applyProtection="false">
      <alignment horizontal="general" vertical="center" textRotation="0" wrapText="false" indent="0" shrinkToFit="false"/>
      <protection locked="true" hidden="false"/>
    </xf>
    <xf numFmtId="164" fontId="56" fillId="0" borderId="1" xfId="0" applyFont="true" applyBorder="true" applyAlignment="true" applyProtection="false">
      <alignment horizontal="general" vertical="center" textRotation="0" wrapText="false" indent="0" shrinkToFit="false"/>
      <protection locked="true" hidden="false"/>
    </xf>
    <xf numFmtId="175" fontId="57" fillId="6" borderId="1" xfId="0" applyFont="true" applyBorder="true" applyAlignment="true" applyProtection="false">
      <alignment horizontal="center" vertical="center" textRotation="0" wrapText="false" indent="0" shrinkToFit="false"/>
      <protection locked="true" hidden="false"/>
    </xf>
    <xf numFmtId="164" fontId="44" fillId="0" borderId="0" xfId="0" applyFont="true" applyBorder="false" applyAlignment="true" applyProtection="false">
      <alignment horizontal="center" vertical="center" textRotation="0" wrapText="false" indent="0" shrinkToFit="false"/>
      <protection locked="true" hidden="false"/>
    </xf>
    <xf numFmtId="164" fontId="58" fillId="0" borderId="0" xfId="0" applyFont="true" applyBorder="false" applyAlignment="true" applyProtection="false">
      <alignment horizontal="center" vertical="center" textRotation="0" wrapText="true" indent="0" shrinkToFit="false"/>
      <protection locked="true" hidden="false"/>
    </xf>
    <xf numFmtId="164" fontId="59" fillId="0" borderId="0" xfId="0" applyFont="true" applyBorder="false" applyAlignment="true" applyProtection="false">
      <alignment horizontal="general" vertical="center" textRotation="0" wrapText="false" indent="0" shrinkToFit="false"/>
      <protection locked="true" hidden="false"/>
    </xf>
    <xf numFmtId="164" fontId="44" fillId="0" borderId="0" xfId="0" applyFont="true" applyBorder="false" applyAlignment="true" applyProtection="false">
      <alignment horizontal="general" vertical="center" textRotation="0" wrapText="false" indent="0" shrinkToFit="false"/>
      <protection locked="true" hidden="false"/>
    </xf>
    <xf numFmtId="175" fontId="44" fillId="0" borderId="0" xfId="0" applyFont="true" applyBorder="false" applyAlignment="true" applyProtection="false">
      <alignment horizontal="general" vertical="center" textRotation="0" wrapText="false" indent="0" shrinkToFit="false"/>
      <protection locked="true" hidden="false"/>
    </xf>
    <xf numFmtId="164" fontId="58" fillId="0" borderId="0" xfId="0" applyFont="true" applyBorder="false" applyAlignment="true" applyProtection="false">
      <alignment horizontal="general" vertical="center" textRotation="0" wrapText="true" indent="0" shrinkToFit="false"/>
      <protection locked="true" hidden="false"/>
    </xf>
    <xf numFmtId="164" fontId="44"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54" fillId="0" borderId="1" xfId="0" applyFont="true" applyBorder="true" applyAlignment="true" applyProtection="false">
      <alignment horizontal="general" vertical="center" textRotation="0" wrapText="true" indent="0" shrinkToFit="false"/>
      <protection locked="true" hidden="false"/>
    </xf>
    <xf numFmtId="176" fontId="50" fillId="0" borderId="1" xfId="17" applyFont="false" applyBorder="true" applyAlignment="true" applyProtection="true">
      <alignment horizontal="general" vertical="center" textRotation="0" wrapText="false" indent="0" shrinkToFit="false"/>
      <protection locked="true" hidden="false"/>
    </xf>
    <xf numFmtId="176" fontId="0" fillId="0" borderId="0" xfId="0" applyFont="false" applyBorder="true" applyAlignment="true" applyProtection="false">
      <alignment horizontal="general" vertical="center" textRotation="0" wrapText="false" indent="0" shrinkToFit="false"/>
      <protection locked="true" hidden="false"/>
    </xf>
    <xf numFmtId="176" fontId="0" fillId="0" borderId="1" xfId="0" applyFont="false" applyBorder="true" applyAlignment="true" applyProtection="false">
      <alignment horizontal="general" vertical="center" textRotation="0" wrapText="false" indent="0" shrinkToFit="false"/>
      <protection locked="true" hidden="false"/>
    </xf>
    <xf numFmtId="176" fontId="54" fillId="0" borderId="1" xfId="0" applyFont="true" applyBorder="true" applyAlignment="true" applyProtection="false">
      <alignment horizontal="general" vertical="center" textRotation="0" wrapText="true" indent="0" shrinkToFit="false"/>
      <protection locked="true" hidden="false"/>
    </xf>
    <xf numFmtId="176" fontId="50" fillId="0" borderId="0" xfId="17" applyFont="false" applyBorder="true" applyAlignment="true" applyProtection="true">
      <alignment horizontal="general" vertical="center" textRotation="0" wrapText="false" indent="0" shrinkToFit="false"/>
      <protection locked="true" hidden="false"/>
    </xf>
    <xf numFmtId="176" fontId="0" fillId="0" borderId="0" xfId="0" applyFont="false" applyBorder="false" applyAlignment="true" applyProtection="false">
      <alignment horizontal="general" vertical="center" textRotation="0" wrapText="false" indent="0" shrinkToFit="false"/>
      <protection locked="true" hidden="false"/>
    </xf>
    <xf numFmtId="176" fontId="54" fillId="0" borderId="0" xfId="0" applyFont="true" applyBorder="false" applyAlignment="true" applyProtection="false">
      <alignment horizontal="general" vertical="center" textRotation="0" wrapText="true" indent="0" shrinkToFit="false"/>
      <protection locked="true" hidden="false"/>
    </xf>
    <xf numFmtId="176" fontId="44" fillId="0" borderId="1" xfId="17" applyFont="true" applyBorder="true" applyAlignment="true" applyProtection="true">
      <alignment horizontal="general" vertical="center" textRotation="0" wrapText="false" indent="0" shrinkToFit="false"/>
      <protection locked="true" hidden="false"/>
    </xf>
    <xf numFmtId="176" fontId="44" fillId="0" borderId="0" xfId="0" applyFont="true" applyBorder="true" applyAlignment="true" applyProtection="false">
      <alignment horizontal="general" vertical="center" textRotation="0" wrapText="false" indent="0" shrinkToFit="false"/>
      <protection locked="true" hidden="false"/>
    </xf>
    <xf numFmtId="176" fontId="44" fillId="0" borderId="1" xfId="0" applyFont="true" applyBorder="true" applyAlignment="true" applyProtection="false">
      <alignment horizontal="general" vertical="center" textRotation="0" wrapText="false" indent="0" shrinkToFit="false"/>
      <protection locked="true" hidden="false"/>
    </xf>
    <xf numFmtId="176" fontId="58" fillId="0" borderId="1" xfId="0" applyFont="true" applyBorder="true" applyAlignment="true" applyProtection="false">
      <alignment horizontal="general" vertical="center" textRotation="0" wrapText="true" indent="0" shrinkToFit="false"/>
      <protection locked="true" hidden="false"/>
    </xf>
    <xf numFmtId="164" fontId="60" fillId="0" borderId="1" xfId="0" applyFont="true" applyBorder="true" applyAlignment="true" applyProtection="false">
      <alignment horizontal="general" vertical="center" textRotation="0" wrapText="false" indent="0" shrinkToFit="false"/>
      <protection locked="true" hidden="false"/>
    </xf>
    <xf numFmtId="176" fontId="60" fillId="0" borderId="1" xfId="17" applyFont="true" applyBorder="true" applyAlignment="true" applyProtection="true">
      <alignment horizontal="general" vertical="center" textRotation="0" wrapText="false" indent="0" shrinkToFit="false"/>
      <protection locked="true" hidden="false"/>
    </xf>
    <xf numFmtId="176" fontId="60" fillId="0" borderId="0" xfId="0" applyFont="true" applyBorder="true" applyAlignment="true" applyProtection="false">
      <alignment horizontal="general" vertical="center" textRotation="0" wrapText="false" indent="0" shrinkToFit="false"/>
      <protection locked="true" hidden="false"/>
    </xf>
    <xf numFmtId="176" fontId="60" fillId="0" borderId="1" xfId="0" applyFont="true" applyBorder="true" applyAlignment="true" applyProtection="false">
      <alignment horizontal="general" vertical="center" textRotation="0" wrapText="false" indent="0" shrinkToFit="false"/>
      <protection locked="true" hidden="false"/>
    </xf>
    <xf numFmtId="176" fontId="61" fillId="0" borderId="1" xfId="0" applyFont="true" applyBorder="true" applyAlignment="true" applyProtection="false">
      <alignment horizontal="general" vertical="center" textRotation="0" wrapText="true" indent="0" shrinkToFit="false"/>
      <protection locked="true" hidden="false"/>
    </xf>
    <xf numFmtId="164" fontId="62" fillId="0" borderId="0" xfId="0" applyFont="true" applyBorder="false" applyAlignment="true" applyProtection="false">
      <alignment horizontal="general" vertical="center" textRotation="0" wrapText="false" indent="0" shrinkToFit="false"/>
      <protection locked="true" hidden="false"/>
    </xf>
    <xf numFmtId="164" fontId="60" fillId="0" borderId="0" xfId="0" applyFont="true" applyBorder="false" applyAlignment="true" applyProtection="false">
      <alignment horizontal="general" vertical="center" textRotation="0" wrapText="false" indent="0" shrinkToFit="false"/>
      <protection locked="true" hidden="false"/>
    </xf>
    <xf numFmtId="176" fontId="63" fillId="0" borderId="0" xfId="0" applyFont="true" applyBorder="false" applyAlignment="true" applyProtection="false">
      <alignment horizontal="general" vertical="center" textRotation="0" wrapText="false" indent="0" shrinkToFit="false"/>
      <protection locked="true" hidden="false"/>
    </xf>
    <xf numFmtId="172" fontId="0" fillId="0" borderId="0" xfId="0" applyFont="false" applyBorder="false" applyAlignment="true" applyProtection="false">
      <alignment horizontal="general" vertical="center" textRotation="0" wrapText="false" indent="0" shrinkToFit="false"/>
      <protection locked="true" hidden="false"/>
    </xf>
    <xf numFmtId="172" fontId="50" fillId="0" borderId="0" xfId="17" applyFont="false" applyBorder="true" applyAlignment="true" applyProtection="true">
      <alignment horizontal="general" vertical="center" textRotation="0" wrapText="false" indent="0" shrinkToFit="false"/>
      <protection locked="true" hidden="false"/>
    </xf>
    <xf numFmtId="164" fontId="57" fillId="0" borderId="0" xfId="0" applyFont="true" applyBorder="false" applyAlignment="true" applyProtection="false">
      <alignment horizontal="general" vertical="center" textRotation="0" wrapText="false" indent="0" shrinkToFit="false"/>
      <protection locked="true" hidden="false"/>
    </xf>
    <xf numFmtId="176" fontId="57" fillId="0" borderId="0" xfId="0" applyFont="true" applyBorder="false" applyAlignment="true" applyProtection="false">
      <alignment horizontal="general" vertical="center" textRotation="0" wrapText="false" indent="0" shrinkToFit="false"/>
      <protection locked="true" hidden="false"/>
    </xf>
    <xf numFmtId="176" fontId="44" fillId="0" borderId="0" xfId="0" applyFont="true" applyBorder="false" applyAlignment="true" applyProtection="false">
      <alignment horizontal="general" vertical="center" textRotation="0" wrapText="false" indent="0" shrinkToFit="false"/>
      <protection locked="true" hidden="false"/>
    </xf>
    <xf numFmtId="176" fontId="58" fillId="0" borderId="0" xfId="0" applyFont="true" applyBorder="false" applyAlignment="true" applyProtection="false">
      <alignment horizontal="general" vertical="center" textRotation="0" wrapText="true" indent="0" shrinkToFit="false"/>
      <protection locked="true" hidden="false"/>
    </xf>
    <xf numFmtId="164" fontId="64" fillId="0" borderId="1" xfId="0" applyFont="true" applyBorder="true" applyAlignment="true" applyProtection="false">
      <alignment horizontal="general" vertical="center" textRotation="0" wrapText="false" indent="0" shrinkToFit="false"/>
      <protection locked="true" hidden="false"/>
    </xf>
    <xf numFmtId="175" fontId="57" fillId="0" borderId="0" xfId="0" applyFont="true" applyBorder="false" applyAlignment="true" applyProtection="false">
      <alignment horizontal="general" vertical="center" textRotation="0" wrapText="false" indent="0" shrinkToFit="false"/>
      <protection locked="true" hidden="false"/>
    </xf>
    <xf numFmtId="177" fontId="0" fillId="0" borderId="0" xfId="0" applyFont="false" applyBorder="false" applyAlignment="true" applyProtection="false">
      <alignment horizontal="general" vertical="center" textRotation="0" wrapText="false" indent="0" shrinkToFit="false"/>
      <protection locked="true" hidden="false"/>
    </xf>
    <xf numFmtId="164" fontId="65" fillId="0" borderId="0" xfId="0" applyFont="true" applyBorder="false" applyAlignment="true" applyProtection="false">
      <alignment horizontal="general" vertical="center" textRotation="0" wrapText="false" indent="0" shrinkToFit="false"/>
      <protection locked="true" hidden="false"/>
    </xf>
    <xf numFmtId="175" fontId="57" fillId="4" borderId="1" xfId="0" applyFont="true" applyBorder="true" applyAlignment="true" applyProtection="false">
      <alignment horizontal="center" vertical="center" textRotation="0" wrapText="false" indent="0" shrinkToFit="false"/>
      <protection locked="true" hidden="false"/>
    </xf>
    <xf numFmtId="164" fontId="44" fillId="4" borderId="0" xfId="0" applyFont="true" applyBorder="false" applyAlignment="true" applyProtection="false">
      <alignment horizontal="center" vertical="center" textRotation="0" wrapText="false" indent="0" shrinkToFit="false"/>
      <protection locked="true" hidden="false"/>
    </xf>
    <xf numFmtId="164" fontId="58" fillId="4" borderId="0" xfId="0" applyFont="true" applyBorder="false" applyAlignment="true" applyProtection="false">
      <alignment horizontal="center" vertical="center" textRotation="0" wrapText="true" indent="0" shrinkToFit="false"/>
      <protection locked="true" hidden="false"/>
    </xf>
    <xf numFmtId="176" fontId="50" fillId="2" borderId="1" xfId="17" applyFont="false" applyBorder="true" applyAlignment="true" applyProtection="true">
      <alignment horizontal="general" vertical="center" textRotation="0" wrapText="false" indent="0" shrinkToFit="false"/>
      <protection locked="true" hidden="false"/>
    </xf>
    <xf numFmtId="176" fontId="57" fillId="0" borderId="0" xfId="17" applyFont="true" applyBorder="true" applyAlignment="true" applyProtection="true">
      <alignment horizontal="general" vertical="center"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78" fontId="23" fillId="0" borderId="2" xfId="20" applyFont="true" applyBorder="true" applyAlignment="true" applyProtection="false">
      <alignment horizontal="center" vertical="center" textRotation="0" wrapText="false" indent="0" shrinkToFit="false"/>
      <protection locked="true" hidden="false"/>
    </xf>
    <xf numFmtId="179" fontId="66" fillId="0" borderId="3" xfId="20" applyFont="true" applyBorder="true" applyAlignment="true" applyProtection="false">
      <alignment horizontal="center" vertical="bottom" textRotation="0" wrapText="false" indent="0" shrinkToFit="false"/>
      <protection locked="true" hidden="false"/>
    </xf>
    <xf numFmtId="179" fontId="44" fillId="0" borderId="5" xfId="20" applyFont="true" applyBorder="true" applyAlignment="true" applyProtection="false">
      <alignment horizontal="center" vertical="bottom" textRotation="0" wrapText="false" indent="0" shrinkToFit="false"/>
      <protection locked="true" hidden="false"/>
    </xf>
    <xf numFmtId="179" fontId="44" fillId="0" borderId="0" xfId="20" applyFont="true" applyBorder="false" applyAlignment="true" applyProtection="false">
      <alignment horizontal="center" vertical="bottom" textRotation="0" wrapText="false" indent="0" shrinkToFit="false"/>
      <protection locked="true" hidden="false"/>
    </xf>
    <xf numFmtId="165" fontId="0" fillId="0" borderId="0" xfId="20" applyFont="false" applyBorder="false" applyAlignment="false" applyProtection="false">
      <alignment horizontal="general" vertical="bottom" textRotation="0" wrapText="false" indent="0" shrinkToFit="false"/>
      <protection locked="true" hidden="false"/>
    </xf>
    <xf numFmtId="178" fontId="44" fillId="0" borderId="2" xfId="20" applyFont="true" applyBorder="true" applyAlignment="true" applyProtection="false">
      <alignment horizontal="center" vertical="bottom" textRotation="0" wrapText="false" indent="0" shrinkToFit="false"/>
      <protection locked="true" hidden="false"/>
    </xf>
    <xf numFmtId="178" fontId="0" fillId="0" borderId="3" xfId="20" applyFont="true" applyBorder="true" applyAlignment="false" applyProtection="false">
      <alignment horizontal="general" vertical="bottom" textRotation="0" wrapText="false" indent="0" shrinkToFit="false"/>
      <protection locked="true" hidden="false"/>
    </xf>
    <xf numFmtId="165" fontId="0" fillId="0" borderId="3" xfId="20" applyFont="false" applyBorder="true" applyAlignment="false" applyProtection="false">
      <alignment horizontal="general" vertical="bottom" textRotation="0" wrapText="false" indent="0" shrinkToFit="false"/>
      <protection locked="true" hidden="false"/>
    </xf>
    <xf numFmtId="164" fontId="44" fillId="0" borderId="3" xfId="20" applyFont="true" applyBorder="true" applyAlignment="false" applyProtection="false">
      <alignment horizontal="general" vertical="bottom" textRotation="0" wrapText="false" indent="0" shrinkToFit="false"/>
      <protection locked="true" hidden="false"/>
    </xf>
    <xf numFmtId="164" fontId="44" fillId="0" borderId="4" xfId="20" applyFont="true" applyBorder="true" applyAlignment="false" applyProtection="false">
      <alignment horizontal="general" vertical="bottom" textRotation="0" wrapText="false" indent="0" shrinkToFit="false"/>
      <protection locked="true" hidden="false"/>
    </xf>
    <xf numFmtId="179" fontId="0" fillId="0" borderId="7" xfId="20" applyFont="false" applyBorder="true" applyAlignment="false" applyProtection="false">
      <alignment horizontal="general" vertical="bottom" textRotation="0" wrapText="false" indent="0" shrinkToFit="false"/>
      <protection locked="true" hidden="false"/>
    </xf>
    <xf numFmtId="178" fontId="0" fillId="0" borderId="8" xfId="20" applyFont="false" applyBorder="true" applyAlignment="false" applyProtection="false">
      <alignment horizontal="general" vertical="bottom" textRotation="0" wrapText="false" indent="0" shrinkToFit="false"/>
      <protection locked="true" hidden="false"/>
    </xf>
    <xf numFmtId="165" fontId="0" fillId="0" borderId="0" xfId="20" applyFont="false" applyBorder="true" applyAlignment="false" applyProtection="false">
      <alignment horizontal="general" vertical="bottom" textRotation="0" wrapText="false" indent="0" shrinkToFit="false"/>
      <protection locked="true" hidden="false"/>
    </xf>
    <xf numFmtId="165" fontId="0" fillId="0" borderId="8" xfId="20" applyFont="false" applyBorder="true" applyAlignment="false" applyProtection="false">
      <alignment horizontal="general" vertical="bottom" textRotation="0" wrapText="false" indent="0" shrinkToFit="false"/>
      <protection locked="true" hidden="false"/>
    </xf>
    <xf numFmtId="165" fontId="0" fillId="0" borderId="9" xfId="20" applyFont="false" applyBorder="true" applyAlignment="false" applyProtection="false">
      <alignment horizontal="general" vertical="bottom" textRotation="0" wrapText="false" indent="0" shrinkToFit="false"/>
      <protection locked="true" hidden="false"/>
    </xf>
    <xf numFmtId="178" fontId="44" fillId="0" borderId="10" xfId="20" applyFont="true" applyBorder="true" applyAlignment="false" applyProtection="false">
      <alignment horizontal="general" vertical="bottom" textRotation="0" wrapText="false" indent="0" shrinkToFit="false"/>
      <protection locked="true" hidden="false"/>
    </xf>
    <xf numFmtId="180" fontId="44" fillId="0" borderId="11" xfId="20" applyFont="true" applyBorder="true" applyAlignment="false" applyProtection="false">
      <alignment horizontal="general" vertical="bottom" textRotation="0" wrapText="false" indent="0" shrinkToFit="false"/>
      <protection locked="true" hidden="false"/>
    </xf>
    <xf numFmtId="180" fontId="0" fillId="0" borderId="12" xfId="20" applyFont="false" applyBorder="true" applyAlignment="false" applyProtection="false">
      <alignment horizontal="general" vertical="bottom" textRotation="0" wrapText="false" indent="0" shrinkToFit="false"/>
      <protection locked="true" hidden="false"/>
    </xf>
    <xf numFmtId="180" fontId="44" fillId="0" borderId="13" xfId="20" applyFont="true" applyBorder="true" applyAlignment="false" applyProtection="false">
      <alignment horizontal="general" vertical="bottom" textRotation="0" wrapText="false" indent="0" shrinkToFit="false"/>
      <protection locked="true" hidden="false"/>
    </xf>
    <xf numFmtId="179" fontId="0" fillId="0" borderId="2" xfId="20" applyFont="false" applyBorder="true" applyAlignment="false" applyProtection="false">
      <alignment horizontal="general" vertical="bottom" textRotation="0" wrapText="false" indent="0" shrinkToFit="false"/>
      <protection locked="true" hidden="false"/>
    </xf>
    <xf numFmtId="180" fontId="0" fillId="0" borderId="3" xfId="20" applyFont="false" applyBorder="true" applyAlignment="false" applyProtection="false">
      <alignment horizontal="general" vertical="bottom" textRotation="0" wrapText="false" indent="0" shrinkToFit="false"/>
      <protection locked="true" hidden="false"/>
    </xf>
    <xf numFmtId="180" fontId="0" fillId="0" borderId="0" xfId="20" applyFont="false" applyBorder="true" applyAlignment="false" applyProtection="false">
      <alignment horizontal="general" vertical="bottom" textRotation="0" wrapText="false" indent="0" shrinkToFit="false"/>
      <protection locked="true" hidden="false"/>
    </xf>
    <xf numFmtId="180" fontId="0" fillId="0" borderId="4" xfId="20" applyFont="false" applyBorder="true" applyAlignment="false" applyProtection="false">
      <alignment horizontal="general" vertical="bottom" textRotation="0" wrapText="false" indent="0" shrinkToFit="false"/>
      <protection locked="true" hidden="false"/>
    </xf>
    <xf numFmtId="178" fontId="44" fillId="0" borderId="5" xfId="20" applyFont="true" applyBorder="true" applyAlignment="false" applyProtection="false">
      <alignment horizontal="general" vertical="bottom" textRotation="0" wrapText="false" indent="0" shrinkToFit="false"/>
      <protection locked="true" hidden="false"/>
    </xf>
    <xf numFmtId="180" fontId="44" fillId="0" borderId="0" xfId="20" applyFont="true" applyBorder="true" applyAlignment="false" applyProtection="false">
      <alignment horizontal="general" vertical="bottom" textRotation="0" wrapText="false" indent="0" shrinkToFit="false"/>
      <protection locked="true" hidden="false"/>
    </xf>
    <xf numFmtId="180" fontId="67" fillId="0" borderId="0" xfId="20" applyFont="true" applyBorder="true" applyAlignment="false" applyProtection="false">
      <alignment horizontal="general" vertical="bottom" textRotation="0" wrapText="false" indent="0" shrinkToFit="false"/>
      <protection locked="true" hidden="false"/>
    </xf>
    <xf numFmtId="180" fontId="67" fillId="0" borderId="6" xfId="20" applyFont="true" applyBorder="true" applyAlignment="false" applyProtection="false">
      <alignment horizontal="general" vertical="bottom" textRotation="0" wrapText="false" indent="0" shrinkToFit="false"/>
      <protection locked="true" hidden="false"/>
    </xf>
    <xf numFmtId="180" fontId="0" fillId="0" borderId="0" xfId="20" applyFont="false" applyBorder="false" applyAlignment="false" applyProtection="false">
      <alignment horizontal="general" vertical="bottom" textRotation="0" wrapText="false" indent="0" shrinkToFit="false"/>
      <protection locked="true" hidden="false"/>
    </xf>
    <xf numFmtId="178" fontId="0" fillId="0" borderId="5" xfId="20" applyFont="true" applyBorder="true" applyAlignment="false" applyProtection="false">
      <alignment horizontal="general" vertical="bottom" textRotation="0" wrapText="false" indent="0" shrinkToFit="false"/>
      <protection locked="true" hidden="false"/>
    </xf>
    <xf numFmtId="180" fontId="0" fillId="0" borderId="6" xfId="20" applyFont="false" applyBorder="true" applyAlignment="false" applyProtection="false">
      <alignment horizontal="general" vertical="bottom" textRotation="0" wrapText="false" indent="0" shrinkToFit="false"/>
      <protection locked="true" hidden="false"/>
    </xf>
    <xf numFmtId="180" fontId="0" fillId="0" borderId="8" xfId="20" applyFont="false" applyBorder="true" applyAlignment="false" applyProtection="false">
      <alignment horizontal="general" vertical="bottom" textRotation="0" wrapText="false" indent="0" shrinkToFit="false"/>
      <protection locked="true" hidden="false"/>
    </xf>
    <xf numFmtId="180" fontId="0" fillId="0" borderId="9" xfId="20" applyFont="false" applyBorder="true" applyAlignment="false" applyProtection="false">
      <alignment horizontal="general" vertical="bottom" textRotation="0" wrapText="false" indent="0" shrinkToFit="false"/>
      <protection locked="true" hidden="false"/>
    </xf>
    <xf numFmtId="179" fontId="44" fillId="0" borderId="2" xfId="20" applyFont="true" applyBorder="true" applyAlignment="false" applyProtection="false">
      <alignment horizontal="general" vertical="bottom" textRotation="0" wrapText="false" indent="0" shrinkToFit="false"/>
      <protection locked="true" hidden="false"/>
    </xf>
    <xf numFmtId="181" fontId="0" fillId="0" borderId="0" xfId="20" applyFont="false" applyBorder="false" applyAlignment="false" applyProtection="false">
      <alignment horizontal="general" vertical="bottom" textRotation="0" wrapText="false" indent="0" shrinkToFit="false"/>
      <protection locked="true" hidden="false"/>
    </xf>
    <xf numFmtId="180" fontId="0" fillId="0" borderId="14" xfId="20" applyFont="false" applyBorder="true" applyAlignment="false" applyProtection="false">
      <alignment horizontal="general" vertical="bottom" textRotation="0" wrapText="false" indent="0" shrinkToFit="false"/>
      <protection locked="true" hidden="false"/>
    </xf>
    <xf numFmtId="179" fontId="44" fillId="0" borderId="15" xfId="20" applyFont="true" applyBorder="true" applyAlignment="false" applyProtection="false">
      <alignment horizontal="general" vertical="bottom" textRotation="0" wrapText="false" indent="0" shrinkToFit="false"/>
      <protection locked="true" hidden="false"/>
    </xf>
    <xf numFmtId="180" fontId="68" fillId="0" borderId="0" xfId="20" applyFont="true" applyBorder="true" applyAlignment="false" applyProtection="false">
      <alignment horizontal="general" vertical="bottom" textRotation="0" wrapText="false" indent="0" shrinkToFit="false"/>
      <protection locked="true" hidden="false"/>
    </xf>
    <xf numFmtId="180" fontId="68" fillId="0" borderId="6" xfId="20" applyFont="true" applyBorder="true" applyAlignment="false" applyProtection="false">
      <alignment horizontal="general" vertical="bottom" textRotation="0" wrapText="false" indent="0" shrinkToFit="false"/>
      <protection locked="true" hidden="false"/>
    </xf>
    <xf numFmtId="178" fontId="44" fillId="0" borderId="0" xfId="20" applyFont="true" applyBorder="false" applyAlignment="false" applyProtection="false">
      <alignment horizontal="general" vertical="bottom" textRotation="0" wrapText="false" indent="0" shrinkToFit="false"/>
      <protection locked="true" hidden="false"/>
    </xf>
    <xf numFmtId="180" fontId="44" fillId="0" borderId="0" xfId="20" applyFont="true" applyBorder="false" applyAlignment="false" applyProtection="false">
      <alignment horizontal="general" vertical="bottom" textRotation="0" wrapText="false" indent="0" shrinkToFit="false"/>
      <protection locked="true" hidden="false"/>
    </xf>
    <xf numFmtId="179" fontId="0" fillId="0" borderId="15" xfId="20" applyFont="true" applyBorder="true" applyAlignment="false" applyProtection="false">
      <alignment horizontal="general" vertical="bottom" textRotation="0" wrapText="false" indent="0" shrinkToFit="false"/>
      <protection locked="true" hidden="false"/>
    </xf>
    <xf numFmtId="180" fontId="0" fillId="0" borderId="0" xfId="20" applyFont="true" applyBorder="false" applyAlignment="false" applyProtection="false">
      <alignment horizontal="general" vertical="bottom" textRotation="0" wrapText="false" indent="0" shrinkToFit="false"/>
      <protection locked="true" hidden="false"/>
    </xf>
    <xf numFmtId="169" fontId="0" fillId="0" borderId="0" xfId="20" applyFont="false" applyBorder="false" applyAlignment="false" applyProtection="false">
      <alignment horizontal="general" vertical="bottom" textRotation="0" wrapText="false" indent="0" shrinkToFit="false"/>
      <protection locked="true" hidden="false"/>
    </xf>
    <xf numFmtId="164" fontId="69"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0" fillId="0" borderId="0" xfId="0" applyFont="true" applyBorder="true" applyAlignment="true" applyProtection="false">
      <alignment horizontal="left" vertical="center" textRotation="0" wrapText="false" indent="0" shrinkToFit="false"/>
      <protection locked="true" hidden="false"/>
    </xf>
    <xf numFmtId="164" fontId="44" fillId="0" borderId="1" xfId="0" applyFont="true" applyBorder="true" applyAlignment="true" applyProtection="false">
      <alignment horizontal="center" vertical="center" textRotation="0" wrapText="false" indent="0" shrinkToFit="false"/>
      <protection locked="true" hidden="false"/>
    </xf>
    <xf numFmtId="167" fontId="0" fillId="0" borderId="0" xfId="0" applyFont="true" applyBorder="false" applyAlignment="true" applyProtection="false">
      <alignment horizontal="general" vertical="center" textRotation="0" wrapText="false" indent="0" shrinkToFit="false"/>
      <protection locked="true" hidden="false"/>
    </xf>
    <xf numFmtId="164" fontId="44" fillId="3" borderId="1" xfId="0" applyFont="true" applyBorder="true" applyAlignment="true" applyProtection="false">
      <alignment horizontal="center" vertical="center" textRotation="0" wrapText="true" indent="0" shrinkToFit="false"/>
      <protection locked="true" hidden="false"/>
    </xf>
    <xf numFmtId="164" fontId="69" fillId="3" borderId="1" xfId="0" applyFont="true" applyBorder="true" applyAlignment="true" applyProtection="false">
      <alignment horizontal="center" vertical="center" textRotation="0" wrapText="true" indent="0" shrinkToFit="false"/>
      <protection locked="true" hidden="false"/>
    </xf>
    <xf numFmtId="164" fontId="58" fillId="3" borderId="1" xfId="0" applyFont="true" applyBorder="true" applyAlignment="true" applyProtection="false">
      <alignment horizontal="center" vertical="center" textRotation="0" wrapText="true" indent="0" shrinkToFit="false"/>
      <protection locked="true" hidden="false"/>
    </xf>
    <xf numFmtId="164" fontId="58" fillId="3" borderId="1" xfId="0" applyFont="true" applyBorder="true" applyAlignment="true" applyProtection="false">
      <alignment horizontal="left" vertical="center" textRotation="0" wrapText="true" indent="0" shrinkToFit="false"/>
      <protection locked="true" hidden="false"/>
    </xf>
    <xf numFmtId="164" fontId="69" fillId="3" borderId="1" xfId="0" applyFont="true" applyBorder="true" applyAlignment="true" applyProtection="false">
      <alignment horizontal="left" vertical="center" textRotation="0" wrapText="true" indent="0" shrinkToFit="false"/>
      <protection locked="true" hidden="false"/>
    </xf>
    <xf numFmtId="164" fontId="69" fillId="2" borderId="0" xfId="0" applyFont="true" applyBorder="true" applyAlignment="true" applyProtection="false">
      <alignment horizontal="center" vertical="center" textRotation="0" wrapText="true" indent="0" shrinkToFit="false"/>
      <protection locked="true" hidden="false"/>
    </xf>
    <xf numFmtId="164" fontId="69" fillId="2" borderId="0" xfId="0" applyFont="true" applyBorder="true" applyAlignment="true" applyProtection="false">
      <alignment horizontal="center" vertical="center" textRotation="0" wrapText="false" indent="0" shrinkToFit="false"/>
      <protection locked="true" hidden="false"/>
    </xf>
    <xf numFmtId="164" fontId="69" fillId="2" borderId="0" xfId="0" applyFont="true" applyBorder="true" applyAlignment="true" applyProtection="false">
      <alignment horizontal="general" vertical="center" textRotation="0" wrapText="true" indent="0" shrinkToFit="false"/>
      <protection locked="true" hidden="false"/>
    </xf>
    <xf numFmtId="164" fontId="58" fillId="2" borderId="0" xfId="0" applyFont="true" applyBorder="true" applyAlignment="true" applyProtection="false">
      <alignment horizontal="general" vertical="center" textRotation="0" wrapText="true" indent="0" shrinkToFit="false"/>
      <protection locked="true" hidden="false"/>
    </xf>
    <xf numFmtId="164" fontId="44" fillId="0" borderId="1" xfId="0" applyFont="true" applyBorder="true" applyAlignment="true" applyProtection="false">
      <alignment horizontal="general" vertical="center" textRotation="0" wrapText="true" indent="0" shrinkToFit="false"/>
      <protection locked="true" hidden="false"/>
    </xf>
    <xf numFmtId="164" fontId="71" fillId="0" borderId="1" xfId="0" applyFont="true" applyBorder="true" applyAlignment="true" applyProtection="false">
      <alignment horizontal="left" vertical="center" textRotation="0" wrapText="true" indent="0" shrinkToFit="false"/>
      <protection locked="true" hidden="false"/>
    </xf>
    <xf numFmtId="182" fontId="72"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83" fontId="47" fillId="0" borderId="1" xfId="0" applyFont="true" applyBorder="true" applyAlignment="true" applyProtection="false">
      <alignment horizontal="right"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4" fontId="73" fillId="0" borderId="1" xfId="0" applyFont="true" applyBorder="true" applyAlignment="true" applyProtection="false">
      <alignment horizontal="center" vertical="center" textRotation="0" wrapText="false" indent="0" shrinkToFit="false"/>
      <protection locked="true" hidden="false"/>
    </xf>
    <xf numFmtId="183" fontId="19" fillId="2" borderId="1" xfId="0" applyFont="true" applyBorder="true" applyAlignment="true" applyProtection="false">
      <alignment horizontal="right" vertical="center" textRotation="0" wrapText="false" indent="0" shrinkToFit="false"/>
      <protection locked="true" hidden="false"/>
    </xf>
    <xf numFmtId="183" fontId="19" fillId="0" borderId="1" xfId="0" applyFont="true" applyBorder="true" applyAlignment="true" applyProtection="false">
      <alignment horizontal="right" vertical="center" textRotation="0" wrapText="false" indent="0" shrinkToFit="false"/>
      <protection locked="true" hidden="false"/>
    </xf>
    <xf numFmtId="164" fontId="0" fillId="2" borderId="0" xfId="0" applyFont="true" applyBorder="true" applyAlignment="true" applyProtection="false">
      <alignment horizontal="center" vertical="center" textRotation="0" wrapText="false" indent="0" shrinkToFit="false"/>
      <protection locked="true" hidden="false"/>
    </xf>
    <xf numFmtId="164" fontId="44" fillId="0" borderId="1" xfId="0" applyFont="true" applyBorder="true" applyAlignment="true" applyProtection="false">
      <alignment horizontal="left" vertical="center" textRotation="0" wrapText="false" indent="0" shrinkToFit="false"/>
      <protection locked="true" hidden="false"/>
    </xf>
    <xf numFmtId="167" fontId="0" fillId="0" borderId="1" xfId="0" applyFont="true" applyBorder="true" applyAlignment="true" applyProtection="false">
      <alignment horizontal="center" vertical="center" textRotation="0" wrapText="false" indent="0" shrinkToFit="false"/>
      <protection locked="true" hidden="false"/>
    </xf>
    <xf numFmtId="164" fontId="74" fillId="0" borderId="1" xfId="0" applyFont="true" applyBorder="true" applyAlignment="true" applyProtection="false">
      <alignment horizontal="general" vertical="center" textRotation="0" wrapText="true" indent="0" shrinkToFit="false"/>
      <protection locked="true" hidden="false"/>
    </xf>
    <xf numFmtId="164" fontId="0" fillId="2" borderId="0" xfId="0" applyFont="true" applyBorder="true" applyAlignment="true" applyProtection="false">
      <alignment horizontal="general" vertical="center" textRotation="0" wrapText="true" indent="0" shrinkToFit="false"/>
      <protection locked="true" hidden="false"/>
    </xf>
    <xf numFmtId="164" fontId="75" fillId="0" borderId="1" xfId="0" applyFont="true" applyBorder="true" applyAlignment="true" applyProtection="false">
      <alignment horizontal="general" vertical="center" textRotation="0" wrapText="true" indent="0" shrinkToFit="false"/>
      <protection locked="true" hidden="false"/>
    </xf>
    <xf numFmtId="164" fontId="76" fillId="0" borderId="1" xfId="0" applyFont="true" applyBorder="true" applyAlignment="true" applyProtection="false">
      <alignment horizontal="general" vertical="center" textRotation="0" wrapText="false" indent="0" shrinkToFit="false"/>
      <protection locked="true" hidden="false"/>
    </xf>
    <xf numFmtId="164" fontId="69" fillId="0" borderId="1" xfId="0" applyFont="true" applyBorder="true" applyAlignment="true" applyProtection="false">
      <alignment horizontal="general" vertical="center" textRotation="0" wrapText="true" indent="0" shrinkToFit="false"/>
      <protection locked="true" hidden="false"/>
    </xf>
    <xf numFmtId="164" fontId="34" fillId="0" borderId="1" xfId="0" applyFont="true" applyBorder="true" applyAlignment="true" applyProtection="false">
      <alignment horizontal="general" vertical="center" textRotation="0" wrapText="true" indent="0" shrinkToFit="false"/>
      <protection locked="true" hidden="false"/>
    </xf>
    <xf numFmtId="183" fontId="77" fillId="0" borderId="1" xfId="0" applyFont="true" applyBorder="true" applyAlignment="true" applyProtection="false">
      <alignment horizontal="right" vertical="center" textRotation="0" wrapText="true" indent="0" shrinkToFit="false"/>
      <protection locked="true" hidden="false"/>
    </xf>
    <xf numFmtId="164" fontId="58" fillId="0" borderId="1" xfId="0" applyFont="true" applyBorder="true" applyAlignment="true" applyProtection="false">
      <alignment horizontal="center" vertical="center" textRotation="0" wrapText="false" indent="0" shrinkToFit="false"/>
      <protection locked="true" hidden="false"/>
    </xf>
    <xf numFmtId="165" fontId="54" fillId="0" borderId="1" xfId="0" applyFont="true" applyBorder="true" applyAlignment="true" applyProtection="false">
      <alignment horizontal="center" vertical="center" textRotation="0" wrapText="true" indent="0" shrinkToFit="false"/>
      <protection locked="true" hidden="false"/>
    </xf>
    <xf numFmtId="165" fontId="54"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9" fontId="54" fillId="0" borderId="0" xfId="0" applyFont="true" applyBorder="true" applyAlignment="true" applyProtection="false">
      <alignment horizontal="right" vertical="center" textRotation="0" wrapText="false" indent="0" shrinkToFit="false"/>
      <protection locked="true" hidden="false"/>
    </xf>
    <xf numFmtId="164" fontId="47" fillId="0" borderId="1" xfId="0" applyFont="true" applyBorder="true" applyAlignment="true" applyProtection="false">
      <alignment horizontal="center" vertical="center" textRotation="0" wrapText="false" indent="0" shrinkToFit="false"/>
      <protection locked="true" hidden="false"/>
    </xf>
    <xf numFmtId="167"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83" fontId="19" fillId="0" borderId="0" xfId="0" applyFont="true" applyBorder="true" applyAlignment="true" applyProtection="false">
      <alignment horizontal="general" vertical="center" textRotation="0" wrapText="false" indent="0" shrinkToFit="false"/>
      <protection locked="true" hidden="false"/>
    </xf>
    <xf numFmtId="183" fontId="19" fillId="0" borderId="0" xfId="0" applyFont="true" applyBorder="true" applyAlignment="true" applyProtection="false">
      <alignment horizontal="center" vertical="center" textRotation="0" wrapText="false" indent="0" shrinkToFit="false"/>
      <protection locked="true" hidden="false"/>
    </xf>
    <xf numFmtId="164" fontId="44"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83" fontId="19" fillId="0" borderId="0" xfId="0" applyFont="true" applyBorder="false" applyAlignment="true" applyProtection="false">
      <alignment horizontal="general" vertical="center" textRotation="0" wrapText="false" indent="0" shrinkToFit="false"/>
      <protection locked="true" hidden="false"/>
    </xf>
    <xf numFmtId="164" fontId="28" fillId="0" borderId="0" xfId="0" applyFont="true" applyBorder="false" applyAlignment="true" applyProtection="false">
      <alignment horizontal="center" vertical="center" textRotation="0" wrapText="false" indent="0" shrinkToFit="false"/>
      <protection locked="true" hidden="false"/>
    </xf>
    <xf numFmtId="164" fontId="28" fillId="2" borderId="0" xfId="0" applyFont="true" applyBorder="false" applyAlignment="true" applyProtection="false">
      <alignment horizontal="center" vertical="center" textRotation="0" wrapText="false" indent="0" shrinkToFit="false"/>
      <protection locked="true" hidden="false"/>
    </xf>
    <xf numFmtId="164" fontId="46" fillId="2" borderId="0" xfId="0" applyFont="true" applyBorder="true" applyAlignment="true" applyProtection="false">
      <alignment horizontal="center" vertical="center" textRotation="0" wrapText="false" indent="0" shrinkToFit="false"/>
      <protection locked="true" hidden="false"/>
    </xf>
    <xf numFmtId="164" fontId="21" fillId="2" borderId="0" xfId="0" applyFont="true" applyBorder="false" applyAlignment="false" applyProtection="false">
      <alignment horizontal="general" vertical="bottom" textRotation="0" wrapText="false" indent="0" shrinkToFit="false"/>
      <protection locked="true" hidden="false"/>
    </xf>
    <xf numFmtId="164" fontId="26" fillId="2" borderId="0" xfId="0" applyFont="true" applyBorder="true" applyAlignment="false" applyProtection="false">
      <alignment horizontal="general" vertical="bottom" textRotation="0" wrapText="false" indent="0" shrinkToFit="false"/>
      <protection locked="true" hidden="false"/>
    </xf>
    <xf numFmtId="164" fontId="26" fillId="2" borderId="0" xfId="0" applyFont="true" applyBorder="false" applyAlignment="false" applyProtection="false">
      <alignment horizontal="general" vertical="bottom" textRotation="0" wrapText="false" indent="0" shrinkToFit="false"/>
      <protection locked="true" hidden="false"/>
    </xf>
    <xf numFmtId="164" fontId="26" fillId="2" borderId="0" xfId="0" applyFont="true" applyBorder="true" applyAlignment="true" applyProtection="false">
      <alignment horizontal="center" vertical="center" textRotation="0" wrapText="tru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4" fontId="26" fillId="6" borderId="1"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83" fontId="22"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4" fontId="26" fillId="8" borderId="1" xfId="0" applyFont="true" applyBorder="true" applyAlignment="true" applyProtection="false">
      <alignment horizontal="center"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80" fillId="6" borderId="1" xfId="0" applyFont="true" applyBorder="true" applyAlignment="true" applyProtection="false">
      <alignment horizontal="center" vertical="top" textRotation="180" wrapText="true" indent="0" shrinkToFit="false"/>
      <protection locked="true" hidden="false"/>
    </xf>
    <xf numFmtId="164" fontId="80" fillId="0" borderId="0" xfId="0" applyFont="true" applyBorder="false" applyAlignment="true" applyProtection="false">
      <alignment horizontal="center" vertical="center" textRotation="0" wrapText="true" indent="0" shrinkToFit="false"/>
      <protection locked="true" hidden="false"/>
    </xf>
    <xf numFmtId="164" fontId="80" fillId="4" borderId="1" xfId="0" applyFont="true" applyBorder="true" applyAlignment="true" applyProtection="false">
      <alignment horizontal="center" vertical="top" textRotation="180" wrapText="true" indent="0" shrinkToFit="false"/>
      <protection locked="true" hidden="false"/>
    </xf>
    <xf numFmtId="164" fontId="27" fillId="3" borderId="1" xfId="0" applyFont="true" applyBorder="true" applyAlignment="true" applyProtection="false">
      <alignment horizontal="center" vertical="top" textRotation="180" wrapText="true" indent="0" shrinkToFit="false"/>
      <protection locked="true" hidden="false"/>
    </xf>
    <xf numFmtId="164" fontId="28" fillId="0" borderId="0" xfId="0" applyFont="true" applyBorder="false" applyAlignment="true" applyProtection="false">
      <alignment horizontal="center" vertical="bottom" textRotation="0" wrapText="true" indent="0" shrinkToFit="false"/>
      <protection locked="true" hidden="false"/>
    </xf>
    <xf numFmtId="164" fontId="32" fillId="0" borderId="1" xfId="0" applyFont="true" applyBorder="true" applyAlignment="true" applyProtection="false">
      <alignment horizontal="general" vertical="center" textRotation="0" wrapText="false" indent="0" shrinkToFit="false"/>
      <protection locked="true" hidden="false"/>
    </xf>
    <xf numFmtId="167" fontId="32" fillId="2" borderId="1" xfId="0" applyFont="true" applyBorder="true" applyAlignment="true" applyProtection="false">
      <alignment horizontal="general" vertical="center" textRotation="0" wrapText="false" indent="0" shrinkToFit="false"/>
      <protection locked="true" hidden="false"/>
    </xf>
    <xf numFmtId="165" fontId="27" fillId="0" borderId="1" xfId="0" applyFont="true" applyBorder="true" applyAlignment="true" applyProtection="false">
      <alignment horizontal="center" vertical="center" textRotation="0" wrapText="false" indent="0" shrinkToFit="false"/>
      <protection locked="true" hidden="false"/>
    </xf>
    <xf numFmtId="165" fontId="31" fillId="0" borderId="1" xfId="0" applyFont="true" applyBorder="true" applyAlignment="true" applyProtection="false">
      <alignment horizontal="center" vertical="center" textRotation="0" wrapText="false" indent="0" shrinkToFit="false"/>
      <protection locked="true" hidden="false"/>
    </xf>
    <xf numFmtId="165" fontId="31" fillId="0" borderId="0" xfId="0" applyFont="true" applyBorder="false" applyAlignment="true" applyProtection="false">
      <alignment horizontal="center" vertical="center" textRotation="0" wrapText="false" indent="0" shrinkToFit="false"/>
      <protection locked="true" hidden="false"/>
    </xf>
    <xf numFmtId="165" fontId="27" fillId="0" borderId="0" xfId="0" applyFont="true" applyBorder="false" applyAlignment="true" applyProtection="false">
      <alignment horizontal="center" vertical="center" textRotation="0" wrapText="false" indent="0" shrinkToFit="false"/>
      <protection locked="true" hidden="false"/>
    </xf>
    <xf numFmtId="165" fontId="21" fillId="0" borderId="1" xfId="0" applyFont="true" applyBorder="true" applyAlignment="true" applyProtection="false">
      <alignment horizontal="center" vertical="center" textRotation="0" wrapText="false" indent="0" shrinkToFit="false"/>
      <protection locked="true" hidden="false"/>
    </xf>
    <xf numFmtId="164" fontId="40" fillId="0" borderId="1" xfId="0" applyFont="true" applyBorder="true" applyAlignment="true" applyProtection="false">
      <alignment horizontal="general" vertical="center" textRotation="0" wrapText="false" indent="0" shrinkToFit="false"/>
      <protection locked="true" hidden="false"/>
    </xf>
    <xf numFmtId="183" fontId="32" fillId="0" borderId="1" xfId="0" applyFont="true" applyBorder="true" applyAlignment="true" applyProtection="false">
      <alignment horizontal="right" vertical="center" textRotation="0" wrapText="false" indent="0" shrinkToFit="false"/>
      <protection locked="true" hidden="false"/>
    </xf>
    <xf numFmtId="183" fontId="32" fillId="2" borderId="1" xfId="0" applyFont="true" applyBorder="true" applyAlignment="true" applyProtection="false">
      <alignment horizontal="right" vertical="center" textRotation="0" wrapText="false" indent="0" shrinkToFit="false"/>
      <protection locked="true" hidden="false"/>
    </xf>
    <xf numFmtId="164" fontId="40" fillId="2" borderId="1" xfId="0" applyFont="true" applyBorder="true" applyAlignment="true" applyProtection="false">
      <alignment horizontal="general" vertical="center" textRotation="0" wrapText="false" indent="0" shrinkToFit="false"/>
      <protection locked="true" hidden="false"/>
    </xf>
    <xf numFmtId="183" fontId="32" fillId="2" borderId="1" xfId="0" applyFont="true" applyBorder="true" applyAlignment="true" applyProtection="false">
      <alignment horizontal="general" vertical="center" textRotation="0" wrapText="false" indent="0" shrinkToFit="false"/>
      <protection locked="true" hidden="false"/>
    </xf>
    <xf numFmtId="164" fontId="32" fillId="0" borderId="1" xfId="0" applyFont="true" applyBorder="true" applyAlignment="true" applyProtection="false">
      <alignment horizontal="general" vertical="center" textRotation="0" wrapText="true" indent="0" shrinkToFit="false"/>
      <protection locked="true" hidden="false"/>
    </xf>
    <xf numFmtId="165" fontId="82" fillId="0" borderId="1" xfId="0" applyFont="true" applyBorder="true" applyAlignment="true" applyProtection="false">
      <alignment horizontal="center" vertical="center" textRotation="0" wrapText="false" indent="0" shrinkToFit="false"/>
      <protection locked="true" hidden="false"/>
    </xf>
    <xf numFmtId="165" fontId="27" fillId="2" borderId="1" xfId="0" applyFont="true" applyBorder="true" applyAlignment="true" applyProtection="false">
      <alignment horizontal="center" vertical="center" textRotation="0" wrapText="false" indent="0" shrinkToFit="false"/>
      <protection locked="true" hidden="false"/>
    </xf>
    <xf numFmtId="165" fontId="82" fillId="2" borderId="1" xfId="0" applyFont="true" applyBorder="true" applyAlignment="true" applyProtection="false">
      <alignment horizontal="center" vertical="center" textRotation="0" wrapText="false" indent="0" shrinkToFit="false"/>
      <protection locked="true" hidden="false"/>
    </xf>
    <xf numFmtId="164" fontId="21" fillId="0" borderId="1" xfId="0" applyFont="true" applyBorder="true" applyAlignment="true" applyProtection="false">
      <alignment horizontal="center" vertical="center" textRotation="0" wrapText="true" indent="0" shrinkToFit="false"/>
      <protection locked="true" hidden="false"/>
    </xf>
    <xf numFmtId="164" fontId="83" fillId="0" borderId="0" xfId="0" applyFont="true" applyBorder="true" applyAlignment="true" applyProtection="false">
      <alignment horizontal="center" vertical="center" textRotation="0" wrapText="false" indent="0" shrinkToFit="false"/>
      <protection locked="true" hidden="false"/>
    </xf>
    <xf numFmtId="164" fontId="27" fillId="9" borderId="1" xfId="0" applyFont="true" applyBorder="true" applyAlignment="true" applyProtection="false">
      <alignment horizontal="right" vertical="center" textRotation="0" wrapText="false" indent="0" shrinkToFit="false"/>
      <protection locked="true" hidden="false"/>
    </xf>
    <xf numFmtId="183" fontId="28" fillId="9" borderId="1" xfId="0" applyFont="true" applyBorder="true" applyAlignment="true" applyProtection="false">
      <alignment horizontal="right" vertical="center" textRotation="0" wrapText="false" indent="0" shrinkToFit="false"/>
      <protection locked="true" hidden="false"/>
    </xf>
    <xf numFmtId="165" fontId="28" fillId="0" borderId="0" xfId="0" applyFont="true" applyBorder="false" applyAlignment="true" applyProtection="false">
      <alignment horizontal="center" vertical="center" textRotation="0" wrapText="false" indent="0" shrinkToFit="false"/>
      <protection locked="true" hidden="false"/>
    </xf>
    <xf numFmtId="165" fontId="21" fillId="0" borderId="0" xfId="0" applyFont="true" applyBorder="true" applyAlignment="true" applyProtection="false">
      <alignment horizontal="center" vertical="center" textRotation="0" wrapText="false" indent="0" shrinkToFit="false"/>
      <protection locked="true" hidden="false"/>
    </xf>
    <xf numFmtId="164" fontId="22" fillId="0" borderId="0" xfId="0" applyFont="true" applyBorder="true" applyAlignment="true" applyProtection="false">
      <alignment horizontal="general" vertical="center" textRotation="0" wrapText="false" indent="0" shrinkToFit="false"/>
      <protection locked="true" hidden="false"/>
    </xf>
    <xf numFmtId="182" fontId="27" fillId="9" borderId="1" xfId="0" applyFont="true" applyBorder="true" applyAlignment="true" applyProtection="false">
      <alignment horizontal="center" vertical="center" textRotation="0" wrapText="false" indent="0" shrinkToFit="false"/>
      <protection locked="true" hidden="false"/>
    </xf>
    <xf numFmtId="184" fontId="27" fillId="9" borderId="1" xfId="0" applyFont="true" applyBorder="true" applyAlignment="true" applyProtection="false">
      <alignment horizontal="center" vertical="center" textRotation="0" wrapText="false" indent="0" shrinkToFit="false"/>
      <protection locked="true" hidden="false"/>
    </xf>
    <xf numFmtId="183" fontId="22" fillId="0" borderId="0" xfId="0" applyFont="true" applyBorder="false" applyAlignment="true" applyProtection="false">
      <alignment horizontal="general" vertical="center" textRotation="0" wrapText="false" indent="0" shrinkToFit="false"/>
      <protection locked="true" hidden="false"/>
    </xf>
    <xf numFmtId="164" fontId="27" fillId="3" borderId="1" xfId="0" applyFont="true" applyBorder="true" applyAlignment="true" applyProtection="false">
      <alignment horizontal="right" vertical="center" textRotation="0" wrapText="false" indent="0" shrinkToFit="false"/>
      <protection locked="true" hidden="false"/>
    </xf>
    <xf numFmtId="183" fontId="27" fillId="3" borderId="1" xfId="0" applyFont="true" applyBorder="true" applyAlignment="true" applyProtection="false">
      <alignment horizontal="center" vertical="center" textRotation="0" wrapText="false" indent="0" shrinkToFit="false"/>
      <protection locked="true" hidden="false"/>
    </xf>
    <xf numFmtId="164" fontId="21" fillId="0" borderId="0" xfId="0" applyFont="true" applyBorder="true" applyAlignment="true" applyProtection="false">
      <alignment horizontal="center" vertical="bottom" textRotation="0" wrapText="false" indent="0" shrinkToFit="false"/>
      <protection locked="true" hidden="false"/>
    </xf>
    <xf numFmtId="184" fontId="26" fillId="3" borderId="1" xfId="0" applyFont="true" applyBorder="true" applyAlignment="true" applyProtection="false">
      <alignment horizontal="center" vertical="center" textRotation="0" wrapText="true" indent="0" shrinkToFit="false"/>
      <protection locked="true" hidden="false"/>
    </xf>
    <xf numFmtId="184" fontId="26" fillId="3" borderId="1" xfId="0" applyFont="true" applyBorder="true" applyAlignment="true" applyProtection="false">
      <alignment horizontal="center" vertical="center"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27" fillId="8" borderId="1" xfId="0" applyFont="true" applyBorder="true" applyAlignment="true" applyProtection="false">
      <alignment horizontal="center" vertical="center" textRotation="0" wrapText="true" indent="0" shrinkToFit="false"/>
      <protection locked="true" hidden="false"/>
    </xf>
    <xf numFmtId="167" fontId="27" fillId="0" borderId="1" xfId="0" applyFont="true" applyBorder="true" applyAlignment="true" applyProtection="false">
      <alignment horizontal="right" vertical="center" textRotation="0" wrapText="false" indent="0" shrinkToFit="false"/>
      <protection locked="true" hidden="false"/>
    </xf>
    <xf numFmtId="167" fontId="21" fillId="0" borderId="0" xfId="0" applyFont="true" applyBorder="false" applyAlignment="false" applyProtection="false">
      <alignment horizontal="general" vertical="bottom" textRotation="0" wrapText="false" indent="0" shrinkToFit="false"/>
      <protection locked="true" hidden="false"/>
    </xf>
    <xf numFmtId="164" fontId="84" fillId="0" borderId="0" xfId="0" applyFont="true" applyBorder="false" applyAlignment="true" applyProtection="false">
      <alignment horizontal="right" vertical="center" textRotation="0" wrapText="false" indent="0" shrinkToFit="false"/>
      <protection locked="true" hidden="false"/>
    </xf>
    <xf numFmtId="164" fontId="85" fillId="0" borderId="0" xfId="0" applyFont="true" applyBorder="false" applyAlignment="true" applyProtection="false">
      <alignment horizontal="general" vertical="center" textRotation="0" wrapText="false" indent="0" shrinkToFit="false"/>
      <protection locked="true" hidden="false"/>
    </xf>
    <xf numFmtId="173" fontId="22"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false" indent="0" shrinkToFit="false"/>
      <protection locked="true" hidden="false"/>
    </xf>
    <xf numFmtId="168" fontId="26" fillId="0" borderId="1" xfId="0" applyFont="true" applyBorder="true" applyAlignment="true" applyProtection="false">
      <alignment horizontal="right" vertical="center" textRotation="0" wrapText="false" indent="0" shrinkToFit="false"/>
      <protection locked="true" hidden="false"/>
    </xf>
    <xf numFmtId="164" fontId="81" fillId="0" borderId="0" xfId="0" applyFont="true" applyBorder="true" applyAlignment="true" applyProtection="false">
      <alignment horizontal="left" vertical="center" textRotation="0" wrapText="false" indent="0" shrinkToFit="false"/>
      <protection locked="true" hidden="false"/>
    </xf>
    <xf numFmtId="164" fontId="86" fillId="0" borderId="0" xfId="0" applyFont="true" applyBorder="false" applyAlignment="true" applyProtection="false">
      <alignment horizontal="right" vertical="center" textRotation="0" wrapText="false" indent="0" shrinkToFit="false"/>
      <protection locked="true" hidden="false"/>
    </xf>
    <xf numFmtId="164" fontId="87" fillId="0" borderId="0" xfId="0" applyFont="true" applyBorder="true" applyAlignment="true" applyProtection="false">
      <alignment horizontal="left" vertical="center" textRotation="0" wrapText="true" indent="0" shrinkToFit="false"/>
      <protection locked="true" hidden="false"/>
    </xf>
    <xf numFmtId="164" fontId="27" fillId="0" borderId="0" xfId="0" applyFont="true" applyBorder="true" applyAlignment="true" applyProtection="false">
      <alignment horizontal="left" vertical="center" textRotation="0" wrapText="false" indent="0" shrinkToFit="false"/>
      <protection locked="true" hidden="false"/>
    </xf>
    <xf numFmtId="164" fontId="26" fillId="0" borderId="1" xfId="0" applyFont="true" applyBorder="true" applyAlignment="true" applyProtection="false">
      <alignment horizontal="right" vertical="center" textRotation="0" wrapText="false" indent="0" shrinkToFit="false"/>
      <protection locked="true" hidden="false"/>
    </xf>
    <xf numFmtId="164" fontId="81" fillId="0" borderId="0" xfId="0" applyFont="true" applyBorder="true" applyAlignment="true" applyProtection="false">
      <alignment horizontal="left" vertical="center" textRotation="0" wrapText="true" indent="0" shrinkToFit="false"/>
      <protection locked="true" hidden="false"/>
    </xf>
    <xf numFmtId="164" fontId="88" fillId="0" borderId="0" xfId="0" applyFont="true" applyBorder="false" applyAlignment="true" applyProtection="false">
      <alignment horizontal="right" vertical="center" textRotation="0" wrapText="false" indent="0" shrinkToFit="false"/>
      <protection locked="true" hidden="false"/>
    </xf>
    <xf numFmtId="164" fontId="87" fillId="0" borderId="0" xfId="0" applyFont="true" applyBorder="false" applyAlignment="true" applyProtection="false">
      <alignment horizontal="general" vertical="center" textRotation="0" wrapText="false" indent="0" shrinkToFit="false"/>
      <protection locked="true" hidden="false"/>
    </xf>
    <xf numFmtId="183" fontId="32" fillId="0" borderId="0" xfId="0" applyFont="true" applyBorder="true" applyAlignment="true" applyProtection="false">
      <alignment horizontal="right" vertical="center" textRotation="0" wrapText="false" indent="0" shrinkToFit="false"/>
      <protection locked="true" hidden="false"/>
    </xf>
    <xf numFmtId="183" fontId="3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true" applyAlignment="true" applyProtection="false">
      <alignment horizontal="left" vertical="bottom" textRotation="0" wrapText="false" indent="0" shrinkToFit="false"/>
      <protection locked="true" hidden="false"/>
    </xf>
    <xf numFmtId="164" fontId="24" fillId="0" borderId="0" xfId="0" applyFont="true" applyBorder="true" applyAlignment="true" applyProtection="false">
      <alignment horizontal="left" vertical="bottom" textRotation="0" wrapText="false" indent="0" shrinkToFit="false"/>
      <protection locked="true" hidden="false"/>
    </xf>
    <xf numFmtId="164" fontId="24" fillId="0" borderId="0" xfId="0" applyFont="true" applyBorder="true" applyAlignment="true" applyProtection="false">
      <alignment horizontal="left" vertical="center" textRotation="0" wrapText="false" indent="0" shrinkToFit="false"/>
      <protection locked="true" hidden="false"/>
    </xf>
    <xf numFmtId="164" fontId="40" fillId="0" borderId="0" xfId="0" applyFont="true" applyBorder="true" applyAlignment="true" applyProtection="false">
      <alignment horizontal="left" vertical="center" textRotation="0" wrapText="true" indent="0" shrinkToFit="false"/>
      <protection locked="true" hidden="false"/>
    </xf>
    <xf numFmtId="164" fontId="27" fillId="0" borderId="1" xfId="0" applyFont="true" applyBorder="true" applyAlignment="true" applyProtection="false">
      <alignment horizontal="center" vertical="center" textRotation="0" wrapText="true" indent="0" shrinkToFit="false"/>
      <protection locked="true" hidden="false"/>
    </xf>
    <xf numFmtId="164" fontId="27" fillId="0" borderId="1" xfId="0" applyFont="true" applyBorder="true" applyAlignment="true" applyProtection="false">
      <alignment horizontal="center" vertical="center" textRotation="0" wrapText="false" indent="0" shrinkToFit="false"/>
      <protection locked="true" hidden="false"/>
    </xf>
    <xf numFmtId="164" fontId="32" fillId="0" borderId="1" xfId="0" applyFont="true" applyBorder="true" applyAlignment="true" applyProtection="false">
      <alignment horizontal="left" vertical="center" textRotation="0" wrapText="false" indent="0" shrinkToFit="false"/>
      <protection locked="true" hidden="false"/>
    </xf>
    <xf numFmtId="167" fontId="21" fillId="0" borderId="1" xfId="0" applyFont="true" applyBorder="true" applyAlignment="true" applyProtection="false">
      <alignment horizontal="right" vertical="center" textRotation="0" wrapText="false" indent="0" shrinkToFit="false"/>
      <protection locked="true" hidden="false"/>
    </xf>
    <xf numFmtId="164" fontId="32" fillId="0" borderId="1" xfId="0" applyFont="true" applyBorder="true" applyAlignment="true" applyProtection="false">
      <alignment horizontal="left" vertical="center" textRotation="0" wrapText="true" indent="0" shrinkToFit="false"/>
      <protection locked="true" hidden="false"/>
    </xf>
    <xf numFmtId="167" fontId="21" fillId="2" borderId="1" xfId="0" applyFont="true" applyBorder="true" applyAlignment="true" applyProtection="false">
      <alignment horizontal="right" vertical="center" textRotation="0" wrapText="false" indent="0" shrinkToFit="false"/>
      <protection locked="true" hidden="false"/>
    </xf>
    <xf numFmtId="164" fontId="32" fillId="2" borderId="1" xfId="0" applyFont="true" applyBorder="true" applyAlignment="true" applyProtection="false">
      <alignment horizontal="left" vertical="center" textRotation="0" wrapText="true" indent="0" shrinkToFit="false"/>
      <protection locked="true" hidden="false"/>
    </xf>
    <xf numFmtId="164" fontId="31" fillId="0" borderId="1" xfId="0" applyFont="true" applyBorder="true" applyAlignment="true" applyProtection="false">
      <alignment horizontal="left" vertical="center" textRotation="0" wrapText="false" indent="0" shrinkToFit="false"/>
      <protection locked="true" hidden="false"/>
    </xf>
    <xf numFmtId="164" fontId="26" fillId="0" borderId="1" xfId="0" applyFont="true" applyBorder="true" applyAlignment="true" applyProtection="false">
      <alignment horizontal="left" vertical="center" textRotation="0" wrapText="false" indent="0" shrinkToFit="false"/>
      <protection locked="true" hidden="false"/>
    </xf>
    <xf numFmtId="167" fontId="32" fillId="0" borderId="1" xfId="0" applyFont="true" applyBorder="true" applyAlignment="true" applyProtection="false">
      <alignment horizontal="center" vertical="center" textRotation="0" wrapText="false" indent="0" shrinkToFit="false"/>
      <protection locked="true" hidden="false"/>
    </xf>
    <xf numFmtId="169" fontId="32" fillId="0" borderId="1" xfId="0" applyFont="true" applyBorder="tru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true" applyProtection="false">
      <alignment horizontal="left" vertical="bottom" textRotation="0" wrapText="false" indent="0" shrinkToFit="false"/>
      <protection locked="true" hidden="false"/>
    </xf>
    <xf numFmtId="167" fontId="22" fillId="0" borderId="0" xfId="0" applyFont="true" applyBorder="false" applyAlignment="false" applyProtection="false">
      <alignment horizontal="general" vertical="bottom" textRotation="0" wrapText="false" indent="0" shrinkToFit="false"/>
      <protection locked="true" hidden="false"/>
    </xf>
    <xf numFmtId="178" fontId="32" fillId="0" borderId="0" xfId="0" applyFont="true" applyBorder="false" applyAlignment="true" applyProtection="false">
      <alignment horizontal="center" vertical="bottom" textRotation="0" wrapText="false" indent="0" shrinkToFit="false"/>
      <protection locked="true" hidden="false"/>
    </xf>
    <xf numFmtId="171" fontId="26"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tru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71" fontId="26" fillId="0" borderId="0" xfId="0" applyFont="true" applyBorder="false" applyAlignment="true" applyProtection="false">
      <alignment horizontal="center" vertical="center" textRotation="0" wrapText="false" indent="0" shrinkToFit="false"/>
      <protection locked="true" hidden="false"/>
    </xf>
    <xf numFmtId="164" fontId="32" fillId="0" borderId="0" xfId="0" applyFont="true" applyBorder="true" applyAlignment="true" applyProtection="false">
      <alignment horizontal="left" vertical="center" textRotation="0" wrapText="true" indent="0" shrinkToFit="false"/>
      <protection locked="true" hidden="false"/>
    </xf>
    <xf numFmtId="164" fontId="27" fillId="3" borderId="1" xfId="0" applyFont="true" applyBorder="true" applyAlignment="true" applyProtection="false">
      <alignment horizontal="center" vertical="center" textRotation="0" wrapText="true" indent="0" shrinkToFit="false"/>
      <protection locked="true" hidden="false"/>
    </xf>
    <xf numFmtId="183" fontId="40" fillId="2" borderId="1" xfId="0" applyFont="true" applyBorder="true" applyAlignment="true" applyProtection="false">
      <alignment horizontal="right" vertical="center" textRotation="0" wrapText="true" indent="0" shrinkToFit="false"/>
      <protection locked="true" hidden="false"/>
    </xf>
    <xf numFmtId="183" fontId="40" fillId="2" borderId="1" xfId="0" applyFont="true" applyBorder="true" applyAlignment="true" applyProtection="false">
      <alignment horizontal="right" vertical="center" textRotation="0" wrapText="false" indent="0" shrinkToFit="false"/>
      <protection locked="true" hidden="false"/>
    </xf>
    <xf numFmtId="183" fontId="40" fillId="0" borderId="1" xfId="0" applyFont="true" applyBorder="true" applyAlignment="true" applyProtection="false">
      <alignment horizontal="right" vertical="center" textRotation="0" wrapText="false" indent="0" shrinkToFit="false"/>
      <protection locked="true" hidden="false"/>
    </xf>
    <xf numFmtId="164" fontId="32" fillId="0" borderId="0" xfId="0" applyFont="true" applyBorder="false" applyAlignment="true" applyProtection="false">
      <alignment horizontal="center" vertical="center"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4" fontId="27" fillId="3" borderId="1" xfId="0" applyFont="true" applyBorder="true" applyAlignment="true" applyProtection="false">
      <alignment horizontal="left" vertical="center" textRotation="0" wrapText="false" indent="0" shrinkToFit="false"/>
      <protection locked="true" hidden="false"/>
    </xf>
    <xf numFmtId="183" fontId="31" fillId="3" borderId="1" xfId="0" applyFont="true" applyBorder="true" applyAlignment="true" applyProtection="false">
      <alignment horizontal="right"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e 2" xfId="20"/>
    <cellStyle name="Percentuale 2" xfId="21"/>
    <cellStyle name="Valuta 2" xfId="22"/>
  </cellStyles>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BF0041"/>
      <rgbColor rgb="FF158466"/>
      <rgbColor rgb="FFB3CAC7"/>
      <rgbColor rgb="FF808080"/>
      <rgbColor rgb="FF729FCF"/>
      <rgbColor rgb="FF993366"/>
      <rgbColor rgb="FFFFFFCC"/>
      <rgbColor rgb="FFCCFFFF"/>
      <rgbColor rgb="FF660066"/>
      <rgbColor rgb="FFFF8080"/>
      <rgbColor rgb="FF2A6099"/>
      <rgbColor rgb="FFB4C7DC"/>
      <rgbColor rgb="FF000080"/>
      <rgbColor rgb="FFFF00FF"/>
      <rgbColor rgb="FFFFFF00"/>
      <rgbColor rgb="FF00FFFF"/>
      <rgbColor rgb="FF800080"/>
      <rgbColor rgb="FF800000"/>
      <rgbColor rgb="FF1E6A39"/>
      <rgbColor rgb="FF0000FF"/>
      <rgbColor rgb="FF00B0F0"/>
      <rgbColor rgb="FFCCFFFF"/>
      <rgbColor rgb="FFDDDDDD"/>
      <rgbColor rgb="FFFFFFA6"/>
      <rgbColor rgb="FF99CCFF"/>
      <rgbColor rgb="FFFF99CC"/>
      <rgbColor rgb="FFCC99FF"/>
      <rgbColor rgb="FFE0C2CD"/>
      <rgbColor rgb="FF3366FF"/>
      <rgbColor rgb="FF33CCCC"/>
      <rgbColor rgb="FF99CC00"/>
      <rgbColor rgb="FFFFCC00"/>
      <rgbColor rgb="FFFF9900"/>
      <rgbColor rgb="FFFF6600"/>
      <rgbColor rgb="FF3465A4"/>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externalLink" Target="externalLinks/externalLink1.xml"/><Relationship Id="rId11" Type="http://schemas.openxmlformats.org/officeDocument/2006/relationships/externalLink" Target="externalLinks/externalLink2.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z/bibuffici/ALE_AGU/CUBI/AAAA_Piano_strategico/ASC_utili/PEF/Verso_FINE/Vers_4mar2021/z/bibuffici/ALE_AGU/CUBI/AAAA_Piano_strategico/ASC_utili/PEF/Verso_FINE/Vers_4mar2021/z/bibuffici/ALE_AGU/CUBI/AAAA_Piano_strategico/ASC_utili/PEF/Verso_FINE/Vers_4mar2021/z/bibuffici/ALE_AGU/CUBI/AAAA_Piano_strategico/ASC_utili/PEF/Verso_FINE/Vers_4mar2021/z/bibuffici/ALE_AGU/CUBI/AAAA_Piano_strategico/ASC_utili/PEF/Verso_FINE/Vers_4mar2021/z/bibuffici/ALE_AGU/CUBI/AAAA_Piano_strategico/ASC_utili/PEF/Verso_FINE/Vers_4mar2021/z/bibuffici/ALE_AGU/CUBI/AAAA_Piano_strategico/ASC_utili/PEF/Verso_FINE/Vers_4mar2021/z/bibuffici/ALE_AGU/CUBI/AAAA_Piano_strategico/ASC_utili/PEF/Verso_FINE/Vers_4mar2021/z/bibuffici/ALE_AGU/CUBI/AAAA_Piano_strategico/ASC_utili/PEF/Verso_FINE/Vers_4mar2021/z/bibuffici/ALE_AGU/CUBI/AAAA_Piano_strategico/ASC_utili/PEF/Verso_FINE/Vers_4mar2021/z/bibuffici/ALE_AGU/CUBI/AAAA_Piano_strategico/ASC_utili/PEF/Verso_FINE/Vers_4mar2021/z/bibuffici/ALE_AGU/CUBI/AAAA_Piano_strategico/ASC_utili/PEF/Verso_FINE/Vers_4mar2021/z/bibuffici/ALE_AGU/CUBI/AAAA_Piano_strategico/ASC_utili/PEF/Verso_FINE/Vers_4mar2021/Nebuloni/home/aguale17/home/aguale17/Business%20plan%20numerico%2012.02.21%20SN.xls"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file://1C64FEA5/esternalizzate_slim_20feb21.od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via Stephenson (MAX)"/>
      <sheetName val="Costi"/>
      <sheetName val="PRLEAS"/>
      <sheetName val="CEE (VENDITA MAX)"/>
      <sheetName val="CASH FLOW (VENDITA MAX)"/>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ituazione_attuale_sedi_ester_2"/>
      <sheetName val="Attuale_dati_full"/>
      <sheetName val="Investimenti_automazione"/>
      <sheetName val="Criteri_della_simulazione_costo"/>
      <sheetName val="Struttura_del_servizio"/>
      <sheetName val="Programmazione_Risorse"/>
      <sheetName val="Quadro_Economico_e_Costi"/>
      <sheetName val="Funzionigramma_CUBI"/>
      <sheetName val="Costo_ora"/>
    </sheetNames>
    <sheetDataSet>
      <sheetData sheetId="0"/>
      <sheetData sheetId="1"/>
      <sheetData sheetId="2"/>
      <sheetData sheetId="3"/>
      <sheetData sheetId="4"/>
      <sheetData sheetId="5"/>
      <sheetData sheetId="6"/>
      <sheetData sheetId="7"/>
      <sheetData sheetId="8">
        <row r="5">
          <cell r="F5">
            <v>26148.42</v>
          </cell>
        </row>
      </sheetData>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V5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S10" activeCellId="0" sqref="S10"/>
    </sheetView>
  </sheetViews>
  <sheetFormatPr defaultColWidth="11.53515625" defaultRowHeight="12.8" zeroHeight="false" outlineLevelRow="0" outlineLevelCol="0"/>
  <cols>
    <col collapsed="false" customWidth="true" hidden="false" outlineLevel="0" max="1" min="1" style="1" width="10.97"/>
    <col collapsed="false" customWidth="true" hidden="false" outlineLevel="0" max="2" min="2" style="2" width="10.84"/>
    <col collapsed="false" customWidth="true" hidden="false" outlineLevel="0" max="3" min="3" style="2" width="6.81"/>
    <col collapsed="false" customWidth="true" hidden="false" outlineLevel="0" max="4" min="4" style="2" width="49.61"/>
    <col collapsed="false" customWidth="true" hidden="false" outlineLevel="0" max="5" min="5" style="2" width="12.5"/>
    <col collapsed="false" customWidth="true" hidden="false" outlineLevel="0" max="6" min="6" style="3" width="9.32"/>
    <col collapsed="false" customWidth="true" hidden="false" outlineLevel="0" max="7" min="7" style="3" width="1.39"/>
    <col collapsed="false" customWidth="true" hidden="false" outlineLevel="0" max="8" min="8" style="3" width="4.97"/>
    <col collapsed="false" customWidth="true" hidden="false" outlineLevel="0" max="9" min="9" style="3" width="4.58"/>
    <col collapsed="false" customWidth="true" hidden="false" outlineLevel="0" max="10" min="10" style="3" width="1.39"/>
    <col collapsed="false" customWidth="true" hidden="false" outlineLevel="0" max="11" min="11" style="3" width="5.14"/>
    <col collapsed="false" customWidth="true" hidden="false" outlineLevel="0" max="12" min="12" style="3" width="4.44"/>
    <col collapsed="false" customWidth="true" hidden="false" outlineLevel="0" max="13" min="13" style="3" width="1.66"/>
    <col collapsed="false" customWidth="true" hidden="false" outlineLevel="0" max="14" min="14" style="2" width="13.19"/>
    <col collapsed="false" customWidth="true" hidden="false" outlineLevel="0" max="17" min="15" style="3" width="1.39"/>
    <col collapsed="false" customWidth="true" hidden="false" outlineLevel="0" max="18" min="18" style="2" width="12.22"/>
    <col collapsed="false" customWidth="false" hidden="false" outlineLevel="0" max="19" min="19" style="2" width="11.52"/>
    <col collapsed="false" customWidth="true" hidden="false" outlineLevel="0" max="20" min="20" style="2" width="13.19"/>
    <col collapsed="false" customWidth="false" hidden="false" outlineLevel="0" max="1023" min="21" style="2" width="11.52"/>
  </cols>
  <sheetData>
    <row r="1" customFormat="false" ht="37.3" hidden="false" customHeight="true" outlineLevel="0" collapsed="false">
      <c r="A1" s="4" t="s">
        <v>0</v>
      </c>
      <c r="B1" s="4"/>
      <c r="C1" s="4"/>
      <c r="D1" s="4"/>
      <c r="E1" s="4"/>
      <c r="F1" s="4"/>
      <c r="G1" s="4"/>
      <c r="H1" s="4"/>
      <c r="I1" s="4"/>
      <c r="J1" s="4"/>
      <c r="K1" s="4"/>
      <c r="L1" s="4"/>
      <c r="M1" s="4"/>
      <c r="N1" s="4"/>
      <c r="O1" s="4"/>
      <c r="P1" s="4"/>
      <c r="Q1" s="4"/>
      <c r="R1" s="4"/>
    </row>
    <row r="2" customFormat="false" ht="33.55" hidden="false" customHeight="true" outlineLevel="0" collapsed="false">
      <c r="E2" s="5" t="n">
        <v>2022</v>
      </c>
      <c r="F2" s="6"/>
      <c r="G2" s="6"/>
      <c r="H2" s="7" t="s">
        <v>1</v>
      </c>
      <c r="I2" s="7"/>
      <c r="J2" s="6"/>
      <c r="K2" s="7" t="s">
        <v>2</v>
      </c>
      <c r="L2" s="7"/>
      <c r="M2" s="6"/>
      <c r="N2" s="5" t="n">
        <v>2023</v>
      </c>
      <c r="O2" s="6"/>
      <c r="P2" s="6"/>
      <c r="Q2" s="6"/>
      <c r="R2" s="5" t="n">
        <v>2024</v>
      </c>
    </row>
    <row r="3" customFormat="false" ht="31.3" hidden="false" customHeight="true" outlineLevel="0" collapsed="false">
      <c r="A3" s="8" t="s">
        <v>3</v>
      </c>
      <c r="B3" s="8" t="s">
        <v>4</v>
      </c>
      <c r="C3" s="9" t="s">
        <v>5</v>
      </c>
      <c r="D3" s="8" t="s">
        <v>6</v>
      </c>
      <c r="E3" s="10" t="s">
        <v>7</v>
      </c>
      <c r="F3" s="11"/>
      <c r="G3" s="11"/>
      <c r="H3" s="7"/>
      <c r="I3" s="7"/>
      <c r="J3" s="11"/>
      <c r="K3" s="7"/>
      <c r="L3" s="7"/>
      <c r="M3" s="11"/>
      <c r="N3" s="10" t="s">
        <v>7</v>
      </c>
      <c r="O3" s="11"/>
      <c r="P3" s="11"/>
      <c r="Q3" s="11"/>
      <c r="R3" s="10" t="s">
        <v>7</v>
      </c>
    </row>
    <row r="4" customFormat="false" ht="15.65" hidden="false" customHeight="true" outlineLevel="0" collapsed="false">
      <c r="A4" s="12" t="s">
        <v>8</v>
      </c>
      <c r="B4" s="13" t="s">
        <v>9</v>
      </c>
      <c r="C4" s="14" t="s">
        <v>10</v>
      </c>
      <c r="D4" s="15" t="s">
        <v>11</v>
      </c>
      <c r="E4" s="16" t="n">
        <f aca="false">'2 - Budget_analitico_2022_2024'!G4+'2 - Budget_analitico_2022_2024'!G5+'2 - Budget_analitico_2022_2024'!G6+'2 - Budget_analitico_2022_2024'!G7+'2 - Budget_analitico_2022_2024'!G8+'2 - Budget_analitico_2022_2024'!G9+'2 - Budget_analitico_2022_2024'!G10+'2 - Budget_analitico_2022_2024'!G11+'2 - Budget_analitico_2022_2024'!G12</f>
        <v>-50163.3182088</v>
      </c>
      <c r="F4" s="17" t="n">
        <f aca="false">SUM(E4:E10)</f>
        <v>-329260.3091786</v>
      </c>
      <c r="G4" s="18"/>
      <c r="H4" s="19" t="n">
        <f aca="false">(E4/$E$53)*100</f>
        <v>3.04004552500731</v>
      </c>
      <c r="I4" s="20" t="n">
        <f aca="false">H4+H5+H6+H7+H8+H9+H10</f>
        <v>19.9541490719274</v>
      </c>
      <c r="J4" s="21"/>
      <c r="K4" s="21"/>
      <c r="L4" s="21"/>
      <c r="M4" s="22"/>
      <c r="N4" s="16" t="n">
        <f aca="false">'2 - Budget_analitico_2022_2024'!K4+'2 - Budget_analitico_2022_2024'!K5+'2 - Budget_analitico_2022_2024'!K6+'2 - Budget_analitico_2022_2024'!K7+'2 - Budget_analitico_2022_2024'!K8+'2 - Budget_analitico_2022_2024'!K9+'2 - Budget_analitico_2022_2024'!K10+'2 - Budget_analitico_2022_2024'!K11+'2 - Budget_analitico_2022_2024'!K12</f>
        <v>-50163.3182088</v>
      </c>
      <c r="O4" s="22"/>
      <c r="P4" s="22"/>
      <c r="Q4" s="22"/>
      <c r="R4" s="16" t="n">
        <f aca="false">'2 - Budget_analitico_2022_2024'!O4+'2 - Budget_analitico_2022_2024'!O5+'2 - Budget_analitico_2022_2024'!O6+'2 - Budget_analitico_2022_2024'!O7+'2 - Budget_analitico_2022_2024'!O8+'2 - Budget_analitico_2022_2024'!O9+'2 - Budget_analitico_2022_2024'!O10+'2 - Budget_analitico_2022_2024'!O11+'2 - Budget_analitico_2022_2024'!O12</f>
        <v>-50163.3182088</v>
      </c>
    </row>
    <row r="5" customFormat="false" ht="15.65" hidden="false" customHeight="true" outlineLevel="0" collapsed="false">
      <c r="A5" s="12"/>
      <c r="B5" s="13"/>
      <c r="C5" s="14" t="s">
        <v>10</v>
      </c>
      <c r="D5" s="15" t="s">
        <v>12</v>
      </c>
      <c r="E5" s="16" t="n">
        <f aca="false">SUM('2 - Budget_analitico_2022_2024'!G13:G17)</f>
        <v>-72420.372761</v>
      </c>
      <c r="F5" s="17"/>
      <c r="G5" s="22"/>
      <c r="H5" s="19" t="n">
        <f aca="false">(E5/$E$53)*100</f>
        <v>4.38888889317567</v>
      </c>
      <c r="I5" s="20"/>
      <c r="J5" s="23"/>
      <c r="K5" s="23"/>
      <c r="L5" s="23"/>
      <c r="M5" s="22"/>
      <c r="N5" s="16" t="n">
        <f aca="false">SUM('2 - Budget_analitico_2022_2024'!K13:K17)</f>
        <v>-72420.372761</v>
      </c>
      <c r="O5" s="22"/>
      <c r="P5" s="22"/>
      <c r="Q5" s="22"/>
      <c r="R5" s="16" t="n">
        <f aca="false">SUM('2 - Budget_analitico_2022_2024'!O13:O17)</f>
        <v>-72420.372761</v>
      </c>
    </row>
    <row r="6" customFormat="false" ht="15.65" hidden="false" customHeight="true" outlineLevel="0" collapsed="false">
      <c r="A6" s="12"/>
      <c r="B6" s="13"/>
      <c r="C6" s="14" t="s">
        <v>10</v>
      </c>
      <c r="D6" s="24" t="s">
        <v>13</v>
      </c>
      <c r="E6" s="16" t="n">
        <f aca="false">SUM('2 - Budget_analitico_2022_2024'!G18:G22)</f>
        <v>-46575.6091044</v>
      </c>
      <c r="F6" s="17"/>
      <c r="G6" s="22"/>
      <c r="H6" s="19" t="n">
        <f aca="false">(E6/$E$53)*100</f>
        <v>2.82261973665613</v>
      </c>
      <c r="I6" s="20"/>
      <c r="J6" s="23"/>
      <c r="K6" s="23"/>
      <c r="L6" s="23"/>
      <c r="M6" s="22"/>
      <c r="N6" s="16" t="n">
        <f aca="false">SUM('2 - Budget_analitico_2022_2024'!K18:K22)</f>
        <v>-46575.6091044</v>
      </c>
      <c r="O6" s="22"/>
      <c r="P6" s="22"/>
      <c r="Q6" s="22"/>
      <c r="R6" s="16" t="n">
        <f aca="false">SUM('2 - Budget_analitico_2022_2024'!O18:O22)</f>
        <v>-46575.6091044</v>
      </c>
    </row>
    <row r="7" customFormat="false" ht="15.65" hidden="false" customHeight="true" outlineLevel="0" collapsed="false">
      <c r="A7" s="12"/>
      <c r="B7" s="13"/>
      <c r="C7" s="14" t="s">
        <v>10</v>
      </c>
      <c r="D7" s="24" t="s">
        <v>14</v>
      </c>
      <c r="E7" s="16" t="n">
        <f aca="false">SUM('2 - Budget_analitico_2022_2024'!G23)</f>
        <v>-9081.5</v>
      </c>
      <c r="F7" s="17"/>
      <c r="G7" s="22"/>
      <c r="H7" s="19" t="n">
        <f aca="false">(E7/$E$53)*100</f>
        <v>0.550365773660297</v>
      </c>
      <c r="I7" s="20"/>
      <c r="J7" s="23"/>
      <c r="K7" s="23"/>
      <c r="L7" s="23"/>
      <c r="M7" s="22"/>
      <c r="N7" s="16" t="n">
        <f aca="false">SUM('2 - Budget_analitico_2022_2024'!K23)</f>
        <v>-9081.5</v>
      </c>
      <c r="O7" s="22"/>
      <c r="P7" s="22"/>
      <c r="Q7" s="22"/>
      <c r="R7" s="16" t="n">
        <f aca="false">SUM('2 - Budget_analitico_2022_2024'!O23)</f>
        <v>-9081.5</v>
      </c>
    </row>
    <row r="8" customFormat="false" ht="15.65" hidden="false" customHeight="true" outlineLevel="0" collapsed="false">
      <c r="A8" s="12"/>
      <c r="B8" s="13"/>
      <c r="C8" s="14" t="s">
        <v>10</v>
      </c>
      <c r="D8" s="24" t="s">
        <v>15</v>
      </c>
      <c r="E8" s="16" t="n">
        <f aca="false">SUM('2 - Budget_analitico_2022_2024'!G24:G27)</f>
        <v>-78119.5091044</v>
      </c>
      <c r="F8" s="17"/>
      <c r="G8" s="22"/>
      <c r="H8" s="19" t="n">
        <f aca="false">(E8/$E$53)*100</f>
        <v>4.73427342027261</v>
      </c>
      <c r="I8" s="20"/>
      <c r="J8" s="23"/>
      <c r="K8" s="23"/>
      <c r="L8" s="23"/>
      <c r="M8" s="22"/>
      <c r="N8" s="16" t="n">
        <f aca="false">SUM('2 - Budget_analitico_2022_2024'!K24:K27)</f>
        <v>-88619.5091044</v>
      </c>
      <c r="O8" s="22"/>
      <c r="P8" s="22"/>
      <c r="Q8" s="22"/>
      <c r="R8" s="16" t="n">
        <f aca="false">SUM('2 - Budget_analitico_2022_2024'!O24:O27)</f>
        <v>-78619.5091044</v>
      </c>
    </row>
    <row r="9" customFormat="false" ht="15.65" hidden="false" customHeight="true" outlineLevel="0" collapsed="false">
      <c r="A9" s="12"/>
      <c r="B9" s="13"/>
      <c r="C9" s="14" t="s">
        <v>10</v>
      </c>
      <c r="D9" s="25" t="s">
        <v>16</v>
      </c>
      <c r="E9" s="16" t="n">
        <f aca="false">SUM('2 - Budget_analitico_2022_2024'!G28:G33)</f>
        <v>-16500</v>
      </c>
      <c r="F9" s="17"/>
      <c r="G9" s="22"/>
      <c r="H9" s="19" t="n">
        <f aca="false">(E9/$E$53)*100</f>
        <v>0.999948826228586</v>
      </c>
      <c r="I9" s="20"/>
      <c r="J9" s="23"/>
      <c r="K9" s="23"/>
      <c r="L9" s="23"/>
      <c r="M9" s="22"/>
      <c r="N9" s="16" t="n">
        <f aca="false">SUM('2 - Budget_analitico_2022_2024'!K28:K33)</f>
        <v>-16500</v>
      </c>
      <c r="O9" s="22"/>
      <c r="P9" s="22"/>
      <c r="Q9" s="22"/>
      <c r="R9" s="16" t="n">
        <f aca="false">SUM('2 - Budget_analitico_2022_2024'!O28:O33)</f>
        <v>-16500</v>
      </c>
    </row>
    <row r="10" customFormat="false" ht="15.65" hidden="false" customHeight="true" outlineLevel="0" collapsed="false">
      <c r="A10" s="12"/>
      <c r="B10" s="13"/>
      <c r="C10" s="14" t="s">
        <v>10</v>
      </c>
      <c r="D10" s="24" t="s">
        <v>17</v>
      </c>
      <c r="E10" s="16" t="n">
        <f aca="false">SUM('2 - Budget_analitico_2022_2024'!G34:G45)</f>
        <v>-56400</v>
      </c>
      <c r="F10" s="17"/>
      <c r="G10" s="22"/>
      <c r="H10" s="19" t="n">
        <f aca="false">(E10/$E$53)*100</f>
        <v>3.4180068969268</v>
      </c>
      <c r="I10" s="20"/>
      <c r="J10" s="23"/>
      <c r="K10" s="23"/>
      <c r="L10" s="23"/>
      <c r="M10" s="22"/>
      <c r="N10" s="16" t="n">
        <f aca="false">SUM('2 - Budget_analitico_2022_2024'!K34:K45)</f>
        <v>-57400</v>
      </c>
      <c r="O10" s="22"/>
      <c r="P10" s="22"/>
      <c r="Q10" s="22"/>
      <c r="R10" s="16" t="n">
        <f aca="false">SUM('2 - Budget_analitico_2022_2024'!O34:O45)</f>
        <v>-57400</v>
      </c>
    </row>
    <row r="11" customFormat="false" ht="15.65" hidden="false" customHeight="true" outlineLevel="0" collapsed="false">
      <c r="A11" s="12"/>
      <c r="B11" s="13" t="s">
        <v>18</v>
      </c>
      <c r="C11" s="14" t="s">
        <v>10</v>
      </c>
      <c r="D11" s="26" t="s">
        <v>19</v>
      </c>
      <c r="E11" s="16" t="n">
        <f aca="false">SUM('2 - Budget_analitico_2022_2024'!G47:G48)</f>
        <v>-17913.0182088</v>
      </c>
      <c r="F11" s="17" t="n">
        <f aca="false">SUM(E11:E19)</f>
        <v>-784601.662761</v>
      </c>
      <c r="G11" s="18"/>
      <c r="H11" s="19" t="n">
        <f aca="false">(E11/$E$53)*100</f>
        <v>1.08558191103641</v>
      </c>
      <c r="I11" s="20" t="n">
        <f aca="false">SUM(H11:H19)</f>
        <v>47.5491825293854</v>
      </c>
      <c r="J11" s="21"/>
      <c r="K11" s="21"/>
      <c r="L11" s="21"/>
      <c r="M11" s="22"/>
      <c r="N11" s="16" t="n">
        <f aca="false">SUM('2 - Budget_analitico_2022_2024'!K47:K48)</f>
        <v>-18913.0182088</v>
      </c>
      <c r="O11" s="22"/>
      <c r="P11" s="22"/>
      <c r="Q11" s="22"/>
      <c r="R11" s="16" t="n">
        <f aca="false">SUM('2 - Budget_analitico_2022_2024'!O47:O48)</f>
        <v>-18913.0182088</v>
      </c>
    </row>
    <row r="12" customFormat="false" ht="15.65" hidden="false" customHeight="true" outlineLevel="0" collapsed="false">
      <c r="A12" s="12"/>
      <c r="B12" s="13"/>
      <c r="C12" s="14" t="s">
        <v>10</v>
      </c>
      <c r="D12" s="27" t="s">
        <v>20</v>
      </c>
      <c r="E12" s="16" t="n">
        <f aca="false">SUM('2 - Budget_analitico_2022_2024'!G49:G64)</f>
        <v>-312422.6</v>
      </c>
      <c r="F12" s="17"/>
      <c r="G12" s="22"/>
      <c r="H12" s="19" t="n">
        <f aca="false">(E12/$E$53)*100</f>
        <v>18.9337340701384</v>
      </c>
      <c r="I12" s="20"/>
      <c r="J12" s="23"/>
      <c r="K12" s="23"/>
      <c r="L12" s="23"/>
      <c r="M12" s="22"/>
      <c r="N12" s="16" t="n">
        <f aca="false">SUM('2 - Budget_analitico_2022_2024'!K49:K64)</f>
        <v>-219336.6</v>
      </c>
      <c r="O12" s="22"/>
      <c r="P12" s="22"/>
      <c r="Q12" s="22"/>
      <c r="R12" s="16" t="n">
        <f aca="false">SUM('2 - Budget_analitico_2022_2024'!O49:O64)</f>
        <v>-216025.6</v>
      </c>
    </row>
    <row r="13" customFormat="false" ht="15.65" hidden="false" customHeight="true" outlineLevel="0" collapsed="false">
      <c r="A13" s="12"/>
      <c r="B13" s="13"/>
      <c r="C13" s="14" t="s">
        <v>10</v>
      </c>
      <c r="D13" s="27" t="s">
        <v>21</v>
      </c>
      <c r="E13" s="16" t="n">
        <f aca="false">SUM('2 - Budget_analitico_2022_2024'!G65)</f>
        <v>-32815.2</v>
      </c>
      <c r="F13" s="17"/>
      <c r="G13" s="22"/>
      <c r="H13" s="19" t="n">
        <f aca="false">(E13/$E$53)*100</f>
        <v>1.98869822560341</v>
      </c>
      <c r="I13" s="20"/>
      <c r="J13" s="23"/>
      <c r="K13" s="23"/>
      <c r="L13" s="23"/>
      <c r="M13" s="22"/>
      <c r="N13" s="16" t="n">
        <f aca="false">SUM('2 - Budget_analitico_2022_2024'!K65)</f>
        <v>-32815.2</v>
      </c>
      <c r="O13" s="22"/>
      <c r="P13" s="22"/>
      <c r="Q13" s="22"/>
      <c r="R13" s="16" t="n">
        <f aca="false">SUM('2 - Budget_analitico_2022_2024'!O65)</f>
        <v>-32815.2</v>
      </c>
    </row>
    <row r="14" customFormat="false" ht="15.65" hidden="false" customHeight="true" outlineLevel="0" collapsed="false">
      <c r="A14" s="12"/>
      <c r="B14" s="13"/>
      <c r="C14" s="14" t="s">
        <v>10</v>
      </c>
      <c r="D14" s="27" t="s">
        <v>22</v>
      </c>
      <c r="E14" s="16" t="n">
        <f aca="false">SUM('2 - Budget_analitico_2022_2024'!G66:G68)</f>
        <v>-105923.56</v>
      </c>
      <c r="F14" s="17"/>
      <c r="G14" s="22"/>
      <c r="H14" s="19" t="n">
        <f aca="false">(E14/$E$53)*100</f>
        <v>6.4192811813305</v>
      </c>
      <c r="I14" s="20"/>
      <c r="J14" s="23"/>
      <c r="K14" s="23"/>
      <c r="L14" s="23"/>
      <c r="M14" s="22"/>
      <c r="N14" s="16" t="n">
        <f aca="false">SUM('2 - Budget_analitico_2022_2024'!K66:K68)</f>
        <v>-109923.56</v>
      </c>
      <c r="O14" s="22"/>
      <c r="P14" s="22"/>
      <c r="Q14" s="22"/>
      <c r="R14" s="16" t="n">
        <f aca="false">SUM('2 - Budget_analitico_2022_2024'!O66:O68)</f>
        <v>-106423.56</v>
      </c>
    </row>
    <row r="15" customFormat="false" ht="15.65" hidden="false" customHeight="true" outlineLevel="0" collapsed="false">
      <c r="A15" s="12"/>
      <c r="B15" s="13"/>
      <c r="C15" s="14" t="s">
        <v>10</v>
      </c>
      <c r="D15" s="24" t="s">
        <v>23</v>
      </c>
      <c r="E15" s="16" t="n">
        <f aca="false">SUM('2 - Budget_analitico_2022_2024'!G69:G70)</f>
        <v>-25000</v>
      </c>
      <c r="F15" s="17"/>
      <c r="G15" s="22"/>
      <c r="H15" s="19" t="n">
        <f aca="false">(E15/$E$53)*100</f>
        <v>1.51507397913422</v>
      </c>
      <c r="I15" s="20"/>
      <c r="J15" s="23"/>
      <c r="K15" s="23"/>
      <c r="L15" s="23"/>
      <c r="M15" s="22"/>
      <c r="N15" s="16" t="n">
        <f aca="false">SUM('2 - Budget_analitico_2022_2024'!K69:K70)</f>
        <v>-25000</v>
      </c>
      <c r="O15" s="22"/>
      <c r="P15" s="22"/>
      <c r="Q15" s="22"/>
      <c r="R15" s="16" t="n">
        <f aca="false">SUM('2 - Budget_analitico_2022_2024'!O69:O70)</f>
        <v>-25000</v>
      </c>
    </row>
    <row r="16" customFormat="false" ht="15.65" hidden="false" customHeight="true" outlineLevel="0" collapsed="false">
      <c r="A16" s="12"/>
      <c r="B16" s="13"/>
      <c r="C16" s="14" t="s">
        <v>10</v>
      </c>
      <c r="D16" s="27" t="s">
        <v>24</v>
      </c>
      <c r="E16" s="16" t="n">
        <f aca="false">SUM('2 - Budget_analitico_2022_2024'!G71:G76)</f>
        <v>-220718.63</v>
      </c>
      <c r="F16" s="17"/>
      <c r="G16" s="22"/>
      <c r="H16" s="19" t="n">
        <f aca="false">(E16/$E$53)*100</f>
        <v>13.3762021209262</v>
      </c>
      <c r="I16" s="20"/>
      <c r="J16" s="23"/>
      <c r="K16" s="23"/>
      <c r="L16" s="23"/>
      <c r="M16" s="22"/>
      <c r="N16" s="16" t="n">
        <f aca="false">SUM('2 - Budget_analitico_2022_2024'!K71:K76)</f>
        <v>-323986.7</v>
      </c>
      <c r="O16" s="22"/>
      <c r="P16" s="22"/>
      <c r="Q16" s="22"/>
      <c r="R16" s="16" t="n">
        <f aca="false">SUM('2 - Budget_analitico_2022_2024'!O71:O76)</f>
        <v>-400782.9</v>
      </c>
    </row>
    <row r="17" customFormat="false" ht="15.65" hidden="false" customHeight="true" outlineLevel="0" collapsed="false">
      <c r="A17" s="12"/>
      <c r="B17" s="13"/>
      <c r="C17" s="14" t="s">
        <v>10</v>
      </c>
      <c r="D17" s="27" t="s">
        <v>25</v>
      </c>
      <c r="E17" s="16" t="n">
        <f aca="false">SUM('2 - Budget_analitico_2022_2024'!G77:G78)</f>
        <v>-29081.5</v>
      </c>
      <c r="F17" s="17"/>
      <c r="G17" s="22"/>
      <c r="H17" s="19" t="n">
        <f aca="false">(E17/$E$53)*100</f>
        <v>1.76242495696767</v>
      </c>
      <c r="I17" s="20"/>
      <c r="J17" s="23"/>
      <c r="K17" s="23"/>
      <c r="L17" s="23"/>
      <c r="M17" s="22"/>
      <c r="N17" s="16" t="n">
        <f aca="false">SUM('2 - Budget_analitico_2022_2024'!K77:K78)</f>
        <v>-44081.5</v>
      </c>
      <c r="O17" s="22"/>
      <c r="P17" s="22"/>
      <c r="Q17" s="22"/>
      <c r="R17" s="16" t="n">
        <f aca="false">SUM('2 - Budget_analitico_2022_2024'!O77:O78)</f>
        <v>-34081.5</v>
      </c>
    </row>
    <row r="18" customFormat="false" ht="15.65" hidden="false" customHeight="true" outlineLevel="0" collapsed="false">
      <c r="A18" s="12"/>
      <c r="B18" s="13"/>
      <c r="C18" s="14" t="s">
        <v>10</v>
      </c>
      <c r="D18" s="27" t="s">
        <v>26</v>
      </c>
      <c r="E18" s="16" t="n">
        <f aca="false">SUM('2 - Budget_analitico_2022_2024'!G79:G80)</f>
        <v>-15000</v>
      </c>
      <c r="F18" s="17"/>
      <c r="G18" s="22"/>
      <c r="H18" s="19" t="n">
        <f aca="false">(E18/$E$53)*100</f>
        <v>0.909044387480532</v>
      </c>
      <c r="I18" s="20"/>
      <c r="J18" s="23"/>
      <c r="K18" s="23"/>
      <c r="L18" s="23"/>
      <c r="M18" s="22"/>
      <c r="N18" s="16" t="n">
        <f aca="false">SUM('2 - Budget_analitico_2022_2024'!K79:K80)</f>
        <v>-22000</v>
      </c>
      <c r="O18" s="22"/>
      <c r="P18" s="22"/>
      <c r="Q18" s="22"/>
      <c r="R18" s="16" t="n">
        <f aca="false">SUM('2 - Budget_analitico_2022_2024'!O79:O80)</f>
        <v>-17000</v>
      </c>
    </row>
    <row r="19" customFormat="false" ht="15.65" hidden="false" customHeight="true" outlineLevel="0" collapsed="false">
      <c r="A19" s="12"/>
      <c r="B19" s="13"/>
      <c r="C19" s="14" t="s">
        <v>10</v>
      </c>
      <c r="D19" s="27" t="s">
        <v>27</v>
      </c>
      <c r="E19" s="16" t="n">
        <f aca="false">SUM('2 - Budget_analitico_2022_2024'!G81:G82)</f>
        <v>-25727.1545522</v>
      </c>
      <c r="F19" s="17"/>
      <c r="G19" s="22"/>
      <c r="H19" s="19" t="n">
        <f aca="false">(E19/$E$53)*100</f>
        <v>1.55914169676811</v>
      </c>
      <c r="I19" s="20"/>
      <c r="J19" s="23"/>
      <c r="K19" s="23"/>
      <c r="L19" s="23"/>
      <c r="M19" s="22"/>
      <c r="N19" s="16" t="n">
        <f aca="false">SUM('2 - Budget_analitico_2022_2024'!K81:K82)</f>
        <v>-42727.1545522</v>
      </c>
      <c r="O19" s="22"/>
      <c r="P19" s="22"/>
      <c r="Q19" s="22"/>
      <c r="R19" s="16" t="n">
        <f aca="false">SUM('2 - Budget_analitico_2022_2024'!O81:O82)</f>
        <v>-47727.1545522</v>
      </c>
    </row>
    <row r="20" customFormat="false" ht="15.65" hidden="false" customHeight="true" outlineLevel="0" collapsed="false">
      <c r="A20" s="12"/>
      <c r="B20" s="13"/>
      <c r="C20" s="28" t="s">
        <v>28</v>
      </c>
      <c r="D20" s="29" t="s">
        <v>29</v>
      </c>
      <c r="E20" s="16" t="n">
        <f aca="false">'2 - Budget_analitico_2022_2024'!G84</f>
        <v>342556.5</v>
      </c>
      <c r="F20" s="17" t="n">
        <f aca="false">SUM(E20:E23)</f>
        <v>1107261.5</v>
      </c>
      <c r="G20" s="22"/>
      <c r="H20" s="30"/>
      <c r="I20" s="31"/>
      <c r="J20" s="31"/>
      <c r="K20" s="32" t="n">
        <f aca="false">(E20/$E$52)*100</f>
        <v>18.1961203565304</v>
      </c>
      <c r="L20" s="33" t="n">
        <f aca="false">K20+K21+K22+K23</f>
        <v>58.8161763684308</v>
      </c>
      <c r="M20" s="22"/>
      <c r="N20" s="16" t="n">
        <f aca="false">'2 - Budget_analitico_2022_2024'!K84</f>
        <v>342556.5</v>
      </c>
      <c r="O20" s="22"/>
      <c r="P20" s="22"/>
      <c r="Q20" s="22"/>
      <c r="R20" s="16" t="n">
        <f aca="false">'2 - Budget_analitico_2022_2024'!O84</f>
        <v>342556.5</v>
      </c>
    </row>
    <row r="21" customFormat="false" ht="15.65" hidden="false" customHeight="true" outlineLevel="0" collapsed="false">
      <c r="A21" s="12"/>
      <c r="B21" s="13"/>
      <c r="C21" s="28" t="s">
        <v>28</v>
      </c>
      <c r="D21" s="29" t="s">
        <v>30</v>
      </c>
      <c r="E21" s="16" t="n">
        <f aca="false">'2 - Budget_analitico_2022_2024'!G85</f>
        <v>137624</v>
      </c>
      <c r="F21" s="17"/>
      <c r="G21" s="22"/>
      <c r="H21" s="30"/>
      <c r="I21" s="31"/>
      <c r="J21" s="31"/>
      <c r="K21" s="32" t="n">
        <f aca="false">(E21/$E$52)*100</f>
        <v>7.31039366629194</v>
      </c>
      <c r="L21" s="33"/>
      <c r="M21" s="22"/>
      <c r="N21" s="16" t="n">
        <f aca="false">'2 - Budget_analitico_2022_2024'!K85</f>
        <v>137624</v>
      </c>
      <c r="O21" s="22"/>
      <c r="P21" s="22"/>
      <c r="Q21" s="22"/>
      <c r="R21" s="16" t="n">
        <f aca="false">'2 - Budget_analitico_2022_2024'!O85</f>
        <v>137624</v>
      </c>
    </row>
    <row r="22" customFormat="false" ht="15.65" hidden="false" customHeight="true" outlineLevel="0" collapsed="false">
      <c r="A22" s="12"/>
      <c r="B22" s="13"/>
      <c r="C22" s="28" t="s">
        <v>28</v>
      </c>
      <c r="D22" s="29" t="s">
        <v>31</v>
      </c>
      <c r="E22" s="16" t="n">
        <f aca="false">'2 - Budget_analitico_2022_2024'!G86</f>
        <v>190100</v>
      </c>
      <c r="F22" s="17"/>
      <c r="G22" s="22"/>
      <c r="H22" s="30"/>
      <c r="I22" s="31"/>
      <c r="J22" s="31"/>
      <c r="K22" s="32" t="n">
        <f aca="false">(E22/$E$52)*100</f>
        <v>10.0978451139489</v>
      </c>
      <c r="L22" s="33"/>
      <c r="M22" s="22"/>
      <c r="N22" s="16" t="n">
        <f aca="false">'2 - Budget_analitico_2022_2024'!K86</f>
        <v>190100</v>
      </c>
      <c r="O22" s="22"/>
      <c r="P22" s="22"/>
      <c r="Q22" s="22"/>
      <c r="R22" s="16" t="n">
        <f aca="false">'2 - Budget_analitico_2022_2024'!O86</f>
        <v>190100</v>
      </c>
    </row>
    <row r="23" customFormat="false" ht="15.65" hidden="false" customHeight="true" outlineLevel="0" collapsed="false">
      <c r="A23" s="12"/>
      <c r="B23" s="13"/>
      <c r="C23" s="28" t="s">
        <v>28</v>
      </c>
      <c r="D23" s="29" t="s">
        <v>32</v>
      </c>
      <c r="E23" s="16" t="n">
        <f aca="false">'2 - Budget_analitico_2022_2024'!G89</f>
        <v>436981</v>
      </c>
      <c r="F23" s="17"/>
      <c r="G23" s="22"/>
      <c r="H23" s="30"/>
      <c r="I23" s="31"/>
      <c r="J23" s="31"/>
      <c r="K23" s="32" t="n">
        <f aca="false">(E23/$E$52)*100</f>
        <v>23.2118172316596</v>
      </c>
      <c r="L23" s="33"/>
      <c r="M23" s="22"/>
      <c r="N23" s="16" t="n">
        <f aca="false">'2 - Budget_analitico_2022_2024'!K89</f>
        <v>436981</v>
      </c>
      <c r="O23" s="22"/>
      <c r="P23" s="22"/>
      <c r="Q23" s="22"/>
      <c r="R23" s="16" t="n">
        <f aca="false">'2 - Budget_analitico_2022_2024'!O89</f>
        <v>436981</v>
      </c>
    </row>
    <row r="24" customFormat="false" ht="15.65" hidden="false" customHeight="true" outlineLevel="0" collapsed="false">
      <c r="A24" s="12"/>
      <c r="B24" s="13"/>
      <c r="C24" s="28" t="s">
        <v>28</v>
      </c>
      <c r="D24" s="29" t="s">
        <v>33</v>
      </c>
      <c r="E24" s="16" t="n">
        <f aca="false">'2 - Budget_analitico_2022_2024'!G87</f>
        <v>38000</v>
      </c>
      <c r="F24" s="17" t="n">
        <f aca="false">E24+E25</f>
        <v>40000</v>
      </c>
      <c r="G24" s="22"/>
      <c r="H24" s="30"/>
      <c r="I24" s="31"/>
      <c r="J24" s="31"/>
      <c r="K24" s="32" t="n">
        <f aca="false">(E24/$E$52)*100</f>
        <v>2.01850665086826</v>
      </c>
      <c r="L24" s="33" t="n">
        <f aca="false">K24+K25</f>
        <v>2.12474384301922</v>
      </c>
      <c r="M24" s="22"/>
      <c r="N24" s="16" t="n">
        <f aca="false">'2 - Budget_analitico_2022_2024'!K87</f>
        <v>38000</v>
      </c>
      <c r="O24" s="22"/>
      <c r="P24" s="22"/>
      <c r="Q24" s="22"/>
      <c r="R24" s="16" t="n">
        <f aca="false">'2 - Budget_analitico_2022_2024'!O87</f>
        <v>38000</v>
      </c>
    </row>
    <row r="25" customFormat="false" ht="15.65" hidden="false" customHeight="true" outlineLevel="0" collapsed="false">
      <c r="A25" s="12"/>
      <c r="B25" s="13"/>
      <c r="C25" s="28" t="s">
        <v>28</v>
      </c>
      <c r="D25" s="29" t="s">
        <v>34</v>
      </c>
      <c r="E25" s="16" t="n">
        <f aca="false">'2 - Budget_analitico_2022_2024'!G88</f>
        <v>2000</v>
      </c>
      <c r="F25" s="17"/>
      <c r="G25" s="22"/>
      <c r="H25" s="30"/>
      <c r="I25" s="31"/>
      <c r="J25" s="31"/>
      <c r="K25" s="32" t="n">
        <f aca="false">(E25/$E$52)*100</f>
        <v>0.106237192150961</v>
      </c>
      <c r="L25" s="33"/>
      <c r="M25" s="22"/>
      <c r="N25" s="16" t="n">
        <f aca="false">'2 - Budget_analitico_2022_2024'!K88</f>
        <v>2000</v>
      </c>
      <c r="O25" s="22"/>
      <c r="P25" s="22"/>
      <c r="Q25" s="22"/>
      <c r="R25" s="16" t="n">
        <f aca="false">'2 - Budget_analitico_2022_2024'!O88</f>
        <v>2000</v>
      </c>
    </row>
    <row r="26" customFormat="false" ht="15.65" hidden="false" customHeight="true" outlineLevel="0" collapsed="false">
      <c r="A26" s="12"/>
      <c r="B26" s="13"/>
      <c r="C26" s="28" t="s">
        <v>28</v>
      </c>
      <c r="D26" s="27" t="s">
        <v>35</v>
      </c>
      <c r="E26" s="16" t="n">
        <f aca="false">'2 - Budget_analitico_2022_2024'!G83</f>
        <v>10000</v>
      </c>
      <c r="F26" s="17" t="n">
        <f aca="false">SUM(E26:E29)</f>
        <v>120000</v>
      </c>
      <c r="G26" s="22"/>
      <c r="H26" s="30"/>
      <c r="I26" s="31"/>
      <c r="J26" s="31"/>
      <c r="K26" s="32" t="n">
        <f aca="false">(E26/$E$52)*100</f>
        <v>0.531185960754806</v>
      </c>
      <c r="L26" s="33" t="n">
        <f aca="false">K26+K27+K28+K29</f>
        <v>6.37423152905768</v>
      </c>
      <c r="M26" s="22"/>
      <c r="N26" s="16" t="n">
        <f aca="false">'2 - Budget_analitico_2022_2024'!K83</f>
        <v>40000</v>
      </c>
      <c r="O26" s="22"/>
      <c r="P26" s="22"/>
      <c r="Q26" s="22"/>
      <c r="R26" s="16" t="n">
        <f aca="false">'2 - Budget_analitico_2022_2024'!O83</f>
        <v>60000</v>
      </c>
    </row>
    <row r="27" customFormat="false" ht="15.65" hidden="false" customHeight="true" outlineLevel="0" collapsed="false">
      <c r="A27" s="12"/>
      <c r="B27" s="13"/>
      <c r="C27" s="28" t="s">
        <v>28</v>
      </c>
      <c r="D27" s="29" t="s">
        <v>36</v>
      </c>
      <c r="E27" s="16" t="n">
        <f aca="false">'2 - Budget_analitico_2022_2024'!G90</f>
        <v>80000</v>
      </c>
      <c r="F27" s="17"/>
      <c r="G27" s="22"/>
      <c r="H27" s="30"/>
      <c r="I27" s="31"/>
      <c r="J27" s="31"/>
      <c r="K27" s="32" t="n">
        <f aca="false">(E27/$E$52)*100</f>
        <v>4.24948768603845</v>
      </c>
      <c r="L27" s="33"/>
      <c r="M27" s="22"/>
      <c r="N27" s="16" t="n">
        <f aca="false">'2 - Budget_analitico_2022_2024'!K90</f>
        <v>80000</v>
      </c>
      <c r="O27" s="22"/>
      <c r="P27" s="22"/>
      <c r="Q27" s="22"/>
      <c r="R27" s="16" t="n">
        <f aca="false">'2 - Budget_analitico_2022_2024'!O90</f>
        <v>80000</v>
      </c>
    </row>
    <row r="28" customFormat="false" ht="15.65" hidden="false" customHeight="true" outlineLevel="0" collapsed="false">
      <c r="A28" s="12"/>
      <c r="B28" s="13"/>
      <c r="C28" s="28" t="s">
        <v>28</v>
      </c>
      <c r="D28" s="29" t="s">
        <v>37</v>
      </c>
      <c r="E28" s="16" t="n">
        <f aca="false">'2 - Budget_analitico_2022_2024'!G91</f>
        <v>9000</v>
      </c>
      <c r="F28" s="17"/>
      <c r="G28" s="22"/>
      <c r="H28" s="30"/>
      <c r="I28" s="31"/>
      <c r="J28" s="31"/>
      <c r="K28" s="32" t="n">
        <f aca="false">(E28/$E$52)*100</f>
        <v>0.478067364679326</v>
      </c>
      <c r="L28" s="33"/>
      <c r="M28" s="22"/>
      <c r="N28" s="16" t="n">
        <f aca="false">'2 - Budget_analitico_2022_2024'!K91</f>
        <v>9000</v>
      </c>
      <c r="O28" s="22"/>
      <c r="P28" s="22"/>
      <c r="Q28" s="22"/>
      <c r="R28" s="16" t="n">
        <f aca="false">'2 - Budget_analitico_2022_2024'!O91</f>
        <v>9000</v>
      </c>
    </row>
    <row r="29" customFormat="false" ht="15.65" hidden="false" customHeight="true" outlineLevel="0" collapsed="false">
      <c r="A29" s="12"/>
      <c r="B29" s="13"/>
      <c r="C29" s="28" t="s">
        <v>28</v>
      </c>
      <c r="D29" s="27" t="s">
        <v>38</v>
      </c>
      <c r="E29" s="16" t="n">
        <f aca="false">'2 - Budget_analitico_2022_2024'!G93</f>
        <v>21000</v>
      </c>
      <c r="F29" s="17"/>
      <c r="G29" s="22"/>
      <c r="H29" s="30"/>
      <c r="I29" s="31"/>
      <c r="J29" s="31"/>
      <c r="K29" s="32" t="n">
        <f aca="false">(E29/$E$52)*100</f>
        <v>1.11549051758509</v>
      </c>
      <c r="L29" s="33"/>
      <c r="M29" s="22"/>
      <c r="N29" s="16" t="n">
        <f aca="false">'2 - Budget_analitico_2022_2024'!K93</f>
        <v>21000</v>
      </c>
      <c r="O29" s="22"/>
      <c r="P29" s="22"/>
      <c r="Q29" s="22"/>
      <c r="R29" s="16" t="n">
        <f aca="false">'2 - Budget_analitico_2022_2024'!O93</f>
        <v>21000</v>
      </c>
    </row>
    <row r="30" customFormat="false" ht="15.65" hidden="false" customHeight="true" outlineLevel="0" collapsed="false">
      <c r="A30" s="12"/>
      <c r="B30" s="13"/>
      <c r="C30" s="28" t="s">
        <v>28</v>
      </c>
      <c r="D30" s="25" t="s">
        <v>39</v>
      </c>
      <c r="E30" s="16" t="n">
        <f aca="false">'2 - Budget_analitico_2022_2024'!G92</f>
        <v>35755.4352410297</v>
      </c>
      <c r="F30" s="17" t="n">
        <f aca="false">SUM(E30:E33)</f>
        <v>43608.4352410297</v>
      </c>
      <c r="G30" s="22"/>
      <c r="H30" s="30"/>
      <c r="I30" s="31"/>
      <c r="J30" s="31"/>
      <c r="K30" s="32" t="n">
        <f aca="false">(E30/$E$52)*100</f>
        <v>1.89927852207126</v>
      </c>
      <c r="L30" s="33" t="n">
        <f aca="false">SUM(K30:K33)</f>
        <v>2.31641885705201</v>
      </c>
      <c r="M30" s="22"/>
      <c r="N30" s="16" t="n">
        <f aca="false">'2 - Budget_analitico_2022_2024'!K92</f>
        <v>35755.4352410297</v>
      </c>
      <c r="O30" s="22"/>
      <c r="P30" s="22"/>
      <c r="Q30" s="22"/>
      <c r="R30" s="16" t="n">
        <f aca="false">'2 - Budget_analitico_2022_2024'!O92</f>
        <v>35755.4352410297</v>
      </c>
    </row>
    <row r="31" customFormat="false" ht="15.65" hidden="false" customHeight="true" outlineLevel="0" collapsed="false">
      <c r="A31" s="12"/>
      <c r="B31" s="13"/>
      <c r="C31" s="28" t="s">
        <v>28</v>
      </c>
      <c r="D31" s="25" t="s">
        <v>40</v>
      </c>
      <c r="E31" s="16" t="n">
        <f aca="false">'2 - Budget_analitico_2022_2024'!G109</f>
        <v>3980</v>
      </c>
      <c r="F31" s="17"/>
      <c r="G31" s="22"/>
      <c r="H31" s="30"/>
      <c r="I31" s="31"/>
      <c r="J31" s="31"/>
      <c r="K31" s="32" t="n">
        <f aca="false">(E31/$E$52)*100</f>
        <v>0.211412012380413</v>
      </c>
      <c r="L31" s="33"/>
      <c r="M31" s="22"/>
      <c r="N31" s="16" t="n">
        <f aca="false">'2 - Budget_analitico_2022_2024'!K109</f>
        <v>4975</v>
      </c>
      <c r="O31" s="22"/>
      <c r="P31" s="22"/>
      <c r="Q31" s="22"/>
      <c r="R31" s="16" t="n">
        <f aca="false">'2 - Budget_analitico_2022_2024'!O109</f>
        <v>5970</v>
      </c>
    </row>
    <row r="32" customFormat="false" ht="15.65" hidden="false" customHeight="true" outlineLevel="0" collapsed="false">
      <c r="A32" s="12"/>
      <c r="B32" s="13"/>
      <c r="C32" s="28" t="s">
        <v>28</v>
      </c>
      <c r="D32" s="25" t="s">
        <v>41</v>
      </c>
      <c r="E32" s="16" t="n">
        <f aca="false">'2 - Budget_analitico_2022_2024'!G115</f>
        <v>3545</v>
      </c>
      <c r="F32" s="17"/>
      <c r="G32" s="22"/>
      <c r="H32" s="30"/>
      <c r="I32" s="31"/>
      <c r="J32" s="31"/>
      <c r="K32" s="32" t="n">
        <f aca="false">(E32/$E$52)*100</f>
        <v>0.188305423087579</v>
      </c>
      <c r="L32" s="33"/>
      <c r="M32" s="22"/>
      <c r="N32" s="16" t="n">
        <f aca="false">'2 - Budget_analitico_2022_2024'!K115</f>
        <v>3545</v>
      </c>
      <c r="O32" s="22"/>
      <c r="P32" s="22"/>
      <c r="Q32" s="22"/>
      <c r="R32" s="16" t="n">
        <f aca="false">'2 - Budget_analitico_2022_2024'!O115</f>
        <v>3545</v>
      </c>
    </row>
    <row r="33" customFormat="false" ht="15.65" hidden="false" customHeight="true" outlineLevel="0" collapsed="false">
      <c r="A33" s="12"/>
      <c r="B33" s="13"/>
      <c r="C33" s="28" t="s">
        <v>28</v>
      </c>
      <c r="D33" s="25" t="s">
        <v>42</v>
      </c>
      <c r="E33" s="16" t="n">
        <f aca="false">'2 - Budget_analitico_2022_2024'!G119</f>
        <v>328</v>
      </c>
      <c r="F33" s="17"/>
      <c r="G33" s="22"/>
      <c r="H33" s="30"/>
      <c r="I33" s="31"/>
      <c r="J33" s="31"/>
      <c r="K33" s="32" t="n">
        <f aca="false">(E33/$E$52)*100</f>
        <v>0.0174228995127576</v>
      </c>
      <c r="L33" s="33"/>
      <c r="M33" s="22"/>
      <c r="N33" s="16" t="n">
        <f aca="false">'2 - Budget_analitico_2022_2024'!K119</f>
        <v>492</v>
      </c>
      <c r="O33" s="22"/>
      <c r="P33" s="22"/>
      <c r="Q33" s="22"/>
      <c r="R33" s="16" t="n">
        <f aca="false">'2 - Budget_analitico_2022_2024'!O119</f>
        <v>656</v>
      </c>
    </row>
    <row r="34" customFormat="false" ht="6.2" hidden="false" customHeight="true" outlineLevel="0" collapsed="false">
      <c r="A34" s="34"/>
      <c r="B34" s="35"/>
      <c r="C34" s="34"/>
      <c r="D34" s="36"/>
      <c r="E34" s="37"/>
      <c r="F34" s="37"/>
      <c r="G34" s="37"/>
      <c r="H34" s="38"/>
      <c r="I34" s="39"/>
      <c r="J34" s="38"/>
      <c r="K34" s="38"/>
      <c r="L34" s="40"/>
      <c r="M34" s="37"/>
      <c r="N34" s="41"/>
      <c r="O34" s="42"/>
      <c r="P34" s="42"/>
      <c r="Q34" s="42"/>
      <c r="R34" s="41"/>
    </row>
    <row r="35" customFormat="false" ht="15.65" hidden="false" customHeight="true" outlineLevel="0" collapsed="false">
      <c r="A35" s="12" t="s">
        <v>43</v>
      </c>
      <c r="B35" s="13" t="s">
        <v>44</v>
      </c>
      <c r="C35" s="14" t="s">
        <v>10</v>
      </c>
      <c r="D35" s="27" t="s">
        <v>45</v>
      </c>
      <c r="E35" s="43" t="n">
        <f aca="false">'2 - Budget_analitico_2022_2024'!G100+'2 - Budget_analitico_2022_2024'!G101+'2 - Budget_analitico_2022_2024'!G102+'2 - Budget_analitico_2022_2024'!G103+'2 - Budget_analitico_2022_2024'!G104</f>
        <v>-409438.4691044</v>
      </c>
      <c r="F35" s="17" t="n">
        <f aca="false">SUM(E35:E39)</f>
        <v>-536222.4691044</v>
      </c>
      <c r="G35" s="44"/>
      <c r="H35" s="19" t="n">
        <f aca="false">(E35/$E$53)*100</f>
        <v>24.8131828238651</v>
      </c>
      <c r="I35" s="20" t="n">
        <f aca="false">SUM(H35:H39)</f>
        <v>32.4966683986872</v>
      </c>
      <c r="J35" s="45"/>
      <c r="K35" s="45"/>
      <c r="L35" s="46"/>
      <c r="M35" s="44"/>
      <c r="N35" s="43" t="n">
        <f aca="false">'2 - Budget_analitico_2022_2024'!K100+'2 - Budget_analitico_2022_2024'!K101+'2 - Budget_analitico_2022_2024'!K102+'2 - Budget_analitico_2022_2024'!K103+'2 - Budget_analitico_2022_2024'!K104</f>
        <v>-409438.4691044</v>
      </c>
      <c r="O35" s="44"/>
      <c r="P35" s="44"/>
      <c r="Q35" s="44"/>
      <c r="R35" s="43" t="n">
        <f aca="false">'2 - Budget_analitico_2022_2024'!O100+'2 - Budget_analitico_2022_2024'!O101+'2 - Budget_analitico_2022_2024'!O102+'2 - Budget_analitico_2022_2024'!O103+'2 - Budget_analitico_2022_2024'!O104</f>
        <v>-409438.4691044</v>
      </c>
    </row>
    <row r="36" customFormat="false" ht="15.65" hidden="false" customHeight="true" outlineLevel="0" collapsed="false">
      <c r="A36" s="12"/>
      <c r="B36" s="13"/>
      <c r="C36" s="14" t="s">
        <v>10</v>
      </c>
      <c r="D36" s="27" t="s">
        <v>46</v>
      </c>
      <c r="E36" s="43" t="n">
        <f aca="false">SUM('2 - Budget_analitico_2022_2024'!G107:G108)</f>
        <v>-38310</v>
      </c>
      <c r="F36" s="17"/>
      <c r="G36" s="44"/>
      <c r="H36" s="19" t="n">
        <f aca="false">(E36/$E$53)*100</f>
        <v>2.32169936562528</v>
      </c>
      <c r="I36" s="20"/>
      <c r="J36" s="45"/>
      <c r="K36" s="45"/>
      <c r="L36" s="46"/>
      <c r="M36" s="44"/>
      <c r="N36" s="43" t="n">
        <f aca="false">SUM('2 - Budget_analitico_2022_2024'!K107:K108)</f>
        <v>-47887.5</v>
      </c>
      <c r="O36" s="44"/>
      <c r="P36" s="44"/>
      <c r="Q36" s="44"/>
      <c r="R36" s="43" t="n">
        <f aca="false">SUM('2 - Budget_analitico_2022_2024'!O107:O108)</f>
        <v>-57465</v>
      </c>
    </row>
    <row r="37" customFormat="false" ht="15.65" hidden="false" customHeight="true" outlineLevel="0" collapsed="false">
      <c r="A37" s="12"/>
      <c r="B37" s="13"/>
      <c r="C37" s="14" t="s">
        <v>10</v>
      </c>
      <c r="D37" s="27" t="s">
        <v>47</v>
      </c>
      <c r="E37" s="43" t="n">
        <f aca="false">SUM('2 - Budget_analitico_2022_2024'!G111:G114)</f>
        <v>-38090</v>
      </c>
      <c r="F37" s="17"/>
      <c r="G37" s="44"/>
      <c r="H37" s="19" t="n">
        <f aca="false">(E37/$E$53)*100</f>
        <v>2.3083667146089</v>
      </c>
      <c r="I37" s="20"/>
      <c r="J37" s="45"/>
      <c r="K37" s="45"/>
      <c r="L37" s="46"/>
      <c r="M37" s="44"/>
      <c r="N37" s="43" t="n">
        <f aca="false">SUM('2 - Budget_analitico_2022_2024'!K111:K114)</f>
        <v>-38090</v>
      </c>
      <c r="O37" s="44"/>
      <c r="P37" s="44"/>
      <c r="Q37" s="44"/>
      <c r="R37" s="43" t="n">
        <f aca="false">SUM('2 - Budget_analitico_2022_2024'!O111:O114)</f>
        <v>-38090</v>
      </c>
    </row>
    <row r="38" customFormat="false" ht="15.65" hidden="false" customHeight="true" outlineLevel="0" collapsed="false">
      <c r="A38" s="12"/>
      <c r="B38" s="13"/>
      <c r="C38" s="14" t="s">
        <v>10</v>
      </c>
      <c r="D38" s="27" t="s">
        <v>48</v>
      </c>
      <c r="E38" s="43" t="n">
        <f aca="false">SUM('2 - Budget_analitico_2022_2024'!G117:G118)</f>
        <v>-3160</v>
      </c>
      <c r="F38" s="17"/>
      <c r="G38" s="44"/>
      <c r="H38" s="19" t="n">
        <f aca="false">(E38/$E$53)*100</f>
        <v>0.191505350962566</v>
      </c>
      <c r="I38" s="20"/>
      <c r="J38" s="45"/>
      <c r="K38" s="45"/>
      <c r="L38" s="46"/>
      <c r="M38" s="44"/>
      <c r="N38" s="43" t="n">
        <f aca="false">SUM('2 - Budget_analitico_2022_2024'!K117:K118)</f>
        <v>-4740</v>
      </c>
      <c r="O38" s="44"/>
      <c r="P38" s="44"/>
      <c r="Q38" s="44"/>
      <c r="R38" s="43" t="n">
        <f aca="false">SUM('2 - Budget_analitico_2022_2024'!O117:O118)</f>
        <v>-6320</v>
      </c>
    </row>
    <row r="39" customFormat="false" ht="15.65" hidden="false" customHeight="true" outlineLevel="0" collapsed="false">
      <c r="A39" s="12"/>
      <c r="B39" s="13"/>
      <c r="C39" s="14" t="s">
        <v>10</v>
      </c>
      <c r="D39" s="27" t="s">
        <v>49</v>
      </c>
      <c r="E39" s="43" t="n">
        <f aca="false">SUM('2 - Budget_analitico_2022_2024'!G121:G124)</f>
        <v>-47224</v>
      </c>
      <c r="F39" s="17"/>
      <c r="G39" s="44"/>
      <c r="H39" s="19" t="n">
        <f aca="false">(E39/$E$53)*100</f>
        <v>2.86191414362538</v>
      </c>
      <c r="I39" s="20"/>
      <c r="J39" s="45"/>
      <c r="K39" s="45"/>
      <c r="L39" s="46"/>
      <c r="M39" s="44"/>
      <c r="N39" s="43" t="n">
        <f aca="false">SUM('2 - Budget_analitico_2022_2024'!K121:K124)</f>
        <v>-64196.4</v>
      </c>
      <c r="O39" s="44"/>
      <c r="P39" s="44"/>
      <c r="Q39" s="44"/>
      <c r="R39" s="43" t="n">
        <f aca="false">SUM('2 - Budget_analitico_2022_2024'!O121:O124)</f>
        <v>-56668.8</v>
      </c>
    </row>
    <row r="40" customFormat="false" ht="15.65" hidden="false" customHeight="true" outlineLevel="0" collapsed="false">
      <c r="A40" s="12"/>
      <c r="B40" s="13"/>
      <c r="C40" s="28" t="s">
        <v>28</v>
      </c>
      <c r="D40" s="25" t="s">
        <v>50</v>
      </c>
      <c r="E40" s="43" t="n">
        <f aca="false">'2 - Budget_analitico_2022_2024'!G105</f>
        <v>85999.3780334</v>
      </c>
      <c r="F40" s="47" t="n">
        <f aca="false">SUM(E40:E45)</f>
        <v>571709.940512872</v>
      </c>
      <c r="G40" s="44"/>
      <c r="H40" s="30"/>
      <c r="I40" s="31"/>
      <c r="J40" s="45"/>
      <c r="K40" s="32" t="n">
        <f aca="false">(E40/$E$52)*100</f>
        <v>4.56816622449874</v>
      </c>
      <c r="L40" s="48" t="n">
        <f aca="false">SUM(K40:K45)</f>
        <v>30.3684294024403</v>
      </c>
      <c r="M40" s="44"/>
      <c r="N40" s="43" t="n">
        <f aca="false">'2 - Budget_analitico_2022_2024'!K105</f>
        <v>85999.3780334</v>
      </c>
      <c r="O40" s="44"/>
      <c r="P40" s="44"/>
      <c r="Q40" s="44"/>
      <c r="R40" s="43" t="n">
        <f aca="false">'2 - Budget_analitico_2022_2024'!O105</f>
        <v>85999.3780334</v>
      </c>
    </row>
    <row r="41" customFormat="false" ht="15.65" hidden="false" customHeight="true" outlineLevel="0" collapsed="false">
      <c r="A41" s="12"/>
      <c r="B41" s="13"/>
      <c r="C41" s="28" t="s">
        <v>28</v>
      </c>
      <c r="D41" s="25" t="s">
        <v>51</v>
      </c>
      <c r="E41" s="43" t="n">
        <f aca="false">'2 - Budget_analitico_2022_2024'!G106</f>
        <v>360943.562479472</v>
      </c>
      <c r="F41" s="47"/>
      <c r="G41" s="44"/>
      <c r="H41" s="30"/>
      <c r="I41" s="31"/>
      <c r="J41" s="45"/>
      <c r="K41" s="32" t="n">
        <f aca="false">(E41/$E$52)*100</f>
        <v>19.1728153013921</v>
      </c>
      <c r="L41" s="48"/>
      <c r="M41" s="44"/>
      <c r="N41" s="43" t="n">
        <f aca="false">'2 - Budget_analitico_2022_2024'!K106</f>
        <v>360943.562479472</v>
      </c>
      <c r="O41" s="44"/>
      <c r="P41" s="44"/>
      <c r="Q41" s="44"/>
      <c r="R41" s="43" t="n">
        <f aca="false">'2 - Budget_analitico_2022_2024'!O106</f>
        <v>360943.562479472</v>
      </c>
    </row>
    <row r="42" customFormat="false" ht="15.65" hidden="false" customHeight="true" outlineLevel="0" collapsed="false">
      <c r="A42" s="12"/>
      <c r="B42" s="13"/>
      <c r="C42" s="28" t="s">
        <v>28</v>
      </c>
      <c r="D42" s="25" t="s">
        <v>52</v>
      </c>
      <c r="E42" s="43" t="n">
        <f aca="false">'2 - Budget_analitico_2022_2024'!G110</f>
        <v>39804</v>
      </c>
      <c r="F42" s="47"/>
      <c r="G42" s="44"/>
      <c r="H42" s="30"/>
      <c r="I42" s="31"/>
      <c r="J42" s="45"/>
      <c r="K42" s="32" t="n">
        <f aca="false">(E42/$E$52)*100</f>
        <v>2.11433259818843</v>
      </c>
      <c r="L42" s="48"/>
      <c r="M42" s="44"/>
      <c r="N42" s="43" t="n">
        <f aca="false">'2 - Budget_analitico_2022_2024'!K110</f>
        <v>49755</v>
      </c>
      <c r="O42" s="44"/>
      <c r="P42" s="44"/>
      <c r="Q42" s="44"/>
      <c r="R42" s="43" t="n">
        <f aca="false">'2 - Budget_analitico_2022_2024'!O110</f>
        <v>59706</v>
      </c>
    </row>
    <row r="43" customFormat="false" ht="15.65" hidden="false" customHeight="true" outlineLevel="0" collapsed="false">
      <c r="A43" s="12"/>
      <c r="B43" s="13"/>
      <c r="C43" s="28" t="s">
        <v>28</v>
      </c>
      <c r="D43" s="25" t="s">
        <v>53</v>
      </c>
      <c r="E43" s="43" t="n">
        <f aca="false">'2 - Budget_analitico_2022_2024'!G116</f>
        <v>35450</v>
      </c>
      <c r="F43" s="47"/>
      <c r="G43" s="44"/>
      <c r="H43" s="30"/>
      <c r="I43" s="31"/>
      <c r="J43" s="45"/>
      <c r="K43" s="32" t="n">
        <f aca="false">(E43/$E$52)*100</f>
        <v>1.88305423087579</v>
      </c>
      <c r="L43" s="48"/>
      <c r="M43" s="44"/>
      <c r="N43" s="43" t="n">
        <f aca="false">'2 - Budget_analitico_2022_2024'!K116</f>
        <v>35450</v>
      </c>
      <c r="O43" s="44"/>
      <c r="P43" s="44"/>
      <c r="Q43" s="44"/>
      <c r="R43" s="43" t="n">
        <f aca="false">'2 - Budget_analitico_2022_2024'!O116</f>
        <v>35450</v>
      </c>
    </row>
    <row r="44" customFormat="false" ht="15.65" hidden="false" customHeight="true" outlineLevel="0" collapsed="false">
      <c r="A44" s="12"/>
      <c r="B44" s="13"/>
      <c r="C44" s="28" t="s">
        <v>28</v>
      </c>
      <c r="D44" s="25" t="s">
        <v>54</v>
      </c>
      <c r="E44" s="43" t="n">
        <f aca="false">'2 - Budget_analitico_2022_2024'!G120</f>
        <v>3283</v>
      </c>
      <c r="F44" s="47"/>
      <c r="G44" s="44"/>
      <c r="H44" s="30"/>
      <c r="I44" s="31"/>
      <c r="J44" s="45"/>
      <c r="K44" s="32" t="n">
        <f aca="false">(E44/$E$52)*100</f>
        <v>0.174388350915803</v>
      </c>
      <c r="L44" s="48"/>
      <c r="M44" s="44"/>
      <c r="N44" s="43" t="n">
        <f aca="false">'2 - Budget_analitico_2022_2024'!K120</f>
        <v>4924.5</v>
      </c>
      <c r="O44" s="44"/>
      <c r="P44" s="44"/>
      <c r="Q44" s="44"/>
      <c r="R44" s="43" t="n">
        <f aca="false">'2 - Budget_analitico_2022_2024'!O120</f>
        <v>6566</v>
      </c>
    </row>
    <row r="45" customFormat="false" ht="15.65" hidden="false" customHeight="true" outlineLevel="0" collapsed="false">
      <c r="A45" s="12"/>
      <c r="B45" s="13"/>
      <c r="C45" s="28" t="s">
        <v>28</v>
      </c>
      <c r="D45" s="15" t="s">
        <v>55</v>
      </c>
      <c r="E45" s="43" t="n">
        <f aca="false">'2 - Budget_analitico_2022_2024'!G125</f>
        <v>46230</v>
      </c>
      <c r="F45" s="47"/>
      <c r="G45" s="44"/>
      <c r="H45" s="30"/>
      <c r="I45" s="31"/>
      <c r="J45" s="45"/>
      <c r="K45" s="32" t="n">
        <f aca="false">(E45/$E$52)*100</f>
        <v>2.45567269656947</v>
      </c>
      <c r="L45" s="48"/>
      <c r="M45" s="44"/>
      <c r="N45" s="43" t="n">
        <f aca="false">'2 - Budget_analitico_2022_2024'!K125</f>
        <v>60099</v>
      </c>
      <c r="O45" s="44"/>
      <c r="P45" s="44"/>
      <c r="Q45" s="44"/>
      <c r="R45" s="43" t="n">
        <f aca="false">'2 - Budget_analitico_2022_2024'!O125</f>
        <v>64722</v>
      </c>
    </row>
    <row r="46" customFormat="false" ht="6.2" hidden="false" customHeight="true" outlineLevel="0" collapsed="false">
      <c r="A46" s="34"/>
      <c r="B46" s="37"/>
      <c r="C46" s="37"/>
      <c r="D46" s="36"/>
      <c r="E46" s="37"/>
      <c r="F46" s="37"/>
      <c r="G46" s="37"/>
      <c r="H46" s="38"/>
      <c r="I46" s="39"/>
      <c r="J46" s="38"/>
      <c r="K46" s="38"/>
      <c r="L46" s="38"/>
      <c r="M46" s="37"/>
      <c r="N46" s="41"/>
      <c r="O46" s="42"/>
      <c r="P46" s="42"/>
      <c r="Q46" s="42"/>
      <c r="R46" s="41"/>
    </row>
    <row r="47" customFormat="false" ht="15.65" hidden="false" customHeight="true" outlineLevel="0" collapsed="false">
      <c r="A47" s="49" t="s">
        <v>56</v>
      </c>
      <c r="B47" s="49" t="s">
        <v>57</v>
      </c>
      <c r="C47" s="14" t="s">
        <v>10</v>
      </c>
      <c r="D47" s="27" t="s">
        <v>58</v>
      </c>
      <c r="E47" s="50" t="n">
        <f aca="false">'2 - Budget_analitico_2022_2024'!H133</f>
        <v>-43340.2000473866</v>
      </c>
      <c r="F47" s="51"/>
      <c r="G47" s="51"/>
      <c r="H47" s="52"/>
      <c r="I47" s="53"/>
      <c r="J47" s="52"/>
      <c r="K47" s="52"/>
      <c r="L47" s="52"/>
      <c r="M47" s="54"/>
      <c r="N47" s="50" t="n">
        <f aca="false">'2 - Budget_analitico_2022_2024'!L133</f>
        <v>-49909.4610716906</v>
      </c>
      <c r="O47" s="54"/>
      <c r="P47" s="54"/>
      <c r="Q47" s="54"/>
      <c r="R47" s="50" t="n">
        <f aca="false">'2 - Budget_analitico_2022_2024'!P133</f>
        <v>-47960.2898564906</v>
      </c>
    </row>
    <row r="48" customFormat="false" ht="15.65" hidden="false" customHeight="true" outlineLevel="0" collapsed="false">
      <c r="A48" s="49"/>
      <c r="B48" s="49"/>
      <c r="C48" s="14" t="s">
        <v>10</v>
      </c>
      <c r="D48" s="27" t="s">
        <v>59</v>
      </c>
      <c r="E48" s="50" t="n">
        <f aca="false">'2 - Budget_analitico_2022_2024'!H134</f>
        <v>-107258.298048</v>
      </c>
      <c r="F48" s="51"/>
      <c r="G48" s="51"/>
      <c r="H48" s="52"/>
      <c r="I48" s="53"/>
      <c r="J48" s="52"/>
      <c r="K48" s="52"/>
      <c r="L48" s="52"/>
      <c r="M48" s="54"/>
      <c r="N48" s="50" t="n">
        <f aca="false">'2 - Budget_analitico_2022_2024'!L134</f>
        <v>-122986.630272</v>
      </c>
      <c r="O48" s="54"/>
      <c r="P48" s="54"/>
      <c r="Q48" s="54"/>
      <c r="R48" s="50" t="n">
        <f aca="false">'2 - Budget_analitico_2022_2024'!P134</f>
        <v>-116027.062272</v>
      </c>
    </row>
    <row r="49" customFormat="false" ht="15.65" hidden="false" customHeight="true" outlineLevel="0" collapsed="false">
      <c r="A49" s="49"/>
      <c r="B49" s="49"/>
      <c r="C49" s="14" t="s">
        <v>10</v>
      </c>
      <c r="D49" s="27" t="s">
        <v>60</v>
      </c>
      <c r="E49" s="50" t="n">
        <f aca="false">'2 - Budget_analitico_2022_2024'!H135</f>
        <v>-108903.168</v>
      </c>
      <c r="F49" s="51"/>
      <c r="G49" s="51"/>
      <c r="H49" s="52"/>
      <c r="I49" s="53"/>
      <c r="J49" s="52"/>
      <c r="K49" s="52"/>
      <c r="L49" s="52"/>
      <c r="M49" s="54"/>
      <c r="N49" s="50" t="n">
        <f aca="false">'2 - Budget_analitico_2022_2024'!L135</f>
        <v>-4195.2768</v>
      </c>
      <c r="O49" s="54"/>
      <c r="P49" s="54"/>
      <c r="Q49" s="54"/>
      <c r="R49" s="50" t="n">
        <f aca="false">'2 - Budget_analitico_2022_2024'!P135</f>
        <v>-3495.9936</v>
      </c>
    </row>
    <row r="50" customFormat="false" ht="15.65" hidden="false" customHeight="true" outlineLevel="0" collapsed="false">
      <c r="A50" s="49"/>
      <c r="B50" s="49"/>
      <c r="C50" s="28" t="s">
        <v>28</v>
      </c>
      <c r="D50" s="27" t="s">
        <v>61</v>
      </c>
      <c r="E50" s="50" t="n">
        <f aca="false">'2 - Budget_analitico_2022_2024'!H136</f>
        <v>32365</v>
      </c>
      <c r="F50" s="51"/>
      <c r="G50" s="51"/>
      <c r="H50" s="52"/>
      <c r="I50" s="53"/>
      <c r="J50" s="52"/>
      <c r="K50" s="52"/>
      <c r="L50" s="52"/>
      <c r="M50" s="54"/>
      <c r="N50" s="50" t="n">
        <f aca="false">'2 - Budget_analitico_2022_2024'!L136</f>
        <v>1986.4</v>
      </c>
      <c r="O50" s="54"/>
      <c r="P50" s="54"/>
      <c r="Q50" s="54"/>
      <c r="R50" s="50" t="n">
        <f aca="false">'2 - Budget_analitico_2022_2024'!P136</f>
        <v>1655.3</v>
      </c>
    </row>
    <row r="51" customFormat="false" ht="12.8" hidden="false" customHeight="false" outlineLevel="0" collapsed="false">
      <c r="D51" s="55"/>
      <c r="H51" s="56"/>
      <c r="I51" s="57"/>
      <c r="J51" s="56"/>
      <c r="K51" s="56"/>
      <c r="L51" s="56"/>
    </row>
    <row r="52" customFormat="false" ht="23.1" hidden="false" customHeight="true" outlineLevel="0" collapsed="false">
      <c r="A52" s="58" t="s">
        <v>62</v>
      </c>
      <c r="B52" s="58"/>
      <c r="C52" s="58"/>
      <c r="D52" s="59" t="s">
        <v>63</v>
      </c>
      <c r="E52" s="60" t="n">
        <f aca="false">'2 - Budget_analitico_2022_2024'!H138</f>
        <v>1882579.8757539</v>
      </c>
      <c r="F52" s="61"/>
      <c r="G52" s="61"/>
      <c r="H52" s="0"/>
      <c r="I52" s="62"/>
      <c r="J52" s="63"/>
      <c r="K52" s="64" t="n">
        <f aca="false">SUM(K20:K45)</f>
        <v>100</v>
      </c>
      <c r="L52" s="64" t="n">
        <f aca="false">L20+L24+L26+L30+L40+L41+L45</f>
        <v>100</v>
      </c>
      <c r="M52" s="63"/>
      <c r="N52" s="60" t="n">
        <f aca="false">'2 - Budget_analitico_2022_2024'!L138</f>
        <v>1939200.3757539</v>
      </c>
      <c r="O52" s="63"/>
      <c r="P52" s="63"/>
      <c r="Q52" s="63"/>
      <c r="R52" s="60" t="n">
        <f aca="false">'2 - Budget_analitico_2022_2024'!P138</f>
        <v>1976574.8757539</v>
      </c>
      <c r="T52" s="65"/>
    </row>
    <row r="53" customFormat="false" ht="23.1" hidden="false" customHeight="true" outlineLevel="0" collapsed="false">
      <c r="A53" s="58"/>
      <c r="B53" s="58"/>
      <c r="C53" s="58"/>
      <c r="D53" s="59" t="s">
        <v>64</v>
      </c>
      <c r="E53" s="60" t="n">
        <f aca="false">'2 - Budget_analitico_2022_2024'!H139</f>
        <v>-1650084.441044</v>
      </c>
      <c r="F53" s="61"/>
      <c r="G53" s="61"/>
      <c r="H53" s="64" t="n">
        <f aca="false">(E52/$E$52)*100</f>
        <v>100</v>
      </c>
      <c r="I53" s="64" t="n">
        <f aca="false">I4+I11+I35</f>
        <v>100</v>
      </c>
      <c r="J53" s="66"/>
      <c r="K53" s="0"/>
      <c r="L53" s="0"/>
      <c r="M53" s="66"/>
      <c r="N53" s="60" t="n">
        <f aca="false">'2 - Budget_analitico_2022_2024'!L139</f>
        <v>-1743896.411044</v>
      </c>
      <c r="O53" s="66"/>
      <c r="P53" s="66"/>
      <c r="Q53" s="66"/>
      <c r="R53" s="60" t="n">
        <f aca="false">'2 - Budget_analitico_2022_2024'!P139</f>
        <v>-1797511.511044</v>
      </c>
      <c r="T53" s="67"/>
    </row>
    <row r="54" customFormat="false" ht="23.1" hidden="false" customHeight="true" outlineLevel="0" collapsed="false">
      <c r="A54" s="58"/>
      <c r="B54" s="58"/>
      <c r="C54" s="58"/>
      <c r="D54" s="59" t="s">
        <v>65</v>
      </c>
      <c r="E54" s="68" t="n">
        <f aca="false">'2 - Budget_analitico_2022_2024'!H140</f>
        <v>48698.9686619015</v>
      </c>
      <c r="F54" s="45"/>
      <c r="G54" s="45"/>
      <c r="H54" s="56"/>
      <c r="I54" s="56"/>
      <c r="J54" s="56"/>
      <c r="K54" s="56"/>
      <c r="L54" s="56"/>
      <c r="M54" s="56"/>
      <c r="N54" s="68" t="n">
        <f aca="false">'2 - Budget_analitico_2022_2024'!L140</f>
        <v>70108.4576379012</v>
      </c>
      <c r="O54" s="56"/>
      <c r="P54" s="56"/>
      <c r="Q54" s="56"/>
      <c r="R54" s="68" t="n">
        <f aca="false">'2 - Budget_analitico_2022_2024'!P140</f>
        <v>61195.6088379021</v>
      </c>
      <c r="T54" s="65"/>
    </row>
    <row r="55" customFormat="false" ht="23.1" hidden="false" customHeight="true" outlineLevel="0" collapsed="false">
      <c r="A55" s="58"/>
      <c r="B55" s="58"/>
      <c r="C55" s="58"/>
      <c r="D55" s="59" t="s">
        <v>66</v>
      </c>
      <c r="E55" s="60" t="n">
        <f aca="false">'2 - Budget_analitico_2022_2024'!H141</f>
        <v>5358.76861451495</v>
      </c>
      <c r="F55" s="61"/>
      <c r="G55" s="61"/>
      <c r="H55" s="66"/>
      <c r="I55" s="66"/>
      <c r="J55" s="66"/>
      <c r="K55" s="66"/>
      <c r="L55" s="66"/>
      <c r="M55" s="66"/>
      <c r="N55" s="60" t="n">
        <f aca="false">'2 - Budget_analitico_2022_2024'!L141</f>
        <v>20198.9965662106</v>
      </c>
      <c r="O55" s="66"/>
      <c r="P55" s="66"/>
      <c r="Q55" s="66"/>
      <c r="R55" s="60" t="n">
        <f aca="false">'2 - Budget_analitico_2022_2024'!P141</f>
        <v>13235.3189814115</v>
      </c>
    </row>
    <row r="57" customFormat="false" ht="12.8" hidden="false" customHeight="false" outlineLevel="0" collapsed="false">
      <c r="D57" s="2" t="s">
        <v>67</v>
      </c>
      <c r="E57" s="69" t="n">
        <f aca="false">'6 - Funzionigramma'!G30/-E53</f>
        <v>0.41115684395809</v>
      </c>
      <c r="T57" s="70"/>
    </row>
    <row r="58" customFormat="false" ht="12.8" hidden="false" customHeight="false" outlineLevel="0" collapsed="false">
      <c r="D58" s="2" t="s">
        <v>68</v>
      </c>
      <c r="E58" s="69" t="n">
        <f aca="false">'2 - Budget_analitico_2022_2024'!G17/E53</f>
        <v>0.00727235509984426</v>
      </c>
      <c r="F58" s="71"/>
      <c r="T58" s="67"/>
      <c r="V58" s="69"/>
    </row>
    <row r="59" customFormat="false" ht="12.8" hidden="false" customHeight="false" outlineLevel="0" collapsed="false">
      <c r="D59" s="72" t="s">
        <v>69</v>
      </c>
      <c r="E59" s="69" t="n">
        <f aca="false">('5 - Ammortamenti'!G4+'5 - Ammortamenti'!G5+'5 - Ammortamenti'!G6+'5 - Ammortamenti'!G7+'5 - Ammortamenti'!G16+'5 - Ammortamenti'!G17)/E53</f>
        <v>0.117079099223413</v>
      </c>
    </row>
  </sheetData>
  <mergeCells count="27">
    <mergeCell ref="A1:R1"/>
    <mergeCell ref="H2:I3"/>
    <mergeCell ref="K2:L3"/>
    <mergeCell ref="A4:A33"/>
    <mergeCell ref="B4:B10"/>
    <mergeCell ref="F4:F10"/>
    <mergeCell ref="I4:I10"/>
    <mergeCell ref="B11:B33"/>
    <mergeCell ref="F11:F19"/>
    <mergeCell ref="I11:I19"/>
    <mergeCell ref="F20:F23"/>
    <mergeCell ref="L20:L23"/>
    <mergeCell ref="F24:F25"/>
    <mergeCell ref="L24:L25"/>
    <mergeCell ref="F26:F29"/>
    <mergeCell ref="L26:L29"/>
    <mergeCell ref="F30:F33"/>
    <mergeCell ref="L30:L33"/>
    <mergeCell ref="A35:A45"/>
    <mergeCell ref="B35:B45"/>
    <mergeCell ref="F35:F39"/>
    <mergeCell ref="I35:I39"/>
    <mergeCell ref="F40:F45"/>
    <mergeCell ref="L40:L45"/>
    <mergeCell ref="A47:A50"/>
    <mergeCell ref="B47:B50"/>
    <mergeCell ref="A52:C55"/>
  </mergeCells>
  <printOptions headings="false" gridLines="false" gridLinesSet="true" horizontalCentered="false" verticalCentered="false"/>
  <pageMargins left="0.39375" right="0.39375" top="0.39375" bottom="0.39375" header="0.511805555555555" footer="0.51180555555555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2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118" activePane="bottomLeft" state="frozen"/>
      <selection pane="topLeft" activeCell="A1" activeCellId="0" sqref="A1"/>
      <selection pane="bottomLeft" activeCell="G28" activeCellId="0" sqref="G28"/>
    </sheetView>
  </sheetViews>
  <sheetFormatPr defaultColWidth="11.43359375" defaultRowHeight="12.8" zeroHeight="false" outlineLevelRow="0" outlineLevelCol="0"/>
  <cols>
    <col collapsed="false" customWidth="true" hidden="false" outlineLevel="0" max="1" min="1" style="73" width="6.39"/>
    <col collapsed="false" customWidth="true" hidden="false" outlineLevel="0" max="2" min="2" style="74" width="9.17"/>
    <col collapsed="false" customWidth="true" hidden="false" outlineLevel="0" max="3" min="3" style="74" width="27.78"/>
    <col collapsed="false" customWidth="true" hidden="false" outlineLevel="0" max="4" min="4" style="74" width="37.23"/>
    <col collapsed="false" customWidth="true" hidden="false" outlineLevel="0" max="5" min="5" style="75" width="5.83"/>
    <col collapsed="false" customWidth="true" hidden="false" outlineLevel="0" max="6" min="6" style="76" width="2.92"/>
    <col collapsed="false" customWidth="true" hidden="false" outlineLevel="0" max="7" min="7" style="74" width="12.64"/>
    <col collapsed="false" customWidth="true" hidden="false" outlineLevel="0" max="9" min="8" style="74" width="11.53"/>
    <col collapsed="false" customWidth="true" hidden="false" outlineLevel="0" max="10" min="10" style="77" width="3.11"/>
    <col collapsed="false" customWidth="true" hidden="false" outlineLevel="0" max="11" min="11" style="74" width="12.64"/>
    <col collapsed="false" customWidth="true" hidden="false" outlineLevel="0" max="12" min="12" style="74" width="11.53"/>
    <col collapsed="false" customWidth="true" hidden="false" outlineLevel="0" max="13" min="13" style="74" width="12.9"/>
    <col collapsed="false" customWidth="true" hidden="false" outlineLevel="0" max="14" min="14" style="78" width="3.33"/>
    <col collapsed="false" customWidth="true" hidden="false" outlineLevel="0" max="15" min="15" style="74" width="12.64"/>
    <col collapsed="false" customWidth="true" hidden="false" outlineLevel="0" max="16" min="16" style="74" width="11.64"/>
    <col collapsed="false" customWidth="true" hidden="false" outlineLevel="0" max="17" min="17" style="74" width="12.1"/>
    <col collapsed="false" customWidth="true" hidden="false" outlineLevel="0" max="18" min="18" style="74" width="14.03"/>
    <col collapsed="false" customWidth="false" hidden="false" outlineLevel="0" max="1021" min="19" style="74" width="11.42"/>
  </cols>
  <sheetData>
    <row r="1" customFormat="false" ht="26.1" hidden="false" customHeight="true" outlineLevel="0" collapsed="false">
      <c r="A1" s="79" t="s">
        <v>70</v>
      </c>
      <c r="B1" s="79"/>
      <c r="C1" s="79"/>
      <c r="D1" s="79"/>
      <c r="E1" s="79"/>
      <c r="F1" s="79"/>
      <c r="G1" s="79"/>
      <c r="H1" s="79"/>
      <c r="I1" s="79"/>
      <c r="J1" s="80"/>
    </row>
    <row r="2" customFormat="false" ht="22.05" hidden="false" customHeight="false" outlineLevel="0" collapsed="false">
      <c r="F2" s="78"/>
      <c r="G2" s="81" t="s">
        <v>71</v>
      </c>
      <c r="H2" s="81"/>
      <c r="I2" s="81"/>
      <c r="K2" s="81" t="s">
        <v>72</v>
      </c>
      <c r="L2" s="81"/>
      <c r="M2" s="81"/>
      <c r="O2" s="81" t="s">
        <v>73</v>
      </c>
      <c r="P2" s="81"/>
      <c r="Q2" s="81"/>
    </row>
    <row r="3" customFormat="false" ht="20.85" hidden="false" customHeight="false" outlineLevel="0" collapsed="false">
      <c r="A3" s="82" t="s">
        <v>74</v>
      </c>
      <c r="B3" s="82" t="s">
        <v>75</v>
      </c>
      <c r="C3" s="82" t="s">
        <v>76</v>
      </c>
      <c r="D3" s="83" t="s">
        <v>77</v>
      </c>
      <c r="E3" s="84" t="s">
        <v>78</v>
      </c>
      <c r="F3" s="85"/>
      <c r="G3" s="82" t="s">
        <v>79</v>
      </c>
      <c r="H3" s="86" t="s">
        <v>80</v>
      </c>
      <c r="I3" s="82" t="s">
        <v>81</v>
      </c>
      <c r="J3" s="87"/>
      <c r="K3" s="82" t="s">
        <v>79</v>
      </c>
      <c r="L3" s="86" t="s">
        <v>80</v>
      </c>
      <c r="M3" s="82" t="s">
        <v>81</v>
      </c>
      <c r="O3" s="82" t="s">
        <v>79</v>
      </c>
      <c r="P3" s="86" t="s">
        <v>80</v>
      </c>
      <c r="Q3" s="82" t="s">
        <v>81</v>
      </c>
    </row>
    <row r="4" s="100" customFormat="true" ht="12.8" hidden="false" customHeight="true" outlineLevel="0" collapsed="false">
      <c r="A4" s="88" t="s">
        <v>82</v>
      </c>
      <c r="B4" s="89" t="s">
        <v>83</v>
      </c>
      <c r="C4" s="90" t="s">
        <v>84</v>
      </c>
      <c r="D4" s="91" t="s">
        <v>85</v>
      </c>
      <c r="E4" s="92" t="s">
        <v>10</v>
      </c>
      <c r="F4" s="93"/>
      <c r="G4" s="94" t="n">
        <f aca="false">-'6 - Funzionigramma'!G25</f>
        <v>-26463.3182088</v>
      </c>
      <c r="H4" s="95"/>
      <c r="I4" s="95" t="n">
        <f aca="false">G4+(G4/100)*3.9</f>
        <v>-27495.3876189432</v>
      </c>
      <c r="J4" s="96"/>
      <c r="K4" s="97" t="n">
        <f aca="false">G4</f>
        <v>-26463.3182088</v>
      </c>
      <c r="L4" s="98" t="n">
        <v>0</v>
      </c>
      <c r="M4" s="98" t="n">
        <f aca="false">K4+((K4/100)*3.9)</f>
        <v>-27495.3876189432</v>
      </c>
      <c r="N4" s="99"/>
      <c r="O4" s="97" t="n">
        <f aca="false">K4</f>
        <v>-26463.3182088</v>
      </c>
      <c r="P4" s="98" t="n">
        <v>0</v>
      </c>
      <c r="Q4" s="98" t="n">
        <f aca="false">O4+((O4/100)*3.9)</f>
        <v>-27495.3876189432</v>
      </c>
      <c r="AMH4" s="0"/>
      <c r="AMI4" s="0"/>
      <c r="AMJ4" s="0"/>
    </row>
    <row r="5" s="100" customFormat="true" ht="12.8" hidden="false" customHeight="false" outlineLevel="0" collapsed="false">
      <c r="A5" s="88"/>
      <c r="B5" s="89"/>
      <c r="C5" s="90"/>
      <c r="D5" s="91" t="s">
        <v>86</v>
      </c>
      <c r="E5" s="92" t="s">
        <v>10</v>
      </c>
      <c r="F5" s="93"/>
      <c r="G5" s="101" t="n">
        <v>-1800</v>
      </c>
      <c r="H5" s="101" t="n">
        <v>0</v>
      </c>
      <c r="I5" s="95" t="n">
        <f aca="false">G5</f>
        <v>-1800</v>
      </c>
      <c r="J5" s="96"/>
      <c r="K5" s="98" t="n">
        <v>-1800</v>
      </c>
      <c r="L5" s="102" t="s">
        <v>87</v>
      </c>
      <c r="M5" s="98" t="n">
        <v>-1800</v>
      </c>
      <c r="N5" s="99"/>
      <c r="O5" s="98" t="n">
        <v>-1800</v>
      </c>
      <c r="P5" s="98" t="s">
        <v>87</v>
      </c>
      <c r="Q5" s="98" t="n">
        <v>-1800</v>
      </c>
      <c r="AMH5" s="0"/>
      <c r="AMI5" s="0"/>
      <c r="AMJ5" s="0"/>
    </row>
    <row r="6" s="100" customFormat="true" ht="12.8" hidden="false" customHeight="false" outlineLevel="0" collapsed="false">
      <c r="A6" s="88"/>
      <c r="B6" s="89"/>
      <c r="C6" s="90"/>
      <c r="D6" s="91" t="s">
        <v>88</v>
      </c>
      <c r="E6" s="92" t="s">
        <v>10</v>
      </c>
      <c r="F6" s="93"/>
      <c r="G6" s="101" t="n">
        <v>-1000</v>
      </c>
      <c r="H6" s="101" t="n">
        <v>0</v>
      </c>
      <c r="I6" s="95" t="n">
        <f aca="false">G6</f>
        <v>-1000</v>
      </c>
      <c r="J6" s="96"/>
      <c r="K6" s="98" t="n">
        <v>-1000</v>
      </c>
      <c r="L6" s="102" t="s">
        <v>87</v>
      </c>
      <c r="M6" s="98" t="n">
        <v>-1000</v>
      </c>
      <c r="N6" s="99"/>
      <c r="O6" s="98" t="n">
        <v>-1000</v>
      </c>
      <c r="P6" s="98" t="s">
        <v>87</v>
      </c>
      <c r="Q6" s="98" t="n">
        <v>-1000</v>
      </c>
      <c r="AMH6" s="0"/>
      <c r="AMI6" s="0"/>
      <c r="AMJ6" s="0"/>
    </row>
    <row r="7" s="100" customFormat="true" ht="12.8" hidden="false" customHeight="false" outlineLevel="0" collapsed="false">
      <c r="A7" s="88"/>
      <c r="B7" s="89"/>
      <c r="C7" s="90"/>
      <c r="D7" s="91" t="s">
        <v>89</v>
      </c>
      <c r="E7" s="92" t="s">
        <v>10</v>
      </c>
      <c r="F7" s="93"/>
      <c r="G7" s="101" t="n">
        <v>-4000</v>
      </c>
      <c r="H7" s="101" t="n">
        <f aca="false">(G7/100)*22</f>
        <v>-880</v>
      </c>
      <c r="I7" s="101" t="n">
        <f aca="false">G7+H7</f>
        <v>-4880</v>
      </c>
      <c r="J7" s="96"/>
      <c r="K7" s="98" t="n">
        <v>-4000</v>
      </c>
      <c r="L7" s="98" t="n">
        <v>-880</v>
      </c>
      <c r="M7" s="98" t="n">
        <v>-4880</v>
      </c>
      <c r="N7" s="99"/>
      <c r="O7" s="98" t="n">
        <v>-4000</v>
      </c>
      <c r="P7" s="98" t="n">
        <v>-880</v>
      </c>
      <c r="Q7" s="98" t="n">
        <v>-4880</v>
      </c>
      <c r="AMH7" s="0"/>
      <c r="AMI7" s="0"/>
      <c r="AMJ7" s="0"/>
    </row>
    <row r="8" s="100" customFormat="true" ht="12.8" hidden="false" customHeight="false" outlineLevel="0" collapsed="false">
      <c r="A8" s="88"/>
      <c r="B8" s="89"/>
      <c r="C8" s="90"/>
      <c r="D8" s="103" t="s">
        <v>90</v>
      </c>
      <c r="E8" s="92" t="s">
        <v>10</v>
      </c>
      <c r="F8" s="93"/>
      <c r="G8" s="101" t="n">
        <v>-5000</v>
      </c>
      <c r="H8" s="101" t="n">
        <f aca="false">(G8/100)*22</f>
        <v>-1100</v>
      </c>
      <c r="I8" s="101" t="n">
        <f aca="false">G8+H8</f>
        <v>-6100</v>
      </c>
      <c r="J8" s="96"/>
      <c r="K8" s="98" t="n">
        <v>-5000</v>
      </c>
      <c r="L8" s="98" t="n">
        <v>-1100</v>
      </c>
      <c r="M8" s="98" t="n">
        <v>-6100</v>
      </c>
      <c r="N8" s="99"/>
      <c r="O8" s="98" t="n">
        <v>-5000</v>
      </c>
      <c r="P8" s="98" t="n">
        <v>-1100</v>
      </c>
      <c r="Q8" s="98" t="n">
        <v>-6100</v>
      </c>
      <c r="AMH8" s="0"/>
      <c r="AMI8" s="0"/>
      <c r="AMJ8" s="0"/>
    </row>
    <row r="9" s="100" customFormat="true" ht="12.8" hidden="false" customHeight="false" outlineLevel="0" collapsed="false">
      <c r="A9" s="88"/>
      <c r="B9" s="89"/>
      <c r="C9" s="90"/>
      <c r="D9" s="103" t="s">
        <v>91</v>
      </c>
      <c r="E9" s="92" t="s">
        <v>10</v>
      </c>
      <c r="F9" s="93"/>
      <c r="G9" s="101" t="n">
        <v>-2000</v>
      </c>
      <c r="H9" s="101" t="n">
        <f aca="false">(G9/100)*22</f>
        <v>-440</v>
      </c>
      <c r="I9" s="101" t="n">
        <f aca="false">G9+H9</f>
        <v>-2440</v>
      </c>
      <c r="J9" s="96"/>
      <c r="K9" s="98" t="n">
        <v>-2000</v>
      </c>
      <c r="L9" s="98" t="n">
        <v>-440</v>
      </c>
      <c r="M9" s="98" t="n">
        <v>-2440</v>
      </c>
      <c r="N9" s="99"/>
      <c r="O9" s="98" t="n">
        <v>-2000</v>
      </c>
      <c r="P9" s="98" t="n">
        <v>-440</v>
      </c>
      <c r="Q9" s="98" t="n">
        <v>-2440</v>
      </c>
      <c r="AMH9" s="0"/>
      <c r="AMI9" s="0"/>
      <c r="AMJ9" s="0"/>
    </row>
    <row r="10" s="100" customFormat="true" ht="20.85" hidden="false" customHeight="false" outlineLevel="0" collapsed="false">
      <c r="A10" s="88"/>
      <c r="B10" s="89"/>
      <c r="C10" s="90"/>
      <c r="D10" s="103" t="s">
        <v>92</v>
      </c>
      <c r="E10" s="92" t="s">
        <v>10</v>
      </c>
      <c r="F10" s="93"/>
      <c r="G10" s="101" t="n">
        <v>-5000</v>
      </c>
      <c r="H10" s="101" t="n">
        <f aca="false">(G10/100)*22</f>
        <v>-1100</v>
      </c>
      <c r="I10" s="101" t="n">
        <f aca="false">G10+H10</f>
        <v>-6100</v>
      </c>
      <c r="J10" s="96"/>
      <c r="K10" s="98" t="n">
        <v>-5000</v>
      </c>
      <c r="L10" s="98" t="n">
        <v>-1100</v>
      </c>
      <c r="M10" s="98" t="n">
        <v>-6100</v>
      </c>
      <c r="N10" s="99"/>
      <c r="O10" s="98" t="n">
        <v>-5000</v>
      </c>
      <c r="P10" s="98" t="n">
        <v>-1100</v>
      </c>
      <c r="Q10" s="98" t="n">
        <v>-6100</v>
      </c>
      <c r="AMH10" s="0"/>
      <c r="AMI10" s="0"/>
      <c r="AMJ10" s="0"/>
    </row>
    <row r="11" s="100" customFormat="true" ht="12.8" hidden="false" customHeight="false" outlineLevel="0" collapsed="false">
      <c r="A11" s="88"/>
      <c r="B11" s="89"/>
      <c r="C11" s="90"/>
      <c r="D11" s="103" t="s">
        <v>93</v>
      </c>
      <c r="E11" s="92" t="s">
        <v>10</v>
      </c>
      <c r="F11" s="93"/>
      <c r="G11" s="101" t="n">
        <v>-2500</v>
      </c>
      <c r="H11" s="101" t="n">
        <v>0</v>
      </c>
      <c r="I11" s="101" t="n">
        <f aca="false">G11+H11</f>
        <v>-2500</v>
      </c>
      <c r="J11" s="96"/>
      <c r="K11" s="98" t="n">
        <v>-2500</v>
      </c>
      <c r="L11" s="98" t="n">
        <v>0</v>
      </c>
      <c r="M11" s="98" t="n">
        <v>-2500</v>
      </c>
      <c r="N11" s="99"/>
      <c r="O11" s="98" t="n">
        <v>-2500</v>
      </c>
      <c r="P11" s="98" t="n">
        <v>0</v>
      </c>
      <c r="Q11" s="98" t="n">
        <v>-2500</v>
      </c>
      <c r="AMH11" s="0"/>
      <c r="AMI11" s="0"/>
      <c r="AMJ11" s="0"/>
    </row>
    <row r="12" s="100" customFormat="true" ht="20.85" hidden="false" customHeight="false" outlineLevel="0" collapsed="false">
      <c r="A12" s="88"/>
      <c r="B12" s="89"/>
      <c r="C12" s="90"/>
      <c r="D12" s="104" t="s">
        <v>94</v>
      </c>
      <c r="E12" s="105" t="s">
        <v>10</v>
      </c>
      <c r="F12" s="93"/>
      <c r="G12" s="101" t="n">
        <f aca="false">+'5 - Ammortamenti'!G4</f>
        <v>-2400</v>
      </c>
      <c r="H12" s="101" t="n">
        <v>0</v>
      </c>
      <c r="I12" s="101" t="n">
        <f aca="false">G12+H12</f>
        <v>-2400</v>
      </c>
      <c r="J12" s="96"/>
      <c r="K12" s="98" t="n">
        <v>-2400</v>
      </c>
      <c r="L12" s="98" t="n">
        <v>0</v>
      </c>
      <c r="M12" s="98" t="n">
        <v>-2400</v>
      </c>
      <c r="N12" s="99"/>
      <c r="O12" s="98" t="n">
        <v>-2400</v>
      </c>
      <c r="P12" s="98" t="n">
        <v>0</v>
      </c>
      <c r="Q12" s="98" t="n">
        <v>-2400</v>
      </c>
      <c r="AMH12" s="0"/>
      <c r="AMI12" s="0"/>
      <c r="AMJ12" s="0"/>
    </row>
    <row r="13" s="100" customFormat="true" ht="12.8" hidden="false" customHeight="true" outlineLevel="0" collapsed="false">
      <c r="A13" s="88"/>
      <c r="B13" s="89"/>
      <c r="C13" s="90" t="s">
        <v>95</v>
      </c>
      <c r="D13" s="91" t="s">
        <v>85</v>
      </c>
      <c r="E13" s="92" t="s">
        <v>10</v>
      </c>
      <c r="F13" s="93"/>
      <c r="G13" s="94" t="n">
        <f aca="false">-'6 - Funzionigramma'!H25</f>
        <v>-44420.372761</v>
      </c>
      <c r="H13" s="95"/>
      <c r="I13" s="95" t="n">
        <f aca="false">G13+(G13/100)*3.9</f>
        <v>-46152.767298679</v>
      </c>
      <c r="J13" s="96"/>
      <c r="K13" s="97" t="n">
        <f aca="false">G13</f>
        <v>-44420.372761</v>
      </c>
      <c r="L13" s="98" t="n">
        <v>0</v>
      </c>
      <c r="M13" s="98" t="n">
        <f aca="false">K13+((K13/100)*3.9)</f>
        <v>-46152.767298679</v>
      </c>
      <c r="N13" s="99"/>
      <c r="O13" s="97" t="n">
        <f aca="false">K13</f>
        <v>-44420.372761</v>
      </c>
      <c r="P13" s="98" t="n">
        <v>0</v>
      </c>
      <c r="Q13" s="98" t="n">
        <f aca="false">O13+((O13/100)*3.9)</f>
        <v>-46152.767298679</v>
      </c>
      <c r="AMH13" s="0"/>
      <c r="AMI13" s="0"/>
      <c r="AMJ13" s="0"/>
    </row>
    <row r="14" s="100" customFormat="true" ht="12.8" hidden="false" customHeight="false" outlineLevel="0" collapsed="false">
      <c r="A14" s="88"/>
      <c r="B14" s="89"/>
      <c r="C14" s="90"/>
      <c r="D14" s="103" t="s">
        <v>96</v>
      </c>
      <c r="E14" s="92" t="s">
        <v>10</v>
      </c>
      <c r="F14" s="93"/>
      <c r="G14" s="101" t="n">
        <v>-8000</v>
      </c>
      <c r="H14" s="101" t="n">
        <f aca="false">(G14/100)*22</f>
        <v>-1760</v>
      </c>
      <c r="I14" s="101" t="n">
        <f aca="false">G14+H14</f>
        <v>-9760</v>
      </c>
      <c r="J14" s="96"/>
      <c r="K14" s="98" t="n">
        <v>-8000</v>
      </c>
      <c r="L14" s="98" t="n">
        <v>-1760</v>
      </c>
      <c r="M14" s="98" t="n">
        <v>-9760</v>
      </c>
      <c r="N14" s="99"/>
      <c r="O14" s="98" t="n">
        <v>-8000</v>
      </c>
      <c r="P14" s="98" t="n">
        <v>-1760</v>
      </c>
      <c r="Q14" s="98" t="n">
        <v>-9760</v>
      </c>
      <c r="AMH14" s="0"/>
      <c r="AMI14" s="0"/>
      <c r="AMJ14" s="0"/>
    </row>
    <row r="15" s="100" customFormat="true" ht="12.8" hidden="false" customHeight="false" outlineLevel="0" collapsed="false">
      <c r="A15" s="88"/>
      <c r="B15" s="89"/>
      <c r="C15" s="90"/>
      <c r="D15" s="91" t="s">
        <v>97</v>
      </c>
      <c r="E15" s="92" t="s">
        <v>10</v>
      </c>
      <c r="F15" s="93"/>
      <c r="G15" s="101" t="n">
        <v>-7000</v>
      </c>
      <c r="H15" s="101" t="n">
        <f aca="false">(G15/100)*22</f>
        <v>-1540</v>
      </c>
      <c r="I15" s="101" t="n">
        <f aca="false">G15+H15</f>
        <v>-8540</v>
      </c>
      <c r="J15" s="96"/>
      <c r="K15" s="98" t="n">
        <v>-7000</v>
      </c>
      <c r="L15" s="98" t="n">
        <v>-1540</v>
      </c>
      <c r="M15" s="98" t="n">
        <v>-8540</v>
      </c>
      <c r="N15" s="99"/>
      <c r="O15" s="98" t="n">
        <v>-7000</v>
      </c>
      <c r="P15" s="98" t="n">
        <v>-1540</v>
      </c>
      <c r="Q15" s="98" t="n">
        <v>-8540</v>
      </c>
      <c r="AMH15" s="0"/>
      <c r="AMI15" s="0"/>
      <c r="AMJ15" s="0"/>
    </row>
    <row r="16" s="100" customFormat="true" ht="12.8" hidden="false" customHeight="false" outlineLevel="0" collapsed="false">
      <c r="A16" s="88"/>
      <c r="B16" s="89"/>
      <c r="C16" s="90"/>
      <c r="D16" s="103" t="s">
        <v>98</v>
      </c>
      <c r="E16" s="92" t="s">
        <v>10</v>
      </c>
      <c r="F16" s="93"/>
      <c r="G16" s="101" t="n">
        <v>-1000</v>
      </c>
      <c r="H16" s="101" t="n">
        <v>0</v>
      </c>
      <c r="I16" s="101" t="n">
        <f aca="false">G16+H16</f>
        <v>-1000</v>
      </c>
      <c r="J16" s="96"/>
      <c r="K16" s="98" t="n">
        <v>-1000</v>
      </c>
      <c r="L16" s="98" t="n">
        <v>0</v>
      </c>
      <c r="M16" s="98" t="n">
        <v>-1000</v>
      </c>
      <c r="N16" s="99"/>
      <c r="O16" s="98" t="n">
        <v>-1000</v>
      </c>
      <c r="P16" s="98" t="n">
        <v>0</v>
      </c>
      <c r="Q16" s="98" t="n">
        <v>-1000</v>
      </c>
      <c r="AMH16" s="0"/>
      <c r="AMI16" s="0"/>
      <c r="AMJ16" s="0"/>
    </row>
    <row r="17" s="100" customFormat="true" ht="12.8" hidden="false" customHeight="false" outlineLevel="0" collapsed="false">
      <c r="A17" s="88"/>
      <c r="B17" s="89"/>
      <c r="C17" s="90"/>
      <c r="D17" s="103" t="s">
        <v>99</v>
      </c>
      <c r="E17" s="92" t="s">
        <v>100</v>
      </c>
      <c r="F17" s="93"/>
      <c r="G17" s="101" t="n">
        <f aca="false">-400000*0.03</f>
        <v>-12000</v>
      </c>
      <c r="H17" s="101" t="n">
        <v>0</v>
      </c>
      <c r="I17" s="101" t="n">
        <f aca="false">+G17</f>
        <v>-12000</v>
      </c>
      <c r="J17" s="96"/>
      <c r="K17" s="98" t="n">
        <f aca="false">+G17</f>
        <v>-12000</v>
      </c>
      <c r="L17" s="98" t="n">
        <v>0</v>
      </c>
      <c r="M17" s="98" t="n">
        <f aca="false">+K17</f>
        <v>-12000</v>
      </c>
      <c r="N17" s="99"/>
      <c r="O17" s="98" t="n">
        <f aca="false">+K17</f>
        <v>-12000</v>
      </c>
      <c r="P17" s="98" t="n">
        <v>0</v>
      </c>
      <c r="Q17" s="98" t="n">
        <f aca="false">+O17</f>
        <v>-12000</v>
      </c>
      <c r="AMH17" s="0"/>
      <c r="AMI17" s="0"/>
      <c r="AMJ17" s="0"/>
    </row>
    <row r="18" s="100" customFormat="true" ht="12.8" hidden="false" customHeight="true" outlineLevel="0" collapsed="false">
      <c r="A18" s="88"/>
      <c r="B18" s="89"/>
      <c r="C18" s="106" t="s">
        <v>13</v>
      </c>
      <c r="D18" s="91" t="s">
        <v>85</v>
      </c>
      <c r="E18" s="92" t="s">
        <v>10</v>
      </c>
      <c r="F18" s="93"/>
      <c r="G18" s="94" t="n">
        <f aca="false">-'6 - Funzionigramma'!I25</f>
        <v>-27475.6091044</v>
      </c>
      <c r="H18" s="95"/>
      <c r="I18" s="95" t="n">
        <f aca="false">G18+(G18/100)*3.9</f>
        <v>-28547.1578594716</v>
      </c>
      <c r="J18" s="96"/>
      <c r="K18" s="97" t="n">
        <f aca="false">G18</f>
        <v>-27475.6091044</v>
      </c>
      <c r="L18" s="98" t="n">
        <v>0</v>
      </c>
      <c r="M18" s="98" t="n">
        <f aca="false">K18+((K18/100)*3.9)</f>
        <v>-28547.1578594716</v>
      </c>
      <c r="N18" s="99"/>
      <c r="O18" s="97" t="n">
        <f aca="false">K18</f>
        <v>-27475.6091044</v>
      </c>
      <c r="P18" s="98" t="n">
        <v>0</v>
      </c>
      <c r="Q18" s="98" t="n">
        <f aca="false">O18+((O18/100)*3.9)</f>
        <v>-28547.1578594716</v>
      </c>
      <c r="AMH18" s="0"/>
      <c r="AMI18" s="0"/>
      <c r="AMJ18" s="0"/>
    </row>
    <row r="19" s="100" customFormat="true" ht="20.85" hidden="false" customHeight="false" outlineLevel="0" collapsed="false">
      <c r="A19" s="88"/>
      <c r="B19" s="89"/>
      <c r="C19" s="106"/>
      <c r="D19" s="103" t="s">
        <v>101</v>
      </c>
      <c r="E19" s="92" t="s">
        <v>10</v>
      </c>
      <c r="F19" s="93"/>
      <c r="G19" s="101" t="n">
        <v>-8500</v>
      </c>
      <c r="H19" s="101" t="n">
        <f aca="false">(G19/100)*22</f>
        <v>-1870</v>
      </c>
      <c r="I19" s="101" t="n">
        <f aca="false">G19+H19</f>
        <v>-10370</v>
      </c>
      <c r="J19" s="96"/>
      <c r="K19" s="98" t="n">
        <v>-8500</v>
      </c>
      <c r="L19" s="98" t="n">
        <v>-1870</v>
      </c>
      <c r="M19" s="98" t="n">
        <v>-10370</v>
      </c>
      <c r="N19" s="99"/>
      <c r="O19" s="98" t="n">
        <v>-8500</v>
      </c>
      <c r="P19" s="98" t="n">
        <v>-1870</v>
      </c>
      <c r="Q19" s="98" t="n">
        <v>-10370</v>
      </c>
      <c r="AMH19" s="0"/>
      <c r="AMI19" s="0"/>
      <c r="AMJ19" s="0"/>
    </row>
    <row r="20" s="100" customFormat="true" ht="12.8" hidden="false" customHeight="false" outlineLevel="0" collapsed="false">
      <c r="A20" s="88"/>
      <c r="B20" s="89"/>
      <c r="C20" s="106"/>
      <c r="D20" s="103" t="s">
        <v>102</v>
      </c>
      <c r="E20" s="92" t="s">
        <v>10</v>
      </c>
      <c r="F20" s="93"/>
      <c r="G20" s="101" t="n">
        <v>-5000</v>
      </c>
      <c r="H20" s="101" t="n">
        <f aca="false">(G20/100)*22</f>
        <v>-1100</v>
      </c>
      <c r="I20" s="101" t="n">
        <f aca="false">G20+H20</f>
        <v>-6100</v>
      </c>
      <c r="J20" s="96"/>
      <c r="K20" s="98" t="n">
        <v>-5000</v>
      </c>
      <c r="L20" s="98" t="n">
        <v>-1100</v>
      </c>
      <c r="M20" s="98" t="n">
        <v>-6100</v>
      </c>
      <c r="N20" s="99"/>
      <c r="O20" s="98" t="n">
        <v>-5000</v>
      </c>
      <c r="P20" s="98" t="n">
        <v>-1100</v>
      </c>
      <c r="Q20" s="98" t="n">
        <v>-6100</v>
      </c>
      <c r="AMH20" s="0"/>
      <c r="AMI20" s="0"/>
      <c r="AMJ20" s="0"/>
    </row>
    <row r="21" s="100" customFormat="true" ht="20.85" hidden="false" customHeight="false" outlineLevel="0" collapsed="false">
      <c r="A21" s="88"/>
      <c r="B21" s="89"/>
      <c r="C21" s="106"/>
      <c r="D21" s="104" t="s">
        <v>103</v>
      </c>
      <c r="E21" s="105" t="s">
        <v>10</v>
      </c>
      <c r="F21" s="93"/>
      <c r="G21" s="101" t="n">
        <f aca="false">+'5 - Ammortamenti'!G5</f>
        <v>-2000</v>
      </c>
      <c r="H21" s="101" t="n">
        <v>0</v>
      </c>
      <c r="I21" s="101" t="n">
        <f aca="false">G21+H21</f>
        <v>-2000</v>
      </c>
      <c r="J21" s="96"/>
      <c r="K21" s="98" t="n">
        <v>-2000</v>
      </c>
      <c r="L21" s="98" t="n">
        <v>0</v>
      </c>
      <c r="M21" s="98" t="n">
        <v>-2000</v>
      </c>
      <c r="N21" s="99"/>
      <c r="O21" s="98" t="n">
        <v>-2000</v>
      </c>
      <c r="P21" s="98" t="n">
        <v>0</v>
      </c>
      <c r="Q21" s="98" t="n">
        <v>-2000</v>
      </c>
      <c r="AMH21" s="0"/>
      <c r="AMI21" s="0"/>
      <c r="AMJ21" s="0"/>
    </row>
    <row r="22" s="100" customFormat="true" ht="12.8" hidden="false" customHeight="false" outlineLevel="0" collapsed="false">
      <c r="A22" s="88"/>
      <c r="B22" s="89"/>
      <c r="C22" s="106"/>
      <c r="D22" s="103" t="s">
        <v>104</v>
      </c>
      <c r="E22" s="92" t="s">
        <v>10</v>
      </c>
      <c r="F22" s="93"/>
      <c r="G22" s="101" t="n">
        <v>-3600</v>
      </c>
      <c r="H22" s="101" t="n">
        <f aca="false">(G22/100)*22</f>
        <v>-792</v>
      </c>
      <c r="I22" s="101" t="n">
        <f aca="false">G22+H22</f>
        <v>-4392</v>
      </c>
      <c r="J22" s="96"/>
      <c r="K22" s="101" t="n">
        <v>-3600</v>
      </c>
      <c r="L22" s="98" t="n">
        <v>-880</v>
      </c>
      <c r="M22" s="98" t="n">
        <v>-4880</v>
      </c>
      <c r="N22" s="99"/>
      <c r="O22" s="101" t="n">
        <v>-3600</v>
      </c>
      <c r="P22" s="98" t="n">
        <v>-880</v>
      </c>
      <c r="Q22" s="98" t="n">
        <v>-4880</v>
      </c>
      <c r="AMH22" s="0"/>
      <c r="AMI22" s="0"/>
      <c r="AMJ22" s="0"/>
    </row>
    <row r="23" s="100" customFormat="true" ht="12.8" hidden="false" customHeight="false" outlineLevel="0" collapsed="false">
      <c r="A23" s="88"/>
      <c r="B23" s="89"/>
      <c r="C23" s="106" t="s">
        <v>14</v>
      </c>
      <c r="D23" s="91" t="s">
        <v>85</v>
      </c>
      <c r="E23" s="92" t="s">
        <v>10</v>
      </c>
      <c r="F23" s="93"/>
      <c r="G23" s="101" t="n">
        <f aca="false">-'6 - Funzionigramma'!K25</f>
        <v>-9081.5</v>
      </c>
      <c r="H23" s="95"/>
      <c r="I23" s="95" t="n">
        <f aca="false">G23+(G23/100)*3.9</f>
        <v>-9435.6785</v>
      </c>
      <c r="J23" s="96"/>
      <c r="K23" s="98" t="n">
        <v>-9081.5</v>
      </c>
      <c r="L23" s="98" t="n">
        <v>0</v>
      </c>
      <c r="M23" s="98" t="n">
        <v>-9435.6785</v>
      </c>
      <c r="N23" s="99"/>
      <c r="O23" s="98" t="n">
        <v>-9081.5</v>
      </c>
      <c r="P23" s="98" t="n">
        <v>0</v>
      </c>
      <c r="Q23" s="98" t="n">
        <v>-9435.6785</v>
      </c>
      <c r="AMH23" s="0"/>
      <c r="AMI23" s="0"/>
      <c r="AMJ23" s="0"/>
    </row>
    <row r="24" s="100" customFormat="true" ht="12.8" hidden="false" customHeight="true" outlineLevel="0" collapsed="false">
      <c r="A24" s="88"/>
      <c r="B24" s="89"/>
      <c r="C24" s="106" t="s">
        <v>15</v>
      </c>
      <c r="D24" s="91" t="s">
        <v>85</v>
      </c>
      <c r="E24" s="92" t="s">
        <v>10</v>
      </c>
      <c r="F24" s="93"/>
      <c r="G24" s="101" t="n">
        <f aca="false">-'6 - Funzionigramma'!J25</f>
        <v>-32119.5091044</v>
      </c>
      <c r="H24" s="95"/>
      <c r="I24" s="95" t="n">
        <f aca="false">G24+(G24/100)*3.9</f>
        <v>-33372.1699594716</v>
      </c>
      <c r="J24" s="96"/>
      <c r="K24" s="98" t="n">
        <v>-32619.5091044</v>
      </c>
      <c r="L24" s="98" t="n">
        <v>0</v>
      </c>
      <c r="M24" s="98" t="n">
        <v>-33891.6699594716</v>
      </c>
      <c r="N24" s="99"/>
      <c r="O24" s="98" t="n">
        <v>-32619.5091044</v>
      </c>
      <c r="P24" s="98" t="n">
        <v>0</v>
      </c>
      <c r="Q24" s="98" t="n">
        <v>-33891.6699594716</v>
      </c>
      <c r="AMH24" s="0"/>
      <c r="AMI24" s="0"/>
      <c r="AMJ24" s="0"/>
    </row>
    <row r="25" s="100" customFormat="true" ht="12.8" hidden="false" customHeight="false" outlineLevel="0" collapsed="false">
      <c r="A25" s="88"/>
      <c r="B25" s="89"/>
      <c r="C25" s="106"/>
      <c r="D25" s="91" t="s">
        <v>105</v>
      </c>
      <c r="E25" s="92" t="s">
        <v>10</v>
      </c>
      <c r="F25" s="93"/>
      <c r="G25" s="101" t="n">
        <v>-15000</v>
      </c>
      <c r="H25" s="101" t="n">
        <f aca="false">(G25/100)*22</f>
        <v>-3300</v>
      </c>
      <c r="I25" s="101" t="n">
        <f aca="false">G25+H25</f>
        <v>-18300</v>
      </c>
      <c r="J25" s="96"/>
      <c r="K25" s="97" t="n">
        <v>-25000</v>
      </c>
      <c r="L25" s="98" t="n">
        <f aca="false">(K25/100)*22</f>
        <v>-5500</v>
      </c>
      <c r="M25" s="98" t="n">
        <f aca="false">K25+L25</f>
        <v>-30500</v>
      </c>
      <c r="N25" s="99"/>
      <c r="O25" s="98" t="n">
        <v>-15000</v>
      </c>
      <c r="P25" s="98" t="n">
        <v>-3300</v>
      </c>
      <c r="Q25" s="98" t="n">
        <v>-18300</v>
      </c>
      <c r="AMH25" s="0"/>
      <c r="AMI25" s="0"/>
      <c r="AMJ25" s="0"/>
    </row>
    <row r="26" s="100" customFormat="true" ht="12.8" hidden="false" customHeight="false" outlineLevel="0" collapsed="false">
      <c r="A26" s="88"/>
      <c r="B26" s="89"/>
      <c r="C26" s="106"/>
      <c r="D26" s="107" t="s">
        <v>106</v>
      </c>
      <c r="E26" s="92" t="s">
        <v>10</v>
      </c>
      <c r="F26" s="93"/>
      <c r="G26" s="101" t="n">
        <v>-30000</v>
      </c>
      <c r="H26" s="101" t="n">
        <f aca="false">(G26/100)*22</f>
        <v>-6600</v>
      </c>
      <c r="I26" s="101" t="n">
        <f aca="false">G26+H26</f>
        <v>-36600</v>
      </c>
      <c r="J26" s="96"/>
      <c r="K26" s="98" t="n">
        <v>-30000</v>
      </c>
      <c r="L26" s="98" t="n">
        <v>-6600</v>
      </c>
      <c r="M26" s="98" t="n">
        <v>-36600</v>
      </c>
      <c r="N26" s="99"/>
      <c r="O26" s="98" t="n">
        <v>-30000</v>
      </c>
      <c r="P26" s="98" t="n">
        <v>-6600</v>
      </c>
      <c r="Q26" s="98" t="n">
        <v>-36600</v>
      </c>
      <c r="AMH26" s="0"/>
      <c r="AMI26" s="0"/>
      <c r="AMJ26" s="0"/>
    </row>
    <row r="27" s="100" customFormat="true" ht="12.8" hidden="false" customHeight="false" outlineLevel="0" collapsed="false">
      <c r="A27" s="88"/>
      <c r="B27" s="89"/>
      <c r="C27" s="106"/>
      <c r="D27" s="107" t="s">
        <v>107</v>
      </c>
      <c r="E27" s="92" t="s">
        <v>10</v>
      </c>
      <c r="F27" s="93"/>
      <c r="G27" s="101" t="n">
        <v>-1000</v>
      </c>
      <c r="H27" s="101" t="n">
        <f aca="false">(G27/100)*22</f>
        <v>-220</v>
      </c>
      <c r="I27" s="101" t="n">
        <f aca="false">G27+H27</f>
        <v>-1220</v>
      </c>
      <c r="J27" s="96"/>
      <c r="K27" s="98" t="n">
        <v>-1000</v>
      </c>
      <c r="L27" s="98" t="n">
        <v>-220</v>
      </c>
      <c r="M27" s="98" t="n">
        <v>-1220</v>
      </c>
      <c r="N27" s="99"/>
      <c r="O27" s="98" t="n">
        <v>-1000</v>
      </c>
      <c r="P27" s="98" t="n">
        <v>-220</v>
      </c>
      <c r="Q27" s="98" t="n">
        <v>-1220</v>
      </c>
      <c r="AMH27" s="0"/>
      <c r="AMI27" s="0"/>
      <c r="AMJ27" s="0"/>
    </row>
    <row r="28" s="100" customFormat="true" ht="12.8" hidden="false" customHeight="true" outlineLevel="0" collapsed="false">
      <c r="A28" s="88"/>
      <c r="B28" s="89"/>
      <c r="C28" s="106" t="s">
        <v>16</v>
      </c>
      <c r="D28" s="108" t="s">
        <v>108</v>
      </c>
      <c r="E28" s="92" t="s">
        <v>10</v>
      </c>
      <c r="F28" s="93"/>
      <c r="G28" s="109" t="n">
        <v>-9000</v>
      </c>
      <c r="H28" s="101" t="n">
        <f aca="false">(G28/100)*22</f>
        <v>-1980</v>
      </c>
      <c r="I28" s="101" t="n">
        <f aca="false">G28+H28</f>
        <v>-10980</v>
      </c>
      <c r="J28" s="96"/>
      <c r="K28" s="98" t="n">
        <v>-9000</v>
      </c>
      <c r="L28" s="98" t="n">
        <v>-2200</v>
      </c>
      <c r="M28" s="98" t="n">
        <v>-12200</v>
      </c>
      <c r="N28" s="99"/>
      <c r="O28" s="98" t="n">
        <v>-9000</v>
      </c>
      <c r="P28" s="98" t="n">
        <v>-2200</v>
      </c>
      <c r="Q28" s="98" t="n">
        <v>-12200</v>
      </c>
      <c r="AMH28" s="0"/>
      <c r="AMI28" s="0"/>
      <c r="AMJ28" s="0"/>
    </row>
    <row r="29" s="100" customFormat="true" ht="12.8" hidden="false" customHeight="false" outlineLevel="0" collapsed="false">
      <c r="A29" s="88"/>
      <c r="B29" s="89"/>
      <c r="C29" s="106"/>
      <c r="D29" s="108" t="s">
        <v>109</v>
      </c>
      <c r="E29" s="92" t="s">
        <v>10</v>
      </c>
      <c r="F29" s="93"/>
      <c r="G29" s="101" t="n">
        <v>-1800</v>
      </c>
      <c r="H29" s="101" t="n">
        <f aca="false">(G29/100)*22</f>
        <v>-396</v>
      </c>
      <c r="I29" s="101" t="n">
        <f aca="false">G29+H29</f>
        <v>-2196</v>
      </c>
      <c r="J29" s="96"/>
      <c r="K29" s="98" t="n">
        <v>-1800</v>
      </c>
      <c r="L29" s="98" t="n">
        <v>-396</v>
      </c>
      <c r="M29" s="98" t="n">
        <v>-2196</v>
      </c>
      <c r="N29" s="99"/>
      <c r="O29" s="98" t="n">
        <v>-1800</v>
      </c>
      <c r="P29" s="98" t="n">
        <v>-396</v>
      </c>
      <c r="Q29" s="98" t="n">
        <v>-2196</v>
      </c>
      <c r="AMH29" s="0"/>
      <c r="AMI29" s="0"/>
      <c r="AMJ29" s="0"/>
    </row>
    <row r="30" s="100" customFormat="true" ht="12.8" hidden="false" customHeight="false" outlineLevel="0" collapsed="false">
      <c r="A30" s="88"/>
      <c r="B30" s="89"/>
      <c r="C30" s="106"/>
      <c r="D30" s="108" t="s">
        <v>110</v>
      </c>
      <c r="E30" s="92" t="s">
        <v>10</v>
      </c>
      <c r="F30" s="93"/>
      <c r="G30" s="101" t="n">
        <v>-1500</v>
      </c>
      <c r="H30" s="101" t="n">
        <f aca="false">(G30/100)*22</f>
        <v>-330</v>
      </c>
      <c r="I30" s="101" t="n">
        <f aca="false">G30+H30</f>
        <v>-1830</v>
      </c>
      <c r="J30" s="96"/>
      <c r="K30" s="98" t="n">
        <v>-1500</v>
      </c>
      <c r="L30" s="98" t="n">
        <v>-330</v>
      </c>
      <c r="M30" s="98" t="n">
        <v>-1830</v>
      </c>
      <c r="N30" s="99"/>
      <c r="O30" s="98" t="n">
        <v>-1500</v>
      </c>
      <c r="P30" s="98" t="n">
        <v>-330</v>
      </c>
      <c r="Q30" s="98" t="n">
        <v>-1830</v>
      </c>
      <c r="AMH30" s="0"/>
      <c r="AMI30" s="0"/>
      <c r="AMJ30" s="0"/>
    </row>
    <row r="31" s="100" customFormat="true" ht="12.8" hidden="false" customHeight="false" outlineLevel="0" collapsed="false">
      <c r="A31" s="88"/>
      <c r="B31" s="89"/>
      <c r="C31" s="106"/>
      <c r="D31" s="108" t="s">
        <v>111</v>
      </c>
      <c r="E31" s="92" t="s">
        <v>10</v>
      </c>
      <c r="F31" s="93"/>
      <c r="G31" s="101" t="n">
        <v>-2000</v>
      </c>
      <c r="H31" s="101" t="n">
        <f aca="false">(G31/100)*22</f>
        <v>-440</v>
      </c>
      <c r="I31" s="101" t="n">
        <f aca="false">G31+H31</f>
        <v>-2440</v>
      </c>
      <c r="J31" s="96"/>
      <c r="K31" s="98" t="n">
        <v>-2000</v>
      </c>
      <c r="L31" s="98" t="n">
        <v>-440</v>
      </c>
      <c r="M31" s="98" t="n">
        <v>-2440</v>
      </c>
      <c r="N31" s="99"/>
      <c r="O31" s="98" t="n">
        <v>-2000</v>
      </c>
      <c r="P31" s="98" t="n">
        <v>-440</v>
      </c>
      <c r="Q31" s="98" t="n">
        <v>-2440</v>
      </c>
      <c r="AMH31" s="0"/>
      <c r="AMI31" s="0"/>
      <c r="AMJ31" s="0"/>
    </row>
    <row r="32" s="100" customFormat="true" ht="12.8" hidden="false" customHeight="false" outlineLevel="0" collapsed="false">
      <c r="A32" s="88"/>
      <c r="B32" s="89"/>
      <c r="C32" s="106"/>
      <c r="D32" s="110" t="s">
        <v>112</v>
      </c>
      <c r="E32" s="105" t="s">
        <v>10</v>
      </c>
      <c r="F32" s="93"/>
      <c r="G32" s="101" t="n">
        <f aca="false">+'5 - Ammortamenti'!G6</f>
        <v>-1200</v>
      </c>
      <c r="H32" s="101" t="n">
        <v>0</v>
      </c>
      <c r="I32" s="101" t="n">
        <f aca="false">G32+H32</f>
        <v>-1200</v>
      </c>
      <c r="J32" s="96"/>
      <c r="K32" s="98" t="n">
        <v>-1200</v>
      </c>
      <c r="L32" s="98" t="n">
        <v>0</v>
      </c>
      <c r="M32" s="98" t="n">
        <v>-1200</v>
      </c>
      <c r="N32" s="99"/>
      <c r="O32" s="98" t="n">
        <v>-1200</v>
      </c>
      <c r="P32" s="98" t="n">
        <v>0</v>
      </c>
      <c r="Q32" s="98" t="n">
        <v>-1200</v>
      </c>
      <c r="AMH32" s="0"/>
      <c r="AMI32" s="0"/>
      <c r="AMJ32" s="0"/>
    </row>
    <row r="33" s="100" customFormat="true" ht="12.8" hidden="false" customHeight="false" outlineLevel="0" collapsed="false">
      <c r="A33" s="88"/>
      <c r="B33" s="89"/>
      <c r="C33" s="106"/>
      <c r="D33" s="108" t="s">
        <v>113</v>
      </c>
      <c r="E33" s="92" t="s">
        <v>10</v>
      </c>
      <c r="F33" s="93"/>
      <c r="G33" s="101" t="n">
        <v>-1000</v>
      </c>
      <c r="H33" s="101" t="n">
        <f aca="false">(G33/100)*22</f>
        <v>-220</v>
      </c>
      <c r="I33" s="101" t="n">
        <f aca="false">G33+H33</f>
        <v>-1220</v>
      </c>
      <c r="J33" s="96"/>
      <c r="K33" s="98" t="n">
        <v>-1000</v>
      </c>
      <c r="L33" s="98" t="n">
        <v>-220</v>
      </c>
      <c r="M33" s="98" t="n">
        <v>-1220</v>
      </c>
      <c r="N33" s="99"/>
      <c r="O33" s="98" t="n">
        <v>-1000</v>
      </c>
      <c r="P33" s="98" t="n">
        <v>-220</v>
      </c>
      <c r="Q33" s="98" t="n">
        <v>-1220</v>
      </c>
      <c r="AMH33" s="0"/>
      <c r="AMI33" s="0"/>
      <c r="AMJ33" s="0"/>
    </row>
    <row r="34" s="100" customFormat="true" ht="12.8" hidden="false" customHeight="true" outlineLevel="0" collapsed="false">
      <c r="A34" s="88"/>
      <c r="B34" s="89"/>
      <c r="C34" s="106" t="s">
        <v>17</v>
      </c>
      <c r="D34" s="107" t="s">
        <v>114</v>
      </c>
      <c r="E34" s="92" t="s">
        <v>10</v>
      </c>
      <c r="F34" s="93"/>
      <c r="G34" s="101" t="n">
        <v>-1500</v>
      </c>
      <c r="H34" s="101" t="n">
        <f aca="false">(G34/100)*22</f>
        <v>-330</v>
      </c>
      <c r="I34" s="101" t="n">
        <f aca="false">G34+H34</f>
        <v>-1830</v>
      </c>
      <c r="J34" s="96"/>
      <c r="K34" s="98" t="n">
        <v>-1500</v>
      </c>
      <c r="L34" s="98" t="n">
        <v>-330</v>
      </c>
      <c r="M34" s="98" t="n">
        <v>-1830</v>
      </c>
      <c r="N34" s="99"/>
      <c r="O34" s="98" t="n">
        <v>-1500</v>
      </c>
      <c r="P34" s="98" t="n">
        <v>-330</v>
      </c>
      <c r="Q34" s="98" t="n">
        <v>-1830</v>
      </c>
      <c r="AMH34" s="0"/>
      <c r="AMI34" s="0"/>
      <c r="AMJ34" s="0"/>
    </row>
    <row r="35" s="100" customFormat="true" ht="20.85" hidden="false" customHeight="false" outlineLevel="0" collapsed="false">
      <c r="A35" s="88"/>
      <c r="B35" s="89"/>
      <c r="C35" s="106"/>
      <c r="D35" s="107" t="s">
        <v>115</v>
      </c>
      <c r="E35" s="92" t="s">
        <v>10</v>
      </c>
      <c r="F35" s="93"/>
      <c r="G35" s="101" t="n">
        <v>-2500</v>
      </c>
      <c r="H35" s="101" t="n">
        <v>0</v>
      </c>
      <c r="I35" s="101" t="n">
        <f aca="false">G35+H35</f>
        <v>-2500</v>
      </c>
      <c r="J35" s="96"/>
      <c r="K35" s="98" t="n">
        <v>-2500</v>
      </c>
      <c r="L35" s="98" t="n">
        <v>0</v>
      </c>
      <c r="M35" s="98" t="n">
        <v>-2500</v>
      </c>
      <c r="N35" s="99"/>
      <c r="O35" s="98" t="n">
        <v>-2500</v>
      </c>
      <c r="P35" s="98" t="n">
        <v>0</v>
      </c>
      <c r="Q35" s="98" t="n">
        <v>-2500</v>
      </c>
      <c r="AMH35" s="0"/>
      <c r="AMI35" s="0"/>
      <c r="AMJ35" s="0"/>
    </row>
    <row r="36" s="100" customFormat="true" ht="12.8" hidden="false" customHeight="false" outlineLevel="0" collapsed="false">
      <c r="A36" s="88"/>
      <c r="B36" s="89"/>
      <c r="C36" s="106"/>
      <c r="D36" s="107" t="s">
        <v>116</v>
      </c>
      <c r="E36" s="92" t="s">
        <v>10</v>
      </c>
      <c r="F36" s="93"/>
      <c r="G36" s="101" t="n">
        <v>-2500</v>
      </c>
      <c r="H36" s="101" t="n">
        <v>0</v>
      </c>
      <c r="I36" s="101" t="n">
        <f aca="false">G36+H36</f>
        <v>-2500</v>
      </c>
      <c r="J36" s="96"/>
      <c r="K36" s="98" t="n">
        <v>-2500</v>
      </c>
      <c r="L36" s="98" t="n">
        <v>0</v>
      </c>
      <c r="M36" s="98" t="n">
        <v>-2500</v>
      </c>
      <c r="N36" s="99"/>
      <c r="O36" s="98" t="n">
        <v>-2500</v>
      </c>
      <c r="P36" s="98" t="n">
        <v>0</v>
      </c>
      <c r="Q36" s="98" t="n">
        <v>-2500</v>
      </c>
      <c r="AMH36" s="0"/>
      <c r="AMI36" s="0"/>
      <c r="AMJ36" s="0"/>
    </row>
    <row r="37" s="100" customFormat="true" ht="12.8" hidden="false" customHeight="false" outlineLevel="0" collapsed="false">
      <c r="A37" s="88"/>
      <c r="B37" s="89"/>
      <c r="C37" s="106"/>
      <c r="D37" s="107" t="s">
        <v>117</v>
      </c>
      <c r="E37" s="92" t="s">
        <v>10</v>
      </c>
      <c r="F37" s="93"/>
      <c r="G37" s="101" t="n">
        <v>-3600</v>
      </c>
      <c r="H37" s="101" t="n">
        <f aca="false">(G37/100)*22</f>
        <v>-792</v>
      </c>
      <c r="I37" s="101" t="n">
        <f aca="false">G37+H37</f>
        <v>-4392</v>
      </c>
      <c r="J37" s="96"/>
      <c r="K37" s="98" t="n">
        <v>-3600</v>
      </c>
      <c r="L37" s="98" t="n">
        <v>-792</v>
      </c>
      <c r="M37" s="98" t="n">
        <v>-4392</v>
      </c>
      <c r="N37" s="99"/>
      <c r="O37" s="98" t="n">
        <v>-3600</v>
      </c>
      <c r="P37" s="98" t="n">
        <v>-792</v>
      </c>
      <c r="Q37" s="98" t="n">
        <v>-4392</v>
      </c>
      <c r="AMH37" s="0"/>
      <c r="AMI37" s="0"/>
      <c r="AMJ37" s="0"/>
    </row>
    <row r="38" s="100" customFormat="true" ht="12.8" hidden="false" customHeight="false" outlineLevel="0" collapsed="false">
      <c r="A38" s="88"/>
      <c r="B38" s="89"/>
      <c r="C38" s="106"/>
      <c r="D38" s="103" t="s">
        <v>118</v>
      </c>
      <c r="E38" s="92" t="s">
        <v>10</v>
      </c>
      <c r="F38" s="93"/>
      <c r="G38" s="101" t="n">
        <v>-1200</v>
      </c>
      <c r="H38" s="101" t="n">
        <f aca="false">(G38/100)*22</f>
        <v>-264</v>
      </c>
      <c r="I38" s="101" t="n">
        <f aca="false">G38+H38</f>
        <v>-1464</v>
      </c>
      <c r="J38" s="96"/>
      <c r="K38" s="98" t="n">
        <v>-1200</v>
      </c>
      <c r="L38" s="98" t="n">
        <v>-264</v>
      </c>
      <c r="M38" s="98" t="n">
        <v>-1464</v>
      </c>
      <c r="N38" s="99"/>
      <c r="O38" s="98" t="n">
        <v>-1200</v>
      </c>
      <c r="P38" s="98" t="n">
        <v>-264</v>
      </c>
      <c r="Q38" s="98" t="n">
        <v>-1464</v>
      </c>
      <c r="AMH38" s="0"/>
      <c r="AMI38" s="0"/>
      <c r="AMJ38" s="0"/>
    </row>
    <row r="39" s="100" customFormat="true" ht="12.8" hidden="false" customHeight="false" outlineLevel="0" collapsed="false">
      <c r="A39" s="88"/>
      <c r="B39" s="89"/>
      <c r="C39" s="106"/>
      <c r="D39" s="103" t="s">
        <v>119</v>
      </c>
      <c r="E39" s="92" t="s">
        <v>10</v>
      </c>
      <c r="F39" s="93"/>
      <c r="G39" s="101" t="n">
        <v>-3000</v>
      </c>
      <c r="H39" s="101" t="n">
        <f aca="false">(G39/100)*22</f>
        <v>-660</v>
      </c>
      <c r="I39" s="101" t="n">
        <f aca="false">G39+H39</f>
        <v>-3660</v>
      </c>
      <c r="J39" s="96"/>
      <c r="K39" s="98" t="n">
        <v>-3000</v>
      </c>
      <c r="L39" s="98" t="n">
        <v>-660</v>
      </c>
      <c r="M39" s="98" t="n">
        <v>-3660</v>
      </c>
      <c r="N39" s="99"/>
      <c r="O39" s="98" t="n">
        <v>-3000</v>
      </c>
      <c r="P39" s="98" t="n">
        <v>-660</v>
      </c>
      <c r="Q39" s="98" t="n">
        <v>-3660</v>
      </c>
      <c r="AMH39" s="0"/>
      <c r="AMI39" s="0"/>
      <c r="AMJ39" s="0"/>
    </row>
    <row r="40" s="100" customFormat="true" ht="20.85" hidden="false" customHeight="false" outlineLevel="0" collapsed="false">
      <c r="A40" s="88"/>
      <c r="B40" s="89"/>
      <c r="C40" s="106"/>
      <c r="D40" s="103" t="s">
        <v>120</v>
      </c>
      <c r="E40" s="92" t="s">
        <v>10</v>
      </c>
      <c r="F40" s="93"/>
      <c r="G40" s="101" t="n">
        <v>-2000</v>
      </c>
      <c r="H40" s="101" t="n">
        <f aca="false">(G40/100)*22</f>
        <v>-440</v>
      </c>
      <c r="I40" s="101" t="n">
        <f aca="false">G40+H40</f>
        <v>-2440</v>
      </c>
      <c r="J40" s="96"/>
      <c r="K40" s="98" t="n">
        <v>-2000</v>
      </c>
      <c r="L40" s="98" t="n">
        <v>-440</v>
      </c>
      <c r="M40" s="98" t="n">
        <v>-2440</v>
      </c>
      <c r="N40" s="99"/>
      <c r="O40" s="98" t="n">
        <v>-2000</v>
      </c>
      <c r="P40" s="98" t="n">
        <v>-440</v>
      </c>
      <c r="Q40" s="98" t="n">
        <v>-2440</v>
      </c>
      <c r="AMH40" s="0"/>
      <c r="AMI40" s="0"/>
      <c r="AMJ40" s="0"/>
    </row>
    <row r="41" s="100" customFormat="true" ht="12.8" hidden="false" customHeight="false" outlineLevel="0" collapsed="false">
      <c r="A41" s="88"/>
      <c r="B41" s="89"/>
      <c r="C41" s="106"/>
      <c r="D41" s="103" t="s">
        <v>121</v>
      </c>
      <c r="E41" s="92" t="s">
        <v>10</v>
      </c>
      <c r="F41" s="93"/>
      <c r="G41" s="101" t="n">
        <v>-20000</v>
      </c>
      <c r="H41" s="101"/>
      <c r="I41" s="95" t="n">
        <f aca="false">G41+(G41/100)*3.9</f>
        <v>-20780</v>
      </c>
      <c r="J41" s="96"/>
      <c r="K41" s="98" t="n">
        <v>-20000</v>
      </c>
      <c r="L41" s="98" t="n">
        <v>0</v>
      </c>
      <c r="M41" s="98" t="n">
        <v>-20780</v>
      </c>
      <c r="N41" s="99"/>
      <c r="O41" s="98" t="n">
        <v>-20000</v>
      </c>
      <c r="P41" s="98" t="n">
        <v>0</v>
      </c>
      <c r="Q41" s="98" t="n">
        <v>-20780</v>
      </c>
      <c r="AMH41" s="0"/>
      <c r="AMI41" s="0"/>
      <c r="AMJ41" s="0"/>
    </row>
    <row r="42" s="100" customFormat="true" ht="12.8" hidden="false" customHeight="false" outlineLevel="0" collapsed="false">
      <c r="A42" s="88"/>
      <c r="B42" s="89"/>
      <c r="C42" s="106"/>
      <c r="D42" s="103" t="s">
        <v>122</v>
      </c>
      <c r="E42" s="92" t="s">
        <v>10</v>
      </c>
      <c r="F42" s="93"/>
      <c r="G42" s="101" t="n">
        <v>-4000</v>
      </c>
      <c r="H42" s="101"/>
      <c r="I42" s="95" t="n">
        <f aca="false">G42+(G42/100)*3.9</f>
        <v>-4156</v>
      </c>
      <c r="J42" s="96"/>
      <c r="K42" s="98" t="n">
        <v>-4000</v>
      </c>
      <c r="L42" s="98" t="n">
        <v>0</v>
      </c>
      <c r="M42" s="98" t="n">
        <v>-4156</v>
      </c>
      <c r="N42" s="99"/>
      <c r="O42" s="98" t="n">
        <v>-4000</v>
      </c>
      <c r="P42" s="98" t="n">
        <v>0</v>
      </c>
      <c r="Q42" s="98" t="n">
        <v>-4156</v>
      </c>
      <c r="AMH42" s="0"/>
      <c r="AMI42" s="0"/>
      <c r="AMJ42" s="0"/>
    </row>
    <row r="43" s="100" customFormat="true" ht="12.8" hidden="false" customHeight="false" outlineLevel="0" collapsed="false">
      <c r="A43" s="88"/>
      <c r="B43" s="89"/>
      <c r="C43" s="106"/>
      <c r="D43" s="103" t="s">
        <v>123</v>
      </c>
      <c r="E43" s="92" t="s">
        <v>10</v>
      </c>
      <c r="F43" s="93"/>
      <c r="G43" s="101" t="n">
        <v>-1500</v>
      </c>
      <c r="H43" s="101" t="n">
        <v>0</v>
      </c>
      <c r="I43" s="101" t="n">
        <f aca="false">G43+H43</f>
        <v>-1500</v>
      </c>
      <c r="J43" s="96"/>
      <c r="K43" s="97" t="n">
        <v>-2500</v>
      </c>
      <c r="L43" s="98" t="n">
        <v>0</v>
      </c>
      <c r="M43" s="98" t="n">
        <f aca="false">K43+((K43/100)*3.9)</f>
        <v>-2597.5</v>
      </c>
      <c r="N43" s="99"/>
      <c r="O43" s="97" t="n">
        <f aca="false">K43</f>
        <v>-2500</v>
      </c>
      <c r="P43" s="98" t="n">
        <v>0</v>
      </c>
      <c r="Q43" s="98" t="n">
        <f aca="false">O43+((O43/100)*3.9)</f>
        <v>-2597.5</v>
      </c>
      <c r="AMH43" s="0"/>
      <c r="AMI43" s="0"/>
      <c r="AMJ43" s="0"/>
    </row>
    <row r="44" s="100" customFormat="true" ht="12.8" hidden="false" customHeight="false" outlineLevel="0" collapsed="false">
      <c r="A44" s="88"/>
      <c r="B44" s="89"/>
      <c r="C44" s="106"/>
      <c r="D44" s="103" t="s">
        <v>124</v>
      </c>
      <c r="E44" s="92" t="s">
        <v>10</v>
      </c>
      <c r="F44" s="93"/>
      <c r="G44" s="101" t="n">
        <v>-9000</v>
      </c>
      <c r="H44" s="101"/>
      <c r="I44" s="95" t="n">
        <f aca="false">G44+(G44/100)*3.9</f>
        <v>-9351</v>
      </c>
      <c r="J44" s="96"/>
      <c r="K44" s="98" t="n">
        <v>-9000</v>
      </c>
      <c r="L44" s="98" t="n">
        <v>0</v>
      </c>
      <c r="M44" s="98" t="n">
        <v>-9351</v>
      </c>
      <c r="N44" s="99"/>
      <c r="O44" s="98" t="n">
        <v>-9000</v>
      </c>
      <c r="P44" s="98" t="n">
        <v>0</v>
      </c>
      <c r="Q44" s="98" t="n">
        <v>-9351</v>
      </c>
      <c r="AMH44" s="0"/>
      <c r="AMI44" s="0"/>
      <c r="AMJ44" s="0"/>
    </row>
    <row r="45" s="100" customFormat="true" ht="12.8" hidden="false" customHeight="false" outlineLevel="0" collapsed="false">
      <c r="A45" s="88"/>
      <c r="B45" s="89"/>
      <c r="C45" s="106"/>
      <c r="D45" s="107" t="s">
        <v>125</v>
      </c>
      <c r="E45" s="92" t="s">
        <v>10</v>
      </c>
      <c r="F45" s="93"/>
      <c r="G45" s="101" t="n">
        <v>-5600</v>
      </c>
      <c r="H45" s="101" t="n">
        <v>0</v>
      </c>
      <c r="I45" s="101" t="n">
        <f aca="false">G45+H45</f>
        <v>-5600</v>
      </c>
      <c r="J45" s="96"/>
      <c r="K45" s="98" t="n">
        <v>-5600</v>
      </c>
      <c r="L45" s="98" t="n">
        <v>0</v>
      </c>
      <c r="M45" s="98" t="n">
        <v>-5600</v>
      </c>
      <c r="N45" s="99"/>
      <c r="O45" s="98" t="n">
        <v>-5600</v>
      </c>
      <c r="P45" s="98" t="n">
        <v>0</v>
      </c>
      <c r="Q45" s="98" t="n">
        <v>-5600</v>
      </c>
      <c r="AMH45" s="0"/>
      <c r="AMI45" s="0"/>
      <c r="AMJ45" s="0"/>
    </row>
    <row r="46" s="100" customFormat="true" ht="8.2" hidden="false" customHeight="true" outlineLevel="0" collapsed="false">
      <c r="A46" s="88"/>
      <c r="B46" s="111"/>
      <c r="C46" s="112"/>
      <c r="D46" s="113"/>
      <c r="E46" s="114"/>
      <c r="F46" s="78"/>
      <c r="G46" s="115"/>
      <c r="H46" s="116"/>
      <c r="I46" s="116"/>
      <c r="J46" s="117"/>
      <c r="K46" s="116"/>
      <c r="L46" s="116"/>
      <c r="M46" s="116"/>
      <c r="N46" s="118"/>
      <c r="O46" s="116"/>
      <c r="P46" s="116"/>
      <c r="Q46" s="116"/>
      <c r="AMH46" s="0"/>
      <c r="AMI46" s="0"/>
      <c r="AMJ46" s="0"/>
    </row>
    <row r="47" s="100" customFormat="true" ht="12.8" hidden="false" customHeight="true" outlineLevel="0" collapsed="false">
      <c r="A47" s="88"/>
      <c r="B47" s="89" t="s">
        <v>18</v>
      </c>
      <c r="C47" s="119" t="s">
        <v>19</v>
      </c>
      <c r="D47" s="91" t="s">
        <v>85</v>
      </c>
      <c r="E47" s="92" t="s">
        <v>10</v>
      </c>
      <c r="F47" s="93"/>
      <c r="G47" s="101" t="n">
        <f aca="false">-'6 - Funzionigramma'!M25</f>
        <v>-14913.0182088</v>
      </c>
      <c r="H47" s="95"/>
      <c r="I47" s="95" t="n">
        <f aca="false">G47+(G47/100)*3.9</f>
        <v>-15494.6259189432</v>
      </c>
      <c r="J47" s="96"/>
      <c r="K47" s="98" t="n">
        <v>-14913.0182088</v>
      </c>
      <c r="L47" s="98" t="n">
        <v>0</v>
      </c>
      <c r="M47" s="98" t="n">
        <v>-15494.6259189432</v>
      </c>
      <c r="N47" s="99"/>
      <c r="O47" s="98" t="n">
        <v>-14913.0182088</v>
      </c>
      <c r="P47" s="98" t="n">
        <v>0</v>
      </c>
      <c r="Q47" s="98" t="n">
        <v>-15494.6259189432</v>
      </c>
      <c r="AMH47" s="0"/>
      <c r="AMI47" s="0"/>
      <c r="AMJ47" s="0"/>
    </row>
    <row r="48" s="100" customFormat="true" ht="12.8" hidden="false" customHeight="false" outlineLevel="0" collapsed="false">
      <c r="A48" s="88"/>
      <c r="B48" s="89"/>
      <c r="C48" s="119"/>
      <c r="D48" s="91" t="s">
        <v>126</v>
      </c>
      <c r="E48" s="92"/>
      <c r="F48" s="93"/>
      <c r="G48" s="120" t="n">
        <v>-3000</v>
      </c>
      <c r="H48" s="101" t="n">
        <f aca="false">(G48/100)*22</f>
        <v>-660</v>
      </c>
      <c r="I48" s="101" t="n">
        <f aca="false">G48+H48</f>
        <v>-3660</v>
      </c>
      <c r="J48" s="96"/>
      <c r="K48" s="98" t="n">
        <v>-4000</v>
      </c>
      <c r="L48" s="98" t="n">
        <v>-880</v>
      </c>
      <c r="M48" s="98" t="n">
        <v>-4880</v>
      </c>
      <c r="N48" s="99"/>
      <c r="O48" s="98" t="n">
        <v>-4000</v>
      </c>
      <c r="P48" s="98" t="n">
        <v>-880</v>
      </c>
      <c r="Q48" s="98" t="n">
        <v>-4880</v>
      </c>
      <c r="AMH48" s="0"/>
      <c r="AMI48" s="0"/>
      <c r="AMJ48" s="0"/>
    </row>
    <row r="49" s="100" customFormat="true" ht="12.8" hidden="false" customHeight="true" outlineLevel="0" collapsed="false">
      <c r="A49" s="88"/>
      <c r="B49" s="89"/>
      <c r="C49" s="119" t="s">
        <v>20</v>
      </c>
      <c r="D49" s="91" t="s">
        <v>85</v>
      </c>
      <c r="E49" s="92" t="s">
        <v>10</v>
      </c>
      <c r="F49" s="93"/>
      <c r="G49" s="101" t="n">
        <f aca="false">-'6 - Funzionigramma'!Q25</f>
        <v>-23763</v>
      </c>
      <c r="H49" s="95"/>
      <c r="I49" s="95" t="n">
        <f aca="false">G49+(G49/100)*3.9</f>
        <v>-24689.757</v>
      </c>
      <c r="J49" s="96"/>
      <c r="K49" s="98" t="n">
        <v>-23763</v>
      </c>
      <c r="L49" s="98" t="n">
        <v>0</v>
      </c>
      <c r="M49" s="98" t="n">
        <v>-24689.757</v>
      </c>
      <c r="N49" s="99"/>
      <c r="O49" s="98" t="n">
        <v>-23763</v>
      </c>
      <c r="P49" s="98" t="n">
        <v>0</v>
      </c>
      <c r="Q49" s="98" t="n">
        <v>-24689.757</v>
      </c>
      <c r="AMH49" s="0"/>
      <c r="AMI49" s="0"/>
      <c r="AMJ49" s="0"/>
    </row>
    <row r="50" s="100" customFormat="true" ht="12.8" hidden="false" customHeight="false" outlineLevel="0" collapsed="false">
      <c r="A50" s="88"/>
      <c r="B50" s="89"/>
      <c r="C50" s="119"/>
      <c r="D50" s="103" t="s">
        <v>127</v>
      </c>
      <c r="E50" s="92" t="s">
        <v>10</v>
      </c>
      <c r="F50" s="93"/>
      <c r="G50" s="101" t="n">
        <v>-61475</v>
      </c>
      <c r="H50" s="101" t="n">
        <f aca="false">(G50/100)*22</f>
        <v>-13524.5</v>
      </c>
      <c r="I50" s="101" t="n">
        <f aca="false">G50+H50</f>
        <v>-74999.5</v>
      </c>
      <c r="J50" s="96"/>
      <c r="K50" s="98" t="n">
        <v>-61475</v>
      </c>
      <c r="L50" s="98" t="n">
        <v>-13524.5</v>
      </c>
      <c r="M50" s="98" t="n">
        <v>-74999.5</v>
      </c>
      <c r="N50" s="99"/>
      <c r="O50" s="98" t="n">
        <v>-61475</v>
      </c>
      <c r="P50" s="98" t="n">
        <v>-13524.5</v>
      </c>
      <c r="Q50" s="98" t="n">
        <v>-74999.5</v>
      </c>
      <c r="AMH50" s="0"/>
      <c r="AMI50" s="0"/>
      <c r="AMJ50" s="0"/>
    </row>
    <row r="51" s="100" customFormat="true" ht="12.8" hidden="false" customHeight="false" outlineLevel="0" collapsed="false">
      <c r="A51" s="88"/>
      <c r="B51" s="89"/>
      <c r="C51" s="119"/>
      <c r="D51" s="103" t="s">
        <v>128</v>
      </c>
      <c r="E51" s="92" t="s">
        <v>10</v>
      </c>
      <c r="F51" s="93"/>
      <c r="G51" s="101" t="n">
        <v>-33000</v>
      </c>
      <c r="H51" s="101" t="n">
        <f aca="false">(G51/100)*22</f>
        <v>-7260</v>
      </c>
      <c r="I51" s="101" t="n">
        <f aca="false">G51+H51</f>
        <v>-40260</v>
      </c>
      <c r="J51" s="96"/>
      <c r="K51" s="98" t="n">
        <v>-33000</v>
      </c>
      <c r="L51" s="98" t="n">
        <v>-7260</v>
      </c>
      <c r="M51" s="98" t="n">
        <v>-40260</v>
      </c>
      <c r="N51" s="99"/>
      <c r="O51" s="98" t="n">
        <v>-33000</v>
      </c>
      <c r="P51" s="98" t="n">
        <v>-7260</v>
      </c>
      <c r="Q51" s="98" t="n">
        <v>-40260</v>
      </c>
      <c r="AMH51" s="0"/>
      <c r="AMI51" s="0"/>
      <c r="AMJ51" s="0"/>
    </row>
    <row r="52" s="100" customFormat="true" ht="20.85" hidden="false" customHeight="false" outlineLevel="0" collapsed="false">
      <c r="A52" s="88"/>
      <c r="B52" s="89"/>
      <c r="C52" s="119"/>
      <c r="D52" s="103" t="s">
        <v>129</v>
      </c>
      <c r="E52" s="92" t="s">
        <v>10</v>
      </c>
      <c r="F52" s="93"/>
      <c r="G52" s="101" t="n">
        <v>-11560</v>
      </c>
      <c r="H52" s="101" t="n">
        <f aca="false">(G52/100)*22</f>
        <v>-2543.2</v>
      </c>
      <c r="I52" s="101" t="n">
        <f aca="false">G52+H52</f>
        <v>-14103.2</v>
      </c>
      <c r="J52" s="96"/>
      <c r="K52" s="98" t="n">
        <v>-11560</v>
      </c>
      <c r="L52" s="98" t="n">
        <v>-2543.2</v>
      </c>
      <c r="M52" s="98" t="n">
        <v>-14103.2</v>
      </c>
      <c r="N52" s="99"/>
      <c r="O52" s="98" t="n">
        <v>-11560</v>
      </c>
      <c r="P52" s="98" t="n">
        <v>-2543.2</v>
      </c>
      <c r="Q52" s="98" t="n">
        <v>-14103.2</v>
      </c>
      <c r="AMH52" s="0"/>
      <c r="AMI52" s="0"/>
      <c r="AMJ52" s="0"/>
    </row>
    <row r="53" s="100" customFormat="true" ht="12.8" hidden="false" customHeight="false" outlineLevel="0" collapsed="false">
      <c r="A53" s="88"/>
      <c r="B53" s="89"/>
      <c r="C53" s="119"/>
      <c r="D53" s="103" t="s">
        <v>130</v>
      </c>
      <c r="E53" s="92" t="s">
        <v>10</v>
      </c>
      <c r="F53" s="93"/>
      <c r="G53" s="101" t="n">
        <v>-13115</v>
      </c>
      <c r="H53" s="101" t="n">
        <f aca="false">(G53/100)*22</f>
        <v>-2885.3</v>
      </c>
      <c r="I53" s="101" t="n">
        <f aca="false">G53+H53</f>
        <v>-16000.3</v>
      </c>
      <c r="J53" s="96"/>
      <c r="K53" s="98" t="n">
        <v>-13115</v>
      </c>
      <c r="L53" s="98" t="n">
        <v>-2885.3</v>
      </c>
      <c r="M53" s="98" t="n">
        <v>-16000.3</v>
      </c>
      <c r="N53" s="99"/>
      <c r="O53" s="98" t="n">
        <v>-13115</v>
      </c>
      <c r="P53" s="98" t="n">
        <v>-2885.3</v>
      </c>
      <c r="Q53" s="98" t="n">
        <v>-16000.3</v>
      </c>
      <c r="AMH53" s="0"/>
      <c r="AMI53" s="0"/>
      <c r="AMJ53" s="0"/>
    </row>
    <row r="54" s="100" customFormat="true" ht="12.8" hidden="false" customHeight="false" outlineLevel="0" collapsed="false">
      <c r="A54" s="88"/>
      <c r="B54" s="89"/>
      <c r="C54" s="119"/>
      <c r="D54" s="103" t="s">
        <v>131</v>
      </c>
      <c r="E54" s="92" t="s">
        <v>10</v>
      </c>
      <c r="F54" s="93"/>
      <c r="G54" s="101" t="n">
        <v>-8197</v>
      </c>
      <c r="H54" s="101" t="n">
        <f aca="false">(G54/100)*22</f>
        <v>-1803.34</v>
      </c>
      <c r="I54" s="101" t="n">
        <f aca="false">G54+H54</f>
        <v>-10000.34</v>
      </c>
      <c r="J54" s="96"/>
      <c r="K54" s="98" t="n">
        <v>-8197</v>
      </c>
      <c r="L54" s="98" t="n">
        <v>-1803.34</v>
      </c>
      <c r="M54" s="98" t="n">
        <v>-10000.34</v>
      </c>
      <c r="N54" s="99"/>
      <c r="O54" s="98" t="n">
        <v>-8197</v>
      </c>
      <c r="P54" s="98" t="n">
        <v>-1803.34</v>
      </c>
      <c r="Q54" s="98" t="n">
        <v>-10000.34</v>
      </c>
      <c r="AMH54" s="0"/>
      <c r="AMI54" s="0"/>
      <c r="AMJ54" s="0"/>
    </row>
    <row r="55" s="100" customFormat="true" ht="12.8" hidden="false" customHeight="false" outlineLevel="0" collapsed="false">
      <c r="A55" s="88"/>
      <c r="B55" s="89"/>
      <c r="C55" s="119"/>
      <c r="D55" s="103" t="s">
        <v>132</v>
      </c>
      <c r="E55" s="92" t="s">
        <v>10</v>
      </c>
      <c r="F55" s="93"/>
      <c r="G55" s="120" t="n">
        <v>-5000</v>
      </c>
      <c r="H55" s="101" t="n">
        <f aca="false">(G55/100)*22</f>
        <v>-1100</v>
      </c>
      <c r="I55" s="101" t="n">
        <f aca="false">G55+H55</f>
        <v>-6100</v>
      </c>
      <c r="J55" s="96"/>
      <c r="K55" s="98" t="n">
        <v>-6000</v>
      </c>
      <c r="L55" s="98" t="n">
        <v>-1320</v>
      </c>
      <c r="M55" s="98" t="n">
        <v>-7320</v>
      </c>
      <c r="N55" s="99"/>
      <c r="O55" s="98" t="n">
        <v>-6000</v>
      </c>
      <c r="P55" s="98" t="n">
        <v>-1320</v>
      </c>
      <c r="Q55" s="98" t="n">
        <v>-7320</v>
      </c>
      <c r="AMH55" s="0"/>
      <c r="AMI55" s="0"/>
      <c r="AMJ55" s="0"/>
    </row>
    <row r="56" s="100" customFormat="true" ht="20.85" hidden="false" customHeight="false" outlineLevel="0" collapsed="false">
      <c r="A56" s="88"/>
      <c r="B56" s="89"/>
      <c r="C56" s="119"/>
      <c r="D56" s="104" t="s">
        <v>133</v>
      </c>
      <c r="E56" s="121" t="s">
        <v>10</v>
      </c>
      <c r="F56" s="93"/>
      <c r="G56" s="101" t="n">
        <f aca="false">+'5 - Ammortamenti'!G7</f>
        <v>-1600</v>
      </c>
      <c r="H56" s="101" t="n">
        <v>0</v>
      </c>
      <c r="I56" s="101" t="n">
        <f aca="false">G56+H56</f>
        <v>-1600</v>
      </c>
      <c r="J56" s="96"/>
      <c r="K56" s="98" t="n">
        <v>-1600</v>
      </c>
      <c r="L56" s="98" t="n">
        <v>0</v>
      </c>
      <c r="M56" s="98" t="n">
        <v>-1600</v>
      </c>
      <c r="N56" s="99"/>
      <c r="O56" s="98" t="n">
        <v>-1600</v>
      </c>
      <c r="P56" s="98" t="n">
        <v>0</v>
      </c>
      <c r="Q56" s="98" t="n">
        <v>-1600</v>
      </c>
      <c r="AMH56" s="0"/>
      <c r="AMI56" s="0"/>
      <c r="AMJ56" s="0"/>
    </row>
    <row r="57" s="100" customFormat="true" ht="12.8" hidden="false" customHeight="false" outlineLevel="0" collapsed="false">
      <c r="A57" s="88"/>
      <c r="B57" s="89"/>
      <c r="C57" s="119"/>
      <c r="D57" s="103" t="s">
        <v>134</v>
      </c>
      <c r="E57" s="121" t="s">
        <v>10</v>
      </c>
      <c r="F57" s="93"/>
      <c r="G57" s="101" t="n">
        <v>-26945.6</v>
      </c>
      <c r="H57" s="101" t="n">
        <f aca="false">(G57/100)*22</f>
        <v>-5928.032</v>
      </c>
      <c r="I57" s="101" t="n">
        <f aca="false">G57+H57</f>
        <v>-32873.632</v>
      </c>
      <c r="J57" s="96"/>
      <c r="K57" s="98" t="n">
        <v>-26945.6</v>
      </c>
      <c r="L57" s="98" t="n">
        <v>-5928.032</v>
      </c>
      <c r="M57" s="98" t="n">
        <v>-32873.632</v>
      </c>
      <c r="N57" s="99"/>
      <c r="O57" s="98" t="n">
        <v>-26945.6</v>
      </c>
      <c r="P57" s="98" t="n">
        <v>-5928.032</v>
      </c>
      <c r="Q57" s="98" t="n">
        <v>-32873.632</v>
      </c>
      <c r="AMH57" s="0"/>
      <c r="AMI57" s="0"/>
      <c r="AMJ57" s="0"/>
    </row>
    <row r="58" s="100" customFormat="true" ht="12.8" hidden="false" customHeight="false" outlineLevel="0" collapsed="false">
      <c r="A58" s="88"/>
      <c r="B58" s="89"/>
      <c r="C58" s="119"/>
      <c r="D58" s="104" t="s">
        <v>135</v>
      </c>
      <c r="E58" s="121" t="s">
        <v>10</v>
      </c>
      <c r="F58" s="93"/>
      <c r="G58" s="101" t="n">
        <f aca="false">+'5 - Ammortamenti'!G8</f>
        <v>-112100</v>
      </c>
      <c r="H58" s="101" t="n">
        <v>0</v>
      </c>
      <c r="I58" s="101" t="n">
        <f aca="false">G58+H58</f>
        <v>-112100</v>
      </c>
      <c r="J58" s="96"/>
      <c r="K58" s="98" t="n">
        <v>-19864</v>
      </c>
      <c r="L58" s="98" t="n">
        <v>0</v>
      </c>
      <c r="M58" s="98" t="n">
        <v>-19864</v>
      </c>
      <c r="N58" s="99"/>
      <c r="O58" s="98" t="n">
        <v>-16553</v>
      </c>
      <c r="P58" s="98" t="n">
        <v>0</v>
      </c>
      <c r="Q58" s="98" t="n">
        <v>-16553</v>
      </c>
      <c r="AMH58" s="0"/>
      <c r="AMI58" s="0"/>
      <c r="AMJ58" s="0"/>
    </row>
    <row r="59" s="100" customFormat="true" ht="12.8" hidden="false" customHeight="false" outlineLevel="0" collapsed="false">
      <c r="A59" s="88"/>
      <c r="B59" s="89"/>
      <c r="C59" s="119"/>
      <c r="D59" s="122" t="s">
        <v>136</v>
      </c>
      <c r="E59" s="123" t="s">
        <v>10</v>
      </c>
      <c r="F59" s="93"/>
      <c r="G59" s="101" t="n">
        <v>-1139</v>
      </c>
      <c r="H59" s="101" t="n">
        <f aca="false">(G59/100)*22</f>
        <v>-250.58</v>
      </c>
      <c r="I59" s="101" t="n">
        <f aca="false">G59+H59</f>
        <v>-1389.58</v>
      </c>
      <c r="J59" s="96"/>
      <c r="K59" s="98" t="n">
        <v>-1139</v>
      </c>
      <c r="L59" s="98" t="n">
        <v>-250.58</v>
      </c>
      <c r="M59" s="98" t="n">
        <v>-1389.58</v>
      </c>
      <c r="N59" s="99"/>
      <c r="O59" s="98" t="n">
        <v>-1139</v>
      </c>
      <c r="P59" s="98" t="n">
        <v>-250.58</v>
      </c>
      <c r="Q59" s="98" t="n">
        <v>-1389.58</v>
      </c>
      <c r="AMH59" s="0"/>
      <c r="AMI59" s="0"/>
      <c r="AMJ59" s="0"/>
    </row>
    <row r="60" s="100" customFormat="true" ht="12.8" hidden="false" customHeight="false" outlineLevel="0" collapsed="false">
      <c r="A60" s="88"/>
      <c r="B60" s="89"/>
      <c r="C60" s="119"/>
      <c r="D60" s="103" t="s">
        <v>137</v>
      </c>
      <c r="E60" s="123" t="s">
        <v>10</v>
      </c>
      <c r="F60" s="93"/>
      <c r="G60" s="101" t="n">
        <v>-2383</v>
      </c>
      <c r="H60" s="101" t="n">
        <f aca="false">(G60/100)*22</f>
        <v>-524.26</v>
      </c>
      <c r="I60" s="101" t="n">
        <f aca="false">G60+H60</f>
        <v>-2907.26</v>
      </c>
      <c r="J60" s="96"/>
      <c r="K60" s="98" t="n">
        <v>-2383</v>
      </c>
      <c r="L60" s="98" t="n">
        <v>-524.26</v>
      </c>
      <c r="M60" s="98" t="n">
        <v>-2907.26</v>
      </c>
      <c r="N60" s="99"/>
      <c r="O60" s="98" t="n">
        <v>-2383</v>
      </c>
      <c r="P60" s="98" t="n">
        <v>-524.26</v>
      </c>
      <c r="Q60" s="98" t="n">
        <v>-2907.26</v>
      </c>
      <c r="AMH60" s="0"/>
      <c r="AMI60" s="0"/>
      <c r="AMJ60" s="0"/>
    </row>
    <row r="61" s="100" customFormat="true" ht="12.8" hidden="false" customHeight="false" outlineLevel="0" collapsed="false">
      <c r="A61" s="88"/>
      <c r="B61" s="89"/>
      <c r="C61" s="119"/>
      <c r="D61" s="122" t="s">
        <v>138</v>
      </c>
      <c r="E61" s="123" t="s">
        <v>10</v>
      </c>
      <c r="F61" s="93"/>
      <c r="G61" s="101" t="n">
        <v>-3795</v>
      </c>
      <c r="H61" s="101" t="n">
        <f aca="false">(G61/100)*22</f>
        <v>-834.9</v>
      </c>
      <c r="I61" s="101" t="n">
        <f aca="false">G61+H61</f>
        <v>-4629.9</v>
      </c>
      <c r="J61" s="96"/>
      <c r="K61" s="98" t="n">
        <v>-3795</v>
      </c>
      <c r="L61" s="98" t="n">
        <v>-834.9</v>
      </c>
      <c r="M61" s="98" t="n">
        <v>-4629.9</v>
      </c>
      <c r="N61" s="99"/>
      <c r="O61" s="98" t="n">
        <v>-3795</v>
      </c>
      <c r="P61" s="98" t="n">
        <v>-834.9</v>
      </c>
      <c r="Q61" s="98" t="n">
        <v>-4629.9</v>
      </c>
      <c r="AMH61" s="0"/>
      <c r="AMI61" s="0"/>
      <c r="AMJ61" s="0"/>
    </row>
    <row r="62" s="100" customFormat="true" ht="12.8" hidden="false" customHeight="false" outlineLevel="0" collapsed="false">
      <c r="A62" s="88"/>
      <c r="B62" s="89"/>
      <c r="C62" s="119"/>
      <c r="D62" s="104" t="s">
        <v>139</v>
      </c>
      <c r="E62" s="121" t="s">
        <v>10</v>
      </c>
      <c r="F62" s="93"/>
      <c r="G62" s="101" t="n">
        <f aca="false">+'5 - Ammortamenti'!G9</f>
        <v>-3850</v>
      </c>
      <c r="H62" s="101" t="n">
        <f aca="false">(G62/100)*22</f>
        <v>-847</v>
      </c>
      <c r="I62" s="101" t="n">
        <f aca="false">G62+H62</f>
        <v>-4697</v>
      </c>
      <c r="J62" s="96"/>
      <c r="K62" s="98" t="n">
        <v>0</v>
      </c>
      <c r="L62" s="98" t="n">
        <v>0</v>
      </c>
      <c r="M62" s="98" t="n">
        <v>0</v>
      </c>
      <c r="N62" s="99"/>
      <c r="O62" s="98" t="n">
        <v>0</v>
      </c>
      <c r="P62" s="98" t="n">
        <v>0</v>
      </c>
      <c r="Q62" s="98" t="n">
        <v>0</v>
      </c>
      <c r="AMH62" s="0"/>
      <c r="AMI62" s="0"/>
      <c r="AMJ62" s="0"/>
    </row>
    <row r="63" s="100" customFormat="true" ht="20.85" hidden="false" customHeight="false" outlineLevel="0" collapsed="false">
      <c r="A63" s="88"/>
      <c r="B63" s="89"/>
      <c r="C63" s="119"/>
      <c r="D63" s="103" t="s">
        <v>140</v>
      </c>
      <c r="E63" s="123" t="s">
        <v>10</v>
      </c>
      <c r="F63" s="93"/>
      <c r="G63" s="120" t="n">
        <v>-3000</v>
      </c>
      <c r="H63" s="101" t="n">
        <f aca="false">(G63/100)*22</f>
        <v>-660</v>
      </c>
      <c r="I63" s="101" t="n">
        <f aca="false">G63+H63</f>
        <v>-3660</v>
      </c>
      <c r="J63" s="96"/>
      <c r="K63" s="97" t="n">
        <v>-5000</v>
      </c>
      <c r="L63" s="98" t="n">
        <f aca="false">(K63/100)*22</f>
        <v>-1100</v>
      </c>
      <c r="M63" s="98" t="n">
        <f aca="false">K63+L63</f>
        <v>-6100</v>
      </c>
      <c r="N63" s="99"/>
      <c r="O63" s="97" t="n">
        <f aca="false">K63</f>
        <v>-5000</v>
      </c>
      <c r="P63" s="98" t="n">
        <f aca="false">(O63/100)*22</f>
        <v>-1100</v>
      </c>
      <c r="Q63" s="98" t="n">
        <f aca="false">O63+P63</f>
        <v>-6100</v>
      </c>
      <c r="AMH63" s="0"/>
      <c r="AMI63" s="0"/>
      <c r="AMJ63" s="0"/>
    </row>
    <row r="64" s="100" customFormat="true" ht="12.8" hidden="false" customHeight="false" outlineLevel="0" collapsed="false">
      <c r="A64" s="88"/>
      <c r="B64" s="89"/>
      <c r="C64" s="119"/>
      <c r="D64" s="103" t="s">
        <v>141</v>
      </c>
      <c r="E64" s="92" t="s">
        <v>10</v>
      </c>
      <c r="F64" s="93"/>
      <c r="G64" s="101" t="n">
        <v>-1500</v>
      </c>
      <c r="H64" s="101" t="n">
        <f aca="false">(G64/100)*22</f>
        <v>-330</v>
      </c>
      <c r="I64" s="101" t="n">
        <f aca="false">G64+H64</f>
        <v>-1830</v>
      </c>
      <c r="J64" s="96"/>
      <c r="K64" s="98" t="n">
        <v>-1500</v>
      </c>
      <c r="L64" s="98" t="n">
        <v>-330</v>
      </c>
      <c r="M64" s="98" t="n">
        <v>-1830</v>
      </c>
      <c r="N64" s="99"/>
      <c r="O64" s="98" t="n">
        <v>-1500</v>
      </c>
      <c r="P64" s="98" t="n">
        <v>-330</v>
      </c>
      <c r="Q64" s="98" t="n">
        <v>-1830</v>
      </c>
      <c r="AMH64" s="0"/>
      <c r="AMI64" s="0"/>
      <c r="AMJ64" s="0"/>
    </row>
    <row r="65" s="100" customFormat="true" ht="12.8" hidden="false" customHeight="false" outlineLevel="0" collapsed="false">
      <c r="A65" s="88"/>
      <c r="B65" s="89"/>
      <c r="C65" s="119" t="s">
        <v>21</v>
      </c>
      <c r="D65" s="91" t="s">
        <v>85</v>
      </c>
      <c r="E65" s="92" t="s">
        <v>10</v>
      </c>
      <c r="F65" s="93"/>
      <c r="G65" s="101" t="n">
        <f aca="false">-'6 - Funzionigramma'!P25</f>
        <v>-32815.2</v>
      </c>
      <c r="H65" s="95"/>
      <c r="I65" s="95" t="n">
        <f aca="false">G65+(G65/100)*3.9</f>
        <v>-34094.9928</v>
      </c>
      <c r="J65" s="96"/>
      <c r="K65" s="98" t="n">
        <v>-32815.2</v>
      </c>
      <c r="L65" s="98" t="n">
        <v>0</v>
      </c>
      <c r="M65" s="98" t="n">
        <v>-34094.9928</v>
      </c>
      <c r="N65" s="99"/>
      <c r="O65" s="98" t="n">
        <v>-32815.2</v>
      </c>
      <c r="P65" s="98" t="n">
        <v>0</v>
      </c>
      <c r="Q65" s="98" t="n">
        <v>-34094.9928</v>
      </c>
      <c r="AMH65" s="0"/>
      <c r="AMI65" s="0"/>
      <c r="AMJ65" s="0"/>
    </row>
    <row r="66" s="100" customFormat="true" ht="12.8" hidden="false" customHeight="true" outlineLevel="0" collapsed="false">
      <c r="A66" s="88"/>
      <c r="B66" s="89"/>
      <c r="C66" s="119" t="s">
        <v>142</v>
      </c>
      <c r="D66" s="91" t="s">
        <v>85</v>
      </c>
      <c r="E66" s="92" t="s">
        <v>10</v>
      </c>
      <c r="F66" s="93"/>
      <c r="G66" s="101" t="n">
        <f aca="false">-'6 - Funzionigramma'!R25</f>
        <v>-6432.6</v>
      </c>
      <c r="H66" s="95"/>
      <c r="I66" s="95" t="n">
        <f aca="false">G66+(G66/100)*3.9</f>
        <v>-6683.4714</v>
      </c>
      <c r="J66" s="96"/>
      <c r="K66" s="98" t="n">
        <v>-6432.6</v>
      </c>
      <c r="L66" s="98" t="n">
        <v>0</v>
      </c>
      <c r="M66" s="98" t="n">
        <v>-6683.4714</v>
      </c>
      <c r="N66" s="99"/>
      <c r="O66" s="98" t="n">
        <v>-6432.6</v>
      </c>
      <c r="P66" s="98" t="n">
        <v>0</v>
      </c>
      <c r="Q66" s="98" t="n">
        <v>-6683.4714</v>
      </c>
      <c r="AMH66" s="0"/>
      <c r="AMI66" s="0"/>
      <c r="AMJ66" s="0"/>
    </row>
    <row r="67" s="100" customFormat="true" ht="12.8" hidden="false" customHeight="false" outlineLevel="0" collapsed="false">
      <c r="A67" s="88"/>
      <c r="B67" s="89"/>
      <c r="C67" s="119"/>
      <c r="D67" s="91" t="s">
        <v>143</v>
      </c>
      <c r="E67" s="92" t="s">
        <v>10</v>
      </c>
      <c r="F67" s="93"/>
      <c r="G67" s="101" t="n">
        <v>-98490.96</v>
      </c>
      <c r="H67" s="95" t="n">
        <f aca="false">(G67/100)*22</f>
        <v>-21668.0112</v>
      </c>
      <c r="I67" s="95" t="n">
        <f aca="false">G67+H67</f>
        <v>-120158.9712</v>
      </c>
      <c r="J67" s="96"/>
      <c r="K67" s="98" t="n">
        <v>-98490.96</v>
      </c>
      <c r="L67" s="98" t="n">
        <v>-21668.0112</v>
      </c>
      <c r="M67" s="98" t="n">
        <v>-120158.9712</v>
      </c>
      <c r="N67" s="99"/>
      <c r="O67" s="98" t="n">
        <v>-98490.96</v>
      </c>
      <c r="P67" s="98" t="n">
        <v>-21668.0112</v>
      </c>
      <c r="Q67" s="98" t="n">
        <v>-120158.9712</v>
      </c>
      <c r="AMH67" s="0"/>
      <c r="AMI67" s="0"/>
      <c r="AMJ67" s="0"/>
    </row>
    <row r="68" s="100" customFormat="true" ht="12.8" hidden="false" customHeight="false" outlineLevel="0" collapsed="false">
      <c r="A68" s="88"/>
      <c r="B68" s="89"/>
      <c r="C68" s="119"/>
      <c r="D68" s="91" t="s">
        <v>144</v>
      </c>
      <c r="E68" s="92" t="s">
        <v>10</v>
      </c>
      <c r="F68" s="93"/>
      <c r="G68" s="120" t="n">
        <v>-1000</v>
      </c>
      <c r="H68" s="95" t="n">
        <f aca="false">(G68/100)*22</f>
        <v>-220</v>
      </c>
      <c r="I68" s="95" t="n">
        <f aca="false">G68+H68</f>
        <v>-1220</v>
      </c>
      <c r="J68" s="96"/>
      <c r="K68" s="97" t="n">
        <v>-5000</v>
      </c>
      <c r="L68" s="98" t="n">
        <f aca="false">(K68/100)*22</f>
        <v>-1100</v>
      </c>
      <c r="M68" s="98" t="n">
        <f aca="false">K68+L68</f>
        <v>-6100</v>
      </c>
      <c r="N68" s="99"/>
      <c r="O68" s="98" t="n">
        <v>-1500</v>
      </c>
      <c r="P68" s="98" t="n">
        <v>-330</v>
      </c>
      <c r="Q68" s="98" t="n">
        <v>-1830</v>
      </c>
      <c r="AMH68" s="0"/>
      <c r="AMI68" s="0"/>
      <c r="AMJ68" s="0"/>
    </row>
    <row r="69" s="100" customFormat="true" ht="12.8" hidden="false" customHeight="true" outlineLevel="0" collapsed="false">
      <c r="A69" s="88"/>
      <c r="B69" s="89"/>
      <c r="C69" s="106" t="s">
        <v>23</v>
      </c>
      <c r="D69" s="91" t="s">
        <v>85</v>
      </c>
      <c r="E69" s="92" t="s">
        <v>10</v>
      </c>
      <c r="F69" s="93"/>
      <c r="G69" s="101" t="n">
        <f aca="false">-'6 - Funzionigramma'!O25</f>
        <v>-15000</v>
      </c>
      <c r="H69" s="95"/>
      <c r="I69" s="95" t="n">
        <f aca="false">G69+(G69/100)*3.9</f>
        <v>-15585</v>
      </c>
      <c r="J69" s="96"/>
      <c r="K69" s="98" t="n">
        <v>-15000</v>
      </c>
      <c r="L69" s="98" t="n">
        <v>0</v>
      </c>
      <c r="M69" s="98" t="n">
        <v>-15585</v>
      </c>
      <c r="N69" s="99"/>
      <c r="O69" s="98" t="n">
        <v>-15000</v>
      </c>
      <c r="P69" s="98" t="n">
        <v>0</v>
      </c>
      <c r="Q69" s="98" t="n">
        <v>-15585</v>
      </c>
      <c r="AMH69" s="0"/>
      <c r="AMI69" s="0"/>
      <c r="AMJ69" s="0"/>
    </row>
    <row r="70" s="100" customFormat="true" ht="12.8" hidden="false" customHeight="false" outlineLevel="0" collapsed="false">
      <c r="A70" s="88"/>
      <c r="B70" s="89"/>
      <c r="C70" s="106"/>
      <c r="D70" s="103" t="s">
        <v>145</v>
      </c>
      <c r="E70" s="92" t="s">
        <v>10</v>
      </c>
      <c r="F70" s="93"/>
      <c r="G70" s="101" t="n">
        <v>-10000</v>
      </c>
      <c r="H70" s="95" t="n">
        <f aca="false">(G70/100)*22</f>
        <v>-2200</v>
      </c>
      <c r="I70" s="95" t="n">
        <f aca="false">G70+H70</f>
        <v>-12200</v>
      </c>
      <c r="J70" s="96"/>
      <c r="K70" s="98" t="n">
        <v>-10000</v>
      </c>
      <c r="L70" s="98" t="n">
        <v>-2200</v>
      </c>
      <c r="M70" s="98" t="n">
        <v>-12200</v>
      </c>
      <c r="N70" s="99"/>
      <c r="O70" s="98" t="n">
        <v>-10000</v>
      </c>
      <c r="P70" s="98" t="n">
        <v>-2200</v>
      </c>
      <c r="Q70" s="98" t="n">
        <v>-12200</v>
      </c>
      <c r="AMH70" s="0"/>
      <c r="AMI70" s="0"/>
      <c r="AMJ70" s="0"/>
    </row>
    <row r="71" s="100" customFormat="true" ht="12.8" hidden="false" customHeight="true" outlineLevel="0" collapsed="false">
      <c r="A71" s="88"/>
      <c r="B71" s="89"/>
      <c r="C71" s="119" t="s">
        <v>146</v>
      </c>
      <c r="D71" s="91" t="s">
        <v>85</v>
      </c>
      <c r="E71" s="92" t="s">
        <v>10</v>
      </c>
      <c r="F71" s="93"/>
      <c r="G71" s="101" t="n">
        <f aca="false">-'6 - Funzionigramma'!N25</f>
        <v>-13200</v>
      </c>
      <c r="H71" s="95"/>
      <c r="I71" s="95" t="n">
        <f aca="false">G71+(G71/100)*3.9</f>
        <v>-13714.8</v>
      </c>
      <c r="J71" s="96"/>
      <c r="K71" s="98" t="n">
        <v>-13200</v>
      </c>
      <c r="L71" s="98" t="n">
        <v>0</v>
      </c>
      <c r="M71" s="98" t="n">
        <v>-13714.8</v>
      </c>
      <c r="N71" s="99"/>
      <c r="O71" s="98" t="n">
        <v>-13200</v>
      </c>
      <c r="P71" s="98" t="n">
        <v>0</v>
      </c>
      <c r="Q71" s="98" t="n">
        <v>-13714.8</v>
      </c>
      <c r="AMH71" s="0"/>
      <c r="AMI71" s="0"/>
      <c r="AMJ71" s="0"/>
    </row>
    <row r="72" s="100" customFormat="true" ht="12.8" hidden="false" customHeight="false" outlineLevel="0" collapsed="false">
      <c r="A72" s="88"/>
      <c r="B72" s="89"/>
      <c r="C72" s="119"/>
      <c r="D72" s="91" t="s">
        <v>147</v>
      </c>
      <c r="E72" s="124" t="s">
        <v>10</v>
      </c>
      <c r="F72" s="93"/>
      <c r="G72" s="125" t="n">
        <f aca="false">'5 - Ammortamenti'!G17</f>
        <v>-153592.4</v>
      </c>
      <c r="H72" s="126" t="n">
        <v>0</v>
      </c>
      <c r="I72" s="101" t="n">
        <f aca="false">G72</f>
        <v>-153592.4</v>
      </c>
      <c r="J72" s="96"/>
      <c r="K72" s="98" t="n">
        <f aca="false">('5 - Ammortamenti'!M17*0.4+'5 - Ammortamenti'!M18*0.3)</f>
        <v>-268786.7</v>
      </c>
      <c r="L72" s="98" t="n">
        <v>0</v>
      </c>
      <c r="M72" s="98" t="n">
        <f aca="false">+K72</f>
        <v>-268786.7</v>
      </c>
      <c r="N72" s="99"/>
      <c r="O72" s="98" t="n">
        <f aca="false">+'5 - Ammortamenti'!M17*0.4+'5 - Ammortamenti'!M18*0.3+'5 - Ammortamenti'!M19*0.2</f>
        <v>-345582.9</v>
      </c>
      <c r="P72" s="98" t="n">
        <v>0</v>
      </c>
      <c r="Q72" s="98" t="n">
        <v>-230388.6</v>
      </c>
      <c r="AMH72" s="0"/>
      <c r="AMI72" s="0"/>
      <c r="AMJ72" s="0"/>
    </row>
    <row r="73" s="100" customFormat="true" ht="12.8" hidden="false" customHeight="false" outlineLevel="0" collapsed="false">
      <c r="A73" s="88"/>
      <c r="B73" s="89"/>
      <c r="C73" s="119"/>
      <c r="D73" s="91" t="s">
        <v>148</v>
      </c>
      <c r="E73" s="92" t="s">
        <v>10</v>
      </c>
      <c r="F73" s="93"/>
      <c r="G73" s="101" t="n">
        <v>-12295.08</v>
      </c>
      <c r="H73" s="95" t="n">
        <f aca="false">(G73/100)*22</f>
        <v>-2704.9176</v>
      </c>
      <c r="I73" s="95" t="n">
        <f aca="false">G73+H73</f>
        <v>-14999.9976</v>
      </c>
      <c r="J73" s="96"/>
      <c r="K73" s="97" t="n">
        <v>-15000</v>
      </c>
      <c r="L73" s="98" t="n">
        <f aca="false">(K73/100)*22</f>
        <v>-3300</v>
      </c>
      <c r="M73" s="98" t="n">
        <f aca="false">K73+L73</f>
        <v>-18300</v>
      </c>
      <c r="N73" s="99"/>
      <c r="O73" s="97" t="n">
        <f aca="false">K73</f>
        <v>-15000</v>
      </c>
      <c r="P73" s="98" t="n">
        <f aca="false">(O73/100)*22</f>
        <v>-3300</v>
      </c>
      <c r="Q73" s="98" t="n">
        <f aca="false">O73+P73</f>
        <v>-18300</v>
      </c>
      <c r="AMH73" s="0"/>
      <c r="AMI73" s="0"/>
      <c r="AMJ73" s="0"/>
    </row>
    <row r="74" s="100" customFormat="true" ht="12.8" hidden="false" customHeight="false" outlineLevel="0" collapsed="false">
      <c r="A74" s="88"/>
      <c r="B74" s="89"/>
      <c r="C74" s="119"/>
      <c r="D74" s="91" t="s">
        <v>149</v>
      </c>
      <c r="E74" s="92" t="s">
        <v>10</v>
      </c>
      <c r="F74" s="93"/>
      <c r="G74" s="101" t="n">
        <v>-22131.15</v>
      </c>
      <c r="H74" s="95" t="n">
        <f aca="false">(G74/100)*22</f>
        <v>-4868.853</v>
      </c>
      <c r="I74" s="95" t="n">
        <f aca="false">G74+H74</f>
        <v>-27000.003</v>
      </c>
      <c r="J74" s="96"/>
      <c r="K74" s="97" t="n">
        <v>-25000</v>
      </c>
      <c r="L74" s="98" t="n">
        <f aca="false">(K74/100)*22</f>
        <v>-5500</v>
      </c>
      <c r="M74" s="98" t="n">
        <f aca="false">K74+L74</f>
        <v>-30500</v>
      </c>
      <c r="N74" s="99"/>
      <c r="O74" s="97" t="n">
        <f aca="false">K74</f>
        <v>-25000</v>
      </c>
      <c r="P74" s="98" t="n">
        <f aca="false">(O74/100)*22</f>
        <v>-5500</v>
      </c>
      <c r="Q74" s="98" t="n">
        <f aca="false">O74+P74</f>
        <v>-30500</v>
      </c>
      <c r="AMH74" s="0"/>
      <c r="AMI74" s="0"/>
      <c r="AMJ74" s="0"/>
    </row>
    <row r="75" s="100" customFormat="true" ht="12.8" hidden="false" customHeight="false" outlineLevel="0" collapsed="false">
      <c r="A75" s="88"/>
      <c r="B75" s="89"/>
      <c r="C75" s="119"/>
      <c r="D75" s="104" t="s">
        <v>150</v>
      </c>
      <c r="E75" s="121" t="s">
        <v>10</v>
      </c>
      <c r="F75" s="93"/>
      <c r="G75" s="127" t="n">
        <f aca="false">+'5 - Ammortamenti'!G10</f>
        <v>-17500</v>
      </c>
      <c r="H75" s="101" t="n">
        <v>0</v>
      </c>
      <c r="I75" s="101" t="n">
        <f aca="false">G75+H75</f>
        <v>-17500</v>
      </c>
      <c r="J75" s="96"/>
      <c r="K75" s="98" t="n">
        <v>0</v>
      </c>
      <c r="L75" s="98" t="n">
        <v>0</v>
      </c>
      <c r="M75" s="98" t="n">
        <v>0</v>
      </c>
      <c r="N75" s="99"/>
      <c r="O75" s="98" t="n">
        <v>0</v>
      </c>
      <c r="P75" s="98" t="n">
        <v>0</v>
      </c>
      <c r="Q75" s="98" t="n">
        <v>0</v>
      </c>
      <c r="AMH75" s="0"/>
      <c r="AMI75" s="0"/>
      <c r="AMJ75" s="0"/>
    </row>
    <row r="76" s="100" customFormat="true" ht="12.8" hidden="false" customHeight="false" outlineLevel="0" collapsed="false">
      <c r="A76" s="88"/>
      <c r="B76" s="89"/>
      <c r="C76" s="119"/>
      <c r="D76" s="103" t="s">
        <v>151</v>
      </c>
      <c r="E76" s="92" t="s">
        <v>10</v>
      </c>
      <c r="F76" s="93"/>
      <c r="G76" s="101" t="n">
        <v>-2000</v>
      </c>
      <c r="H76" s="95" t="n">
        <f aca="false">(G76/100)*22</f>
        <v>-440</v>
      </c>
      <c r="I76" s="95" t="n">
        <f aca="false">G76+H76</f>
        <v>-2440</v>
      </c>
      <c r="J76" s="96"/>
      <c r="K76" s="98" t="n">
        <v>-2000</v>
      </c>
      <c r="L76" s="98" t="n">
        <v>-440</v>
      </c>
      <c r="M76" s="98" t="n">
        <v>-2440</v>
      </c>
      <c r="N76" s="99"/>
      <c r="O76" s="98" t="n">
        <v>-2000</v>
      </c>
      <c r="P76" s="98" t="n">
        <v>-440</v>
      </c>
      <c r="Q76" s="98" t="n">
        <v>-2440</v>
      </c>
      <c r="AMH76" s="0"/>
      <c r="AMI76" s="0"/>
      <c r="AMJ76" s="0"/>
    </row>
    <row r="77" s="100" customFormat="true" ht="12.8" hidden="false" customHeight="true" outlineLevel="0" collapsed="false">
      <c r="A77" s="88"/>
      <c r="B77" s="89"/>
      <c r="C77" s="119" t="s">
        <v>25</v>
      </c>
      <c r="D77" s="91" t="s">
        <v>85</v>
      </c>
      <c r="E77" s="92" t="s">
        <v>10</v>
      </c>
      <c r="F77" s="93"/>
      <c r="G77" s="101" t="n">
        <f aca="false">-'6 - Funzionigramma'!S25</f>
        <v>-9081.5</v>
      </c>
      <c r="H77" s="95"/>
      <c r="I77" s="95" t="n">
        <f aca="false">G77+(G77/100)*3.9</f>
        <v>-9435.6785</v>
      </c>
      <c r="J77" s="128"/>
      <c r="K77" s="98" t="n">
        <v>-9081.5</v>
      </c>
      <c r="L77" s="98" t="n">
        <v>0</v>
      </c>
      <c r="M77" s="98" t="n">
        <v>-9435.6785</v>
      </c>
      <c r="N77" s="99"/>
      <c r="O77" s="98" t="n">
        <v>-9081.5</v>
      </c>
      <c r="P77" s="98" t="n">
        <v>0</v>
      </c>
      <c r="Q77" s="98" t="n">
        <v>-9435.6785</v>
      </c>
      <c r="AMH77" s="0"/>
      <c r="AMI77" s="0"/>
      <c r="AMJ77" s="0"/>
    </row>
    <row r="78" s="100" customFormat="true" ht="12.8" hidden="false" customHeight="false" outlineLevel="0" collapsed="false">
      <c r="A78" s="88"/>
      <c r="B78" s="89"/>
      <c r="C78" s="119"/>
      <c r="D78" s="91" t="s">
        <v>152</v>
      </c>
      <c r="E78" s="92" t="s">
        <v>10</v>
      </c>
      <c r="F78" s="93"/>
      <c r="G78" s="101" t="n">
        <v>-20000</v>
      </c>
      <c r="H78" s="101" t="n">
        <f aca="false">(G78/100)*22</f>
        <v>-4400</v>
      </c>
      <c r="I78" s="101" t="n">
        <f aca="false">G78+H78</f>
        <v>-24400</v>
      </c>
      <c r="J78" s="128"/>
      <c r="K78" s="97" t="n">
        <v>-35000</v>
      </c>
      <c r="L78" s="98" t="n">
        <f aca="false">(K78/100)*22</f>
        <v>-7700</v>
      </c>
      <c r="M78" s="98" t="n">
        <f aca="false">K78+L78</f>
        <v>-42700</v>
      </c>
      <c r="N78" s="99"/>
      <c r="O78" s="97" t="n">
        <v>-25000</v>
      </c>
      <c r="P78" s="98" t="n">
        <f aca="false">(O78/100)*22</f>
        <v>-5500</v>
      </c>
      <c r="Q78" s="98" t="n">
        <f aca="false">O78+P78</f>
        <v>-30500</v>
      </c>
      <c r="AMH78" s="0"/>
      <c r="AMI78" s="0"/>
      <c r="AMJ78" s="0"/>
    </row>
    <row r="79" s="100" customFormat="true" ht="12.8" hidden="false" customHeight="true" outlineLevel="0" collapsed="false">
      <c r="A79" s="88"/>
      <c r="B79" s="89"/>
      <c r="C79" s="119" t="s">
        <v>153</v>
      </c>
      <c r="D79" s="91" t="s">
        <v>85</v>
      </c>
      <c r="E79" s="92" t="s">
        <v>10</v>
      </c>
      <c r="F79" s="93"/>
      <c r="G79" s="101" t="n">
        <f aca="false">-'6 - Funzionigramma'!T25</f>
        <v>-7000</v>
      </c>
      <c r="H79" s="95"/>
      <c r="I79" s="95" t="n">
        <f aca="false">G79+(G79/100)*3.9</f>
        <v>-7273</v>
      </c>
      <c r="J79" s="128"/>
      <c r="K79" s="98" t="n">
        <v>-7000</v>
      </c>
      <c r="L79" s="98" t="n">
        <v>0</v>
      </c>
      <c r="M79" s="98" t="n">
        <v>-7273</v>
      </c>
      <c r="N79" s="99"/>
      <c r="O79" s="98" t="n">
        <v>-7000</v>
      </c>
      <c r="P79" s="98" t="n">
        <v>0</v>
      </c>
      <c r="Q79" s="98" t="n">
        <v>-7273</v>
      </c>
      <c r="AMH79" s="0"/>
      <c r="AMI79" s="0"/>
      <c r="AMJ79" s="0"/>
    </row>
    <row r="80" s="100" customFormat="true" ht="12.8" hidden="false" customHeight="false" outlineLevel="0" collapsed="false">
      <c r="A80" s="88"/>
      <c r="B80" s="89"/>
      <c r="C80" s="119"/>
      <c r="D80" s="91" t="s">
        <v>152</v>
      </c>
      <c r="E80" s="92" t="s">
        <v>10</v>
      </c>
      <c r="F80" s="93"/>
      <c r="G80" s="120" t="n">
        <v>-8000</v>
      </c>
      <c r="H80" s="101" t="n">
        <f aca="false">(G80/100)*22</f>
        <v>-1760</v>
      </c>
      <c r="I80" s="101" t="n">
        <f aca="false">G80+H80</f>
        <v>-9760</v>
      </c>
      <c r="J80" s="128"/>
      <c r="K80" s="97" t="n">
        <v>-15000</v>
      </c>
      <c r="L80" s="98" t="n">
        <f aca="false">(K80/100)*22</f>
        <v>-3300</v>
      </c>
      <c r="M80" s="98" t="n">
        <f aca="false">K80+L80</f>
        <v>-18300</v>
      </c>
      <c r="N80" s="99"/>
      <c r="O80" s="98" t="n">
        <v>-10000</v>
      </c>
      <c r="P80" s="98" t="n">
        <v>-2200</v>
      </c>
      <c r="Q80" s="98" t="n">
        <v>-12200</v>
      </c>
      <c r="AMH80" s="0"/>
      <c r="AMI80" s="0"/>
      <c r="AMJ80" s="0"/>
    </row>
    <row r="81" s="100" customFormat="true" ht="12.8" hidden="false" customHeight="true" outlineLevel="0" collapsed="false">
      <c r="A81" s="88"/>
      <c r="B81" s="89"/>
      <c r="C81" s="119" t="s">
        <v>27</v>
      </c>
      <c r="D81" s="91" t="s">
        <v>85</v>
      </c>
      <c r="E81" s="92" t="s">
        <v>10</v>
      </c>
      <c r="F81" s="93"/>
      <c r="G81" s="101" t="n">
        <f aca="false">-'6 - Funzionigramma'!U25</f>
        <v>-13427.1545522</v>
      </c>
      <c r="H81" s="95"/>
      <c r="I81" s="95" t="n">
        <f aca="false">G81+(G81/100)*3.9</f>
        <v>-13950.8135797358</v>
      </c>
      <c r="J81" s="128"/>
      <c r="K81" s="98" t="n">
        <v>-13427.1545522</v>
      </c>
      <c r="L81" s="98" t="n">
        <v>0</v>
      </c>
      <c r="M81" s="98" t="n">
        <v>-13950.8135797358</v>
      </c>
      <c r="N81" s="99"/>
      <c r="O81" s="98" t="n">
        <v>-13427.1545522</v>
      </c>
      <c r="P81" s="98" t="n">
        <v>0</v>
      </c>
      <c r="Q81" s="98" t="n">
        <v>-13950.8135797358</v>
      </c>
      <c r="AMH81" s="0"/>
      <c r="AMI81" s="0"/>
      <c r="AMJ81" s="0"/>
    </row>
    <row r="82" s="100" customFormat="true" ht="12.8" hidden="false" customHeight="false" outlineLevel="0" collapsed="false">
      <c r="A82" s="88"/>
      <c r="B82" s="89"/>
      <c r="C82" s="119"/>
      <c r="D82" s="91" t="s">
        <v>152</v>
      </c>
      <c r="E82" s="92" t="s">
        <v>10</v>
      </c>
      <c r="F82" s="93"/>
      <c r="G82" s="120" t="n">
        <v>-12300</v>
      </c>
      <c r="H82" s="101" t="n">
        <f aca="false">(G82/100)*22</f>
        <v>-2706</v>
      </c>
      <c r="I82" s="101" t="n">
        <f aca="false">G82+H82</f>
        <v>-15006</v>
      </c>
      <c r="J82" s="128"/>
      <c r="K82" s="97" t="n">
        <v>-29300</v>
      </c>
      <c r="L82" s="98" t="n">
        <f aca="false">(K82/100)*22</f>
        <v>-6446</v>
      </c>
      <c r="M82" s="98" t="n">
        <f aca="false">K82+L82</f>
        <v>-35746</v>
      </c>
      <c r="N82" s="99"/>
      <c r="O82" s="98" t="n">
        <v>-34300</v>
      </c>
      <c r="P82" s="98" t="n">
        <v>-7700</v>
      </c>
      <c r="Q82" s="98" t="n">
        <v>-42700</v>
      </c>
      <c r="AMH82" s="0"/>
      <c r="AMI82" s="0"/>
      <c r="AMJ82" s="0"/>
    </row>
    <row r="83" s="100" customFormat="true" ht="12.8" hidden="false" customHeight="true" outlineLevel="0" collapsed="false">
      <c r="A83" s="88"/>
      <c r="B83" s="89" t="s">
        <v>154</v>
      </c>
      <c r="C83" s="119" t="s">
        <v>155</v>
      </c>
      <c r="D83" s="91" t="s">
        <v>156</v>
      </c>
      <c r="E83" s="129" t="s">
        <v>28</v>
      </c>
      <c r="F83" s="93"/>
      <c r="G83" s="101" t="n">
        <v>10000</v>
      </c>
      <c r="H83" s="101" t="s">
        <v>87</v>
      </c>
      <c r="I83" s="101" t="n">
        <f aca="false">G83</f>
        <v>10000</v>
      </c>
      <c r="J83" s="96"/>
      <c r="K83" s="98" t="n">
        <v>40000</v>
      </c>
      <c r="L83" s="95" t="s">
        <v>87</v>
      </c>
      <c r="M83" s="98" t="n">
        <v>40000</v>
      </c>
      <c r="N83" s="99"/>
      <c r="O83" s="98" t="n">
        <v>60000</v>
      </c>
      <c r="P83" s="95" t="s">
        <v>87</v>
      </c>
      <c r="Q83" s="98" t="n">
        <v>60000</v>
      </c>
      <c r="AMH83" s="0"/>
      <c r="AMI83" s="0"/>
      <c r="AMJ83" s="0"/>
    </row>
    <row r="84" s="100" customFormat="true" ht="12.8" hidden="false" customHeight="false" outlineLevel="0" collapsed="false">
      <c r="A84" s="88"/>
      <c r="B84" s="89"/>
      <c r="C84" s="119"/>
      <c r="D84" s="103" t="s">
        <v>157</v>
      </c>
      <c r="E84" s="129" t="s">
        <v>28</v>
      </c>
      <c r="F84" s="93"/>
      <c r="G84" s="101" t="n">
        <v>342556.5</v>
      </c>
      <c r="H84" s="101" t="s">
        <v>87</v>
      </c>
      <c r="I84" s="101" t="n">
        <f aca="false">G84</f>
        <v>342556.5</v>
      </c>
      <c r="J84" s="96"/>
      <c r="K84" s="98" t="n">
        <v>342556.5</v>
      </c>
      <c r="L84" s="95" t="s">
        <v>87</v>
      </c>
      <c r="M84" s="98" t="n">
        <v>342556.5</v>
      </c>
      <c r="N84" s="99"/>
      <c r="O84" s="98" t="n">
        <v>342556.5</v>
      </c>
      <c r="P84" s="95" t="s">
        <v>87</v>
      </c>
      <c r="Q84" s="98" t="n">
        <v>342556.5</v>
      </c>
      <c r="AMH84" s="0"/>
      <c r="AMI84" s="0"/>
      <c r="AMJ84" s="0"/>
    </row>
    <row r="85" s="100" customFormat="true" ht="12.8" hidden="false" customHeight="false" outlineLevel="0" collapsed="false">
      <c r="A85" s="88"/>
      <c r="B85" s="89"/>
      <c r="C85" s="119"/>
      <c r="D85" s="103" t="s">
        <v>158</v>
      </c>
      <c r="E85" s="129" t="s">
        <v>28</v>
      </c>
      <c r="F85" s="93"/>
      <c r="G85" s="101" t="n">
        <v>137624</v>
      </c>
      <c r="H85" s="101" t="s">
        <v>87</v>
      </c>
      <c r="I85" s="101" t="n">
        <f aca="false">G85</f>
        <v>137624</v>
      </c>
      <c r="J85" s="96"/>
      <c r="K85" s="98" t="n">
        <v>137624</v>
      </c>
      <c r="L85" s="95" t="s">
        <v>87</v>
      </c>
      <c r="M85" s="98" t="n">
        <v>137624</v>
      </c>
      <c r="N85" s="99"/>
      <c r="O85" s="98" t="n">
        <v>137624</v>
      </c>
      <c r="P85" s="95" t="s">
        <v>87</v>
      </c>
      <c r="Q85" s="98" t="n">
        <v>137624</v>
      </c>
      <c r="AMH85" s="0"/>
      <c r="AMI85" s="0"/>
      <c r="AMJ85" s="0"/>
    </row>
    <row r="86" s="100" customFormat="true" ht="12.8" hidden="false" customHeight="false" outlineLevel="0" collapsed="false">
      <c r="A86" s="88"/>
      <c r="B86" s="89"/>
      <c r="C86" s="119"/>
      <c r="D86" s="103" t="s">
        <v>159</v>
      </c>
      <c r="E86" s="129" t="s">
        <v>28</v>
      </c>
      <c r="F86" s="93"/>
      <c r="G86" s="101" t="n">
        <v>190100</v>
      </c>
      <c r="H86" s="101" t="s">
        <v>87</v>
      </c>
      <c r="I86" s="101" t="n">
        <f aca="false">G86</f>
        <v>190100</v>
      </c>
      <c r="J86" s="96"/>
      <c r="K86" s="101" t="n">
        <v>190100</v>
      </c>
      <c r="L86" s="95" t="s">
        <v>87</v>
      </c>
      <c r="M86" s="98" t="n">
        <v>192200</v>
      </c>
      <c r="N86" s="99"/>
      <c r="O86" s="101" t="n">
        <v>190100</v>
      </c>
      <c r="P86" s="95" t="s">
        <v>87</v>
      </c>
      <c r="Q86" s="98" t="n">
        <v>192200</v>
      </c>
      <c r="AMH86" s="0"/>
      <c r="AMI86" s="0"/>
      <c r="AMJ86" s="0"/>
    </row>
    <row r="87" s="100" customFormat="true" ht="12.8" hidden="false" customHeight="false" outlineLevel="0" collapsed="false">
      <c r="A87" s="88"/>
      <c r="B87" s="89"/>
      <c r="C87" s="119"/>
      <c r="D87" s="107" t="s">
        <v>160</v>
      </c>
      <c r="E87" s="129" t="s">
        <v>28</v>
      </c>
      <c r="F87" s="130"/>
      <c r="G87" s="101" t="n">
        <v>38000</v>
      </c>
      <c r="H87" s="101" t="s">
        <v>87</v>
      </c>
      <c r="I87" s="101" t="n">
        <f aca="false">G87</f>
        <v>38000</v>
      </c>
      <c r="J87" s="131"/>
      <c r="K87" s="98" t="n">
        <v>38000</v>
      </c>
      <c r="L87" s="95" t="s">
        <v>87</v>
      </c>
      <c r="M87" s="98" t="n">
        <v>38000</v>
      </c>
      <c r="N87" s="99"/>
      <c r="O87" s="98" t="n">
        <v>38000</v>
      </c>
      <c r="P87" s="95" t="s">
        <v>87</v>
      </c>
      <c r="Q87" s="98" t="n">
        <v>38000</v>
      </c>
      <c r="AMH87" s="0"/>
      <c r="AMI87" s="0"/>
      <c r="AMJ87" s="0"/>
    </row>
    <row r="88" s="100" customFormat="true" ht="12.8" hidden="false" customHeight="false" outlineLevel="0" collapsed="false">
      <c r="A88" s="88"/>
      <c r="B88" s="89"/>
      <c r="C88" s="119"/>
      <c r="D88" s="107" t="s">
        <v>161</v>
      </c>
      <c r="E88" s="129" t="s">
        <v>28</v>
      </c>
      <c r="F88" s="130"/>
      <c r="G88" s="101" t="n">
        <v>2000</v>
      </c>
      <c r="H88" s="101" t="s">
        <v>87</v>
      </c>
      <c r="I88" s="101" t="n">
        <f aca="false">G88</f>
        <v>2000</v>
      </c>
      <c r="J88" s="131"/>
      <c r="K88" s="98" t="n">
        <v>2000</v>
      </c>
      <c r="L88" s="95" t="s">
        <v>87</v>
      </c>
      <c r="M88" s="98" t="n">
        <v>2000</v>
      </c>
      <c r="N88" s="99"/>
      <c r="O88" s="98" t="n">
        <v>2000</v>
      </c>
      <c r="P88" s="95" t="s">
        <v>87</v>
      </c>
      <c r="Q88" s="98" t="n">
        <v>2000</v>
      </c>
      <c r="AMH88" s="0"/>
      <c r="AMI88" s="0"/>
      <c r="AMJ88" s="0"/>
    </row>
    <row r="89" s="100" customFormat="true" ht="12.8" hidden="false" customHeight="false" outlineLevel="0" collapsed="false">
      <c r="A89" s="88"/>
      <c r="B89" s="89"/>
      <c r="C89" s="119"/>
      <c r="D89" s="107" t="s">
        <v>162</v>
      </c>
      <c r="E89" s="129" t="s">
        <v>28</v>
      </c>
      <c r="F89" s="93"/>
      <c r="G89" s="101" t="n">
        <v>436981</v>
      </c>
      <c r="H89" s="101" t="s">
        <v>87</v>
      </c>
      <c r="I89" s="101" t="n">
        <f aca="false">G89</f>
        <v>436981</v>
      </c>
      <c r="J89" s="96"/>
      <c r="K89" s="98" t="n">
        <v>436981</v>
      </c>
      <c r="L89" s="95" t="s">
        <v>87</v>
      </c>
      <c r="M89" s="98" t="n">
        <v>436981</v>
      </c>
      <c r="N89" s="99"/>
      <c r="O89" s="98" t="n">
        <v>436981</v>
      </c>
      <c r="P89" s="95" t="s">
        <v>87</v>
      </c>
      <c r="Q89" s="98" t="n">
        <v>436981</v>
      </c>
      <c r="AMH89" s="0"/>
      <c r="AMI89" s="0"/>
      <c r="AMJ89" s="0"/>
    </row>
    <row r="90" s="100" customFormat="true" ht="12.8" hidden="false" customHeight="false" outlineLevel="0" collapsed="false">
      <c r="A90" s="88"/>
      <c r="B90" s="89"/>
      <c r="C90" s="119"/>
      <c r="D90" s="107" t="s">
        <v>163</v>
      </c>
      <c r="E90" s="129" t="s">
        <v>28</v>
      </c>
      <c r="F90" s="93"/>
      <c r="G90" s="101" t="n">
        <v>80000</v>
      </c>
      <c r="H90" s="101" t="s">
        <v>87</v>
      </c>
      <c r="I90" s="101" t="n">
        <f aca="false">G90</f>
        <v>80000</v>
      </c>
      <c r="J90" s="96"/>
      <c r="K90" s="98" t="n">
        <v>80000</v>
      </c>
      <c r="L90" s="95" t="s">
        <v>87</v>
      </c>
      <c r="M90" s="98" t="n">
        <v>80000</v>
      </c>
      <c r="N90" s="99"/>
      <c r="O90" s="98" t="n">
        <v>80000</v>
      </c>
      <c r="P90" s="95" t="s">
        <v>87</v>
      </c>
      <c r="Q90" s="98" t="n">
        <v>80000</v>
      </c>
      <c r="AMH90" s="0"/>
      <c r="AMI90" s="0"/>
      <c r="AMJ90" s="0"/>
    </row>
    <row r="91" s="100" customFormat="true" ht="12.8" hidden="false" customHeight="false" outlineLevel="0" collapsed="false">
      <c r="A91" s="88"/>
      <c r="B91" s="89"/>
      <c r="C91" s="119"/>
      <c r="D91" s="107" t="s">
        <v>164</v>
      </c>
      <c r="E91" s="129" t="s">
        <v>28</v>
      </c>
      <c r="F91" s="93"/>
      <c r="G91" s="101" t="n">
        <v>9000</v>
      </c>
      <c r="H91" s="101" t="s">
        <v>87</v>
      </c>
      <c r="I91" s="101" t="n">
        <f aca="false">G91</f>
        <v>9000</v>
      </c>
      <c r="J91" s="96"/>
      <c r="K91" s="98" t="n">
        <v>9000</v>
      </c>
      <c r="L91" s="95" t="s">
        <v>87</v>
      </c>
      <c r="M91" s="98" t="n">
        <v>9000</v>
      </c>
      <c r="N91" s="99"/>
      <c r="O91" s="98" t="n">
        <v>9000</v>
      </c>
      <c r="P91" s="95" t="s">
        <v>87</v>
      </c>
      <c r="Q91" s="98" t="n">
        <v>9000</v>
      </c>
      <c r="AMH91" s="0"/>
      <c r="AMI91" s="0"/>
      <c r="AMJ91" s="0"/>
    </row>
    <row r="92" s="100" customFormat="true" ht="20.85" hidden="false" customHeight="false" outlineLevel="0" collapsed="false">
      <c r="A92" s="88"/>
      <c r="B92" s="89"/>
      <c r="C92" s="119"/>
      <c r="D92" s="132" t="s">
        <v>165</v>
      </c>
      <c r="E92" s="129" t="s">
        <v>28</v>
      </c>
      <c r="F92" s="93"/>
      <c r="G92" s="133" t="n">
        <v>35755.4352410297</v>
      </c>
      <c r="H92" s="101" t="s">
        <v>87</v>
      </c>
      <c r="I92" s="101" t="n">
        <f aca="false">G92</f>
        <v>35755.4352410297</v>
      </c>
      <c r="J92" s="96"/>
      <c r="K92" s="98" t="n">
        <v>35755.4352410297</v>
      </c>
      <c r="L92" s="95" t="s">
        <v>87</v>
      </c>
      <c r="M92" s="98" t="n">
        <v>35755.4352410297</v>
      </c>
      <c r="N92" s="99"/>
      <c r="O92" s="98" t="n">
        <v>35755.4352410297</v>
      </c>
      <c r="P92" s="95" t="s">
        <v>87</v>
      </c>
      <c r="Q92" s="98" t="n">
        <v>35755.4352410297</v>
      </c>
      <c r="AMH92" s="0"/>
      <c r="AMI92" s="0"/>
      <c r="AMJ92" s="0"/>
    </row>
    <row r="93" s="100" customFormat="true" ht="12.8" hidden="false" customHeight="false" outlineLevel="0" collapsed="false">
      <c r="A93" s="88"/>
      <c r="B93" s="89"/>
      <c r="C93" s="119"/>
      <c r="D93" s="108" t="s">
        <v>166</v>
      </c>
      <c r="E93" s="129" t="s">
        <v>28</v>
      </c>
      <c r="F93" s="93"/>
      <c r="G93" s="101" t="n">
        <v>21000</v>
      </c>
      <c r="H93" s="101" t="n">
        <f aca="false">(G93/100)*22</f>
        <v>4620</v>
      </c>
      <c r="I93" s="101" t="n">
        <f aca="false">G93+H93</f>
        <v>25620</v>
      </c>
      <c r="J93" s="96"/>
      <c r="K93" s="98" t="n">
        <v>21000</v>
      </c>
      <c r="L93" s="98" t="n">
        <v>4620</v>
      </c>
      <c r="M93" s="98" t="n">
        <v>25620</v>
      </c>
      <c r="N93" s="99"/>
      <c r="O93" s="98" t="n">
        <v>21000</v>
      </c>
      <c r="P93" s="98" t="n">
        <v>4620</v>
      </c>
      <c r="Q93" s="98" t="n">
        <v>25620</v>
      </c>
      <c r="AMH93" s="0"/>
      <c r="AMI93" s="0"/>
      <c r="AMJ93" s="0"/>
    </row>
    <row r="94" s="142" customFormat="true" ht="14.9" hidden="false" customHeight="true" outlineLevel="0" collapsed="false">
      <c r="A94" s="134"/>
      <c r="B94" s="87"/>
      <c r="C94" s="135"/>
      <c r="D94" s="136"/>
      <c r="E94" s="137"/>
      <c r="F94" s="93"/>
      <c r="G94" s="138"/>
      <c r="H94" s="139"/>
      <c r="I94" s="139"/>
      <c r="J94" s="140"/>
      <c r="K94" s="141"/>
      <c r="L94" s="141"/>
      <c r="M94" s="141"/>
      <c r="N94" s="118"/>
      <c r="O94" s="141"/>
      <c r="P94" s="141"/>
      <c r="Q94" s="141"/>
      <c r="AMH94" s="0"/>
      <c r="AMI94" s="0"/>
      <c r="AMJ94" s="0"/>
    </row>
    <row r="95" s="142" customFormat="true" ht="25.5" hidden="false" customHeight="true" outlineLevel="0" collapsed="false">
      <c r="A95" s="87"/>
      <c r="B95" s="87"/>
      <c r="C95" s="143"/>
      <c r="D95" s="144" t="s">
        <v>167</v>
      </c>
      <c r="E95" s="145"/>
      <c r="F95" s="93"/>
      <c r="G95" s="146" t="s">
        <v>79</v>
      </c>
      <c r="H95" s="146" t="s">
        <v>80</v>
      </c>
      <c r="I95" s="147" t="s">
        <v>81</v>
      </c>
      <c r="J95" s="140"/>
      <c r="K95" s="146" t="s">
        <v>79</v>
      </c>
      <c r="L95" s="146" t="s">
        <v>80</v>
      </c>
      <c r="M95" s="147" t="s">
        <v>81</v>
      </c>
      <c r="N95" s="118"/>
      <c r="O95" s="146" t="s">
        <v>79</v>
      </c>
      <c r="P95" s="146" t="s">
        <v>80</v>
      </c>
      <c r="Q95" s="147" t="s">
        <v>81</v>
      </c>
      <c r="AMH95" s="0"/>
      <c r="AMI95" s="0"/>
      <c r="AMJ95" s="0"/>
    </row>
    <row r="96" customFormat="false" ht="15.6" hidden="false" customHeight="true" outlineLevel="0" collapsed="false">
      <c r="D96" s="148" t="s">
        <v>168</v>
      </c>
      <c r="E96" s="149"/>
      <c r="F96" s="78"/>
      <c r="G96" s="150" t="n">
        <f aca="false">SUM(G4:G82)</f>
        <v>-1113861.9719396</v>
      </c>
      <c r="H96" s="150" t="n">
        <f aca="false">SUM(H4:H82)</f>
        <v>-106672.8938</v>
      </c>
      <c r="I96" s="150" t="n">
        <f aca="false">SUM(I4:I82)</f>
        <v>-1232554.38423524</v>
      </c>
      <c r="J96" s="151"/>
      <c r="K96" s="150" t="n">
        <f aca="false">SUM(K4:K82)</f>
        <v>-1179544.0419396</v>
      </c>
      <c r="L96" s="150" t="n">
        <f aca="false">SUM(L4:L82)</f>
        <v>-119900.1232</v>
      </c>
      <c r="M96" s="150" t="n">
        <f aca="false">SUM(M4:M82)</f>
        <v>-1312980.68363524</v>
      </c>
      <c r="N96" s="99"/>
      <c r="O96" s="150" t="n">
        <f aca="false">SUM(O4:O82)</f>
        <v>-1229529.2419396</v>
      </c>
      <c r="P96" s="150" t="n">
        <f aca="false">SUM(P4:P82)</f>
        <v>-114884.1232</v>
      </c>
      <c r="Q96" s="150" t="n">
        <f aca="false">SUM(Q4:Q82)</f>
        <v>-1243455.58363524</v>
      </c>
    </row>
    <row r="97" customFormat="false" ht="15.6" hidden="false" customHeight="true" outlineLevel="0" collapsed="false">
      <c r="D97" s="148" t="s">
        <v>169</v>
      </c>
      <c r="E97" s="149"/>
      <c r="F97" s="78"/>
      <c r="G97" s="150" t="n">
        <f aca="false">SUM(G83:G93)</f>
        <v>1303016.93524103</v>
      </c>
      <c r="H97" s="150" t="n">
        <f aca="false">SUM(H83:H93)</f>
        <v>4620</v>
      </c>
      <c r="I97" s="150" t="n">
        <f aca="false">SUM(I83:I93)</f>
        <v>1307636.93524103</v>
      </c>
      <c r="J97" s="151"/>
      <c r="K97" s="150" t="n">
        <f aca="false">SUM(K83:K93)</f>
        <v>1333016.93524103</v>
      </c>
      <c r="L97" s="150" t="n">
        <f aca="false">SUM(L83:L93)</f>
        <v>4620</v>
      </c>
      <c r="M97" s="150" t="n">
        <f aca="false">SUM(M83:M93)</f>
        <v>1339736.93524103</v>
      </c>
      <c r="N97" s="99"/>
      <c r="O97" s="150" t="n">
        <f aca="false">SUM(O83:O93)</f>
        <v>1353016.93524103</v>
      </c>
      <c r="P97" s="150" t="n">
        <f aca="false">SUM(P83:P93)</f>
        <v>4620</v>
      </c>
      <c r="Q97" s="150" t="n">
        <f aca="false">SUM(Q83:Q93)</f>
        <v>1359736.93524103</v>
      </c>
    </row>
    <row r="98" customFormat="false" ht="15.6" hidden="false" customHeight="true" outlineLevel="0" collapsed="false">
      <c r="D98" s="152" t="s">
        <v>170</v>
      </c>
      <c r="E98" s="153"/>
      <c r="F98" s="78"/>
      <c r="G98" s="154" t="n">
        <f aca="false">G97+G96</f>
        <v>189154.96330143</v>
      </c>
      <c r="H98" s="154"/>
      <c r="I98" s="154" t="n">
        <f aca="false">I97+I96</f>
        <v>75082.5510057854</v>
      </c>
      <c r="J98" s="151"/>
      <c r="K98" s="154" t="n">
        <f aca="false">K97+K96</f>
        <v>153472.893301429</v>
      </c>
      <c r="L98" s="154"/>
      <c r="M98" s="154" t="n">
        <f aca="false">M97+M96</f>
        <v>26756.2516057852</v>
      </c>
      <c r="N98" s="99"/>
      <c r="O98" s="154" t="n">
        <f aca="false">O97+O96</f>
        <v>123487.69330143</v>
      </c>
      <c r="P98" s="154"/>
      <c r="Q98" s="154" t="n">
        <f aca="false">Q97+Q96</f>
        <v>116281.351605785</v>
      </c>
    </row>
    <row r="99" s="142" customFormat="true" ht="11.15" hidden="false" customHeight="true" outlineLevel="0" collapsed="false">
      <c r="A99" s="155"/>
      <c r="B99" s="156"/>
      <c r="C99" s="157"/>
      <c r="D99" s="113"/>
      <c r="E99" s="155"/>
      <c r="F99" s="78"/>
      <c r="G99" s="158"/>
      <c r="H99" s="159"/>
      <c r="I99" s="159"/>
      <c r="J99" s="117"/>
      <c r="K99" s="116"/>
      <c r="L99" s="116"/>
      <c r="M99" s="116"/>
      <c r="N99" s="118"/>
      <c r="O99" s="116"/>
      <c r="P99" s="116"/>
      <c r="Q99" s="116"/>
      <c r="AMH99" s="0"/>
      <c r="AMI99" s="0"/>
      <c r="AMJ99" s="0"/>
    </row>
    <row r="100" s="100" customFormat="true" ht="12.8" hidden="false" customHeight="true" outlineLevel="0" collapsed="false">
      <c r="A100" s="160" t="s">
        <v>171</v>
      </c>
      <c r="B100" s="161" t="s">
        <v>172</v>
      </c>
      <c r="C100" s="119" t="s">
        <v>173</v>
      </c>
      <c r="D100" s="91" t="s">
        <v>85</v>
      </c>
      <c r="E100" s="92" t="s">
        <v>10</v>
      </c>
      <c r="F100" s="93"/>
      <c r="G100" s="101" t="n">
        <f aca="false">-('6 - Funzionigramma'!W25)</f>
        <v>-321341.5891044</v>
      </c>
      <c r="H100" s="162"/>
      <c r="I100" s="162" t="n">
        <f aca="false">G100+(G100/100)*3.9</f>
        <v>-333873.911079472</v>
      </c>
      <c r="J100" s="139"/>
      <c r="K100" s="162" t="n">
        <v>-321341.5891044</v>
      </c>
      <c r="L100" s="162" t="n">
        <v>0</v>
      </c>
      <c r="M100" s="162" t="n">
        <v>-333873.911079472</v>
      </c>
      <c r="N100" s="163"/>
      <c r="O100" s="162" t="n">
        <v>-321341.5891044</v>
      </c>
      <c r="P100" s="162" t="n">
        <v>0</v>
      </c>
      <c r="Q100" s="162" t="n">
        <v>-333873.911079472</v>
      </c>
      <c r="AMH100" s="0"/>
      <c r="AMI100" s="0"/>
      <c r="AMJ100" s="0"/>
    </row>
    <row r="101" s="100" customFormat="true" ht="12.8" hidden="false" customHeight="false" outlineLevel="0" collapsed="false">
      <c r="A101" s="160"/>
      <c r="B101" s="161"/>
      <c r="C101" s="119"/>
      <c r="D101" s="91" t="s">
        <v>174</v>
      </c>
      <c r="E101" s="92" t="s">
        <v>10</v>
      </c>
      <c r="F101" s="93"/>
      <c r="G101" s="101" t="n">
        <v>-7200</v>
      </c>
      <c r="H101" s="162"/>
      <c r="I101" s="162" t="n">
        <f aca="false">G101+(G101/100)*3.9</f>
        <v>-7480.8</v>
      </c>
      <c r="J101" s="139"/>
      <c r="K101" s="162" t="n">
        <v>-7200</v>
      </c>
      <c r="L101" s="162" t="n">
        <v>0</v>
      </c>
      <c r="M101" s="162" t="n">
        <v>-7480.8</v>
      </c>
      <c r="N101" s="163"/>
      <c r="O101" s="162" t="n">
        <v>-7200</v>
      </c>
      <c r="P101" s="162" t="n">
        <v>0</v>
      </c>
      <c r="Q101" s="162" t="n">
        <v>-7480.8</v>
      </c>
      <c r="AMH101" s="0"/>
      <c r="AMI101" s="0"/>
      <c r="AMJ101" s="0"/>
    </row>
    <row r="102" s="100" customFormat="true" ht="12.8" hidden="false" customHeight="false" outlineLevel="0" collapsed="false">
      <c r="A102" s="160"/>
      <c r="B102" s="161"/>
      <c r="C102" s="119"/>
      <c r="D102" s="91" t="s">
        <v>175</v>
      </c>
      <c r="E102" s="92" t="s">
        <v>10</v>
      </c>
      <c r="F102" s="93"/>
      <c r="G102" s="101" t="n">
        <v>-12458.88</v>
      </c>
      <c r="H102" s="162"/>
      <c r="I102" s="125" t="n">
        <f aca="false">G102+H102</f>
        <v>-12458.88</v>
      </c>
      <c r="J102" s="139"/>
      <c r="K102" s="162" t="n">
        <v>-12458.88</v>
      </c>
      <c r="L102" s="162" t="n">
        <v>0</v>
      </c>
      <c r="M102" s="162" t="n">
        <v>-12458.88</v>
      </c>
      <c r="N102" s="163"/>
      <c r="O102" s="162" t="n">
        <v>-12458.88</v>
      </c>
      <c r="P102" s="162" t="n">
        <v>0</v>
      </c>
      <c r="Q102" s="162" t="n">
        <v>-12458.88</v>
      </c>
      <c r="AMH102" s="0"/>
      <c r="AMI102" s="0"/>
      <c r="AMJ102" s="0"/>
    </row>
    <row r="103" s="100" customFormat="true" ht="20.85" hidden="false" customHeight="false" outlineLevel="0" collapsed="false">
      <c r="A103" s="160"/>
      <c r="B103" s="161"/>
      <c r="C103" s="119"/>
      <c r="D103" s="104" t="s">
        <v>176</v>
      </c>
      <c r="E103" s="164" t="s">
        <v>10</v>
      </c>
      <c r="F103" s="165"/>
      <c r="G103" s="101" t="n">
        <f aca="false">+'5 - Ammortamenti'!G15</f>
        <v>-36040</v>
      </c>
      <c r="H103" s="125" t="n">
        <v>0</v>
      </c>
      <c r="I103" s="125" t="n">
        <f aca="false">G103+H103</f>
        <v>-36040</v>
      </c>
      <c r="J103" s="166"/>
      <c r="K103" s="162" t="n">
        <v>-36040</v>
      </c>
      <c r="L103" s="162" t="n">
        <v>0</v>
      </c>
      <c r="M103" s="162" t="n">
        <v>-36040</v>
      </c>
      <c r="N103" s="163"/>
      <c r="O103" s="162" t="n">
        <v>-36040</v>
      </c>
      <c r="P103" s="162" t="n">
        <v>0</v>
      </c>
      <c r="Q103" s="162" t="n">
        <v>-36040</v>
      </c>
      <c r="AMH103" s="0"/>
      <c r="AMI103" s="0"/>
      <c r="AMJ103" s="0"/>
    </row>
    <row r="104" s="100" customFormat="true" ht="20.85" hidden="false" customHeight="false" outlineLevel="0" collapsed="false">
      <c r="A104" s="160"/>
      <c r="B104" s="161"/>
      <c r="C104" s="119"/>
      <c r="D104" s="104" t="s">
        <v>177</v>
      </c>
      <c r="E104" s="167" t="s">
        <v>10</v>
      </c>
      <c r="F104" s="165"/>
      <c r="G104" s="101" t="n">
        <f aca="false">+'5 - Ammortamenti'!G16</f>
        <v>-32398</v>
      </c>
      <c r="H104" s="101" t="n">
        <v>0</v>
      </c>
      <c r="I104" s="101" t="n">
        <f aca="false">G104+H104</f>
        <v>-32398</v>
      </c>
      <c r="J104" s="168"/>
      <c r="K104" s="95" t="n">
        <v>-32398</v>
      </c>
      <c r="L104" s="95" t="n">
        <v>0</v>
      </c>
      <c r="M104" s="95" t="n">
        <v>-32398</v>
      </c>
      <c r="N104" s="169"/>
      <c r="O104" s="95" t="n">
        <v>-32398</v>
      </c>
      <c r="P104" s="95" t="n">
        <v>0</v>
      </c>
      <c r="Q104" s="95" t="n">
        <v>-32398</v>
      </c>
      <c r="AMH104" s="0"/>
      <c r="AMI104" s="0"/>
      <c r="AMJ104" s="0"/>
    </row>
    <row r="105" s="100" customFormat="true" ht="20.85" hidden="false" customHeight="false" outlineLevel="0" collapsed="false">
      <c r="A105" s="160"/>
      <c r="B105" s="161"/>
      <c r="C105" s="119"/>
      <c r="D105" s="103" t="s">
        <v>178</v>
      </c>
      <c r="E105" s="129" t="s">
        <v>28</v>
      </c>
      <c r="F105" s="130"/>
      <c r="G105" s="101" t="n">
        <v>85999.3780334</v>
      </c>
      <c r="H105" s="101" t="n">
        <v>0</v>
      </c>
      <c r="I105" s="101" t="n">
        <f aca="false">G105</f>
        <v>85999.3780334</v>
      </c>
      <c r="J105" s="168"/>
      <c r="K105" s="95" t="n">
        <v>85999.3780334</v>
      </c>
      <c r="L105" s="95" t="n">
        <v>0</v>
      </c>
      <c r="M105" s="95" t="n">
        <v>85999.3780334</v>
      </c>
      <c r="N105" s="169"/>
      <c r="O105" s="95" t="n">
        <v>85999.3780334</v>
      </c>
      <c r="P105" s="95" t="n">
        <v>0</v>
      </c>
      <c r="Q105" s="95" t="n">
        <v>85999.3780334</v>
      </c>
      <c r="AMH105" s="0"/>
      <c r="AMI105" s="0"/>
      <c r="AMJ105" s="0"/>
    </row>
    <row r="106" s="100" customFormat="true" ht="20.85" hidden="false" customHeight="false" outlineLevel="0" collapsed="false">
      <c r="A106" s="160"/>
      <c r="B106" s="161"/>
      <c r="C106" s="119"/>
      <c r="D106" s="103" t="s">
        <v>179</v>
      </c>
      <c r="E106" s="129" t="s">
        <v>28</v>
      </c>
      <c r="F106" s="93"/>
      <c r="G106" s="101" t="n">
        <v>360943.562479472</v>
      </c>
      <c r="H106" s="101" t="n">
        <v>0</v>
      </c>
      <c r="I106" s="101" t="n">
        <f aca="false">G106</f>
        <v>360943.562479472</v>
      </c>
      <c r="J106" s="138"/>
      <c r="K106" s="95" t="n">
        <v>360943.562479472</v>
      </c>
      <c r="L106" s="95" t="n">
        <v>0</v>
      </c>
      <c r="M106" s="95" t="n">
        <v>360943.562479472</v>
      </c>
      <c r="N106" s="169"/>
      <c r="O106" s="95" t="n">
        <v>360943.562479472</v>
      </c>
      <c r="P106" s="95" t="n">
        <v>0</v>
      </c>
      <c r="Q106" s="95" t="n">
        <v>360943.562479472</v>
      </c>
      <c r="AMH106" s="0"/>
      <c r="AMI106" s="0"/>
      <c r="AMJ106" s="0"/>
    </row>
    <row r="107" s="100" customFormat="true" ht="12.8" hidden="false" customHeight="true" outlineLevel="0" collapsed="false">
      <c r="A107" s="160"/>
      <c r="B107" s="161"/>
      <c r="C107" s="106" t="s">
        <v>180</v>
      </c>
      <c r="D107" s="122" t="s">
        <v>181</v>
      </c>
      <c r="E107" s="170" t="s">
        <v>10</v>
      </c>
      <c r="F107" s="93"/>
      <c r="G107" s="101" t="n">
        <v>-31177</v>
      </c>
      <c r="H107" s="101"/>
      <c r="I107" s="101" t="n">
        <f aca="false">G107+(G107/100)*3.9</f>
        <v>-32392.903</v>
      </c>
      <c r="J107" s="138"/>
      <c r="K107" s="95" t="n">
        <v>-38971.25</v>
      </c>
      <c r="L107" s="95"/>
      <c r="M107" s="95" t="n">
        <v>-40491.12875</v>
      </c>
      <c r="N107" s="171"/>
      <c r="O107" s="95" t="n">
        <v>-46765.5</v>
      </c>
      <c r="P107" s="95" t="n">
        <v>0</v>
      </c>
      <c r="Q107" s="95" t="n">
        <v>-48589.3545</v>
      </c>
      <c r="AMH107" s="0"/>
      <c r="AMI107" s="0"/>
      <c r="AMJ107" s="0"/>
    </row>
    <row r="108" s="100" customFormat="true" ht="12.8" hidden="false" customHeight="false" outlineLevel="0" collapsed="false">
      <c r="A108" s="160"/>
      <c r="B108" s="161"/>
      <c r="C108" s="106"/>
      <c r="D108" s="122" t="s">
        <v>182</v>
      </c>
      <c r="E108" s="170" t="s">
        <v>10</v>
      </c>
      <c r="F108" s="93"/>
      <c r="G108" s="101" t="n">
        <v>-7133</v>
      </c>
      <c r="H108" s="101"/>
      <c r="I108" s="101" t="n">
        <f aca="false">G108+(G108/100)*3.9</f>
        <v>-7411.187</v>
      </c>
      <c r="J108" s="138"/>
      <c r="K108" s="95" t="n">
        <v>-8916.25</v>
      </c>
      <c r="L108" s="95"/>
      <c r="M108" s="95" t="n">
        <v>-9263.98375</v>
      </c>
      <c r="N108" s="169"/>
      <c r="O108" s="95" t="n">
        <v>-10699.5</v>
      </c>
      <c r="P108" s="95" t="n">
        <v>0</v>
      </c>
      <c r="Q108" s="95" t="n">
        <v>-11116.7805</v>
      </c>
      <c r="AMH108" s="0"/>
      <c r="AMI108" s="0"/>
      <c r="AMJ108" s="0"/>
    </row>
    <row r="109" s="100" customFormat="true" ht="20.85" hidden="false" customHeight="false" outlineLevel="0" collapsed="false">
      <c r="A109" s="160"/>
      <c r="B109" s="161"/>
      <c r="C109" s="106"/>
      <c r="D109" s="122" t="s">
        <v>183</v>
      </c>
      <c r="E109" s="129" t="s">
        <v>28</v>
      </c>
      <c r="F109" s="93"/>
      <c r="G109" s="101" t="n">
        <v>3980</v>
      </c>
      <c r="H109" s="101" t="n">
        <v>0</v>
      </c>
      <c r="I109" s="101" t="n">
        <f aca="false">G109</f>
        <v>3980</v>
      </c>
      <c r="J109" s="138"/>
      <c r="K109" s="95" t="n">
        <v>4975</v>
      </c>
      <c r="L109" s="95" t="n">
        <v>0</v>
      </c>
      <c r="M109" s="95" t="n">
        <v>4975</v>
      </c>
      <c r="N109" s="169"/>
      <c r="O109" s="95" t="n">
        <v>5970</v>
      </c>
      <c r="P109" s="95" t="n">
        <v>0</v>
      </c>
      <c r="Q109" s="95" t="n">
        <v>5970</v>
      </c>
      <c r="AMH109" s="0"/>
      <c r="AMI109" s="0"/>
      <c r="AMJ109" s="0"/>
    </row>
    <row r="110" s="100" customFormat="true" ht="12.8" hidden="false" customHeight="false" outlineLevel="0" collapsed="false">
      <c r="A110" s="160"/>
      <c r="B110" s="161"/>
      <c r="C110" s="106"/>
      <c r="D110" s="122" t="s">
        <v>184</v>
      </c>
      <c r="E110" s="129" t="s">
        <v>28</v>
      </c>
      <c r="F110" s="93"/>
      <c r="G110" s="101" t="n">
        <v>39804</v>
      </c>
      <c r="H110" s="101" t="n">
        <v>0</v>
      </c>
      <c r="I110" s="101" t="n">
        <f aca="false">G110</f>
        <v>39804</v>
      </c>
      <c r="J110" s="138"/>
      <c r="K110" s="95" t="n">
        <v>49755</v>
      </c>
      <c r="L110" s="95" t="n">
        <v>0</v>
      </c>
      <c r="M110" s="95" t="n">
        <v>49755</v>
      </c>
      <c r="N110" s="169"/>
      <c r="O110" s="95" t="n">
        <v>59706</v>
      </c>
      <c r="P110" s="95" t="n">
        <v>0</v>
      </c>
      <c r="Q110" s="95" t="n">
        <v>59706</v>
      </c>
      <c r="AMH110" s="0"/>
      <c r="AMI110" s="0"/>
      <c r="AMJ110" s="0"/>
    </row>
    <row r="111" s="100" customFormat="true" ht="12.8" hidden="false" customHeight="true" outlineLevel="0" collapsed="false">
      <c r="A111" s="160"/>
      <c r="B111" s="161"/>
      <c r="C111" s="106" t="s">
        <v>185</v>
      </c>
      <c r="D111" s="122" t="s">
        <v>181</v>
      </c>
      <c r="E111" s="170" t="s">
        <v>10</v>
      </c>
      <c r="F111" s="93"/>
      <c r="G111" s="101" t="n">
        <v>-25457</v>
      </c>
      <c r="H111" s="101"/>
      <c r="I111" s="101" t="n">
        <f aca="false">G111+(G111/100)*3.9</f>
        <v>-26449.823</v>
      </c>
      <c r="J111" s="138"/>
      <c r="K111" s="95" t="n">
        <v>-25457</v>
      </c>
      <c r="L111" s="95"/>
      <c r="M111" s="95" t="n">
        <v>-26449.823</v>
      </c>
      <c r="N111" s="169"/>
      <c r="O111" s="95" t="n">
        <v>-25457</v>
      </c>
      <c r="P111" s="95" t="n">
        <v>0</v>
      </c>
      <c r="Q111" s="95" t="n">
        <v>-26449.823</v>
      </c>
      <c r="AMH111" s="0"/>
      <c r="AMI111" s="0"/>
      <c r="AMJ111" s="0"/>
    </row>
    <row r="112" s="100" customFormat="true" ht="12.8" hidden="false" customHeight="false" outlineLevel="0" collapsed="false">
      <c r="A112" s="160"/>
      <c r="B112" s="161"/>
      <c r="C112" s="106"/>
      <c r="D112" s="122" t="s">
        <v>182</v>
      </c>
      <c r="E112" s="170" t="s">
        <v>10</v>
      </c>
      <c r="F112" s="93"/>
      <c r="G112" s="101" t="n">
        <v>-3633</v>
      </c>
      <c r="H112" s="101"/>
      <c r="I112" s="101" t="n">
        <f aca="false">G112+(G112/100)*3.9</f>
        <v>-3774.687</v>
      </c>
      <c r="J112" s="138"/>
      <c r="K112" s="95" t="n">
        <v>-3633</v>
      </c>
      <c r="L112" s="95"/>
      <c r="M112" s="95" t="n">
        <v>-3774.687</v>
      </c>
      <c r="N112" s="169"/>
      <c r="O112" s="95" t="n">
        <v>-3633</v>
      </c>
      <c r="P112" s="95" t="n">
        <v>0</v>
      </c>
      <c r="Q112" s="95" t="n">
        <v>-3774.687</v>
      </c>
      <c r="AMH112" s="0"/>
      <c r="AMI112" s="0"/>
      <c r="AMJ112" s="0"/>
    </row>
    <row r="113" s="100" customFormat="true" ht="12.8" hidden="false" customHeight="false" outlineLevel="0" collapsed="false">
      <c r="A113" s="160"/>
      <c r="B113" s="161"/>
      <c r="C113" s="106"/>
      <c r="D113" s="122" t="s">
        <v>186</v>
      </c>
      <c r="E113" s="170" t="s">
        <v>10</v>
      </c>
      <c r="F113" s="93"/>
      <c r="G113" s="101" t="n">
        <v>-7000</v>
      </c>
      <c r="H113" s="101"/>
      <c r="I113" s="101" t="n">
        <f aca="false">G113+(G113/100)*3.9</f>
        <v>-7273</v>
      </c>
      <c r="J113" s="138"/>
      <c r="K113" s="95" t="n">
        <v>-7000</v>
      </c>
      <c r="L113" s="95"/>
      <c r="M113" s="95" t="n">
        <v>-7273</v>
      </c>
      <c r="N113" s="169"/>
      <c r="O113" s="95" t="n">
        <v>-7000</v>
      </c>
      <c r="P113" s="95" t="n">
        <v>0</v>
      </c>
      <c r="Q113" s="95" t="n">
        <v>-7273</v>
      </c>
      <c r="AMH113" s="0"/>
      <c r="AMI113" s="0"/>
      <c r="AMJ113" s="0"/>
    </row>
    <row r="114" s="100" customFormat="true" ht="12.8" hidden="false" customHeight="false" outlineLevel="0" collapsed="false">
      <c r="A114" s="160"/>
      <c r="B114" s="161"/>
      <c r="C114" s="106"/>
      <c r="D114" s="122" t="s">
        <v>187</v>
      </c>
      <c r="E114" s="170" t="s">
        <v>10</v>
      </c>
      <c r="F114" s="93"/>
      <c r="G114" s="101" t="n">
        <v>-2000</v>
      </c>
      <c r="H114" s="101" t="n">
        <f aca="false">(G114/100)*22</f>
        <v>-440</v>
      </c>
      <c r="I114" s="101" t="n">
        <f aca="false">G114+H114</f>
        <v>-2440</v>
      </c>
      <c r="J114" s="138"/>
      <c r="K114" s="95" t="n">
        <v>-2000</v>
      </c>
      <c r="L114" s="95" t="n">
        <v>-440</v>
      </c>
      <c r="M114" s="95" t="n">
        <v>-2440</v>
      </c>
      <c r="N114" s="169"/>
      <c r="O114" s="95" t="n">
        <v>-2000</v>
      </c>
      <c r="P114" s="95" t="n">
        <v>-440</v>
      </c>
      <c r="Q114" s="95" t="n">
        <v>-2440</v>
      </c>
      <c r="AMH114" s="0"/>
      <c r="AMI114" s="0"/>
      <c r="AMJ114" s="0"/>
    </row>
    <row r="115" s="100" customFormat="true" ht="20.85" hidden="false" customHeight="false" outlineLevel="0" collapsed="false">
      <c r="A115" s="160"/>
      <c r="B115" s="161"/>
      <c r="C115" s="106"/>
      <c r="D115" s="122" t="s">
        <v>188</v>
      </c>
      <c r="E115" s="129" t="s">
        <v>28</v>
      </c>
      <c r="F115" s="93"/>
      <c r="G115" s="101" t="n">
        <v>3545</v>
      </c>
      <c r="H115" s="101" t="n">
        <v>0</v>
      </c>
      <c r="I115" s="101" t="n">
        <f aca="false">G115</f>
        <v>3545</v>
      </c>
      <c r="J115" s="138"/>
      <c r="K115" s="95" t="n">
        <v>3545</v>
      </c>
      <c r="L115" s="95" t="n">
        <v>0</v>
      </c>
      <c r="M115" s="95" t="n">
        <v>3545</v>
      </c>
      <c r="N115" s="169"/>
      <c r="O115" s="95" t="n">
        <v>3545</v>
      </c>
      <c r="P115" s="95" t="n">
        <v>0</v>
      </c>
      <c r="Q115" s="95" t="n">
        <v>3545</v>
      </c>
      <c r="AMH115" s="0"/>
      <c r="AMI115" s="0"/>
      <c r="AMJ115" s="0"/>
    </row>
    <row r="116" s="100" customFormat="true" ht="20.85" hidden="false" customHeight="false" outlineLevel="0" collapsed="false">
      <c r="A116" s="160"/>
      <c r="B116" s="161"/>
      <c r="C116" s="106"/>
      <c r="D116" s="122" t="s">
        <v>189</v>
      </c>
      <c r="E116" s="129" t="s">
        <v>28</v>
      </c>
      <c r="F116" s="93"/>
      <c r="G116" s="101" t="n">
        <v>35450</v>
      </c>
      <c r="H116" s="101" t="n">
        <v>0</v>
      </c>
      <c r="I116" s="101" t="n">
        <f aca="false">G116</f>
        <v>35450</v>
      </c>
      <c r="J116" s="138"/>
      <c r="K116" s="95" t="n">
        <v>35450</v>
      </c>
      <c r="L116" s="95" t="n">
        <v>0</v>
      </c>
      <c r="M116" s="95" t="n">
        <v>35450</v>
      </c>
      <c r="N116" s="169"/>
      <c r="O116" s="95" t="n">
        <v>35450</v>
      </c>
      <c r="P116" s="95" t="n">
        <v>0</v>
      </c>
      <c r="Q116" s="95" t="n">
        <v>35450</v>
      </c>
      <c r="AMH116" s="0"/>
      <c r="AMI116" s="0"/>
      <c r="AMJ116" s="0"/>
    </row>
    <row r="117" s="100" customFormat="true" ht="12.8" hidden="false" customHeight="true" outlineLevel="0" collapsed="false">
      <c r="A117" s="160"/>
      <c r="B117" s="161"/>
      <c r="C117" s="106" t="s">
        <v>190</v>
      </c>
      <c r="D117" s="122" t="s">
        <v>191</v>
      </c>
      <c r="E117" s="170" t="s">
        <v>10</v>
      </c>
      <c r="F117" s="93"/>
      <c r="G117" s="101" t="n">
        <v>-1344</v>
      </c>
      <c r="H117" s="101"/>
      <c r="I117" s="101" t="n">
        <f aca="false">G117+(G117/100)*3.9</f>
        <v>-1396.416</v>
      </c>
      <c r="J117" s="138"/>
      <c r="K117" s="95" t="n">
        <v>-2016</v>
      </c>
      <c r="L117" s="95"/>
      <c r="M117" s="95" t="n">
        <v>-2094.624</v>
      </c>
      <c r="N117" s="171"/>
      <c r="O117" s="95" t="n">
        <v>-2688</v>
      </c>
      <c r="P117" s="95"/>
      <c r="Q117" s="95" t="n">
        <v>-2792.832</v>
      </c>
      <c r="AMH117" s="0"/>
      <c r="AMI117" s="0"/>
      <c r="AMJ117" s="0"/>
    </row>
    <row r="118" s="100" customFormat="true" ht="12.8" hidden="false" customHeight="false" outlineLevel="0" collapsed="false">
      <c r="A118" s="160"/>
      <c r="B118" s="161"/>
      <c r="C118" s="106"/>
      <c r="D118" s="122" t="s">
        <v>182</v>
      </c>
      <c r="E118" s="170" t="s">
        <v>10</v>
      </c>
      <c r="F118" s="93"/>
      <c r="G118" s="101" t="n">
        <v>-1816</v>
      </c>
      <c r="H118" s="101"/>
      <c r="I118" s="101" t="n">
        <f aca="false">G118+(G118/100)*3.9</f>
        <v>-1886.824</v>
      </c>
      <c r="J118" s="138"/>
      <c r="K118" s="95" t="n">
        <v>-2724</v>
      </c>
      <c r="L118" s="95"/>
      <c r="M118" s="95" t="n">
        <v>-2830.236</v>
      </c>
      <c r="N118" s="169"/>
      <c r="O118" s="95" t="n">
        <v>-3632</v>
      </c>
      <c r="P118" s="95"/>
      <c r="Q118" s="95" t="n">
        <v>-3773.648</v>
      </c>
      <c r="AMH118" s="0"/>
      <c r="AMI118" s="0"/>
      <c r="AMJ118" s="0"/>
    </row>
    <row r="119" s="100" customFormat="true" ht="20.85" hidden="false" customHeight="false" outlineLevel="0" collapsed="false">
      <c r="A119" s="160"/>
      <c r="B119" s="161"/>
      <c r="C119" s="106"/>
      <c r="D119" s="122" t="s">
        <v>192</v>
      </c>
      <c r="E119" s="129" t="s">
        <v>28</v>
      </c>
      <c r="F119" s="93"/>
      <c r="G119" s="101" t="n">
        <v>328</v>
      </c>
      <c r="H119" s="101" t="n">
        <f aca="false">(G119/100)*22</f>
        <v>72.16</v>
      </c>
      <c r="I119" s="101" t="n">
        <f aca="false">G119+H119</f>
        <v>400.16</v>
      </c>
      <c r="J119" s="138"/>
      <c r="K119" s="95" t="n">
        <v>492</v>
      </c>
      <c r="L119" s="95" t="n">
        <v>108.24</v>
      </c>
      <c r="M119" s="95" t="n">
        <v>600.24</v>
      </c>
      <c r="N119" s="169"/>
      <c r="O119" s="95" t="n">
        <v>656</v>
      </c>
      <c r="P119" s="95" t="n">
        <v>144.32</v>
      </c>
      <c r="Q119" s="95" t="n">
        <v>800.32</v>
      </c>
      <c r="AMH119" s="0"/>
      <c r="AMI119" s="0"/>
      <c r="AMJ119" s="0"/>
    </row>
    <row r="120" s="100" customFormat="true" ht="12.8" hidden="false" customHeight="false" outlineLevel="0" collapsed="false">
      <c r="A120" s="160"/>
      <c r="B120" s="161"/>
      <c r="C120" s="106"/>
      <c r="D120" s="122" t="s">
        <v>193</v>
      </c>
      <c r="E120" s="129" t="s">
        <v>28</v>
      </c>
      <c r="F120" s="93"/>
      <c r="G120" s="101" t="n">
        <v>3283</v>
      </c>
      <c r="H120" s="101" t="n">
        <f aca="false">(G120/100)*22</f>
        <v>722.26</v>
      </c>
      <c r="I120" s="101" t="n">
        <f aca="false">G120+H120</f>
        <v>4005.26</v>
      </c>
      <c r="J120" s="138"/>
      <c r="K120" s="95" t="n">
        <v>4924.5</v>
      </c>
      <c r="L120" s="95" t="n">
        <v>1083.39</v>
      </c>
      <c r="M120" s="95" t="n">
        <v>6007.89</v>
      </c>
      <c r="N120" s="169"/>
      <c r="O120" s="95" t="n">
        <v>6566</v>
      </c>
      <c r="P120" s="95" t="n">
        <v>1444.52</v>
      </c>
      <c r="Q120" s="95" t="n">
        <v>8010.52</v>
      </c>
      <c r="AMH120" s="0"/>
      <c r="AMI120" s="0"/>
      <c r="AMJ120" s="0"/>
    </row>
    <row r="121" s="100" customFormat="true" ht="12.8" hidden="false" customHeight="true" outlineLevel="0" collapsed="false">
      <c r="A121" s="160"/>
      <c r="B121" s="161"/>
      <c r="C121" s="106" t="s">
        <v>194</v>
      </c>
      <c r="D121" s="122" t="s">
        <v>195</v>
      </c>
      <c r="E121" s="170" t="s">
        <v>10</v>
      </c>
      <c r="F121" s="93"/>
      <c r="G121" s="101" t="n">
        <v>-8086</v>
      </c>
      <c r="H121" s="101"/>
      <c r="I121" s="101" t="n">
        <f aca="false">G121+(G121/100)*3.9</f>
        <v>-8401.354</v>
      </c>
      <c r="J121" s="138"/>
      <c r="K121" s="95" t="n">
        <v>-8894.6</v>
      </c>
      <c r="L121" s="95"/>
      <c r="M121" s="95" t="n">
        <v>-9241.4894</v>
      </c>
      <c r="N121" s="171"/>
      <c r="O121" s="95" t="n">
        <v>-9703.2</v>
      </c>
      <c r="P121" s="95"/>
      <c r="Q121" s="95" t="n">
        <v>-10081.6248</v>
      </c>
      <c r="AMH121" s="0"/>
      <c r="AMI121" s="0"/>
      <c r="AMJ121" s="0"/>
    </row>
    <row r="122" s="100" customFormat="true" ht="12.8" hidden="false" customHeight="false" outlineLevel="0" collapsed="false">
      <c r="A122" s="160"/>
      <c r="B122" s="161"/>
      <c r="C122" s="106"/>
      <c r="D122" s="122" t="s">
        <v>182</v>
      </c>
      <c r="E122" s="170" t="s">
        <v>10</v>
      </c>
      <c r="F122" s="93"/>
      <c r="G122" s="101" t="n">
        <v>-18163</v>
      </c>
      <c r="H122" s="101"/>
      <c r="I122" s="101" t="n">
        <f aca="false">G122+(G122/100)*3.9</f>
        <v>-18871.357</v>
      </c>
      <c r="J122" s="138"/>
      <c r="K122" s="95" t="n">
        <v>-19979.3</v>
      </c>
      <c r="L122" s="95"/>
      <c r="M122" s="95" t="n">
        <v>-20758.4927</v>
      </c>
      <c r="N122" s="169"/>
      <c r="O122" s="95" t="n">
        <v>-21795.6</v>
      </c>
      <c r="P122" s="95"/>
      <c r="Q122" s="95" t="n">
        <v>-22645.6284</v>
      </c>
      <c r="AMH122" s="0"/>
      <c r="AMI122" s="0"/>
      <c r="AMJ122" s="0"/>
    </row>
    <row r="123" s="100" customFormat="true" ht="12.8" hidden="false" customHeight="false" outlineLevel="0" collapsed="false">
      <c r="A123" s="160"/>
      <c r="B123" s="161"/>
      <c r="C123" s="106"/>
      <c r="D123" s="122" t="s">
        <v>187</v>
      </c>
      <c r="E123" s="170" t="s">
        <v>10</v>
      </c>
      <c r="F123" s="93"/>
      <c r="G123" s="101" t="n">
        <v>-2500</v>
      </c>
      <c r="H123" s="101" t="n">
        <f aca="false">(G123/100)*22</f>
        <v>-550</v>
      </c>
      <c r="I123" s="101" t="n">
        <f aca="false">G123+H123</f>
        <v>-3050</v>
      </c>
      <c r="J123" s="138"/>
      <c r="K123" s="120" t="n">
        <v>-15000</v>
      </c>
      <c r="L123" s="95" t="n">
        <f aca="false">(K123/100)*22</f>
        <v>-3300</v>
      </c>
      <c r="M123" s="95" t="n">
        <f aca="false">K123+L123</f>
        <v>-18300</v>
      </c>
      <c r="N123" s="169"/>
      <c r="O123" s="95" t="n">
        <v>-3000</v>
      </c>
      <c r="P123" s="95" t="n">
        <v>-660</v>
      </c>
      <c r="Q123" s="95" t="n">
        <v>-3660</v>
      </c>
      <c r="AMH123" s="0"/>
      <c r="AMI123" s="0"/>
      <c r="AMJ123" s="0"/>
    </row>
    <row r="124" s="100" customFormat="true" ht="20.85" hidden="false" customHeight="false" outlineLevel="0" collapsed="false">
      <c r="A124" s="160"/>
      <c r="B124" s="161"/>
      <c r="C124" s="106"/>
      <c r="D124" s="122" t="s">
        <v>196</v>
      </c>
      <c r="E124" s="170" t="s">
        <v>10</v>
      </c>
      <c r="F124" s="93"/>
      <c r="G124" s="101" t="n">
        <v>-18475</v>
      </c>
      <c r="H124" s="101" t="n">
        <f aca="false">(G124/100)*22</f>
        <v>-4064.5</v>
      </c>
      <c r="I124" s="101" t="n">
        <f aca="false">G124+H124</f>
        <v>-22539.5</v>
      </c>
      <c r="J124" s="138"/>
      <c r="K124" s="95" t="n">
        <v>-20322.5</v>
      </c>
      <c r="L124" s="95" t="n">
        <v>-4470.95</v>
      </c>
      <c r="M124" s="95" t="n">
        <v>-24793.45</v>
      </c>
      <c r="N124" s="169"/>
      <c r="O124" s="95" t="n">
        <v>-22170</v>
      </c>
      <c r="P124" s="95" t="n">
        <v>-4877.4</v>
      </c>
      <c r="Q124" s="95" t="n">
        <v>-27047.4</v>
      </c>
      <c r="AMH124" s="0"/>
      <c r="AMI124" s="0"/>
      <c r="AMJ124" s="0"/>
    </row>
    <row r="125" s="100" customFormat="true" ht="12.8" hidden="false" customHeight="false" outlineLevel="0" collapsed="false">
      <c r="A125" s="160"/>
      <c r="B125" s="161"/>
      <c r="C125" s="106"/>
      <c r="D125" s="122" t="s">
        <v>197</v>
      </c>
      <c r="E125" s="129" t="s">
        <v>28</v>
      </c>
      <c r="F125" s="93"/>
      <c r="G125" s="101" t="n">
        <v>46230</v>
      </c>
      <c r="H125" s="101" t="n">
        <f aca="false">(G125/100)*22</f>
        <v>10170.6</v>
      </c>
      <c r="I125" s="101" t="n">
        <f aca="false">G125+H125</f>
        <v>56400.6</v>
      </c>
      <c r="J125" s="138"/>
      <c r="K125" s="95" t="n">
        <v>60099</v>
      </c>
      <c r="L125" s="95" t="n">
        <v>13221.78</v>
      </c>
      <c r="M125" s="95" t="n">
        <v>73320.78</v>
      </c>
      <c r="N125" s="169"/>
      <c r="O125" s="95" t="n">
        <v>64722</v>
      </c>
      <c r="P125" s="95" t="n">
        <v>14238.84</v>
      </c>
      <c r="Q125" s="95" t="n">
        <v>78960.84</v>
      </c>
      <c r="AMH125" s="0"/>
      <c r="AMI125" s="0"/>
      <c r="AMJ125" s="0"/>
    </row>
    <row r="126" s="100" customFormat="true" ht="12.6" hidden="false" customHeight="true" outlineLevel="0" collapsed="false">
      <c r="A126" s="172"/>
      <c r="B126" s="173"/>
      <c r="C126" s="174"/>
      <c r="D126" s="175"/>
      <c r="E126" s="137"/>
      <c r="F126" s="93"/>
      <c r="G126" s="138"/>
      <c r="H126" s="176"/>
      <c r="I126" s="139"/>
      <c r="J126" s="141"/>
      <c r="K126" s="177"/>
      <c r="L126" s="177"/>
      <c r="M126" s="177"/>
      <c r="N126" s="118"/>
      <c r="O126" s="177"/>
      <c r="P126" s="177"/>
      <c r="Q126" s="177"/>
      <c r="AMH126" s="0"/>
      <c r="AMI126" s="0"/>
      <c r="AMJ126" s="0"/>
    </row>
    <row r="127" s="100" customFormat="true" ht="30.6" hidden="false" customHeight="true" outlineLevel="0" collapsed="false">
      <c r="A127" s="172"/>
      <c r="B127" s="173"/>
      <c r="C127" s="178"/>
      <c r="D127" s="144" t="s">
        <v>198</v>
      </c>
      <c r="E127" s="145"/>
      <c r="F127" s="93"/>
      <c r="G127" s="146" t="s">
        <v>79</v>
      </c>
      <c r="H127" s="146" t="s">
        <v>80</v>
      </c>
      <c r="I127" s="147" t="s">
        <v>81</v>
      </c>
      <c r="J127" s="141"/>
      <c r="K127" s="146" t="s">
        <v>79</v>
      </c>
      <c r="L127" s="146" t="s">
        <v>80</v>
      </c>
      <c r="M127" s="147" t="s">
        <v>81</v>
      </c>
      <c r="N127" s="118"/>
      <c r="O127" s="146" t="s">
        <v>79</v>
      </c>
      <c r="P127" s="146" t="s">
        <v>80</v>
      </c>
      <c r="Q127" s="147" t="s">
        <v>81</v>
      </c>
      <c r="AMH127" s="0"/>
      <c r="AMI127" s="0"/>
      <c r="AMJ127" s="0"/>
    </row>
    <row r="128" s="100" customFormat="true" ht="19.35" hidden="false" customHeight="true" outlineLevel="0" collapsed="false">
      <c r="A128" s="172"/>
      <c r="B128" s="173"/>
      <c r="C128" s="179"/>
      <c r="D128" s="148" t="s">
        <v>168</v>
      </c>
      <c r="E128" s="149"/>
      <c r="F128" s="93"/>
      <c r="G128" s="150" t="n">
        <f aca="false">G100+G101+G102+G103+G104+G107+G108+G111+G112+G113+G114+G117+G118+G121+G122+G123+G124</f>
        <v>-536222.4691044</v>
      </c>
      <c r="H128" s="150" t="n">
        <f aca="false">H114+H123+H124</f>
        <v>-5054.5</v>
      </c>
      <c r="I128" s="150" t="n">
        <f aca="false">I100+I101+I102+I103+I104+I107+I108+I111+I112+I113+I114+I117+I118+I121+I122+I123+I124</f>
        <v>-558138.642079472</v>
      </c>
      <c r="J128" s="128"/>
      <c r="K128" s="150" t="n">
        <f aca="false">K100+K101+K102+K103+K104+K107+K108+K111+K112+K113+K114+K117+K118+K121+K122+K123+K124</f>
        <v>-564352.3691044</v>
      </c>
      <c r="L128" s="150" t="n">
        <f aca="false">L114+L123+L124</f>
        <v>-8210.95</v>
      </c>
      <c r="M128" s="150" t="n">
        <f aca="false">M100+M101+M102+M103+M104+M107+M108+M111+M112+M113+M114+M117+M118+M121+M122+M123+M124</f>
        <v>-589962.505679472</v>
      </c>
      <c r="N128" s="99"/>
      <c r="O128" s="150" t="n">
        <f aca="false">O100+O101+O102+O103+O104+O107+O108+O111+O112+O113+O114+O117+O118+O121+O122+O123+O124</f>
        <v>-567982.2691044</v>
      </c>
      <c r="P128" s="150" t="n">
        <f aca="false">P114+P123+P124</f>
        <v>-5977.4</v>
      </c>
      <c r="Q128" s="150" t="n">
        <f aca="false">Q100+Q101+Q102+Q103+Q104+Q107+Q108+Q111+Q112+Q113+Q114+Q117+Q118+Q121+Q122+Q123+Q124</f>
        <v>-591896.369279472</v>
      </c>
      <c r="S128" s="180"/>
      <c r="T128" s="180"/>
      <c r="AMH128" s="0"/>
      <c r="AMI128" s="0"/>
      <c r="AMJ128" s="0"/>
    </row>
    <row r="129" s="100" customFormat="true" ht="16.35" hidden="false" customHeight="true" outlineLevel="0" collapsed="false">
      <c r="A129" s="172"/>
      <c r="B129" s="173"/>
      <c r="C129" s="178"/>
      <c r="D129" s="148" t="s">
        <v>169</v>
      </c>
      <c r="E129" s="149"/>
      <c r="F129" s="93"/>
      <c r="G129" s="150" t="n">
        <f aca="false">G105+G106+G109+G110+G115+G116+G119+G120+G125</f>
        <v>579562.940512872</v>
      </c>
      <c r="H129" s="150" t="n">
        <f aca="false">H119+H120+H125</f>
        <v>10965.02</v>
      </c>
      <c r="I129" s="150" t="n">
        <f aca="false">I105+I106+I109+I110+I115+I116+I119+I120+I125</f>
        <v>590527.960512872</v>
      </c>
      <c r="J129" s="128"/>
      <c r="K129" s="150" t="n">
        <f aca="false">K105+K106+K109+K110+K115+K116+K119+K120+K125</f>
        <v>606183.440512872</v>
      </c>
      <c r="L129" s="150" t="n">
        <f aca="false">L119+L120+L125</f>
        <v>14413.41</v>
      </c>
      <c r="M129" s="150" t="n">
        <f aca="false">M105+M106+M109+M110+M115+M116+M119+M120+M125</f>
        <v>620596.850512872</v>
      </c>
      <c r="N129" s="99"/>
      <c r="O129" s="150" t="n">
        <f aca="false">O105+O106+O109+O110+O115+O116+O119+O120+O125</f>
        <v>623557.940512872</v>
      </c>
      <c r="P129" s="150" t="n">
        <f aca="false">P119+P120+P125</f>
        <v>15827.68</v>
      </c>
      <c r="Q129" s="150" t="n">
        <f aca="false">Q105+Q106+Q109+Q110+Q115+Q116+Q119+Q120+Q125</f>
        <v>639385.620512872</v>
      </c>
      <c r="S129" s="180"/>
      <c r="T129" s="180"/>
      <c r="AMH129" s="0"/>
      <c r="AMI129" s="0"/>
      <c r="AMJ129" s="0"/>
    </row>
    <row r="130" s="100" customFormat="true" ht="19.35" hidden="false" customHeight="true" outlineLevel="0" collapsed="false">
      <c r="A130" s="172"/>
      <c r="B130" s="173"/>
      <c r="C130" s="178"/>
      <c r="D130" s="148" t="s">
        <v>170</v>
      </c>
      <c r="E130" s="181"/>
      <c r="F130" s="93"/>
      <c r="G130" s="98" t="n">
        <f aca="false">G129+G128</f>
        <v>43340.4714084722</v>
      </c>
      <c r="H130" s="98"/>
      <c r="I130" s="98" t="n">
        <f aca="false">I129+I128</f>
        <v>32389.3184334006</v>
      </c>
      <c r="J130" s="128"/>
      <c r="K130" s="98" t="n">
        <f aca="false">K129+K128</f>
        <v>41831.071408472</v>
      </c>
      <c r="L130" s="98"/>
      <c r="M130" s="98" t="n">
        <f aca="false">M129+M128</f>
        <v>30634.3448334002</v>
      </c>
      <c r="N130" s="99"/>
      <c r="O130" s="98" t="n">
        <f aca="false">O129+O128</f>
        <v>55575.671408472</v>
      </c>
      <c r="P130" s="98"/>
      <c r="Q130" s="98" t="n">
        <f aca="false">Q129+Q128</f>
        <v>47489.2512334</v>
      </c>
      <c r="S130" s="182"/>
      <c r="T130" s="182"/>
      <c r="AMH130" s="0"/>
      <c r="AMI130" s="0"/>
      <c r="AMJ130" s="0"/>
    </row>
    <row r="131" s="100" customFormat="true" ht="9.15" hidden="false" customHeight="true" outlineLevel="0" collapsed="false">
      <c r="A131" s="155"/>
      <c r="B131" s="156"/>
      <c r="C131" s="157"/>
      <c r="D131" s="183"/>
      <c r="E131" s="183"/>
      <c r="F131" s="78"/>
      <c r="G131" s="184"/>
      <c r="H131" s="185"/>
      <c r="I131" s="185"/>
      <c r="J131" s="117"/>
      <c r="K131" s="116"/>
      <c r="L131" s="116"/>
      <c r="M131" s="116"/>
      <c r="N131" s="118"/>
      <c r="O131" s="116"/>
      <c r="P131" s="116"/>
      <c r="Q131" s="116"/>
      <c r="AMH131" s="0"/>
      <c r="AMI131" s="0"/>
      <c r="AMJ131" s="0"/>
    </row>
    <row r="132" s="142" customFormat="true" ht="20.05" hidden="false" customHeight="true" outlineLevel="0" collapsed="false">
      <c r="A132" s="76"/>
      <c r="C132" s="186"/>
      <c r="D132" s="85"/>
      <c r="E132" s="85"/>
      <c r="F132" s="78"/>
      <c r="G132" s="187"/>
      <c r="H132" s="187"/>
      <c r="I132" s="187"/>
      <c r="J132" s="117"/>
      <c r="K132" s="117"/>
      <c r="L132" s="117"/>
      <c r="M132" s="117"/>
      <c r="N132" s="118"/>
      <c r="O132" s="117"/>
      <c r="P132" s="117"/>
      <c r="Q132" s="117"/>
      <c r="AMH132" s="0"/>
      <c r="AMI132" s="0"/>
      <c r="AMJ132" s="0"/>
    </row>
    <row r="133" s="100" customFormat="true" ht="20.1" hidden="false" customHeight="true" outlineLevel="0" collapsed="false">
      <c r="A133" s="0"/>
      <c r="B133" s="172"/>
      <c r="C133" s="188" t="s">
        <v>56</v>
      </c>
      <c r="D133" s="189" t="s">
        <v>58</v>
      </c>
      <c r="E133" s="190"/>
      <c r="F133" s="93"/>
      <c r="G133" s="191"/>
      <c r="H133" s="192" t="n">
        <f aca="false">-'3 - BILANCIO_CEE_2022_2024'!B138</f>
        <v>-43340.2000473866</v>
      </c>
      <c r="I133" s="193"/>
      <c r="J133" s="194"/>
      <c r="K133" s="195"/>
      <c r="L133" s="192" t="n">
        <f aca="false">-'3 - BILANCIO_CEE_2022_2024'!G138</f>
        <v>-49909.4610716906</v>
      </c>
      <c r="M133" s="195"/>
      <c r="N133" s="163"/>
      <c r="O133" s="195"/>
      <c r="P133" s="192" t="n">
        <f aca="false">-'3 - BILANCIO_CEE_2022_2024'!K138</f>
        <v>-47960.2898564906</v>
      </c>
      <c r="Q133" s="177"/>
      <c r="AMH133" s="0"/>
      <c r="AMI133" s="0"/>
      <c r="AMJ133" s="0"/>
    </row>
    <row r="134" s="100" customFormat="true" ht="20.1" hidden="false" customHeight="true" outlineLevel="0" collapsed="false">
      <c r="A134" s="0"/>
      <c r="B134" s="172"/>
      <c r="C134" s="188"/>
      <c r="D134" s="189" t="s">
        <v>59</v>
      </c>
      <c r="E134" s="190"/>
      <c r="F134" s="93"/>
      <c r="G134" s="196"/>
      <c r="H134" s="192" t="n">
        <f aca="false">+H128*0.96+H96*0.96</f>
        <v>-107258.298048</v>
      </c>
      <c r="I134" s="193"/>
      <c r="J134" s="194"/>
      <c r="K134" s="195"/>
      <c r="L134" s="192" t="n">
        <f aca="false">+L128*0.96+L96*0.96</f>
        <v>-122986.630272</v>
      </c>
      <c r="M134" s="195"/>
      <c r="N134" s="163"/>
      <c r="O134" s="195"/>
      <c r="P134" s="192" t="n">
        <f aca="false">+P128*0.96+P96*0.96</f>
        <v>-116027.062272</v>
      </c>
      <c r="Q134" s="177"/>
      <c r="AMH134" s="0"/>
      <c r="AMI134" s="0"/>
      <c r="AMJ134" s="0"/>
    </row>
    <row r="135" s="100" customFormat="true" ht="20.1" hidden="false" customHeight="true" outlineLevel="0" collapsed="false">
      <c r="A135" s="0"/>
      <c r="B135" s="172"/>
      <c r="C135" s="188"/>
      <c r="D135" s="189" t="s">
        <v>60</v>
      </c>
      <c r="E135" s="190"/>
      <c r="F135" s="93"/>
      <c r="G135" s="191"/>
      <c r="H135" s="192" t="n">
        <f aca="false">+'5 - Ammortamenti'!N20*0.96</f>
        <v>-108903.168</v>
      </c>
      <c r="I135" s="193"/>
      <c r="J135" s="194"/>
      <c r="K135" s="195"/>
      <c r="L135" s="192" t="n">
        <f aca="false">+'5 - Ammortamenti'!N11*0.96</f>
        <v>-4195.2768</v>
      </c>
      <c r="M135" s="195"/>
      <c r="N135" s="163"/>
      <c r="O135" s="195"/>
      <c r="P135" s="192" t="n">
        <f aca="false">+'5 - Ammortamenti'!N12*0.96</f>
        <v>-3495.9936</v>
      </c>
      <c r="Q135" s="197"/>
      <c r="AMH135" s="0"/>
      <c r="AMI135" s="0"/>
      <c r="AMJ135" s="0"/>
    </row>
    <row r="136" s="100" customFormat="true" ht="20.1" hidden="false" customHeight="true" outlineLevel="0" collapsed="false">
      <c r="A136" s="0"/>
      <c r="B136" s="172"/>
      <c r="C136" s="188"/>
      <c r="D136" s="189" t="s">
        <v>61</v>
      </c>
      <c r="E136" s="190"/>
      <c r="F136" s="93"/>
      <c r="G136" s="191"/>
      <c r="H136" s="198" t="n">
        <f aca="false">-'5 - Ammortamenti'!M23</f>
        <v>32365</v>
      </c>
      <c r="I136" s="193"/>
      <c r="J136" s="194"/>
      <c r="K136" s="195"/>
      <c r="L136" s="198" t="n">
        <f aca="false">-'5 - Ammortamenti'!G11*0.1</f>
        <v>1986.4</v>
      </c>
      <c r="M136" s="195"/>
      <c r="N136" s="163"/>
      <c r="O136" s="195"/>
      <c r="P136" s="198" t="n">
        <f aca="false">-'5 - Ammortamenti'!G12*0.1</f>
        <v>1655.3</v>
      </c>
      <c r="Q136" s="197"/>
      <c r="AMH136" s="0"/>
      <c r="AMI136" s="0"/>
      <c r="AMJ136" s="0"/>
    </row>
    <row r="137" customFormat="false" ht="12.8" hidden="false" customHeight="false" outlineLevel="0" collapsed="false">
      <c r="C137" s="199"/>
      <c r="D137" s="200"/>
      <c r="G137" s="201"/>
      <c r="H137" s="197"/>
      <c r="I137" s="197"/>
      <c r="J137" s="202"/>
      <c r="K137" s="197"/>
      <c r="L137" s="197"/>
      <c r="M137" s="197"/>
      <c r="N137" s="118"/>
      <c r="O137" s="197"/>
      <c r="P137" s="197"/>
      <c r="Q137" s="197"/>
    </row>
    <row r="138" customFormat="false" ht="12.8" hidden="false" customHeight="false" outlineLevel="0" collapsed="false">
      <c r="C138" s="199"/>
      <c r="G138" s="203" t="s">
        <v>199</v>
      </c>
      <c r="H138" s="204" t="n">
        <f aca="false">+G129+G97</f>
        <v>1882579.8757539</v>
      </c>
      <c r="I138" s="205" t="n">
        <f aca="false">+H138+H136</f>
        <v>1914944.8757539</v>
      </c>
      <c r="J138" s="206"/>
      <c r="K138" s="207" t="s">
        <v>199</v>
      </c>
      <c r="L138" s="204" t="n">
        <f aca="false">+K129+K97</f>
        <v>1939200.3757539</v>
      </c>
      <c r="M138" s="205" t="n">
        <f aca="false">+L138+L136</f>
        <v>1941186.7757539</v>
      </c>
      <c r="N138" s="163"/>
      <c r="O138" s="207" t="s">
        <v>199</v>
      </c>
      <c r="P138" s="204" t="n">
        <f aca="false">+O129+O97</f>
        <v>1976574.8757539</v>
      </c>
      <c r="Q138" s="205" t="n">
        <f aca="false">+P138+P136</f>
        <v>1978230.1757539</v>
      </c>
    </row>
    <row r="139" customFormat="false" ht="12.8" hidden="false" customHeight="false" outlineLevel="0" collapsed="false">
      <c r="C139" s="199"/>
      <c r="G139" s="208" t="s">
        <v>200</v>
      </c>
      <c r="H139" s="209" t="n">
        <f aca="false">+G128+G96</f>
        <v>-1650084.441044</v>
      </c>
      <c r="I139" s="210" t="n">
        <f aca="false">+H139+H134+H135</f>
        <v>-1866245.907092</v>
      </c>
      <c r="J139" s="206"/>
      <c r="K139" s="211" t="s">
        <v>200</v>
      </c>
      <c r="L139" s="209" t="n">
        <f aca="false">+K128+K96</f>
        <v>-1743896.411044</v>
      </c>
      <c r="M139" s="210" t="n">
        <f aca="false">+L139+L134+L135</f>
        <v>-1871078.318116</v>
      </c>
      <c r="N139" s="163"/>
      <c r="O139" s="211" t="s">
        <v>200</v>
      </c>
      <c r="P139" s="209" t="n">
        <f aca="false">+O128+O96</f>
        <v>-1797511.511044</v>
      </c>
      <c r="Q139" s="210" t="n">
        <f aca="false">+P139+P134+P135</f>
        <v>-1917034.566916</v>
      </c>
    </row>
    <row r="140" customFormat="false" ht="12.8" hidden="false" customHeight="false" outlineLevel="0" collapsed="false">
      <c r="G140" s="208" t="s">
        <v>201</v>
      </c>
      <c r="H140" s="209" t="n">
        <f aca="false">+I138+I139</f>
        <v>48698.9686619015</v>
      </c>
      <c r="I140" s="212"/>
      <c r="J140" s="206"/>
      <c r="K140" s="213" t="s">
        <v>201</v>
      </c>
      <c r="L140" s="209" t="n">
        <f aca="false">+M138+M139</f>
        <v>70108.4576379012</v>
      </c>
      <c r="M140" s="212"/>
      <c r="N140" s="163"/>
      <c r="O140" s="213" t="s">
        <v>201</v>
      </c>
      <c r="P140" s="209" t="n">
        <f aca="false">+Q138+Q139</f>
        <v>61195.6088379021</v>
      </c>
      <c r="Q140" s="212"/>
    </row>
    <row r="141" customFormat="false" ht="12.8" hidden="false" customHeight="false" outlineLevel="0" collapsed="false">
      <c r="G141" s="214" t="s">
        <v>202</v>
      </c>
      <c r="H141" s="215" t="n">
        <f aca="false">+H140+H133</f>
        <v>5358.76861451495</v>
      </c>
      <c r="I141" s="216"/>
      <c r="J141" s="206"/>
      <c r="K141" s="217" t="s">
        <v>202</v>
      </c>
      <c r="L141" s="215" t="n">
        <f aca="false">+L140+L133</f>
        <v>20198.9965662106</v>
      </c>
      <c r="M141" s="216"/>
      <c r="N141" s="163"/>
      <c r="O141" s="217" t="s">
        <v>202</v>
      </c>
      <c r="P141" s="215" t="n">
        <f aca="false">+P140+P133</f>
        <v>13235.3189814115</v>
      </c>
      <c r="Q141" s="216"/>
    </row>
    <row r="142" customFormat="false" ht="12.8" hidden="false" customHeight="false" outlineLevel="0" collapsed="false">
      <c r="G142" s="201"/>
      <c r="H142" s="197"/>
      <c r="I142" s="197"/>
      <c r="J142" s="202"/>
      <c r="K142" s="197"/>
      <c r="L142" s="197"/>
      <c r="M142" s="197"/>
      <c r="N142" s="118"/>
      <c r="O142" s="197"/>
      <c r="P142" s="197"/>
      <c r="Q142" s="197"/>
    </row>
    <row r="143" customFormat="false" ht="12.8" hidden="false" customHeight="false" outlineLevel="0" collapsed="false">
      <c r="G143" s="201"/>
      <c r="H143" s="197"/>
      <c r="I143" s="197"/>
      <c r="J143" s="202"/>
      <c r="K143" s="197"/>
      <c r="L143" s="197"/>
      <c r="M143" s="197"/>
      <c r="N143" s="118"/>
      <c r="O143" s="197"/>
      <c r="P143" s="197"/>
      <c r="Q143" s="197"/>
    </row>
    <row r="144" customFormat="false" ht="12.8" hidden="false" customHeight="false" outlineLevel="0" collapsed="false">
      <c r="G144" s="201"/>
      <c r="H144" s="197" t="n">
        <f aca="false">+(H134+H135)</f>
        <v>-216161.466048</v>
      </c>
      <c r="I144" s="197"/>
      <c r="J144" s="202"/>
      <c r="K144" s="197"/>
      <c r="L144" s="197" t="n">
        <f aca="false">+(L134+L135)</f>
        <v>-127181.907072</v>
      </c>
      <c r="M144" s="197"/>
      <c r="N144" s="118"/>
      <c r="O144" s="197"/>
      <c r="P144" s="197" t="n">
        <f aca="false">+(P134+P135)</f>
        <v>-119523.055872</v>
      </c>
      <c r="Q144" s="197"/>
    </row>
    <row r="145" customFormat="false" ht="12.8" hidden="false" customHeight="false" outlineLevel="0" collapsed="false">
      <c r="G145" s="201"/>
      <c r="H145" s="218" t="n">
        <f aca="false">+H144/96*4</f>
        <v>-9006.727752</v>
      </c>
      <c r="I145" s="197"/>
      <c r="J145" s="202"/>
      <c r="K145" s="197"/>
      <c r="L145" s="218" t="n">
        <f aca="false">+L144/96*4</f>
        <v>-5299.246128</v>
      </c>
      <c r="M145" s="197"/>
      <c r="N145" s="118"/>
      <c r="O145" s="197"/>
      <c r="P145" s="218" t="n">
        <f aca="false">+P144/96*4</f>
        <v>-4980.127328</v>
      </c>
      <c r="Q145" s="197"/>
    </row>
    <row r="146" customFormat="false" ht="12.8" hidden="false" customHeight="false" outlineLevel="0" collapsed="false">
      <c r="G146" s="201"/>
      <c r="H146" s="197"/>
      <c r="I146" s="197"/>
      <c r="J146" s="202"/>
      <c r="K146" s="197"/>
      <c r="L146" s="197"/>
      <c r="M146" s="197"/>
      <c r="N146" s="118"/>
      <c r="O146" s="197"/>
      <c r="P146" s="197"/>
      <c r="Q146" s="197"/>
    </row>
    <row r="147" customFormat="false" ht="12.8" hidden="false" customHeight="false" outlineLevel="0" collapsed="false">
      <c r="G147" s="201" t="s">
        <v>203</v>
      </c>
      <c r="H147" s="197" t="n">
        <f aca="false">+H125+H120+H119+H93</f>
        <v>15585.02</v>
      </c>
      <c r="I147" s="197"/>
      <c r="J147" s="202"/>
      <c r="K147" s="197"/>
      <c r="L147" s="197" t="n">
        <f aca="false">+L125+L120+L119+L93</f>
        <v>19033.41</v>
      </c>
      <c r="M147" s="197"/>
      <c r="N147" s="118"/>
      <c r="O147" s="197"/>
      <c r="P147" s="197" t="n">
        <f aca="false">+P125+P120+P119+P93</f>
        <v>20447.68</v>
      </c>
      <c r="Q147" s="197"/>
    </row>
    <row r="148" customFormat="false" ht="12.8" hidden="false" customHeight="false" outlineLevel="0" collapsed="false">
      <c r="G148" s="201"/>
      <c r="H148" s="197"/>
      <c r="I148" s="197"/>
      <c r="J148" s="202"/>
      <c r="K148" s="197"/>
      <c r="L148" s="197"/>
      <c r="M148" s="197"/>
      <c r="N148" s="118"/>
      <c r="O148" s="197"/>
      <c r="P148" s="197"/>
      <c r="Q148" s="197"/>
    </row>
    <row r="149" customFormat="false" ht="12.8" hidden="false" customHeight="false" outlineLevel="0" collapsed="false">
      <c r="G149" s="201" t="s">
        <v>204</v>
      </c>
      <c r="H149" s="197" t="n">
        <f aca="false">+H147+H145</f>
        <v>6578.292248</v>
      </c>
      <c r="I149" s="197"/>
      <c r="J149" s="202"/>
      <c r="K149" s="197"/>
      <c r="L149" s="197" t="n">
        <f aca="false">+L147+L145</f>
        <v>13734.163872</v>
      </c>
      <c r="M149" s="197"/>
      <c r="N149" s="118"/>
      <c r="O149" s="197"/>
      <c r="P149" s="197" t="n">
        <f aca="false">+P147+P145</f>
        <v>15467.552672</v>
      </c>
      <c r="Q149" s="197"/>
    </row>
    <row r="150" customFormat="false" ht="12.8" hidden="false" customHeight="false" outlineLevel="0" collapsed="false">
      <c r="H150" s="219"/>
      <c r="I150" s="219"/>
      <c r="J150" s="220"/>
      <c r="K150" s="219"/>
      <c r="L150" s="219"/>
      <c r="M150" s="219"/>
      <c r="N150" s="221"/>
      <c r="O150" s="219"/>
      <c r="P150" s="219"/>
      <c r="Q150" s="219"/>
      <c r="R150" s="219"/>
    </row>
    <row r="151" customFormat="false" ht="12.8" hidden="false" customHeight="false" outlineLevel="0" collapsed="false">
      <c r="H151" s="219"/>
      <c r="I151" s="219"/>
      <c r="J151" s="220"/>
      <c r="K151" s="219"/>
      <c r="L151" s="219"/>
      <c r="M151" s="219"/>
      <c r="N151" s="221"/>
      <c r="O151" s="219"/>
      <c r="P151" s="219"/>
      <c r="Q151" s="219"/>
    </row>
    <row r="152" customFormat="false" ht="12.8" hidden="false" customHeight="false" outlineLevel="0" collapsed="false">
      <c r="H152" s="219"/>
      <c r="I152" s="219"/>
      <c r="J152" s="220"/>
      <c r="K152" s="219"/>
      <c r="L152" s="219"/>
      <c r="M152" s="219"/>
      <c r="N152" s="221"/>
      <c r="O152" s="219"/>
      <c r="P152" s="219"/>
      <c r="Q152" s="219"/>
      <c r="R152" s="219"/>
    </row>
    <row r="153" customFormat="false" ht="12.8" hidden="false" customHeight="false" outlineLevel="0" collapsed="false">
      <c r="K153" s="222"/>
      <c r="L153" s="222"/>
      <c r="M153" s="222"/>
    </row>
    <row r="154" customFormat="false" ht="12.8" hidden="false" customHeight="false" outlineLevel="0" collapsed="false">
      <c r="H154" s="219"/>
      <c r="K154" s="222"/>
      <c r="L154" s="222"/>
      <c r="M154" s="222"/>
    </row>
    <row r="155" customFormat="false" ht="12.8" hidden="false" customHeight="false" outlineLevel="0" collapsed="false">
      <c r="H155" s="219"/>
      <c r="K155" s="222"/>
      <c r="L155" s="222"/>
      <c r="M155" s="222"/>
    </row>
    <row r="156" customFormat="false" ht="12.8" hidden="false" customHeight="false" outlineLevel="0" collapsed="false">
      <c r="K156" s="222"/>
      <c r="L156" s="222"/>
      <c r="M156" s="222"/>
    </row>
    <row r="157" customFormat="false" ht="12.8" hidden="false" customHeight="false" outlineLevel="0" collapsed="false">
      <c r="H157" s="219"/>
      <c r="K157" s="222"/>
      <c r="L157" s="219"/>
      <c r="M157" s="222"/>
      <c r="P157" s="219"/>
      <c r="R157" s="223"/>
    </row>
    <row r="158" customFormat="false" ht="12.8" hidden="false" customHeight="false" outlineLevel="0" collapsed="false">
      <c r="K158" s="222"/>
      <c r="L158" s="222"/>
      <c r="M158" s="222"/>
    </row>
    <row r="159" customFormat="false" ht="12.8" hidden="false" customHeight="false" outlineLevel="0" collapsed="false">
      <c r="K159" s="222"/>
      <c r="L159" s="222"/>
      <c r="M159" s="222"/>
    </row>
    <row r="160" customFormat="false" ht="12.8" hidden="false" customHeight="false" outlineLevel="0" collapsed="false">
      <c r="K160" s="222"/>
      <c r="L160" s="222"/>
      <c r="M160" s="222"/>
    </row>
    <row r="161" customFormat="false" ht="12.8" hidden="false" customHeight="false" outlineLevel="0" collapsed="false">
      <c r="K161" s="222"/>
      <c r="L161" s="222"/>
      <c r="M161" s="222"/>
    </row>
    <row r="162" customFormat="false" ht="12.8" hidden="false" customHeight="false" outlineLevel="0" collapsed="false">
      <c r="K162" s="222"/>
      <c r="L162" s="222"/>
      <c r="M162" s="222"/>
    </row>
    <row r="163" customFormat="false" ht="12.8" hidden="false" customHeight="false" outlineLevel="0" collapsed="false">
      <c r="K163" s="222"/>
      <c r="L163" s="222"/>
      <c r="M163" s="222"/>
    </row>
    <row r="164" customFormat="false" ht="12.8" hidden="false" customHeight="false" outlineLevel="0" collapsed="false">
      <c r="K164" s="222"/>
      <c r="L164" s="222"/>
      <c r="M164" s="222"/>
    </row>
    <row r="165" customFormat="false" ht="12.8" hidden="false" customHeight="false" outlineLevel="0" collapsed="false">
      <c r="K165" s="222"/>
      <c r="L165" s="222"/>
      <c r="M165" s="222"/>
    </row>
    <row r="166" customFormat="false" ht="12.8" hidden="false" customHeight="false" outlineLevel="0" collapsed="false">
      <c r="K166" s="222"/>
      <c r="L166" s="222"/>
      <c r="M166" s="222"/>
    </row>
    <row r="167" customFormat="false" ht="12.8" hidden="false" customHeight="false" outlineLevel="0" collapsed="false">
      <c r="K167" s="222"/>
      <c r="L167" s="222"/>
      <c r="M167" s="222"/>
    </row>
    <row r="168" customFormat="false" ht="12.8" hidden="false" customHeight="false" outlineLevel="0" collapsed="false">
      <c r="K168" s="222"/>
      <c r="L168" s="222"/>
      <c r="M168" s="222"/>
    </row>
    <row r="169" customFormat="false" ht="12.8" hidden="false" customHeight="false" outlineLevel="0" collapsed="false">
      <c r="K169" s="222"/>
      <c r="L169" s="222"/>
      <c r="M169" s="222"/>
    </row>
    <row r="170" customFormat="false" ht="12.8" hidden="false" customHeight="false" outlineLevel="0" collapsed="false">
      <c r="K170" s="222"/>
      <c r="L170" s="222"/>
      <c r="M170" s="222"/>
    </row>
    <row r="171" customFormat="false" ht="12.8" hidden="false" customHeight="false" outlineLevel="0" collapsed="false">
      <c r="K171" s="222"/>
      <c r="L171" s="222"/>
      <c r="M171" s="222"/>
    </row>
    <row r="172" customFormat="false" ht="12.8" hidden="false" customHeight="false" outlineLevel="0" collapsed="false">
      <c r="K172" s="222"/>
      <c r="L172" s="222"/>
      <c r="M172" s="222"/>
    </row>
    <row r="173" customFormat="false" ht="12.8" hidden="false" customHeight="false" outlineLevel="0" collapsed="false">
      <c r="K173" s="222"/>
      <c r="L173" s="222"/>
      <c r="M173" s="222"/>
    </row>
    <row r="174" customFormat="false" ht="12.8" hidden="false" customHeight="false" outlineLevel="0" collapsed="false">
      <c r="K174" s="222"/>
      <c r="L174" s="222"/>
      <c r="M174" s="222"/>
    </row>
    <row r="175" customFormat="false" ht="12.8" hidden="false" customHeight="false" outlineLevel="0" collapsed="false">
      <c r="K175" s="222"/>
      <c r="L175" s="222"/>
      <c r="M175" s="222"/>
    </row>
    <row r="176" customFormat="false" ht="12.8" hidden="false" customHeight="false" outlineLevel="0" collapsed="false">
      <c r="K176" s="222"/>
      <c r="L176" s="222"/>
      <c r="M176" s="222"/>
    </row>
    <row r="177" customFormat="false" ht="12.8" hidden="false" customHeight="false" outlineLevel="0" collapsed="false">
      <c r="K177" s="222"/>
      <c r="L177" s="222"/>
      <c r="M177" s="222"/>
    </row>
    <row r="178" customFormat="false" ht="12.8" hidden="false" customHeight="false" outlineLevel="0" collapsed="false">
      <c r="K178" s="222"/>
      <c r="L178" s="222"/>
      <c r="M178" s="222"/>
    </row>
    <row r="179" customFormat="false" ht="12.8" hidden="false" customHeight="false" outlineLevel="0" collapsed="false">
      <c r="K179" s="222"/>
      <c r="L179" s="222"/>
      <c r="M179" s="222"/>
    </row>
    <row r="180" customFormat="false" ht="12.8" hidden="false" customHeight="false" outlineLevel="0" collapsed="false">
      <c r="K180" s="222"/>
      <c r="L180" s="222"/>
      <c r="M180" s="222"/>
    </row>
    <row r="181" customFormat="false" ht="12.8" hidden="false" customHeight="false" outlineLevel="0" collapsed="false">
      <c r="K181" s="222"/>
      <c r="L181" s="222"/>
      <c r="M181" s="222"/>
    </row>
    <row r="182" customFormat="false" ht="12.8" hidden="false" customHeight="false" outlineLevel="0" collapsed="false">
      <c r="K182" s="222"/>
      <c r="L182" s="222"/>
      <c r="M182" s="222"/>
    </row>
    <row r="183" customFormat="false" ht="12.8" hidden="false" customHeight="false" outlineLevel="0" collapsed="false">
      <c r="K183" s="222"/>
      <c r="L183" s="222"/>
      <c r="M183" s="222"/>
    </row>
    <row r="184" customFormat="false" ht="12.8" hidden="false" customHeight="false" outlineLevel="0" collapsed="false">
      <c r="K184" s="222"/>
      <c r="L184" s="222"/>
      <c r="M184" s="222"/>
    </row>
    <row r="185" customFormat="false" ht="12.8" hidden="false" customHeight="false" outlineLevel="0" collapsed="false">
      <c r="K185" s="222"/>
      <c r="L185" s="222"/>
      <c r="M185" s="222"/>
    </row>
    <row r="186" customFormat="false" ht="12.8" hidden="false" customHeight="false" outlineLevel="0" collapsed="false">
      <c r="K186" s="222"/>
      <c r="L186" s="222"/>
      <c r="M186" s="222"/>
    </row>
    <row r="187" customFormat="false" ht="12.8" hidden="false" customHeight="false" outlineLevel="0" collapsed="false">
      <c r="K187" s="222"/>
      <c r="L187" s="222"/>
      <c r="M187" s="222"/>
    </row>
    <row r="188" customFormat="false" ht="12.8" hidden="false" customHeight="false" outlineLevel="0" collapsed="false">
      <c r="K188" s="222"/>
      <c r="L188" s="222"/>
      <c r="M188" s="222"/>
    </row>
    <row r="189" customFormat="false" ht="12.8" hidden="false" customHeight="false" outlineLevel="0" collapsed="false">
      <c r="K189" s="222"/>
      <c r="L189" s="222"/>
      <c r="M189" s="222"/>
    </row>
    <row r="190" customFormat="false" ht="12.8" hidden="false" customHeight="false" outlineLevel="0" collapsed="false">
      <c r="K190" s="222"/>
      <c r="L190" s="222"/>
      <c r="M190" s="222"/>
    </row>
    <row r="191" customFormat="false" ht="12.8" hidden="false" customHeight="false" outlineLevel="0" collapsed="false">
      <c r="K191" s="222"/>
      <c r="L191" s="222"/>
      <c r="M191" s="222"/>
    </row>
    <row r="192" customFormat="false" ht="12.8" hidden="false" customHeight="false" outlineLevel="0" collapsed="false">
      <c r="K192" s="222"/>
      <c r="L192" s="222"/>
      <c r="M192" s="222"/>
    </row>
    <row r="193" customFormat="false" ht="12.8" hidden="false" customHeight="false" outlineLevel="0" collapsed="false">
      <c r="K193" s="222"/>
      <c r="L193" s="222"/>
      <c r="M193" s="222"/>
    </row>
    <row r="194" customFormat="false" ht="12.8" hidden="false" customHeight="false" outlineLevel="0" collapsed="false">
      <c r="K194" s="222"/>
      <c r="L194" s="222"/>
      <c r="M194" s="222"/>
    </row>
    <row r="195" customFormat="false" ht="12.8" hidden="false" customHeight="false" outlineLevel="0" collapsed="false">
      <c r="K195" s="222"/>
      <c r="L195" s="222"/>
      <c r="M195" s="222"/>
    </row>
    <row r="196" customFormat="false" ht="12.8" hidden="false" customHeight="false" outlineLevel="0" collapsed="false">
      <c r="K196" s="222"/>
      <c r="L196" s="222"/>
      <c r="M196" s="222"/>
    </row>
    <row r="197" customFormat="false" ht="12.8" hidden="false" customHeight="false" outlineLevel="0" collapsed="false">
      <c r="K197" s="222"/>
      <c r="L197" s="222"/>
      <c r="M197" s="222"/>
    </row>
    <row r="198" customFormat="false" ht="12.8" hidden="false" customHeight="false" outlineLevel="0" collapsed="false">
      <c r="K198" s="222"/>
      <c r="L198" s="222"/>
      <c r="M198" s="222"/>
    </row>
    <row r="199" customFormat="false" ht="12.8" hidden="false" customHeight="false" outlineLevel="0" collapsed="false">
      <c r="K199" s="222"/>
      <c r="L199" s="222"/>
      <c r="M199" s="222"/>
    </row>
    <row r="200" customFormat="false" ht="12.8" hidden="false" customHeight="false" outlineLevel="0" collapsed="false">
      <c r="K200" s="222"/>
      <c r="L200" s="222"/>
      <c r="M200" s="222"/>
    </row>
    <row r="201" customFormat="false" ht="12.8" hidden="false" customHeight="false" outlineLevel="0" collapsed="false">
      <c r="K201" s="222"/>
      <c r="L201" s="222"/>
      <c r="M201" s="222"/>
    </row>
    <row r="202" customFormat="false" ht="12.8" hidden="false" customHeight="false" outlineLevel="0" collapsed="false">
      <c r="K202" s="222"/>
      <c r="L202" s="222"/>
      <c r="M202" s="222"/>
    </row>
    <row r="203" customFormat="false" ht="12.8" hidden="false" customHeight="false" outlineLevel="0" collapsed="false">
      <c r="K203" s="222"/>
      <c r="L203" s="222"/>
      <c r="M203" s="222"/>
    </row>
    <row r="204" customFormat="false" ht="12.8" hidden="false" customHeight="false" outlineLevel="0" collapsed="false">
      <c r="K204" s="222"/>
      <c r="L204" s="222"/>
      <c r="M204" s="222"/>
    </row>
    <row r="205" customFormat="false" ht="12.8" hidden="false" customHeight="false" outlineLevel="0" collapsed="false">
      <c r="K205" s="222"/>
      <c r="L205" s="222"/>
      <c r="M205" s="222"/>
    </row>
    <row r="206" customFormat="false" ht="12.8" hidden="false" customHeight="false" outlineLevel="0" collapsed="false">
      <c r="K206" s="222"/>
      <c r="L206" s="222"/>
      <c r="M206" s="222"/>
    </row>
    <row r="207" customFormat="false" ht="12.8" hidden="false" customHeight="false" outlineLevel="0" collapsed="false">
      <c r="K207" s="222"/>
      <c r="L207" s="222"/>
      <c r="M207" s="222"/>
    </row>
    <row r="208" customFormat="false" ht="12.8" hidden="false" customHeight="false" outlineLevel="0" collapsed="false">
      <c r="K208" s="222"/>
      <c r="L208" s="222"/>
      <c r="M208" s="222"/>
    </row>
    <row r="209" customFormat="false" ht="12.8" hidden="false" customHeight="false" outlineLevel="0" collapsed="false">
      <c r="K209" s="222"/>
      <c r="L209" s="222"/>
      <c r="M209" s="222"/>
    </row>
    <row r="210" customFormat="false" ht="12.8" hidden="false" customHeight="false" outlineLevel="0" collapsed="false">
      <c r="K210" s="222"/>
      <c r="L210" s="222"/>
      <c r="M210" s="222"/>
    </row>
    <row r="211" customFormat="false" ht="12.8" hidden="false" customHeight="false" outlineLevel="0" collapsed="false">
      <c r="K211" s="222"/>
      <c r="L211" s="222"/>
      <c r="M211" s="222"/>
    </row>
    <row r="212" customFormat="false" ht="12.8" hidden="false" customHeight="false" outlineLevel="0" collapsed="false">
      <c r="K212" s="222"/>
      <c r="L212" s="222"/>
      <c r="M212" s="222"/>
    </row>
    <row r="213" customFormat="false" ht="12.8" hidden="false" customHeight="false" outlineLevel="0" collapsed="false">
      <c r="K213" s="222"/>
      <c r="L213" s="222"/>
      <c r="M213" s="222"/>
    </row>
    <row r="214" customFormat="false" ht="12.8" hidden="false" customHeight="false" outlineLevel="0" collapsed="false">
      <c r="K214" s="222"/>
      <c r="L214" s="222"/>
      <c r="M214" s="222"/>
    </row>
    <row r="215" customFormat="false" ht="12.8" hidden="false" customHeight="false" outlineLevel="0" collapsed="false">
      <c r="K215" s="222"/>
      <c r="L215" s="222"/>
      <c r="M215" s="222"/>
    </row>
    <row r="216" customFormat="false" ht="12.8" hidden="false" customHeight="false" outlineLevel="0" collapsed="false">
      <c r="K216" s="222"/>
      <c r="L216" s="222"/>
      <c r="M216" s="222"/>
    </row>
    <row r="217" customFormat="false" ht="12.8" hidden="false" customHeight="false" outlineLevel="0" collapsed="false">
      <c r="K217" s="222"/>
      <c r="L217" s="222"/>
      <c r="M217" s="222"/>
    </row>
    <row r="218" customFormat="false" ht="12.8" hidden="false" customHeight="false" outlineLevel="0" collapsed="false">
      <c r="K218" s="222"/>
      <c r="L218" s="222"/>
      <c r="M218" s="222"/>
    </row>
  </sheetData>
  <mergeCells count="31">
    <mergeCell ref="A1:I1"/>
    <mergeCell ref="G2:I2"/>
    <mergeCell ref="K2:M2"/>
    <mergeCell ref="O2:Q2"/>
    <mergeCell ref="A4:A93"/>
    <mergeCell ref="B4:B45"/>
    <mergeCell ref="C4:C12"/>
    <mergeCell ref="C13:C17"/>
    <mergeCell ref="C18:C22"/>
    <mergeCell ref="C24:C27"/>
    <mergeCell ref="C28:C33"/>
    <mergeCell ref="C34:C45"/>
    <mergeCell ref="B47:B82"/>
    <mergeCell ref="C47:C48"/>
    <mergeCell ref="C49:C64"/>
    <mergeCell ref="C66:C68"/>
    <mergeCell ref="C69:C70"/>
    <mergeCell ref="C71:C76"/>
    <mergeCell ref="C77:C78"/>
    <mergeCell ref="C79:C80"/>
    <mergeCell ref="C81:C82"/>
    <mergeCell ref="B83:B93"/>
    <mergeCell ref="C83:C93"/>
    <mergeCell ref="A100:A125"/>
    <mergeCell ref="B100:B125"/>
    <mergeCell ref="C100:C106"/>
    <mergeCell ref="C107:C110"/>
    <mergeCell ref="C111:C116"/>
    <mergeCell ref="C117:C120"/>
    <mergeCell ref="C121:C125"/>
    <mergeCell ref="C133:C136"/>
  </mergeCells>
  <printOptions headings="false" gridLines="false" gridLinesSet="true" horizontalCentered="true" verticalCentered="false"/>
  <pageMargins left="0.39375" right="0.39375" top="0.39375" bottom="0.39375" header="0.511805555555555" footer="0.511805555555555"/>
  <pageSetup paperSize="9" scale="100" fitToWidth="1" fitToHeight="2"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144"/>
  <sheetViews>
    <sheetView showFormulas="false" showGridLines="true" showRowColHeaders="true" showZeros="true" rightToLeft="false" tabSelected="false" showOutlineSymbols="true" defaultGridColor="true" view="normal" topLeftCell="A115" colorId="64" zoomScale="100" zoomScaleNormal="100" zoomScalePageLayoutView="100" workbookViewId="0">
      <selection pane="topLeft" activeCell="B106" activeCellId="0" sqref="B106"/>
    </sheetView>
  </sheetViews>
  <sheetFormatPr defaultColWidth="8.72265625" defaultRowHeight="12.8" zeroHeight="false" outlineLevelRow="0" outlineLevelCol="0"/>
  <cols>
    <col collapsed="false" customWidth="true" hidden="false" outlineLevel="0" max="1" min="1" style="224" width="60.99"/>
    <col collapsed="false" customWidth="true" hidden="false" outlineLevel="0" max="2" min="2" style="224" width="14.03"/>
    <col collapsed="false" customWidth="true" hidden="false" outlineLevel="0" max="3" min="3" style="224" width="1.66"/>
    <col collapsed="false" customWidth="true" hidden="true" outlineLevel="0" max="4" min="4" style="224" width="2.85"/>
    <col collapsed="false" customWidth="true" hidden="true" outlineLevel="0" max="5" min="5" style="224" width="3.3"/>
    <col collapsed="false" customWidth="true" hidden="true" outlineLevel="0" max="6" min="6" style="225" width="19.84"/>
    <col collapsed="false" customWidth="true" hidden="false" outlineLevel="0" max="7" min="7" style="224" width="14.03"/>
    <col collapsed="false" customWidth="true" hidden="true" outlineLevel="0" max="8" min="8" style="224" width="2.71"/>
    <col collapsed="false" customWidth="true" hidden="true" outlineLevel="0" max="9" min="9" style="224" width="2.42"/>
    <col collapsed="false" customWidth="true" hidden="false" outlineLevel="0" max="10" min="10" style="224" width="1.52"/>
    <col collapsed="false" customWidth="true" hidden="false" outlineLevel="0" max="11" min="11" style="224" width="14.03"/>
    <col collapsed="false" customWidth="true" hidden="false" outlineLevel="0" max="12" min="12" style="226" width="2.49"/>
    <col collapsed="false" customWidth="true" hidden="false" outlineLevel="0" max="13" min="13" style="224" width="10.12"/>
    <col collapsed="false" customWidth="false" hidden="false" outlineLevel="0" max="1024" min="14" style="224" width="8.71"/>
  </cols>
  <sheetData>
    <row r="1" customFormat="false" ht="38.05" hidden="false" customHeight="true" outlineLevel="0" collapsed="false">
      <c r="A1" s="79" t="s">
        <v>205</v>
      </c>
      <c r="B1" s="79"/>
      <c r="C1" s="79"/>
      <c r="D1" s="79"/>
      <c r="E1" s="79"/>
      <c r="F1" s="79"/>
      <c r="G1" s="79"/>
      <c r="H1" s="79"/>
      <c r="I1" s="79"/>
      <c r="J1" s="79"/>
      <c r="K1" s="79"/>
      <c r="L1" s="79"/>
    </row>
    <row r="3" s="232" customFormat="true" ht="37.3" hidden="false" customHeight="true" outlineLevel="0" collapsed="false">
      <c r="A3" s="227" t="s">
        <v>206</v>
      </c>
      <c r="B3" s="228" t="n">
        <v>44926</v>
      </c>
      <c r="C3" s="229"/>
      <c r="D3" s="229"/>
      <c r="E3" s="229"/>
      <c r="F3" s="230"/>
      <c r="G3" s="228" t="n">
        <v>45291</v>
      </c>
      <c r="H3" s="229"/>
      <c r="I3" s="229"/>
      <c r="J3" s="229"/>
      <c r="K3" s="228" t="n">
        <v>45657</v>
      </c>
      <c r="L3" s="231"/>
    </row>
    <row r="4" s="232" customFormat="true" ht="12.8" hidden="false" customHeight="false" outlineLevel="0" collapsed="false">
      <c r="B4" s="233"/>
      <c r="F4" s="234"/>
      <c r="G4" s="233"/>
      <c r="K4" s="233"/>
      <c r="L4" s="231"/>
    </row>
    <row r="5" customFormat="false" ht="12.8" hidden="false" customHeight="false" outlineLevel="0" collapsed="false">
      <c r="A5" s="235" t="s">
        <v>207</v>
      </c>
      <c r="B5" s="236"/>
      <c r="C5" s="237"/>
      <c r="D5" s="236"/>
      <c r="E5" s="236"/>
      <c r="F5" s="238"/>
      <c r="G5" s="236"/>
      <c r="H5" s="236"/>
      <c r="I5" s="236"/>
      <c r="J5" s="237"/>
      <c r="K5" s="236"/>
    </row>
    <row r="6" customFormat="false" ht="12.8" hidden="false" customHeight="false" outlineLevel="0" collapsed="false">
      <c r="A6" s="236" t="s">
        <v>208</v>
      </c>
      <c r="B6" s="239" t="n">
        <v>0</v>
      </c>
      <c r="C6" s="240"/>
      <c r="D6" s="241"/>
      <c r="E6" s="241"/>
      <c r="F6" s="242"/>
      <c r="G6" s="239" t="n">
        <v>0</v>
      </c>
      <c r="H6" s="241"/>
      <c r="I6" s="241"/>
      <c r="J6" s="240"/>
      <c r="K6" s="239" t="n">
        <v>0</v>
      </c>
    </row>
    <row r="7" customFormat="false" ht="12.8" hidden="false" customHeight="false" outlineLevel="0" collapsed="false">
      <c r="B7" s="243"/>
      <c r="C7" s="244"/>
      <c r="D7" s="244"/>
      <c r="E7" s="244"/>
      <c r="F7" s="245"/>
      <c r="G7" s="243"/>
      <c r="H7" s="244"/>
      <c r="I7" s="244"/>
      <c r="J7" s="244"/>
      <c r="K7" s="243"/>
    </row>
    <row r="8" s="232" customFormat="true" ht="12.8" hidden="false" customHeight="false" outlineLevel="0" collapsed="false">
      <c r="A8" s="235" t="s">
        <v>209</v>
      </c>
      <c r="B8" s="246"/>
      <c r="C8" s="247"/>
      <c r="D8" s="248"/>
      <c r="E8" s="248"/>
      <c r="F8" s="249"/>
      <c r="G8" s="246"/>
      <c r="H8" s="248"/>
      <c r="I8" s="248"/>
      <c r="J8" s="247"/>
      <c r="K8" s="246"/>
      <c r="L8" s="231"/>
    </row>
    <row r="9" customFormat="false" ht="12.8" hidden="false" customHeight="false" outlineLevel="0" collapsed="false">
      <c r="A9" s="236" t="s">
        <v>210</v>
      </c>
      <c r="B9" s="239"/>
      <c r="C9" s="240"/>
      <c r="D9" s="241"/>
      <c r="E9" s="241"/>
      <c r="F9" s="242"/>
      <c r="G9" s="239"/>
      <c r="H9" s="241"/>
      <c r="I9" s="241"/>
      <c r="J9" s="240"/>
      <c r="K9" s="239"/>
    </row>
    <row r="10" customFormat="false" ht="12.8" hidden="false" customHeight="false" outlineLevel="0" collapsed="false">
      <c r="A10" s="236" t="s">
        <v>211</v>
      </c>
      <c r="B10" s="239" t="n">
        <v>0</v>
      </c>
      <c r="C10" s="240"/>
      <c r="D10" s="241"/>
      <c r="E10" s="241"/>
      <c r="F10" s="242"/>
      <c r="G10" s="239" t="n">
        <v>0</v>
      </c>
      <c r="H10" s="241"/>
      <c r="I10" s="241"/>
      <c r="J10" s="240"/>
      <c r="K10" s="239" t="n">
        <v>0</v>
      </c>
    </row>
    <row r="11" customFormat="false" ht="12.8" hidden="false" customHeight="false" outlineLevel="0" collapsed="false">
      <c r="A11" s="236" t="s">
        <v>212</v>
      </c>
      <c r="B11" s="239" t="n">
        <f aca="false">-(+'5 - Ammortamenti'!M4+'5 - Ammortamenti'!M5+'5 - Ammortamenti'!M7+'5 - Ammortamenti'!M16)</f>
        <v>191990</v>
      </c>
      <c r="C11" s="240"/>
      <c r="D11" s="241"/>
      <c r="E11" s="241"/>
      <c r="F11" s="242"/>
      <c r="G11" s="239" t="n">
        <f aca="false">+B11</f>
        <v>191990</v>
      </c>
      <c r="H11" s="241"/>
      <c r="I11" s="241"/>
      <c r="J11" s="240"/>
      <c r="K11" s="239" t="n">
        <f aca="false">+G11</f>
        <v>191990</v>
      </c>
    </row>
    <row r="12" customFormat="false" ht="12.8" hidden="false" customHeight="false" outlineLevel="0" collapsed="false">
      <c r="A12" s="236" t="s">
        <v>213</v>
      </c>
      <c r="B12" s="239" t="n">
        <f aca="false">+'5 - Ammortamenti'!G4+'5 - Ammortamenti'!G5+'5 - Ammortamenti'!G7+'5 - Ammortamenti'!G16</f>
        <v>-38398</v>
      </c>
      <c r="C12" s="240"/>
      <c r="D12" s="241"/>
      <c r="E12" s="241"/>
      <c r="F12" s="242"/>
      <c r="G12" s="239" t="n">
        <f aca="false">+B12-G119</f>
        <v>-76796</v>
      </c>
      <c r="H12" s="241"/>
      <c r="I12" s="241"/>
      <c r="J12" s="240"/>
      <c r="K12" s="239" t="n">
        <f aca="false">+G12-K119</f>
        <v>-115194</v>
      </c>
    </row>
    <row r="13" s="256" customFormat="true" ht="12.8" hidden="false" customHeight="false" outlineLevel="0" collapsed="false">
      <c r="A13" s="250" t="s">
        <v>214</v>
      </c>
      <c r="B13" s="251" t="n">
        <f aca="false">+B11+B10+B12</f>
        <v>153592</v>
      </c>
      <c r="C13" s="252"/>
      <c r="D13" s="253"/>
      <c r="E13" s="253"/>
      <c r="F13" s="254"/>
      <c r="G13" s="251" t="n">
        <f aca="false">+G11+G10+G12</f>
        <v>115194</v>
      </c>
      <c r="H13" s="253"/>
      <c r="I13" s="253"/>
      <c r="J13" s="252"/>
      <c r="K13" s="251" t="n">
        <f aca="false">+K11+K10+K12</f>
        <v>76796</v>
      </c>
      <c r="L13" s="255"/>
    </row>
    <row r="14" customFormat="false" ht="12.8" hidden="false" customHeight="false" outlineLevel="0" collapsed="false">
      <c r="A14" s="236" t="s">
        <v>215</v>
      </c>
      <c r="B14" s="239"/>
      <c r="C14" s="240"/>
      <c r="D14" s="241"/>
      <c r="E14" s="241"/>
      <c r="F14" s="242"/>
      <c r="G14" s="239"/>
      <c r="H14" s="241"/>
      <c r="I14" s="241"/>
      <c r="J14" s="240"/>
      <c r="K14" s="239"/>
    </row>
    <row r="15" customFormat="false" ht="12.8" hidden="false" customHeight="false" outlineLevel="0" collapsed="false">
      <c r="A15" s="236" t="s">
        <v>216</v>
      </c>
      <c r="B15" s="239" t="n">
        <v>0</v>
      </c>
      <c r="C15" s="240"/>
      <c r="D15" s="241"/>
      <c r="E15" s="241"/>
      <c r="F15" s="242"/>
      <c r="G15" s="239" t="n">
        <v>0</v>
      </c>
      <c r="H15" s="241"/>
      <c r="I15" s="241"/>
      <c r="J15" s="240"/>
      <c r="K15" s="239" t="n">
        <v>0</v>
      </c>
    </row>
    <row r="16" customFormat="false" ht="12.8" hidden="false" customHeight="false" outlineLevel="0" collapsed="false">
      <c r="A16" s="236" t="s">
        <v>217</v>
      </c>
      <c r="B16" s="239" t="n">
        <v>0</v>
      </c>
      <c r="C16" s="240"/>
      <c r="D16" s="241"/>
      <c r="E16" s="241"/>
      <c r="F16" s="242"/>
      <c r="G16" s="239" t="n">
        <v>0</v>
      </c>
      <c r="H16" s="241"/>
      <c r="I16" s="241"/>
      <c r="J16" s="240"/>
      <c r="K16" s="239" t="n">
        <v>0</v>
      </c>
    </row>
    <row r="17" customFormat="false" ht="12.8" hidden="false" customHeight="false" outlineLevel="0" collapsed="false">
      <c r="A17" s="236" t="s">
        <v>218</v>
      </c>
      <c r="B17" s="239" t="n">
        <f aca="false">-('5 - Ammortamenti'!M6+'5 - Ammortamenti'!M8+'5 - Ammortamenti'!M9+'5 - Ammortamenti'!M10+'5 - Ammortamenti'!M15+'5 - Ammortamenti'!M17)</f>
        <v>707631</v>
      </c>
      <c r="C17" s="240"/>
      <c r="D17" s="241"/>
      <c r="E17" s="241"/>
      <c r="F17" s="242"/>
      <c r="G17" s="239" t="n">
        <f aca="false">+B17-'5 - Ammortamenti'!M18-'5 - Ammortamenti'!M11</f>
        <v>1111476</v>
      </c>
      <c r="H17" s="241"/>
      <c r="I17" s="241"/>
      <c r="J17" s="240"/>
      <c r="K17" s="239" t="n">
        <f aca="false">+G17-'5 - Ammortamenti'!M12-'5 - Ammortamenti'!M19</f>
        <v>1512010</v>
      </c>
    </row>
    <row r="18" customFormat="false" ht="12.8" hidden="false" customHeight="false" outlineLevel="0" collapsed="false">
      <c r="A18" s="236" t="s">
        <v>213</v>
      </c>
      <c r="B18" s="239" t="n">
        <f aca="false">+'5 - Ammortamenti'!G6+'5 - Ammortamenti'!G8+'5 - Ammortamenti'!G9+'5 - Ammortamenti'!G10+'5 - Ammortamenti'!G15+'5 - Ammortamenti'!G17</f>
        <v>-324282.4</v>
      </c>
      <c r="C18" s="240"/>
      <c r="D18" s="241"/>
      <c r="E18" s="241"/>
      <c r="F18" s="242"/>
      <c r="G18" s="239" t="n">
        <f aca="false">+B18-G120</f>
        <v>-650173.1</v>
      </c>
      <c r="H18" s="241"/>
      <c r="I18" s="241"/>
      <c r="J18" s="240"/>
      <c r="K18" s="239" t="n">
        <f aca="false">+G18-K120</f>
        <v>-1049549</v>
      </c>
    </row>
    <row r="19" s="256" customFormat="true" ht="12.8" hidden="false" customHeight="false" outlineLevel="0" collapsed="false">
      <c r="A19" s="250" t="s">
        <v>219</v>
      </c>
      <c r="B19" s="251" t="n">
        <f aca="false">+B17+B16+B15+B18</f>
        <v>383348.6</v>
      </c>
      <c r="C19" s="252"/>
      <c r="D19" s="253"/>
      <c r="E19" s="253"/>
      <c r="F19" s="254" t="n">
        <f aca="false">+'5 - Ammortamenti'!M20-'5 - Ammortamenti'!G20</f>
        <v>-536940.6</v>
      </c>
      <c r="G19" s="251" t="n">
        <f aca="false">+G17+G16+G15+G18</f>
        <v>461302.9</v>
      </c>
      <c r="H19" s="253"/>
      <c r="I19" s="253"/>
      <c r="J19" s="252"/>
      <c r="K19" s="251" t="n">
        <f aca="false">+K17+K16+K15+K18</f>
        <v>462461</v>
      </c>
      <c r="L19" s="255"/>
    </row>
    <row r="20" customFormat="false" ht="12.8" hidden="false" customHeight="false" outlineLevel="0" collapsed="false">
      <c r="A20" s="236" t="s">
        <v>220</v>
      </c>
      <c r="B20" s="239"/>
      <c r="C20" s="240"/>
      <c r="D20" s="241"/>
      <c r="E20" s="241"/>
      <c r="F20" s="242"/>
      <c r="G20" s="239"/>
      <c r="H20" s="241"/>
      <c r="I20" s="241"/>
      <c r="J20" s="240"/>
      <c r="K20" s="239"/>
    </row>
    <row r="21" s="256" customFormat="true" ht="12.8" hidden="false" customHeight="false" outlineLevel="0" collapsed="false">
      <c r="A21" s="250" t="s">
        <v>221</v>
      </c>
      <c r="B21" s="251" t="n">
        <v>0</v>
      </c>
      <c r="C21" s="252"/>
      <c r="D21" s="253"/>
      <c r="E21" s="253"/>
      <c r="F21" s="254"/>
      <c r="G21" s="251" t="n">
        <v>0</v>
      </c>
      <c r="H21" s="253"/>
      <c r="I21" s="253"/>
      <c r="J21" s="252"/>
      <c r="K21" s="251" t="n">
        <v>0</v>
      </c>
      <c r="L21" s="255"/>
    </row>
    <row r="22" s="232" customFormat="true" ht="12.8" hidden="false" customHeight="false" outlineLevel="0" collapsed="false">
      <c r="A22" s="235" t="s">
        <v>222</v>
      </c>
      <c r="B22" s="246" t="n">
        <f aca="false">+B21+B19+B13</f>
        <v>536940.6</v>
      </c>
      <c r="C22" s="247"/>
      <c r="D22" s="248"/>
      <c r="E22" s="248"/>
      <c r="F22" s="249"/>
      <c r="G22" s="246" t="n">
        <f aca="false">+G21+G19+G13</f>
        <v>576496.9</v>
      </c>
      <c r="H22" s="248"/>
      <c r="I22" s="248"/>
      <c r="J22" s="247"/>
      <c r="K22" s="246" t="n">
        <f aca="false">+K21+K19+K13</f>
        <v>539257</v>
      </c>
      <c r="L22" s="231"/>
    </row>
    <row r="23" customFormat="false" ht="12.8" hidden="false" customHeight="false" outlineLevel="0" collapsed="false">
      <c r="B23" s="243"/>
      <c r="C23" s="244"/>
      <c r="D23" s="244"/>
      <c r="E23" s="244"/>
      <c r="F23" s="245"/>
      <c r="G23" s="243"/>
      <c r="H23" s="244"/>
      <c r="I23" s="244"/>
      <c r="J23" s="244"/>
      <c r="K23" s="243"/>
    </row>
    <row r="24" customFormat="false" ht="12.8" hidden="false" customHeight="false" outlineLevel="0" collapsed="false">
      <c r="A24" s="235" t="s">
        <v>223</v>
      </c>
      <c r="B24" s="239"/>
      <c r="C24" s="240"/>
      <c r="D24" s="241"/>
      <c r="E24" s="241"/>
      <c r="F24" s="242"/>
      <c r="G24" s="239"/>
      <c r="H24" s="241"/>
      <c r="I24" s="241"/>
      <c r="J24" s="240"/>
      <c r="K24" s="239"/>
    </row>
    <row r="25" customFormat="false" ht="12.8" hidden="false" customHeight="false" outlineLevel="0" collapsed="false">
      <c r="A25" s="236" t="s">
        <v>224</v>
      </c>
      <c r="B25" s="239"/>
      <c r="C25" s="240"/>
      <c r="D25" s="241"/>
      <c r="E25" s="241"/>
      <c r="F25" s="242"/>
      <c r="G25" s="239"/>
      <c r="H25" s="241"/>
      <c r="I25" s="241"/>
      <c r="J25" s="240"/>
      <c r="K25" s="239"/>
    </row>
    <row r="26" s="256" customFormat="true" ht="12.8" hidden="false" customHeight="false" outlineLevel="0" collapsed="false">
      <c r="A26" s="250" t="s">
        <v>225</v>
      </c>
      <c r="B26" s="251" t="n">
        <v>0</v>
      </c>
      <c r="C26" s="252"/>
      <c r="D26" s="253"/>
      <c r="E26" s="253"/>
      <c r="F26" s="254"/>
      <c r="G26" s="251" t="n">
        <v>0</v>
      </c>
      <c r="H26" s="253"/>
      <c r="I26" s="253"/>
      <c r="J26" s="252"/>
      <c r="K26" s="251" t="n">
        <v>0</v>
      </c>
      <c r="L26" s="255"/>
    </row>
    <row r="27" customFormat="false" ht="12.8" hidden="false" customHeight="false" outlineLevel="0" collapsed="false">
      <c r="A27" s="236" t="s">
        <v>226</v>
      </c>
      <c r="B27" s="239"/>
      <c r="C27" s="240"/>
      <c r="D27" s="241"/>
      <c r="E27" s="241"/>
      <c r="F27" s="242"/>
      <c r="G27" s="239"/>
      <c r="H27" s="241"/>
      <c r="I27" s="241"/>
      <c r="J27" s="240"/>
      <c r="K27" s="239"/>
    </row>
    <row r="28" customFormat="false" ht="12.8" hidden="false" customHeight="false" outlineLevel="0" collapsed="false">
      <c r="A28" s="236" t="s">
        <v>227</v>
      </c>
      <c r="B28" s="239"/>
      <c r="C28" s="240"/>
      <c r="D28" s="241"/>
      <c r="E28" s="241"/>
      <c r="F28" s="242"/>
      <c r="G28" s="239"/>
      <c r="H28" s="241"/>
      <c r="I28" s="241"/>
      <c r="J28" s="240"/>
      <c r="K28" s="239"/>
    </row>
    <row r="29" customFormat="false" ht="12.8" hidden="false" customHeight="false" outlineLevel="0" collapsed="false">
      <c r="A29" s="236" t="s">
        <v>228</v>
      </c>
      <c r="B29" s="239" t="n">
        <f aca="false">+B106/6</f>
        <v>319157.479292317</v>
      </c>
      <c r="C29" s="240"/>
      <c r="D29" s="241"/>
      <c r="E29" s="241"/>
      <c r="F29" s="242"/>
      <c r="G29" s="239" t="n">
        <f aca="false">+G106/6</f>
        <v>323531.129292317</v>
      </c>
      <c r="H29" s="241"/>
      <c r="I29" s="241"/>
      <c r="J29" s="240"/>
      <c r="K29" s="239" t="n">
        <f aca="false">+K106/6</f>
        <v>329705.029292317</v>
      </c>
    </row>
    <row r="30" customFormat="false" ht="12.8" hidden="false" customHeight="false" outlineLevel="0" collapsed="false">
      <c r="A30" s="236" t="s">
        <v>229</v>
      </c>
      <c r="B30" s="239" t="n">
        <f aca="false">+B29</f>
        <v>319157.479292317</v>
      </c>
      <c r="C30" s="240"/>
      <c r="D30" s="241"/>
      <c r="E30" s="241"/>
      <c r="F30" s="242"/>
      <c r="G30" s="239" t="n">
        <f aca="false">+G29</f>
        <v>323531.129292317</v>
      </c>
      <c r="H30" s="241"/>
      <c r="I30" s="241"/>
      <c r="J30" s="240"/>
      <c r="K30" s="239" t="n">
        <f aca="false">+K29</f>
        <v>329705.029292317</v>
      </c>
    </row>
    <row r="31" customFormat="false" ht="12.8" hidden="false" customHeight="false" outlineLevel="0" collapsed="false">
      <c r="A31" s="236" t="s">
        <v>230</v>
      </c>
      <c r="B31" s="239"/>
      <c r="C31" s="240"/>
      <c r="D31" s="241"/>
      <c r="E31" s="241"/>
      <c r="F31" s="242"/>
      <c r="G31" s="239"/>
      <c r="H31" s="241"/>
      <c r="I31" s="241"/>
      <c r="J31" s="240"/>
      <c r="K31" s="239"/>
    </row>
    <row r="32" customFormat="false" ht="12.8" hidden="false" customHeight="false" outlineLevel="0" collapsed="false">
      <c r="A32" s="236" t="s">
        <v>228</v>
      </c>
      <c r="B32" s="239" t="n">
        <v>0</v>
      </c>
      <c r="C32" s="240"/>
      <c r="D32" s="241"/>
      <c r="E32" s="241"/>
      <c r="F32" s="242"/>
      <c r="G32" s="239" t="n">
        <v>0</v>
      </c>
      <c r="H32" s="241"/>
      <c r="I32" s="241"/>
      <c r="J32" s="240"/>
      <c r="K32" s="239" t="n">
        <v>0</v>
      </c>
    </row>
    <row r="33" customFormat="false" ht="12.8" hidden="false" customHeight="false" outlineLevel="0" collapsed="false">
      <c r="A33" s="236" t="s">
        <v>231</v>
      </c>
      <c r="B33" s="239" t="n">
        <f aca="false">+B32</f>
        <v>0</v>
      </c>
      <c r="C33" s="240"/>
      <c r="D33" s="241"/>
      <c r="E33" s="241"/>
      <c r="F33" s="242"/>
      <c r="G33" s="239" t="n">
        <f aca="false">+G32</f>
        <v>0</v>
      </c>
      <c r="H33" s="241"/>
      <c r="I33" s="241"/>
      <c r="J33" s="240"/>
      <c r="K33" s="239" t="n">
        <f aca="false">+K32</f>
        <v>0</v>
      </c>
    </row>
    <row r="34" customFormat="false" ht="12.8" hidden="false" customHeight="false" outlineLevel="0" collapsed="false">
      <c r="A34" s="236" t="s">
        <v>232</v>
      </c>
      <c r="B34" s="239"/>
      <c r="C34" s="240"/>
      <c r="D34" s="241"/>
      <c r="E34" s="241"/>
      <c r="F34" s="242"/>
      <c r="G34" s="239"/>
      <c r="H34" s="241"/>
      <c r="I34" s="241"/>
      <c r="J34" s="240"/>
      <c r="K34" s="239"/>
    </row>
    <row r="35" customFormat="false" ht="12.8" hidden="false" customHeight="false" outlineLevel="0" collapsed="false">
      <c r="A35" s="236" t="s">
        <v>228</v>
      </c>
      <c r="B35" s="239" t="n">
        <v>0</v>
      </c>
      <c r="C35" s="240"/>
      <c r="D35" s="241"/>
      <c r="E35" s="241"/>
      <c r="F35" s="242"/>
      <c r="G35" s="239" t="n">
        <v>0</v>
      </c>
      <c r="H35" s="241"/>
      <c r="I35" s="241"/>
      <c r="J35" s="240"/>
      <c r="K35" s="239" t="n">
        <v>0</v>
      </c>
    </row>
    <row r="36" customFormat="false" ht="12.8" hidden="false" customHeight="false" outlineLevel="0" collapsed="false">
      <c r="A36" s="236" t="s">
        <v>233</v>
      </c>
      <c r="B36" s="239" t="n">
        <f aca="false">+B35</f>
        <v>0</v>
      </c>
      <c r="C36" s="240"/>
      <c r="D36" s="241"/>
      <c r="E36" s="241"/>
      <c r="F36" s="242"/>
      <c r="G36" s="239" t="n">
        <f aca="false">+G35</f>
        <v>0</v>
      </c>
      <c r="H36" s="241"/>
      <c r="I36" s="241"/>
      <c r="J36" s="240"/>
      <c r="K36" s="239" t="n">
        <f aca="false">+K35</f>
        <v>0</v>
      </c>
    </row>
    <row r="37" customFormat="false" ht="12.8" hidden="false" customHeight="false" outlineLevel="0" collapsed="false">
      <c r="A37" s="236" t="s">
        <v>234</v>
      </c>
      <c r="B37" s="239" t="n">
        <v>0</v>
      </c>
      <c r="C37" s="240"/>
      <c r="D37" s="241"/>
      <c r="E37" s="241"/>
      <c r="F37" s="242"/>
      <c r="G37" s="239" t="n">
        <v>0</v>
      </c>
      <c r="H37" s="241"/>
      <c r="I37" s="241"/>
      <c r="J37" s="240"/>
      <c r="K37" s="239" t="n">
        <v>0</v>
      </c>
    </row>
    <row r="38" customFormat="false" ht="12.8" hidden="false" customHeight="false" outlineLevel="0" collapsed="false">
      <c r="A38" s="236" t="s">
        <v>235</v>
      </c>
      <c r="B38" s="239"/>
      <c r="C38" s="240"/>
      <c r="D38" s="241"/>
      <c r="E38" s="241"/>
      <c r="F38" s="242"/>
      <c r="G38" s="239"/>
      <c r="H38" s="241"/>
      <c r="I38" s="241"/>
      <c r="J38" s="240"/>
      <c r="K38" s="239"/>
    </row>
    <row r="39" customFormat="false" ht="12.8" hidden="false" customHeight="false" outlineLevel="0" collapsed="false">
      <c r="A39" s="236" t="s">
        <v>228</v>
      </c>
      <c r="B39" s="239" t="n">
        <v>0</v>
      </c>
      <c r="C39" s="240"/>
      <c r="D39" s="241"/>
      <c r="E39" s="241"/>
      <c r="F39" s="242"/>
      <c r="G39" s="239" t="n">
        <v>0</v>
      </c>
      <c r="H39" s="241"/>
      <c r="I39" s="241"/>
      <c r="J39" s="240"/>
      <c r="K39" s="239" t="n">
        <v>0</v>
      </c>
    </row>
    <row r="40" customFormat="false" ht="12.8" hidden="false" customHeight="false" outlineLevel="0" collapsed="false">
      <c r="A40" s="236" t="s">
        <v>236</v>
      </c>
      <c r="B40" s="239" t="n">
        <f aca="false">+B39</f>
        <v>0</v>
      </c>
      <c r="C40" s="240"/>
      <c r="D40" s="241"/>
      <c r="E40" s="241"/>
      <c r="F40" s="242"/>
      <c r="G40" s="239" t="n">
        <f aca="false">+G39</f>
        <v>0</v>
      </c>
      <c r="H40" s="241"/>
      <c r="I40" s="241"/>
      <c r="J40" s="240"/>
      <c r="K40" s="239" t="n">
        <f aca="false">+K39</f>
        <v>0</v>
      </c>
    </row>
    <row r="41" s="256" customFormat="true" ht="12.8" hidden="false" customHeight="false" outlineLevel="0" collapsed="false">
      <c r="A41" s="250" t="s">
        <v>237</v>
      </c>
      <c r="B41" s="251" t="n">
        <f aca="false">+B40+B37+B36+B33+B30</f>
        <v>319157.479292317</v>
      </c>
      <c r="C41" s="252"/>
      <c r="D41" s="253"/>
      <c r="E41" s="253"/>
      <c r="F41" s="254"/>
      <c r="G41" s="251" t="n">
        <f aca="false">+G40+G37+G36+G33+G30</f>
        <v>323531.129292317</v>
      </c>
      <c r="H41" s="253"/>
      <c r="I41" s="253"/>
      <c r="J41" s="252"/>
      <c r="K41" s="251" t="n">
        <f aca="false">+K40+K37+K36+K33+K30</f>
        <v>329705.029292317</v>
      </c>
      <c r="L41" s="255"/>
    </row>
    <row r="42" customFormat="false" ht="12.8" hidden="false" customHeight="false" outlineLevel="0" collapsed="false">
      <c r="A42" s="236" t="s">
        <v>238</v>
      </c>
      <c r="B42" s="239"/>
      <c r="C42" s="240"/>
      <c r="D42" s="241"/>
      <c r="E42" s="241"/>
      <c r="F42" s="242"/>
      <c r="G42" s="239"/>
      <c r="H42" s="241"/>
      <c r="I42" s="241"/>
      <c r="J42" s="240"/>
      <c r="K42" s="239"/>
    </row>
    <row r="43" s="256" customFormat="true" ht="12.8" hidden="false" customHeight="false" outlineLevel="0" collapsed="false">
      <c r="A43" s="250" t="s">
        <v>239</v>
      </c>
      <c r="B43" s="251" t="n">
        <v>0</v>
      </c>
      <c r="C43" s="252"/>
      <c r="D43" s="253"/>
      <c r="E43" s="253"/>
      <c r="F43" s="254"/>
      <c r="G43" s="251" t="n">
        <v>0</v>
      </c>
      <c r="H43" s="253"/>
      <c r="I43" s="253"/>
      <c r="J43" s="252"/>
      <c r="K43" s="251" t="n">
        <v>0</v>
      </c>
      <c r="L43" s="255"/>
    </row>
    <row r="44" customFormat="false" ht="12.8" hidden="false" customHeight="false" outlineLevel="0" collapsed="false">
      <c r="A44" s="236" t="s">
        <v>240</v>
      </c>
      <c r="B44" s="239"/>
      <c r="C44" s="240"/>
      <c r="D44" s="241"/>
      <c r="E44" s="241"/>
      <c r="F44" s="242"/>
      <c r="G44" s="239"/>
      <c r="H44" s="241"/>
      <c r="I44" s="241"/>
      <c r="J44" s="240"/>
      <c r="K44" s="239"/>
    </row>
    <row r="45" customFormat="false" ht="12.8" hidden="false" customHeight="false" outlineLevel="0" collapsed="false">
      <c r="A45" s="236" t="s">
        <v>241</v>
      </c>
      <c r="B45" s="239" t="n">
        <f aca="false">+B57-B11-B17+(B106-B30)-(B124-B121-B83)+B80+B92-'3 - BILANCIO_CEE_2022_2024'!B130</f>
        <v>117870.929093431</v>
      </c>
      <c r="C45" s="240"/>
      <c r="D45" s="241"/>
      <c r="E45" s="241"/>
      <c r="F45" s="242"/>
      <c r="G45" s="239" t="n">
        <f aca="false">+B45+G106-G30-G124+G121+G84+G93-(G11-B11)-(+G17-B17)+B30-B84-B93-B87-G130</f>
        <v>102422.157752049</v>
      </c>
      <c r="H45" s="241"/>
      <c r="I45" s="241"/>
      <c r="J45" s="240"/>
      <c r="K45" s="239" t="n">
        <f aca="false">+G45+K106-K30-K124+K121+K84+K93-(K11-G11)-(+K17-G17)+G30-G84-G93-G87-K130</f>
        <v>141246.331600311</v>
      </c>
      <c r="L45" s="257" t="n">
        <f aca="false">+K45-'4 - CASH FLOW'!O77</f>
        <v>6260.41637368323</v>
      </c>
      <c r="M45" s="258"/>
    </row>
    <row r="46" customFormat="false" ht="12.8" hidden="false" customHeight="false" outlineLevel="0" collapsed="false">
      <c r="A46" s="236" t="s">
        <v>242</v>
      </c>
      <c r="B46" s="239" t="n">
        <v>0</v>
      </c>
      <c r="C46" s="240"/>
      <c r="D46" s="241"/>
      <c r="E46" s="241"/>
      <c r="F46" s="242"/>
      <c r="G46" s="239" t="n">
        <v>0</v>
      </c>
      <c r="H46" s="241"/>
      <c r="I46" s="241"/>
      <c r="J46" s="240"/>
      <c r="K46" s="239" t="n">
        <v>0</v>
      </c>
    </row>
    <row r="47" s="256" customFormat="true" ht="12.8" hidden="false" customHeight="false" outlineLevel="0" collapsed="false">
      <c r="A47" s="250" t="s">
        <v>243</v>
      </c>
      <c r="B47" s="251" t="n">
        <f aca="false">+B45+B46</f>
        <v>117870.929093431</v>
      </c>
      <c r="C47" s="252"/>
      <c r="D47" s="253"/>
      <c r="E47" s="253"/>
      <c r="F47" s="254"/>
      <c r="G47" s="251" t="n">
        <f aca="false">+G45+G46</f>
        <v>102422.157752049</v>
      </c>
      <c r="H47" s="253"/>
      <c r="I47" s="253"/>
      <c r="J47" s="252"/>
      <c r="K47" s="251" t="n">
        <f aca="false">+K45+K46</f>
        <v>141246.331600311</v>
      </c>
      <c r="L47" s="255"/>
    </row>
    <row r="48" s="232" customFormat="true" ht="12.8" hidden="false" customHeight="false" outlineLevel="0" collapsed="false">
      <c r="A48" s="235" t="s">
        <v>244</v>
      </c>
      <c r="B48" s="246" t="n">
        <f aca="false">+B47+B43+B41+B26</f>
        <v>437028.408385748</v>
      </c>
      <c r="C48" s="247"/>
      <c r="D48" s="248"/>
      <c r="E48" s="248"/>
      <c r="F48" s="249"/>
      <c r="G48" s="246" t="n">
        <f aca="false">+G47+G43+G41+G26</f>
        <v>425953.287044366</v>
      </c>
      <c r="H48" s="248"/>
      <c r="I48" s="248"/>
      <c r="J48" s="247"/>
      <c r="K48" s="246" t="n">
        <f aca="false">+K47+K43+K41+K26</f>
        <v>470951.360892628</v>
      </c>
      <c r="L48" s="231"/>
    </row>
    <row r="49" customFormat="false" ht="12.8" hidden="false" customHeight="false" outlineLevel="0" collapsed="false">
      <c r="B49" s="243"/>
      <c r="C49" s="244"/>
      <c r="D49" s="244"/>
      <c r="E49" s="244"/>
      <c r="F49" s="245"/>
      <c r="G49" s="243"/>
      <c r="H49" s="244"/>
      <c r="I49" s="244"/>
      <c r="J49" s="244"/>
      <c r="K49" s="243"/>
    </row>
    <row r="50" customFormat="false" ht="12.8" hidden="false" customHeight="false" outlineLevel="0" collapsed="false">
      <c r="A50" s="235" t="s">
        <v>245</v>
      </c>
      <c r="B50" s="246" t="n">
        <v>0</v>
      </c>
      <c r="C50" s="240"/>
      <c r="D50" s="241"/>
      <c r="E50" s="241"/>
      <c r="F50" s="242"/>
      <c r="G50" s="246" t="n">
        <v>0</v>
      </c>
      <c r="H50" s="241"/>
      <c r="I50" s="241"/>
      <c r="J50" s="240"/>
      <c r="K50" s="246" t="n">
        <v>0</v>
      </c>
    </row>
    <row r="51" customFormat="false" ht="12.8" hidden="false" customHeight="false" outlineLevel="0" collapsed="false">
      <c r="A51" s="232"/>
      <c r="B51" s="259"/>
      <c r="G51" s="259"/>
      <c r="K51" s="259"/>
    </row>
    <row r="52" s="232" customFormat="true" ht="15" hidden="false" customHeight="false" outlineLevel="0" collapsed="false">
      <c r="A52" s="260" t="s">
        <v>246</v>
      </c>
      <c r="B52" s="261" t="n">
        <f aca="false">+B50+B48+B22+B6</f>
        <v>973969.008385748</v>
      </c>
      <c r="C52" s="262"/>
      <c r="D52" s="262"/>
      <c r="E52" s="262"/>
      <c r="F52" s="263"/>
      <c r="G52" s="261" t="n">
        <f aca="false">+G50+G48+G22+G6</f>
        <v>1002450.18704437</v>
      </c>
      <c r="H52" s="262"/>
      <c r="I52" s="262"/>
      <c r="J52" s="262"/>
      <c r="K52" s="261" t="n">
        <f aca="false">+K50+K48+K22+K6</f>
        <v>1010208.36089263</v>
      </c>
      <c r="L52" s="231"/>
    </row>
    <row r="54" s="232" customFormat="true" ht="35.8" hidden="false" customHeight="true" outlineLevel="0" collapsed="false">
      <c r="A54" s="264" t="s">
        <v>247</v>
      </c>
      <c r="B54" s="228" t="n">
        <v>44926</v>
      </c>
      <c r="C54" s="229"/>
      <c r="D54" s="229"/>
      <c r="E54" s="229"/>
      <c r="F54" s="230"/>
      <c r="G54" s="228" t="n">
        <v>45291</v>
      </c>
      <c r="H54" s="229"/>
      <c r="I54" s="229"/>
      <c r="J54" s="229"/>
      <c r="K54" s="228" t="n">
        <v>45657</v>
      </c>
      <c r="L54" s="231"/>
    </row>
    <row r="55" s="232" customFormat="true" ht="15" hidden="false" customHeight="false" outlineLevel="0" collapsed="false">
      <c r="A55" s="260"/>
      <c r="B55" s="265"/>
      <c r="F55" s="234"/>
      <c r="G55" s="265"/>
      <c r="K55" s="265"/>
      <c r="L55" s="231"/>
    </row>
    <row r="56" customFormat="false" ht="12.8" hidden="false" customHeight="false" outlineLevel="0" collapsed="false">
      <c r="A56" s="235" t="s">
        <v>248</v>
      </c>
      <c r="B56" s="236"/>
      <c r="C56" s="237"/>
      <c r="D56" s="236"/>
      <c r="E56" s="236"/>
      <c r="F56" s="238"/>
      <c r="G56" s="236"/>
      <c r="H56" s="236"/>
      <c r="I56" s="236"/>
      <c r="J56" s="237"/>
      <c r="K56" s="236"/>
    </row>
    <row r="57" customFormat="false" ht="12.8" hidden="false" customHeight="false" outlineLevel="0" collapsed="false">
      <c r="A57" s="236" t="s">
        <v>249</v>
      </c>
      <c r="B57" s="239" t="n">
        <v>217991</v>
      </c>
      <c r="C57" s="240"/>
      <c r="D57" s="241"/>
      <c r="E57" s="241"/>
      <c r="F57" s="249"/>
      <c r="G57" s="239" t="n">
        <v>217991</v>
      </c>
      <c r="H57" s="241"/>
      <c r="I57" s="241"/>
      <c r="J57" s="240"/>
      <c r="K57" s="239" t="n">
        <v>217991</v>
      </c>
    </row>
    <row r="58" customFormat="false" ht="12.8" hidden="false" customHeight="false" outlineLevel="0" collapsed="false">
      <c r="A58" s="236" t="s">
        <v>250</v>
      </c>
      <c r="B58" s="239" t="n">
        <v>0</v>
      </c>
      <c r="C58" s="240"/>
      <c r="D58" s="241"/>
      <c r="E58" s="241"/>
      <c r="F58" s="242"/>
      <c r="G58" s="239" t="n">
        <v>0</v>
      </c>
      <c r="H58" s="241"/>
      <c r="I58" s="241"/>
      <c r="J58" s="240"/>
      <c r="K58" s="239" t="n">
        <v>0</v>
      </c>
    </row>
    <row r="59" customFormat="false" ht="12.8" hidden="false" customHeight="false" outlineLevel="0" collapsed="false">
      <c r="A59" s="236" t="s">
        <v>251</v>
      </c>
      <c r="B59" s="239" t="n">
        <v>0</v>
      </c>
      <c r="C59" s="240"/>
      <c r="D59" s="241"/>
      <c r="E59" s="241"/>
      <c r="F59" s="242"/>
      <c r="G59" s="239" t="n">
        <v>0</v>
      </c>
      <c r="H59" s="241"/>
      <c r="I59" s="241"/>
      <c r="J59" s="240"/>
      <c r="K59" s="239" t="n">
        <v>0</v>
      </c>
    </row>
    <row r="60" customFormat="false" ht="12.8" hidden="false" customHeight="false" outlineLevel="0" collapsed="false">
      <c r="A60" s="236" t="s">
        <v>252</v>
      </c>
      <c r="B60" s="239" t="n">
        <v>0</v>
      </c>
      <c r="C60" s="240"/>
      <c r="D60" s="241"/>
      <c r="E60" s="241"/>
      <c r="F60" s="242"/>
      <c r="G60" s="239" t="n">
        <v>0</v>
      </c>
      <c r="H60" s="241"/>
      <c r="I60" s="241"/>
      <c r="J60" s="240"/>
      <c r="K60" s="239" t="n">
        <v>0</v>
      </c>
    </row>
    <row r="61" customFormat="false" ht="12.8" hidden="false" customHeight="false" outlineLevel="0" collapsed="false">
      <c r="A61" s="236" t="s">
        <v>253</v>
      </c>
      <c r="B61" s="239" t="n">
        <v>0</v>
      </c>
      <c r="C61" s="240"/>
      <c r="D61" s="241"/>
      <c r="E61" s="241"/>
      <c r="F61" s="242"/>
      <c r="G61" s="239" t="n">
        <v>0</v>
      </c>
      <c r="H61" s="241"/>
      <c r="I61" s="241"/>
      <c r="J61" s="240"/>
      <c r="K61" s="239" t="n">
        <v>0</v>
      </c>
    </row>
    <row r="62" customFormat="false" ht="12.8" hidden="false" customHeight="false" outlineLevel="0" collapsed="false">
      <c r="A62" s="236" t="s">
        <v>254</v>
      </c>
      <c r="B62" s="239"/>
      <c r="C62" s="240"/>
      <c r="D62" s="241"/>
      <c r="E62" s="241"/>
      <c r="F62" s="242"/>
      <c r="G62" s="239"/>
      <c r="H62" s="241"/>
      <c r="I62" s="241"/>
      <c r="J62" s="240"/>
      <c r="K62" s="239"/>
    </row>
    <row r="63" customFormat="false" ht="12.8" hidden="false" customHeight="false" outlineLevel="0" collapsed="false">
      <c r="A63" s="236" t="s">
        <v>255</v>
      </c>
      <c r="B63" s="239" t="n">
        <v>0</v>
      </c>
      <c r="C63" s="240"/>
      <c r="D63" s="241"/>
      <c r="E63" s="241"/>
      <c r="F63" s="242"/>
      <c r="G63" s="239" t="n">
        <f aca="false">+B68</f>
        <v>5358.76861451518</v>
      </c>
      <c r="H63" s="241"/>
      <c r="I63" s="241"/>
      <c r="J63" s="240"/>
      <c r="K63" s="239" t="n">
        <f aca="false">+G63+G68</f>
        <v>25557.7651807264</v>
      </c>
    </row>
    <row r="64" customFormat="false" ht="12.8" hidden="false" customHeight="false" outlineLevel="0" collapsed="false">
      <c r="A64" s="236" t="s">
        <v>256</v>
      </c>
      <c r="B64" s="239" t="n">
        <v>0</v>
      </c>
      <c r="C64" s="240"/>
      <c r="D64" s="241"/>
      <c r="E64" s="241"/>
      <c r="F64" s="242"/>
      <c r="G64" s="239" t="n">
        <v>0</v>
      </c>
      <c r="H64" s="241"/>
      <c r="I64" s="241"/>
      <c r="J64" s="240"/>
      <c r="K64" s="239" t="n">
        <v>0</v>
      </c>
    </row>
    <row r="65" s="256" customFormat="true" ht="12.8" hidden="false" customHeight="false" outlineLevel="0" collapsed="false">
      <c r="A65" s="250" t="s">
        <v>257</v>
      </c>
      <c r="B65" s="251" t="n">
        <f aca="false">+B63+B64</f>
        <v>0</v>
      </c>
      <c r="C65" s="252"/>
      <c r="D65" s="253"/>
      <c r="E65" s="253"/>
      <c r="F65" s="254"/>
      <c r="G65" s="251" t="n">
        <f aca="false">+G63+G64</f>
        <v>5358.76861451518</v>
      </c>
      <c r="H65" s="253"/>
      <c r="I65" s="253"/>
      <c r="J65" s="252"/>
      <c r="K65" s="251" t="n">
        <f aca="false">+K63+K64</f>
        <v>25557.7651807264</v>
      </c>
      <c r="L65" s="255"/>
    </row>
    <row r="66" customFormat="false" ht="12.8" hidden="false" customHeight="false" outlineLevel="0" collapsed="false">
      <c r="A66" s="236" t="s">
        <v>258</v>
      </c>
      <c r="B66" s="239" t="n">
        <v>0</v>
      </c>
      <c r="C66" s="240"/>
      <c r="D66" s="241"/>
      <c r="E66" s="241"/>
      <c r="F66" s="242"/>
      <c r="G66" s="239" t="n">
        <v>0</v>
      </c>
      <c r="H66" s="241"/>
      <c r="I66" s="241"/>
      <c r="J66" s="240"/>
      <c r="K66" s="239" t="n">
        <v>0</v>
      </c>
    </row>
    <row r="67" customFormat="false" ht="12.8" hidden="false" customHeight="false" outlineLevel="0" collapsed="false">
      <c r="A67" s="236" t="s">
        <v>259</v>
      </c>
      <c r="B67" s="239" t="n">
        <v>0</v>
      </c>
      <c r="C67" s="240"/>
      <c r="D67" s="241"/>
      <c r="E67" s="241"/>
      <c r="F67" s="242"/>
      <c r="G67" s="239" t="n">
        <v>0</v>
      </c>
      <c r="H67" s="241"/>
      <c r="I67" s="241"/>
      <c r="J67" s="240"/>
      <c r="K67" s="239" t="n">
        <v>0</v>
      </c>
    </row>
    <row r="68" customFormat="false" ht="12.8" hidden="false" customHeight="false" outlineLevel="0" collapsed="false">
      <c r="A68" s="236" t="s">
        <v>260</v>
      </c>
      <c r="B68" s="239" t="n">
        <f aca="false">+B142</f>
        <v>5358.76861451518</v>
      </c>
      <c r="C68" s="240"/>
      <c r="D68" s="241"/>
      <c r="E68" s="241"/>
      <c r="F68" s="242"/>
      <c r="G68" s="239" t="n">
        <f aca="false">+G142</f>
        <v>20198.9965662113</v>
      </c>
      <c r="H68" s="241"/>
      <c r="I68" s="241"/>
      <c r="J68" s="240"/>
      <c r="K68" s="239" t="n">
        <f aca="false">+K142</f>
        <v>13235.3189814112</v>
      </c>
    </row>
    <row r="69" customFormat="false" ht="12.8" hidden="false" customHeight="false" outlineLevel="0" collapsed="false">
      <c r="A69" s="236" t="s">
        <v>261</v>
      </c>
      <c r="B69" s="239" t="n">
        <v>0</v>
      </c>
      <c r="C69" s="240"/>
      <c r="D69" s="241"/>
      <c r="E69" s="241"/>
      <c r="F69" s="242"/>
      <c r="G69" s="239" t="n">
        <v>0</v>
      </c>
      <c r="H69" s="241"/>
      <c r="I69" s="241"/>
      <c r="J69" s="240"/>
      <c r="K69" s="239" t="n">
        <v>0</v>
      </c>
    </row>
    <row r="70" customFormat="false" ht="12.8" hidden="false" customHeight="false" outlineLevel="0" collapsed="false">
      <c r="A70" s="236" t="s">
        <v>262</v>
      </c>
      <c r="B70" s="239" t="n">
        <v>0</v>
      </c>
      <c r="C70" s="240"/>
      <c r="D70" s="241"/>
      <c r="E70" s="241"/>
      <c r="F70" s="242"/>
      <c r="G70" s="239" t="n">
        <v>0</v>
      </c>
      <c r="H70" s="241"/>
      <c r="I70" s="241"/>
      <c r="J70" s="240"/>
      <c r="K70" s="239" t="n">
        <v>0</v>
      </c>
    </row>
    <row r="71" s="232" customFormat="true" ht="12.8" hidden="false" customHeight="false" outlineLevel="0" collapsed="false">
      <c r="A71" s="235" t="s">
        <v>263</v>
      </c>
      <c r="B71" s="246" t="n">
        <f aca="false">+B70+B69+B68+B67+B66+B65+B61+B60+B59+B58+B57</f>
        <v>223349.768614515</v>
      </c>
      <c r="C71" s="247"/>
      <c r="D71" s="248"/>
      <c r="E71" s="248"/>
      <c r="F71" s="249"/>
      <c r="G71" s="246" t="n">
        <f aca="false">+G70+G69+G68+G67+G66+G65+G61+G60+G59+G58+G57</f>
        <v>243548.765180726</v>
      </c>
      <c r="H71" s="248"/>
      <c r="I71" s="248"/>
      <c r="J71" s="247"/>
      <c r="K71" s="246" t="n">
        <f aca="false">+K70+K69+K68+K67+K66+K65+K61+K60+K59+K58+K57</f>
        <v>256784.084162138</v>
      </c>
      <c r="L71" s="231"/>
    </row>
    <row r="72" customFormat="false" ht="12.8" hidden="false" customHeight="false" outlineLevel="0" collapsed="false">
      <c r="B72" s="243"/>
      <c r="C72" s="244"/>
      <c r="D72" s="244"/>
      <c r="E72" s="244"/>
      <c r="F72" s="245"/>
      <c r="G72" s="243"/>
      <c r="H72" s="244"/>
      <c r="I72" s="244"/>
      <c r="J72" s="244"/>
      <c r="K72" s="243"/>
    </row>
    <row r="73" customFormat="false" ht="12.8" hidden="false" customHeight="false" outlineLevel="0" collapsed="false">
      <c r="A73" s="235" t="s">
        <v>264</v>
      </c>
      <c r="B73" s="241"/>
      <c r="C73" s="240"/>
      <c r="D73" s="241"/>
      <c r="E73" s="241"/>
      <c r="F73" s="242"/>
      <c r="G73" s="241"/>
      <c r="H73" s="241"/>
      <c r="I73" s="241"/>
      <c r="J73" s="240"/>
      <c r="K73" s="241"/>
    </row>
    <row r="74" customFormat="false" ht="12.8" hidden="false" customHeight="false" outlineLevel="0" collapsed="false">
      <c r="A74" s="236" t="s">
        <v>265</v>
      </c>
      <c r="B74" s="239" t="n">
        <v>0</v>
      </c>
      <c r="C74" s="240"/>
      <c r="D74" s="241"/>
      <c r="E74" s="241"/>
      <c r="F74" s="242"/>
      <c r="G74" s="239" t="n">
        <v>0</v>
      </c>
      <c r="H74" s="241"/>
      <c r="I74" s="241"/>
      <c r="J74" s="240"/>
      <c r="K74" s="239" t="n">
        <v>0</v>
      </c>
    </row>
    <row r="75" customFormat="false" ht="12.8" hidden="false" customHeight="false" outlineLevel="0" collapsed="false">
      <c r="B75" s="243"/>
      <c r="C75" s="244"/>
      <c r="D75" s="244"/>
      <c r="E75" s="244"/>
      <c r="F75" s="245"/>
      <c r="G75" s="243"/>
      <c r="H75" s="244"/>
      <c r="I75" s="244"/>
      <c r="J75" s="244"/>
      <c r="K75" s="243"/>
    </row>
    <row r="76" customFormat="false" ht="12.8" hidden="false" customHeight="false" outlineLevel="0" collapsed="false">
      <c r="A76" s="235" t="s">
        <v>266</v>
      </c>
      <c r="B76" s="239" t="n">
        <v>0</v>
      </c>
      <c r="C76" s="240"/>
      <c r="D76" s="241"/>
      <c r="E76" s="241"/>
      <c r="F76" s="242"/>
      <c r="G76" s="239" t="n">
        <v>0</v>
      </c>
      <c r="H76" s="241"/>
      <c r="I76" s="241"/>
      <c r="J76" s="240"/>
      <c r="K76" s="239" t="n">
        <v>0</v>
      </c>
    </row>
    <row r="77" customFormat="false" ht="12.8" hidden="false" customHeight="false" outlineLevel="0" collapsed="false">
      <c r="B77" s="243"/>
      <c r="C77" s="244"/>
      <c r="D77" s="244"/>
      <c r="E77" s="244"/>
      <c r="F77" s="245"/>
      <c r="G77" s="243"/>
      <c r="H77" s="244"/>
      <c r="I77" s="244"/>
      <c r="J77" s="244"/>
      <c r="K77" s="243"/>
    </row>
    <row r="78" customFormat="false" ht="12.8" hidden="false" customHeight="false" outlineLevel="0" collapsed="false">
      <c r="A78" s="235" t="s">
        <v>267</v>
      </c>
      <c r="B78" s="241"/>
      <c r="C78" s="240"/>
      <c r="D78" s="241"/>
      <c r="E78" s="241"/>
      <c r="F78" s="242"/>
      <c r="G78" s="241"/>
      <c r="H78" s="241"/>
      <c r="I78" s="241"/>
      <c r="J78" s="240"/>
      <c r="K78" s="241"/>
    </row>
    <row r="79" customFormat="false" ht="12.8" hidden="false" customHeight="false" outlineLevel="0" collapsed="false">
      <c r="A79" s="236" t="s">
        <v>268</v>
      </c>
      <c r="B79" s="239"/>
      <c r="C79" s="240"/>
      <c r="D79" s="241"/>
      <c r="E79" s="241"/>
      <c r="F79" s="242"/>
      <c r="G79" s="239"/>
      <c r="H79" s="241"/>
      <c r="I79" s="241"/>
      <c r="J79" s="240"/>
      <c r="K79" s="239"/>
    </row>
    <row r="80" customFormat="false" ht="12.8" hidden="false" customHeight="false" outlineLevel="0" collapsed="false">
      <c r="A80" s="236" t="s">
        <v>228</v>
      </c>
      <c r="B80" s="239" t="n">
        <v>400000</v>
      </c>
      <c r="C80" s="240"/>
      <c r="D80" s="241"/>
      <c r="E80" s="241"/>
      <c r="F80" s="242"/>
      <c r="G80" s="239" t="n">
        <f aca="false">+B80</f>
        <v>400000</v>
      </c>
      <c r="H80" s="241"/>
      <c r="I80" s="241"/>
      <c r="J80" s="240"/>
      <c r="K80" s="239" t="n">
        <f aca="false">+G80</f>
        <v>400000</v>
      </c>
    </row>
    <row r="81" s="256" customFormat="true" ht="12.8" hidden="false" customHeight="false" outlineLevel="0" collapsed="false">
      <c r="A81" s="250" t="s">
        <v>269</v>
      </c>
      <c r="B81" s="251" t="n">
        <f aca="false">+B80</f>
        <v>400000</v>
      </c>
      <c r="C81" s="252"/>
      <c r="D81" s="253"/>
      <c r="E81" s="253"/>
      <c r="F81" s="254"/>
      <c r="G81" s="251" t="n">
        <f aca="false">+G80</f>
        <v>400000</v>
      </c>
      <c r="H81" s="253"/>
      <c r="I81" s="253"/>
      <c r="J81" s="252"/>
      <c r="K81" s="251" t="n">
        <f aca="false">+K80</f>
        <v>400000</v>
      </c>
      <c r="L81" s="255"/>
    </row>
    <row r="82" customFormat="false" ht="12.8" hidden="false" customHeight="false" outlineLevel="0" collapsed="false">
      <c r="A82" s="236" t="s">
        <v>270</v>
      </c>
      <c r="B82" s="239"/>
      <c r="C82" s="240"/>
      <c r="D82" s="241"/>
      <c r="E82" s="241"/>
      <c r="F82" s="242"/>
      <c r="G82" s="239"/>
      <c r="H82" s="241"/>
      <c r="I82" s="241"/>
      <c r="J82" s="240"/>
      <c r="K82" s="239"/>
    </row>
    <row r="83" customFormat="false" ht="12.8" hidden="false" customHeight="false" outlineLevel="0" collapsed="false">
      <c r="A83" s="236" t="s">
        <v>228</v>
      </c>
      <c r="B83" s="239" t="n">
        <f aca="false">+(B124-B121)/6</f>
        <v>248594.251182</v>
      </c>
      <c r="C83" s="240"/>
      <c r="D83" s="241"/>
      <c r="E83" s="241"/>
      <c r="F83" s="242"/>
      <c r="G83" s="239" t="n">
        <f aca="false">+(G124-G121)/6</f>
        <v>249131.603019333</v>
      </c>
      <c r="H83" s="241"/>
      <c r="I83" s="241"/>
      <c r="J83" s="240"/>
      <c r="K83" s="239" t="n">
        <f aca="false">+(K124-K121)/6</f>
        <v>244543.444486</v>
      </c>
    </row>
    <row r="84" s="256" customFormat="true" ht="12.8" hidden="false" customHeight="false" outlineLevel="0" collapsed="false">
      <c r="A84" s="250" t="s">
        <v>271</v>
      </c>
      <c r="B84" s="251" t="n">
        <f aca="false">+B83</f>
        <v>248594.251182</v>
      </c>
      <c r="C84" s="252"/>
      <c r="D84" s="253"/>
      <c r="E84" s="253"/>
      <c r="F84" s="254"/>
      <c r="G84" s="251" t="n">
        <f aca="false">+G83</f>
        <v>249131.603019333</v>
      </c>
      <c r="H84" s="253"/>
      <c r="I84" s="253"/>
      <c r="J84" s="252"/>
      <c r="K84" s="251" t="n">
        <f aca="false">+K83</f>
        <v>244543.444486</v>
      </c>
      <c r="L84" s="255"/>
    </row>
    <row r="85" customFormat="false" ht="12.8" hidden="false" customHeight="false" outlineLevel="0" collapsed="false">
      <c r="A85" s="236" t="s">
        <v>272</v>
      </c>
      <c r="B85" s="239"/>
      <c r="C85" s="240"/>
      <c r="D85" s="241"/>
      <c r="E85" s="241"/>
      <c r="F85" s="242"/>
      <c r="G85" s="239"/>
      <c r="H85" s="241"/>
      <c r="I85" s="241"/>
      <c r="J85" s="240"/>
      <c r="K85" s="239"/>
    </row>
    <row r="86" customFormat="false" ht="12.8" hidden="false" customHeight="false" outlineLevel="0" collapsed="false">
      <c r="A86" s="236" t="s">
        <v>228</v>
      </c>
      <c r="B86" s="239" t="n">
        <f aca="false">+B138</f>
        <v>43340.2000473866</v>
      </c>
      <c r="C86" s="240"/>
      <c r="D86" s="241"/>
      <c r="E86" s="241"/>
      <c r="F86" s="242"/>
      <c r="G86" s="239" t="n">
        <f aca="false">+G138</f>
        <v>49909.4610716906</v>
      </c>
      <c r="H86" s="241"/>
      <c r="I86" s="241"/>
      <c r="J86" s="240"/>
      <c r="K86" s="239" t="n">
        <f aca="false">+K138</f>
        <v>47960.2898564906</v>
      </c>
    </row>
    <row r="87" s="256" customFormat="true" ht="12.8" hidden="false" customHeight="false" outlineLevel="0" collapsed="false">
      <c r="A87" s="250" t="s">
        <v>273</v>
      </c>
      <c r="B87" s="251" t="n">
        <f aca="false">+B86</f>
        <v>43340.2000473866</v>
      </c>
      <c r="C87" s="252"/>
      <c r="D87" s="253"/>
      <c r="E87" s="253"/>
      <c r="F87" s="254"/>
      <c r="G87" s="251" t="n">
        <f aca="false">+G86</f>
        <v>49909.4610716906</v>
      </c>
      <c r="H87" s="253"/>
      <c r="I87" s="253"/>
      <c r="J87" s="252"/>
      <c r="K87" s="251" t="n">
        <f aca="false">+K86</f>
        <v>47960.2898564906</v>
      </c>
      <c r="L87" s="255"/>
    </row>
    <row r="88" customFormat="false" ht="12.8" hidden="false" customHeight="false" outlineLevel="0" collapsed="false">
      <c r="A88" s="236" t="s">
        <v>274</v>
      </c>
      <c r="B88" s="239"/>
      <c r="C88" s="240"/>
      <c r="D88" s="241"/>
      <c r="E88" s="241"/>
      <c r="F88" s="242"/>
      <c r="G88" s="239"/>
      <c r="H88" s="241"/>
      <c r="I88" s="241"/>
      <c r="J88" s="240"/>
      <c r="K88" s="239"/>
    </row>
    <row r="89" customFormat="false" ht="12.8" hidden="false" customHeight="false" outlineLevel="0" collapsed="false">
      <c r="A89" s="236" t="s">
        <v>228</v>
      </c>
      <c r="B89" s="239" t="n">
        <v>0</v>
      </c>
      <c r="C89" s="240"/>
      <c r="D89" s="241"/>
      <c r="E89" s="241"/>
      <c r="F89" s="242"/>
      <c r="G89" s="239" t="n">
        <v>0</v>
      </c>
      <c r="H89" s="241"/>
      <c r="I89" s="241"/>
      <c r="J89" s="240"/>
      <c r="K89" s="239" t="n">
        <v>0</v>
      </c>
    </row>
    <row r="90" s="256" customFormat="true" ht="12.8" hidden="false" customHeight="false" outlineLevel="0" collapsed="false">
      <c r="A90" s="250" t="s">
        <v>275</v>
      </c>
      <c r="B90" s="251" t="n">
        <f aca="false">+B89</f>
        <v>0</v>
      </c>
      <c r="C90" s="252"/>
      <c r="D90" s="253"/>
      <c r="E90" s="253"/>
      <c r="F90" s="254"/>
      <c r="G90" s="251" t="n">
        <f aca="false">+G89</f>
        <v>0</v>
      </c>
      <c r="H90" s="253"/>
      <c r="I90" s="253"/>
      <c r="J90" s="252"/>
      <c r="K90" s="251" t="n">
        <f aca="false">+K89</f>
        <v>0</v>
      </c>
      <c r="L90" s="255"/>
    </row>
    <row r="91" customFormat="false" ht="12.8" hidden="false" customHeight="false" outlineLevel="0" collapsed="false">
      <c r="A91" s="236" t="s">
        <v>276</v>
      </c>
      <c r="B91" s="239"/>
      <c r="C91" s="240"/>
      <c r="D91" s="241"/>
      <c r="E91" s="241"/>
      <c r="F91" s="242"/>
      <c r="G91" s="239"/>
      <c r="H91" s="241"/>
      <c r="I91" s="241"/>
      <c r="J91" s="240"/>
      <c r="K91" s="239"/>
    </row>
    <row r="92" customFormat="false" ht="12.8" hidden="false" customHeight="false" outlineLevel="0" collapsed="false">
      <c r="A92" s="236" t="s">
        <v>228</v>
      </c>
      <c r="B92" s="239" t="n">
        <f aca="false">+B117/13</f>
        <v>58684.7885418461</v>
      </c>
      <c r="C92" s="240"/>
      <c r="D92" s="241"/>
      <c r="E92" s="241"/>
      <c r="F92" s="242"/>
      <c r="G92" s="239" t="n">
        <f aca="false">+G117/13</f>
        <v>59860.3577726154</v>
      </c>
      <c r="H92" s="241"/>
      <c r="I92" s="241"/>
      <c r="J92" s="240"/>
      <c r="K92" s="239" t="n">
        <f aca="false">+K117/13</f>
        <v>60920.542388</v>
      </c>
    </row>
    <row r="93" s="256" customFormat="true" ht="12.8" hidden="false" customHeight="false" outlineLevel="0" collapsed="false">
      <c r="A93" s="250" t="s">
        <v>277</v>
      </c>
      <c r="B93" s="251" t="n">
        <f aca="false">+B92</f>
        <v>58684.7885418461</v>
      </c>
      <c r="C93" s="252"/>
      <c r="D93" s="253"/>
      <c r="E93" s="253"/>
      <c r="F93" s="254"/>
      <c r="G93" s="251" t="n">
        <f aca="false">+G92</f>
        <v>59860.3577726154</v>
      </c>
      <c r="H93" s="253"/>
      <c r="I93" s="253"/>
      <c r="J93" s="252"/>
      <c r="K93" s="251" t="n">
        <f aca="false">+K92</f>
        <v>60920.542388</v>
      </c>
      <c r="L93" s="255"/>
    </row>
    <row r="94" s="232" customFormat="true" ht="12.8" hidden="false" customHeight="false" outlineLevel="0" collapsed="false">
      <c r="A94" s="235" t="s">
        <v>278</v>
      </c>
      <c r="B94" s="246" t="n">
        <f aca="false">+B93+B90+B87+B84+B81</f>
        <v>750619.239771233</v>
      </c>
      <c r="C94" s="247"/>
      <c r="D94" s="248"/>
      <c r="E94" s="248"/>
      <c r="F94" s="249"/>
      <c r="G94" s="246" t="n">
        <f aca="false">+G93+G90+G87+G84+G81</f>
        <v>758901.421863639</v>
      </c>
      <c r="H94" s="248"/>
      <c r="I94" s="248"/>
      <c r="J94" s="247"/>
      <c r="K94" s="246" t="n">
        <f aca="false">+K93+K90+K87+K84+K81</f>
        <v>753424.276730491</v>
      </c>
      <c r="L94" s="231"/>
    </row>
    <row r="95" customFormat="false" ht="12.8" hidden="false" customHeight="false" outlineLevel="0" collapsed="false">
      <c r="B95" s="243"/>
      <c r="C95" s="244"/>
      <c r="D95" s="244"/>
      <c r="E95" s="244"/>
      <c r="F95" s="245"/>
      <c r="G95" s="243"/>
      <c r="H95" s="244"/>
      <c r="I95" s="244"/>
      <c r="J95" s="244"/>
      <c r="K95" s="243"/>
    </row>
    <row r="96" customFormat="false" ht="12.8" hidden="false" customHeight="false" outlineLevel="0" collapsed="false">
      <c r="A96" s="235" t="s">
        <v>279</v>
      </c>
      <c r="B96" s="246" t="n">
        <v>0</v>
      </c>
      <c r="C96" s="240"/>
      <c r="D96" s="241"/>
      <c r="E96" s="241"/>
      <c r="F96" s="242"/>
      <c r="G96" s="246" t="n">
        <v>0</v>
      </c>
      <c r="H96" s="241"/>
      <c r="I96" s="241"/>
      <c r="J96" s="240"/>
      <c r="K96" s="246" t="n">
        <v>0</v>
      </c>
    </row>
    <row r="97" customFormat="false" ht="12.8" hidden="false" customHeight="false" outlineLevel="0" collapsed="false">
      <c r="B97" s="243"/>
      <c r="C97" s="244"/>
      <c r="D97" s="244"/>
      <c r="E97" s="244"/>
      <c r="F97" s="245"/>
      <c r="G97" s="243"/>
      <c r="H97" s="244"/>
      <c r="I97" s="244"/>
      <c r="J97" s="244"/>
      <c r="K97" s="243"/>
    </row>
    <row r="98" s="232" customFormat="true" ht="15" hidden="false" customHeight="false" outlineLevel="0" collapsed="false">
      <c r="A98" s="260" t="s">
        <v>280</v>
      </c>
      <c r="B98" s="261" t="n">
        <f aca="false">+B96+B94+B76+B74+B71</f>
        <v>973969.008385748</v>
      </c>
      <c r="C98" s="262"/>
      <c r="D98" s="262"/>
      <c r="E98" s="262"/>
      <c r="F98" s="263"/>
      <c r="G98" s="261" t="n">
        <f aca="false">+G96+G94+G76+G74+G71</f>
        <v>1002450.18704437</v>
      </c>
      <c r="H98" s="262"/>
      <c r="I98" s="262"/>
      <c r="J98" s="262"/>
      <c r="K98" s="261" t="n">
        <f aca="false">+K96+K94+K76+K74+K71</f>
        <v>1010208.36089263</v>
      </c>
      <c r="L98" s="231"/>
    </row>
    <row r="99" customFormat="false" ht="12.8" hidden="false" customHeight="false" outlineLevel="0" collapsed="false">
      <c r="B99" s="266" t="n">
        <f aca="false">+B98-B52</f>
        <v>0</v>
      </c>
      <c r="G99" s="266" t="n">
        <f aca="false">+G98-G52</f>
        <v>0</v>
      </c>
      <c r="K99" s="266" t="n">
        <f aca="false">+K98-K52</f>
        <v>0</v>
      </c>
    </row>
    <row r="100" s="232" customFormat="true" ht="36.55" hidden="false" customHeight="true" outlineLevel="0" collapsed="false">
      <c r="A100" s="267" t="s">
        <v>281</v>
      </c>
      <c r="B100" s="268" t="n">
        <v>44926</v>
      </c>
      <c r="C100" s="269"/>
      <c r="D100" s="269"/>
      <c r="E100" s="269"/>
      <c r="F100" s="270"/>
      <c r="G100" s="268" t="n">
        <v>45291</v>
      </c>
      <c r="H100" s="269"/>
      <c r="I100" s="269"/>
      <c r="J100" s="269"/>
      <c r="K100" s="268" t="n">
        <v>45657</v>
      </c>
      <c r="L100" s="231"/>
    </row>
    <row r="101" s="232" customFormat="true" ht="15" hidden="false" customHeight="false" outlineLevel="0" collapsed="false">
      <c r="A101" s="260"/>
      <c r="B101" s="265"/>
      <c r="F101" s="234"/>
      <c r="G101" s="265"/>
      <c r="K101" s="265"/>
      <c r="L101" s="231"/>
    </row>
    <row r="102" customFormat="false" ht="12.8" hidden="false" customHeight="false" outlineLevel="0" collapsed="false">
      <c r="A102" s="235" t="s">
        <v>282</v>
      </c>
      <c r="B102" s="236"/>
      <c r="C102" s="237"/>
      <c r="D102" s="236"/>
      <c r="E102" s="236"/>
      <c r="F102" s="238"/>
      <c r="G102" s="236"/>
      <c r="H102" s="236"/>
      <c r="I102" s="236"/>
      <c r="J102" s="237"/>
      <c r="K102" s="236"/>
    </row>
    <row r="103" customFormat="false" ht="12.8" hidden="false" customHeight="false" outlineLevel="0" collapsed="false">
      <c r="A103" s="236" t="s">
        <v>283</v>
      </c>
      <c r="B103" s="239" t="n">
        <f aca="false">+'2 - Budget_analitico_2022_2024'!G84+'2 - Budget_analitico_2022_2024'!G85+'2 - Budget_analitico_2022_2024'!G86+'2 - Budget_analitico_2022_2024'!G87+'2 - Budget_analitico_2022_2024'!G88+'2 - Budget_analitico_2022_2024'!G89+'2 - Budget_analitico_2022_2024'!G90+'2 - Budget_analitico_2022_2024'!G91+'2 - Budget_analitico_2022_2024'!G92+'2 - Budget_analitico_2022_2024'!G83+'2 - Budget_analitico_2022_2024'!G93</f>
        <v>1303016.93524103</v>
      </c>
      <c r="C103" s="240"/>
      <c r="D103" s="241"/>
      <c r="E103" s="241"/>
      <c r="F103" s="242"/>
      <c r="G103" s="239" t="n">
        <f aca="false">+'2 - Budget_analitico_2022_2024'!K84+'2 - Budget_analitico_2022_2024'!K85+'2 - Budget_analitico_2022_2024'!K86+'2 - Budget_analitico_2022_2024'!K87+'2 - Budget_analitico_2022_2024'!K88+'2 - Budget_analitico_2022_2024'!K89+'2 - Budget_analitico_2022_2024'!K90+'2 - Budget_analitico_2022_2024'!K91+'2 - Budget_analitico_2022_2024'!K92+'2 - Budget_analitico_2022_2024'!K83+'2 - Budget_analitico_2022_2024'!K93</f>
        <v>1333016.93524103</v>
      </c>
      <c r="H103" s="241"/>
      <c r="I103" s="241"/>
      <c r="J103" s="240"/>
      <c r="K103" s="239" t="n">
        <f aca="false">+'2 - Budget_analitico_2022_2024'!O84+'2 - Budget_analitico_2022_2024'!O85+'2 - Budget_analitico_2022_2024'!O86+'2 - Budget_analitico_2022_2024'!O87+'2 - Budget_analitico_2022_2024'!O88+'2 - Budget_analitico_2022_2024'!O89+'2 - Budget_analitico_2022_2024'!O90+'2 - Budget_analitico_2022_2024'!O91+'2 - Budget_analitico_2022_2024'!O92+'2 - Budget_analitico_2022_2024'!O83+'2 - Budget_analitico_2022_2024'!O93</f>
        <v>1353016.93524103</v>
      </c>
    </row>
    <row r="104" customFormat="false" ht="12.8" hidden="false" customHeight="false" outlineLevel="0" collapsed="false">
      <c r="A104" s="236" t="s">
        <v>284</v>
      </c>
      <c r="B104" s="239" t="n">
        <f aca="false">+'2 - Budget_analitico_2022_2024'!G105+'2 - Budget_analitico_2022_2024'!G106+'2 - Budget_analitico_2022_2024'!G109+'2 - Budget_analitico_2022_2024'!G110+'2 - Budget_analitico_2022_2024'!G115+'2 - Budget_analitico_2022_2024'!G116+'2 - Budget_analitico_2022_2024'!G119+'2 - Budget_analitico_2022_2024'!G120+'2 - Budget_analitico_2022_2024'!G125+'2 - Budget_analitico_2022_2024'!H136</f>
        <v>611927.940512872</v>
      </c>
      <c r="C104" s="240"/>
      <c r="D104" s="241"/>
      <c r="E104" s="241"/>
      <c r="F104" s="242"/>
      <c r="G104" s="239" t="n">
        <f aca="false">+'2 - Budget_analitico_2022_2024'!K105+'2 - Budget_analitico_2022_2024'!K106+'2 - Budget_analitico_2022_2024'!K109+'2 - Budget_analitico_2022_2024'!K110+'2 - Budget_analitico_2022_2024'!K115+'2 - Budget_analitico_2022_2024'!K116+'2 - Budget_analitico_2022_2024'!K119+'2 - Budget_analitico_2022_2024'!K120+'2 - Budget_analitico_2022_2024'!K125+'2 - Budget_analitico_2022_2024'!L136</f>
        <v>608169.840512872</v>
      </c>
      <c r="H104" s="241"/>
      <c r="I104" s="241"/>
      <c r="J104" s="240"/>
      <c r="K104" s="239" t="n">
        <f aca="false">+'2 - Budget_analitico_2022_2024'!O105+'2 - Budget_analitico_2022_2024'!O106+'2 - Budget_analitico_2022_2024'!O109+'2 - Budget_analitico_2022_2024'!O110+'2 - Budget_analitico_2022_2024'!O115+'2 - Budget_analitico_2022_2024'!O116+'2 - Budget_analitico_2022_2024'!O119+'2 - Budget_analitico_2022_2024'!O120+'2 - Budget_analitico_2022_2024'!O125+'2 - Budget_analitico_2022_2024'!P136</f>
        <v>625213.240512872</v>
      </c>
    </row>
    <row r="105" customFormat="false" ht="12.8" hidden="false" customHeight="false" outlineLevel="0" collapsed="false">
      <c r="A105" s="236"/>
      <c r="B105" s="239"/>
      <c r="C105" s="240"/>
      <c r="D105" s="241"/>
      <c r="E105" s="241"/>
      <c r="F105" s="242"/>
      <c r="G105" s="239"/>
      <c r="H105" s="241"/>
      <c r="I105" s="241"/>
      <c r="J105" s="240"/>
      <c r="K105" s="239"/>
    </row>
    <row r="106" customFormat="false" ht="12.8" hidden="false" customHeight="false" outlineLevel="0" collapsed="false">
      <c r="A106" s="235" t="s">
        <v>285</v>
      </c>
      <c r="B106" s="246" t="n">
        <f aca="false">SUM(B103:B104)</f>
        <v>1914944.8757539</v>
      </c>
      <c r="C106" s="240"/>
      <c r="D106" s="241"/>
      <c r="E106" s="241"/>
      <c r="F106" s="242"/>
      <c r="G106" s="246" t="n">
        <f aca="false">SUM(G103:G104)</f>
        <v>1941186.7757539</v>
      </c>
      <c r="H106" s="241"/>
      <c r="I106" s="241"/>
      <c r="J106" s="240"/>
      <c r="K106" s="246" t="n">
        <f aca="false">SUM(K103:K104)</f>
        <v>1978230.1757539</v>
      </c>
    </row>
    <row r="107" customFormat="false" ht="12.8" hidden="false" customHeight="false" outlineLevel="0" collapsed="false">
      <c r="B107" s="243"/>
      <c r="C107" s="244"/>
      <c r="D107" s="244"/>
      <c r="E107" s="244"/>
      <c r="F107" s="245"/>
      <c r="G107" s="243"/>
      <c r="H107" s="244"/>
      <c r="I107" s="244"/>
      <c r="J107" s="244"/>
      <c r="K107" s="243"/>
    </row>
    <row r="108" customFormat="false" ht="12.8" hidden="false" customHeight="false" outlineLevel="0" collapsed="false">
      <c r="A108" s="235" t="s">
        <v>286</v>
      </c>
      <c r="B108" s="239"/>
      <c r="C108" s="240"/>
      <c r="D108" s="241"/>
      <c r="E108" s="241"/>
      <c r="F108" s="242"/>
      <c r="G108" s="239"/>
      <c r="H108" s="241"/>
      <c r="I108" s="241"/>
      <c r="J108" s="240"/>
      <c r="K108" s="239"/>
    </row>
    <row r="109" customFormat="false" ht="12.8" hidden="false" customHeight="false" outlineLevel="0" collapsed="false">
      <c r="A109" s="236" t="s">
        <v>287</v>
      </c>
      <c r="B109" s="239" t="n">
        <f aca="false">-(+'2 - Budget_analitico_2022_2024'!G34+'2 - Budget_analitico_2022_2024'!G59+'2 - Budget_analitico_2022_2024'!G60+'2 - Budget_analitico_2022_2024'!G61+'2 - Budget_analitico_2022_2024'!G68+'2 - Budget_analitico_2022_2024'!G73+'2 - Budget_analitico_2022_2024'!G74+'2 - Budget_analitico_2022_2024'!G76)</f>
        <v>46243.23</v>
      </c>
      <c r="C109" s="240"/>
      <c r="D109" s="241"/>
      <c r="E109" s="241"/>
      <c r="F109" s="242"/>
      <c r="G109" s="239" t="n">
        <f aca="false">-(+'2 - Budget_analitico_2022_2024'!K34+'2 - Budget_analitico_2022_2024'!K59+'2 - Budget_analitico_2022_2024'!K60+'2 - Budget_analitico_2022_2024'!K61+'2 - Budget_analitico_2022_2024'!K68+'2 - Budget_analitico_2022_2024'!K73+'2 - Budget_analitico_2022_2024'!K74+'2 - Budget_analitico_2022_2024'!K76)</f>
        <v>55817</v>
      </c>
      <c r="H109" s="241"/>
      <c r="I109" s="241"/>
      <c r="J109" s="240"/>
      <c r="K109" s="239" t="n">
        <f aca="false">-(+'2 - Budget_analitico_2022_2024'!O34+'2 - Budget_analitico_2022_2024'!O59+'2 - Budget_analitico_2022_2024'!O60+'2 - Budget_analitico_2022_2024'!O61+'2 - Budget_analitico_2022_2024'!O68+'2 - Budget_analitico_2022_2024'!O73+'2 - Budget_analitico_2022_2024'!O74+'2 - Budget_analitico_2022_2024'!O76)</f>
        <v>52317</v>
      </c>
    </row>
    <row r="110" customFormat="false" ht="12.8" hidden="false" customHeight="false" outlineLevel="0" collapsed="false">
      <c r="A110" s="236" t="s">
        <v>288</v>
      </c>
      <c r="B110" s="239" t="n">
        <f aca="false">-(+'2 - Budget_analitico_2022_2024'!G7+'2 - Budget_analitico_2022_2024'!G8+'2 - Budget_analitico_2022_2024'!G9+'2 - Budget_analitico_2022_2024'!G15+'2 - Budget_analitico_2022_2024'!G16+'2 - Budget_analitico_2022_2024'!G19+'2 - Budget_analitico_2022_2024'!G20+'2 - Budget_analitico_2022_2024'!G22+'2 - Budget_analitico_2022_2024'!G25+'2 - Budget_analitico_2022_2024'!G26+'2 - Budget_analitico_2022_2024'!G29+'2 - Budget_analitico_2022_2024'!G30+'2 - Budget_analitico_2022_2024'!G31+'2 - Budget_analitico_2022_2024'!G33+'2 - Budget_analitico_2022_2024'!G36+'2 - Budget_analitico_2022_2024'!G38+'2 - Budget_analitico_2022_2024'!G39+'2 - Budget_analitico_2022_2024'!G50+'2 - Budget_analitico_2022_2024'!G51+'2 - Budget_analitico_2022_2024'!G52+'2 - Budget_analitico_2022_2024'!G53+'2 - Budget_analitico_2022_2024'!G54+'2 - Budget_analitico_2022_2024'!G55+'2 - Budget_analitico_2022_2024'!G63+'2 - Budget_analitico_2022_2024'!G64+'2 - Budget_analitico_2022_2024'!G67+'2 - Budget_analitico_2022_2024'!G70+'2 - Budget_analitico_2022_2024'!G78+'2 - Budget_analitico_2022_2024'!G80+'2 - Budget_analitico_2022_2024'!G82+'2 - Budget_analitico_2022_2024'!G10+'2 - Budget_analitico_2022_2024'!G14+'2 - Budget_analitico_2022_2024'!G27+'2 - Budget_analitico_2022_2024'!G48+'2 - Budget_analitico_2022_2024'!G114+'2 - Budget_analitico_2022_2024'!G123+'2 - Budget_analitico_2022_2024'!G124)</f>
        <v>419712.96</v>
      </c>
      <c r="C110" s="240"/>
      <c r="D110" s="241"/>
      <c r="E110" s="241"/>
      <c r="F110" s="242"/>
      <c r="G110" s="239" t="n">
        <f aca="false">-(+'2 - Budget_analitico_2022_2024'!K7+'2 - Budget_analitico_2022_2024'!K8+'2 - Budget_analitico_2022_2024'!K9+'2 - Budget_analitico_2022_2024'!K15+'2 - Budget_analitico_2022_2024'!K16+'2 - Budget_analitico_2022_2024'!K19+'2 - Budget_analitico_2022_2024'!K20+'2 - Budget_analitico_2022_2024'!K22+'2 - Budget_analitico_2022_2024'!K25+'2 - Budget_analitico_2022_2024'!K26+'2 - Budget_analitico_2022_2024'!K29+'2 - Budget_analitico_2022_2024'!K30+'2 - Budget_analitico_2022_2024'!K31+'2 - Budget_analitico_2022_2024'!K33+'2 - Budget_analitico_2022_2024'!K36+'2 - Budget_analitico_2022_2024'!K38+'2 - Budget_analitico_2022_2024'!K39+'2 - Budget_analitico_2022_2024'!K50+'2 - Budget_analitico_2022_2024'!K51+'2 - Budget_analitico_2022_2024'!K52+'2 - Budget_analitico_2022_2024'!K53+'2 - Budget_analitico_2022_2024'!K54+'2 - Budget_analitico_2022_2024'!K55+'2 - Budget_analitico_2022_2024'!K63+'2 - Budget_analitico_2022_2024'!K64+'2 - Budget_analitico_2022_2024'!K67+'2 - Budget_analitico_2022_2024'!K70+'2 - Budget_analitico_2022_2024'!K78+'2 - Budget_analitico_2022_2024'!K80+'2 - Budget_analitico_2022_2024'!K82+'2 - Budget_analitico_2022_2024'!K10+'2 - Budget_analitico_2022_2024'!K14+'2 - Budget_analitico_2022_2024'!K27+'2 - Budget_analitico_2022_2024'!K48+'2 - Budget_analitico_2022_2024'!K114+'2 - Budget_analitico_2022_2024'!K123+'2 - Budget_analitico_2022_2024'!K124)</f>
        <v>487060.46</v>
      </c>
      <c r="H110" s="241"/>
      <c r="I110" s="241"/>
      <c r="J110" s="240"/>
      <c r="K110" s="239" t="n">
        <f aca="false">-(+'2 - Budget_analitico_2022_2024'!O7+'2 - Budget_analitico_2022_2024'!O8+'2 - Budget_analitico_2022_2024'!O9+'2 - Budget_analitico_2022_2024'!O15+'2 - Budget_analitico_2022_2024'!O16+'2 - Budget_analitico_2022_2024'!O19+'2 - Budget_analitico_2022_2024'!O20+'2 - Budget_analitico_2022_2024'!O22+'2 - Budget_analitico_2022_2024'!O25+'2 - Budget_analitico_2022_2024'!O26+'2 - Budget_analitico_2022_2024'!O29+'2 - Budget_analitico_2022_2024'!O30+'2 - Budget_analitico_2022_2024'!O31+'2 - Budget_analitico_2022_2024'!O33+'2 - Budget_analitico_2022_2024'!O36+'2 - Budget_analitico_2022_2024'!O38+'2 - Budget_analitico_2022_2024'!O39+'2 - Budget_analitico_2022_2024'!O50+'2 - Budget_analitico_2022_2024'!O51+'2 - Budget_analitico_2022_2024'!O52+'2 - Budget_analitico_2022_2024'!O53+'2 - Budget_analitico_2022_2024'!O54+'2 - Budget_analitico_2022_2024'!O55+'2 - Budget_analitico_2022_2024'!O63+'2 - Budget_analitico_2022_2024'!O64+'2 - Budget_analitico_2022_2024'!O67+'2 - Budget_analitico_2022_2024'!O70+'2 - Budget_analitico_2022_2024'!O78+'2 - Budget_analitico_2022_2024'!O80+'2 - Budget_analitico_2022_2024'!O82+'2 - Budget_analitico_2022_2024'!O10+'2 - Budget_analitico_2022_2024'!O14+'2 - Budget_analitico_2022_2024'!O27+'2 - Budget_analitico_2022_2024'!O48+'2 - Budget_analitico_2022_2024'!O114+'2 - Budget_analitico_2022_2024'!O123+'2 - Budget_analitico_2022_2024'!O124)</f>
        <v>456907.96</v>
      </c>
    </row>
    <row r="111" customFormat="false" ht="12.8" hidden="false" customHeight="false" outlineLevel="0" collapsed="false">
      <c r="A111" s="236" t="s">
        <v>289</v>
      </c>
      <c r="B111" s="239" t="n">
        <f aca="false">-(+'2 - Budget_analitico_2022_2024'!G28+'2 - Budget_analitico_2022_2024'!G37+'2 - Budget_analitico_2022_2024'!G40+'2 - Budget_analitico_2022_2024'!G57)</f>
        <v>41545.6</v>
      </c>
      <c r="C111" s="240"/>
      <c r="D111" s="241"/>
      <c r="E111" s="241"/>
      <c r="F111" s="242"/>
      <c r="G111" s="239" t="n">
        <f aca="false">-(+'2 - Budget_analitico_2022_2024'!K28+'2 - Budget_analitico_2022_2024'!K37+'2 - Budget_analitico_2022_2024'!K40+'2 - Budget_analitico_2022_2024'!K57)</f>
        <v>41545.6</v>
      </c>
      <c r="H111" s="241"/>
      <c r="I111" s="241"/>
      <c r="J111" s="240"/>
      <c r="K111" s="239" t="n">
        <f aca="false">-(+'2 - Budget_analitico_2022_2024'!O28+'2 - Budget_analitico_2022_2024'!O37+'2 - Budget_analitico_2022_2024'!O40+'2 - Budget_analitico_2022_2024'!O57)</f>
        <v>41545.6</v>
      </c>
    </row>
    <row r="112" customFormat="false" ht="12.8" hidden="false" customHeight="false" outlineLevel="0" collapsed="false">
      <c r="A112" s="236" t="s">
        <v>290</v>
      </c>
      <c r="B112" s="239"/>
      <c r="C112" s="240"/>
      <c r="D112" s="241"/>
      <c r="E112" s="241"/>
      <c r="F112" s="242"/>
      <c r="G112" s="239"/>
      <c r="H112" s="241"/>
      <c r="I112" s="241"/>
      <c r="J112" s="240"/>
      <c r="K112" s="239"/>
    </row>
    <row r="113" customFormat="false" ht="12.8" hidden="false" customHeight="false" outlineLevel="0" collapsed="false">
      <c r="A113" s="236" t="s">
        <v>291</v>
      </c>
      <c r="B113" s="271" t="n">
        <f aca="false">-(+'2 - Budget_analitico_2022_2024'!G4+'2 - Budget_analitico_2022_2024'!G5+'2 - Budget_analitico_2022_2024'!G6+'2 - Budget_analitico_2022_2024'!G13+'2 - Budget_analitico_2022_2024'!G18+'2 - Budget_analitico_2022_2024'!G23+'2 - Budget_analitico_2022_2024'!G24+'2 - Budget_analitico_2022_2024'!G42+'2 - Budget_analitico_2022_2024'!G43+'2 - Budget_analitico_2022_2024'!G44+'2 - Budget_analitico_2022_2024'!G47+'2 - Budget_analitico_2022_2024'!G49+'2 - Budget_analitico_2022_2024'!G65+'2 - Budget_analitico_2022_2024'!G66+'2 - Budget_analitico_2022_2024'!G69+'2 - Budget_analitico_2022_2024'!G71+'2 - Budget_analitico_2022_2024'!G77+'2 - Budget_analitico_2022_2024'!G79+'2 - Budget_analitico_2022_2024'!G81+'2 - Budget_analitico_2022_2024'!G100+'2 - Budget_analitico_2022_2024'!G101+'2 - Budget_analitico_2022_2024'!G41+'2 - Budget_analitico_2022_2024'!G107+'2 - Budget_analitico_2022_2024'!G108+'2 - Budget_analitico_2022_2024'!G111+'2 - Budget_analitico_2022_2024'!G112+'2 - Budget_analitico_2022_2024'!G113+'2 - Budget_analitico_2022_2024'!G117+'2 - Budget_analitico_2022_2024'!G118+'2 - Budget_analitico_2022_2024'!G121+'2 - Budget_analitico_2022_2024'!G122)</f>
        <v>744843.371044</v>
      </c>
      <c r="C113" s="240"/>
      <c r="D113" s="241"/>
      <c r="E113" s="241"/>
      <c r="F113" s="242"/>
      <c r="G113" s="239" t="n">
        <f aca="false">-(+'2 - Budget_analitico_2022_2024'!K4+'2 - Budget_analitico_2022_2024'!K5+'2 - Budget_analitico_2022_2024'!K6+'2 - Budget_analitico_2022_2024'!K13+'2 - Budget_analitico_2022_2024'!K18+'2 - Budget_analitico_2022_2024'!K23+'2 - Budget_analitico_2022_2024'!K24+'2 - Budget_analitico_2022_2024'!K42+'2 - Budget_analitico_2022_2024'!K43+'2 - Budget_analitico_2022_2024'!K44+'2 - Budget_analitico_2022_2024'!K47+'2 - Budget_analitico_2022_2024'!K49+'2 - Budget_analitico_2022_2024'!K65+'2 - Budget_analitico_2022_2024'!K66+'2 - Budget_analitico_2022_2024'!K69+'2 - Budget_analitico_2022_2024'!K71+'2 - Budget_analitico_2022_2024'!K77+'2 - Budget_analitico_2022_2024'!K79+'2 - Budget_analitico_2022_2024'!K81+'2 - Budget_analitico_2022_2024'!K100+'2 - Budget_analitico_2022_2024'!K101+'2 - Budget_analitico_2022_2024'!K41+'2 - Budget_analitico_2022_2024'!K107+'2 - Budget_analitico_2022_2024'!K108+'2 - Budget_analitico_2022_2024'!K111+'2 - Budget_analitico_2022_2024'!K112+'2 - Budget_analitico_2022_2024'!K113+'2 - Budget_analitico_2022_2024'!K117+'2 - Budget_analitico_2022_2024'!K118+'2 - Budget_analitico_2022_2024'!K121+'2 - Budget_analitico_2022_2024'!K122)</f>
        <v>760125.771044</v>
      </c>
      <c r="H113" s="241"/>
      <c r="I113" s="241"/>
      <c r="J113" s="240"/>
      <c r="K113" s="239" t="n">
        <f aca="false">-(+'2 - Budget_analitico_2022_2024'!O4+'2 - Budget_analitico_2022_2024'!O5+'2 - Budget_analitico_2022_2024'!O6+'2 - Budget_analitico_2022_2024'!O13+'2 - Budget_analitico_2022_2024'!O18+'2 - Budget_analitico_2022_2024'!O23+'2 - Budget_analitico_2022_2024'!O24+'2 - Budget_analitico_2022_2024'!O42+'2 - Budget_analitico_2022_2024'!O43+'2 - Budget_analitico_2022_2024'!O44+'2 - Budget_analitico_2022_2024'!O47+'2 - Budget_analitico_2022_2024'!O49+'2 - Budget_analitico_2022_2024'!O65+'2 - Budget_analitico_2022_2024'!O66+'2 - Budget_analitico_2022_2024'!O69+'2 - Budget_analitico_2022_2024'!O71+'2 - Budget_analitico_2022_2024'!O77+'2 - Budget_analitico_2022_2024'!O79+'2 - Budget_analitico_2022_2024'!O81+'2 - Budget_analitico_2022_2024'!O100+'2 - Budget_analitico_2022_2024'!O101+'2 - Budget_analitico_2022_2024'!O41+'2 - Budget_analitico_2022_2024'!O107+'2 - Budget_analitico_2022_2024'!O108+'2 - Budget_analitico_2022_2024'!O111+'2 - Budget_analitico_2022_2024'!O112+'2 - Budget_analitico_2022_2024'!O113+'2 - Budget_analitico_2022_2024'!O117+'2 - Budget_analitico_2022_2024'!O118+'2 - Budget_analitico_2022_2024'!O121+'2 - Budget_analitico_2022_2024'!O122)</f>
        <v>773908.171044</v>
      </c>
    </row>
    <row r="114" customFormat="false" ht="12.8" hidden="false" customHeight="false" outlineLevel="0" collapsed="false">
      <c r="A114" s="236" t="s">
        <v>292</v>
      </c>
      <c r="B114" s="239" t="n">
        <v>0</v>
      </c>
      <c r="C114" s="240"/>
      <c r="D114" s="241"/>
      <c r="E114" s="241"/>
      <c r="F114" s="242"/>
      <c r="G114" s="239" t="n">
        <v>0</v>
      </c>
      <c r="H114" s="241"/>
      <c r="I114" s="241"/>
      <c r="J114" s="240"/>
      <c r="K114" s="239" t="n">
        <v>0</v>
      </c>
    </row>
    <row r="115" customFormat="false" ht="12.8" hidden="false" customHeight="false" outlineLevel="0" collapsed="false">
      <c r="A115" s="236" t="s">
        <v>293</v>
      </c>
      <c r="B115" s="239" t="n">
        <v>0</v>
      </c>
      <c r="C115" s="240"/>
      <c r="D115" s="241"/>
      <c r="E115" s="241"/>
      <c r="F115" s="242"/>
      <c r="G115" s="239" t="n">
        <v>0</v>
      </c>
      <c r="H115" s="241"/>
      <c r="I115" s="241"/>
      <c r="J115" s="240"/>
      <c r="K115" s="239" t="n">
        <v>0</v>
      </c>
    </row>
    <row r="116" customFormat="false" ht="12.8" hidden="false" customHeight="false" outlineLevel="0" collapsed="false">
      <c r="A116" s="236" t="s">
        <v>294</v>
      </c>
      <c r="B116" s="239" t="n">
        <f aca="false">-(+'2 - Budget_analitico_2022_2024'!G45+'2 - Budget_analitico_2022_2024'!G102)</f>
        <v>18058.88</v>
      </c>
      <c r="C116" s="240"/>
      <c r="D116" s="241"/>
      <c r="E116" s="241"/>
      <c r="F116" s="242"/>
      <c r="G116" s="239" t="n">
        <f aca="false">-(+'2 - Budget_analitico_2022_2024'!K45+'2 - Budget_analitico_2022_2024'!K102)</f>
        <v>18058.88</v>
      </c>
      <c r="H116" s="241"/>
      <c r="I116" s="241"/>
      <c r="J116" s="240"/>
      <c r="K116" s="239" t="n">
        <f aca="false">-(+'2 - Budget_analitico_2022_2024'!O45+'2 - Budget_analitico_2022_2024'!O102)</f>
        <v>18058.88</v>
      </c>
    </row>
    <row r="117" customFormat="false" ht="12.8" hidden="false" customHeight="false" outlineLevel="0" collapsed="false">
      <c r="A117" s="250" t="s">
        <v>295</v>
      </c>
      <c r="B117" s="251" t="n">
        <f aca="false">+B113+B114+B115+B116</f>
        <v>762902.251044</v>
      </c>
      <c r="C117" s="240"/>
      <c r="D117" s="241"/>
      <c r="E117" s="241"/>
      <c r="F117" s="242"/>
      <c r="G117" s="251" t="n">
        <f aca="false">+G113+G114+G115+G116</f>
        <v>778184.651044</v>
      </c>
      <c r="H117" s="241"/>
      <c r="I117" s="241"/>
      <c r="J117" s="240"/>
      <c r="K117" s="251" t="n">
        <f aca="false">+K113+K114+K115+K116</f>
        <v>791967.051044</v>
      </c>
    </row>
    <row r="118" customFormat="false" ht="12.8" hidden="false" customHeight="false" outlineLevel="0" collapsed="false">
      <c r="A118" s="236" t="s">
        <v>296</v>
      </c>
      <c r="B118" s="239"/>
      <c r="C118" s="240"/>
      <c r="D118" s="241"/>
      <c r="E118" s="241"/>
      <c r="F118" s="242"/>
      <c r="G118" s="239"/>
      <c r="H118" s="241"/>
      <c r="I118" s="241"/>
      <c r="J118" s="240"/>
      <c r="K118" s="239"/>
    </row>
    <row r="119" customFormat="false" ht="12.8" hidden="false" customHeight="false" outlineLevel="0" collapsed="false">
      <c r="A119" s="236" t="s">
        <v>297</v>
      </c>
      <c r="B119" s="239" t="n">
        <f aca="false">-(+'5 - Ammortamenti'!G4+'5 - Ammortamenti'!G5+'5 - Ammortamenti'!G7+'5 - Ammortamenti'!G16)</f>
        <v>38398</v>
      </c>
      <c r="C119" s="240"/>
      <c r="D119" s="241"/>
      <c r="E119" s="241"/>
      <c r="F119" s="242"/>
      <c r="G119" s="239" t="n">
        <f aca="false">+B119</f>
        <v>38398</v>
      </c>
      <c r="H119" s="241"/>
      <c r="I119" s="241"/>
      <c r="J119" s="240"/>
      <c r="K119" s="239" t="n">
        <f aca="false">+G119</f>
        <v>38398</v>
      </c>
    </row>
    <row r="120" customFormat="false" ht="12.8" hidden="false" customHeight="false" outlineLevel="0" collapsed="false">
      <c r="A120" s="236" t="s">
        <v>298</v>
      </c>
      <c r="B120" s="239" t="n">
        <f aca="false">-(+'5 - Ammortamenti'!G6+'5 - Ammortamenti'!G8+'5 - Ammortamenti'!G9+'5 - Ammortamenti'!G10+'5 - Ammortamenti'!G15+'5 - Ammortamenti'!G17)</f>
        <v>324282.4</v>
      </c>
      <c r="C120" s="240"/>
      <c r="D120" s="241"/>
      <c r="E120" s="241"/>
      <c r="F120" s="242"/>
      <c r="G120" s="239" t="n">
        <f aca="false">-(+'5 - Ammortamenti'!G6+'5 - Ammortamenti'!G11+'5 - Ammortamenti'!G15+'5 - Ammortamenti'!M17*0.3+'5 - Ammortamenti'!G18)</f>
        <v>325890.7</v>
      </c>
      <c r="H120" s="241"/>
      <c r="I120" s="241"/>
      <c r="J120" s="240"/>
      <c r="K120" s="239" t="n">
        <f aca="false">-(+'5 - Ammortamenti'!G6+'5 - Ammortamenti'!G12+'5 - Ammortamenti'!G15+'5 - Ammortamenti'!M17*0.2+'5 - Ammortamenti'!M18*0.3+'5 - Ammortamenti'!M19*0.4)</f>
        <v>399375.9</v>
      </c>
    </row>
    <row r="121" customFormat="false" ht="12.8" hidden="false" customHeight="false" outlineLevel="0" collapsed="false">
      <c r="A121" s="250" t="s">
        <v>299</v>
      </c>
      <c r="B121" s="251" t="n">
        <f aca="false">+B119+B120</f>
        <v>362680.4</v>
      </c>
      <c r="C121" s="240"/>
      <c r="D121" s="241"/>
      <c r="E121" s="241"/>
      <c r="F121" s="242"/>
      <c r="G121" s="251" t="n">
        <f aca="false">+G119+G120</f>
        <v>364288.7</v>
      </c>
      <c r="H121" s="241"/>
      <c r="I121" s="241"/>
      <c r="J121" s="240"/>
      <c r="K121" s="251" t="n">
        <f aca="false">+K119+K120</f>
        <v>437773.9</v>
      </c>
    </row>
    <row r="122" customFormat="false" ht="12.8" hidden="false" customHeight="false" outlineLevel="0" collapsed="false">
      <c r="A122" s="236" t="s">
        <v>300</v>
      </c>
      <c r="B122" s="239" t="n">
        <f aca="false">-(+'2 - Budget_analitico_2022_2024'!G11+'2 - Budget_analitico_2022_2024'!G35)-'2 - Budget_analitico_2022_2024'!H134-'2 - Budget_analitico_2022_2024'!H135</f>
        <v>221161.466048</v>
      </c>
      <c r="C122" s="240"/>
      <c r="D122" s="241"/>
      <c r="E122" s="241"/>
      <c r="F122" s="242"/>
      <c r="G122" s="239" t="n">
        <f aca="false">-(+'2 - Budget_analitico_2022_2024'!K11+'2 - Budget_analitico_2022_2024'!K35)-'2 - Budget_analitico_2022_2024'!L134-'2 - Budget_analitico_2022_2024'!L135</f>
        <v>132181.907072</v>
      </c>
      <c r="H122" s="241"/>
      <c r="I122" s="241"/>
      <c r="J122" s="240"/>
      <c r="K122" s="239" t="n">
        <f aca="false">-(+'2 - Budget_analitico_2022_2024'!O11+'2 - Budget_analitico_2022_2024'!O35)-'2 - Budget_analitico_2022_2024'!P134-'2 - Budget_analitico_2022_2024'!P135</f>
        <v>124523.055872</v>
      </c>
    </row>
    <row r="123" customFormat="false" ht="12.8" hidden="false" customHeight="false" outlineLevel="0" collapsed="false">
      <c r="A123" s="236"/>
      <c r="B123" s="239"/>
      <c r="C123" s="240"/>
      <c r="D123" s="241"/>
      <c r="E123" s="241"/>
      <c r="F123" s="242"/>
      <c r="G123" s="239"/>
      <c r="H123" s="241"/>
      <c r="I123" s="241"/>
      <c r="J123" s="240"/>
      <c r="K123" s="239"/>
    </row>
    <row r="124" customFormat="false" ht="12.8" hidden="false" customHeight="false" outlineLevel="0" collapsed="false">
      <c r="A124" s="235" t="s">
        <v>301</v>
      </c>
      <c r="B124" s="246" t="n">
        <f aca="false">+B109+B110+B111+B117+B121+B122</f>
        <v>1854245.907092</v>
      </c>
      <c r="C124" s="240"/>
      <c r="D124" s="241"/>
      <c r="E124" s="241"/>
      <c r="F124" s="242"/>
      <c r="G124" s="246" t="n">
        <f aca="false">+G109+G110+G111+G117+G121+G122</f>
        <v>1859078.318116</v>
      </c>
      <c r="H124" s="241"/>
      <c r="I124" s="241"/>
      <c r="J124" s="240"/>
      <c r="K124" s="246" t="n">
        <f aca="false">+K109+K110+K111+K117+K121+K122</f>
        <v>1905034.566916</v>
      </c>
    </row>
    <row r="125" customFormat="false" ht="12.8" hidden="false" customHeight="false" outlineLevel="0" collapsed="false">
      <c r="B125" s="243"/>
      <c r="C125" s="244"/>
      <c r="D125" s="244"/>
      <c r="E125" s="244"/>
      <c r="F125" s="245"/>
      <c r="G125" s="243"/>
      <c r="H125" s="244"/>
      <c r="I125" s="244"/>
      <c r="J125" s="244"/>
      <c r="K125" s="243"/>
    </row>
    <row r="126" customFormat="false" ht="15" hidden="false" customHeight="false" outlineLevel="0" collapsed="false">
      <c r="A126" s="260" t="s">
        <v>302</v>
      </c>
      <c r="B126" s="272" t="n">
        <f aca="false">+B106-B124</f>
        <v>60698.9686619018</v>
      </c>
      <c r="C126" s="244"/>
      <c r="D126" s="244"/>
      <c r="E126" s="244"/>
      <c r="F126" s="245"/>
      <c r="G126" s="272" t="n">
        <f aca="false">+G106-G124</f>
        <v>82108.4576379019</v>
      </c>
      <c r="H126" s="244"/>
      <c r="I126" s="244"/>
      <c r="J126" s="244"/>
      <c r="K126" s="272" t="n">
        <f aca="false">+K106-K124</f>
        <v>73195.6088379019</v>
      </c>
    </row>
    <row r="127" customFormat="false" ht="12.8" hidden="false" customHeight="false" outlineLevel="0" collapsed="false">
      <c r="B127" s="243"/>
      <c r="C127" s="244"/>
      <c r="D127" s="244"/>
      <c r="E127" s="244"/>
      <c r="F127" s="245"/>
      <c r="G127" s="243"/>
      <c r="H127" s="244"/>
      <c r="I127" s="244"/>
      <c r="J127" s="244"/>
      <c r="K127" s="243"/>
    </row>
    <row r="128" customFormat="false" ht="12.8" hidden="false" customHeight="false" outlineLevel="0" collapsed="false">
      <c r="A128" s="236" t="s">
        <v>303</v>
      </c>
      <c r="B128" s="239"/>
      <c r="C128" s="240"/>
      <c r="D128" s="241"/>
      <c r="E128" s="241"/>
      <c r="F128" s="242"/>
      <c r="G128" s="239"/>
      <c r="H128" s="241"/>
      <c r="I128" s="241"/>
      <c r="J128" s="240"/>
      <c r="K128" s="239"/>
    </row>
    <row r="129" customFormat="false" ht="12.8" hidden="false" customHeight="false" outlineLevel="0" collapsed="false">
      <c r="A129" s="236" t="s">
        <v>304</v>
      </c>
      <c r="B129" s="239" t="n">
        <f aca="false">+'2 - Budget_analitico_2022_2024'!G17</f>
        <v>-12000</v>
      </c>
      <c r="C129" s="240"/>
      <c r="D129" s="241"/>
      <c r="E129" s="241"/>
      <c r="F129" s="242"/>
      <c r="G129" s="239" t="n">
        <f aca="false">+'2 - Budget_analitico_2022_2024'!K17</f>
        <v>-12000</v>
      </c>
      <c r="H129" s="241"/>
      <c r="I129" s="241"/>
      <c r="J129" s="240"/>
      <c r="K129" s="239" t="n">
        <f aca="false">+'2 - Budget_analitico_2022_2024'!O17</f>
        <v>-12000</v>
      </c>
    </row>
    <row r="130" s="256" customFormat="true" ht="12.8" hidden="false" customHeight="false" outlineLevel="0" collapsed="false">
      <c r="A130" s="250" t="s">
        <v>305</v>
      </c>
      <c r="B130" s="251" t="n">
        <f aca="false">-B129</f>
        <v>12000</v>
      </c>
      <c r="C130" s="252"/>
      <c r="D130" s="253"/>
      <c r="E130" s="253"/>
      <c r="F130" s="254"/>
      <c r="G130" s="251" t="n">
        <f aca="false">-G129</f>
        <v>12000</v>
      </c>
      <c r="H130" s="253"/>
      <c r="I130" s="253"/>
      <c r="J130" s="252"/>
      <c r="K130" s="251" t="n">
        <f aca="false">-K129</f>
        <v>12000</v>
      </c>
      <c r="L130" s="255"/>
    </row>
    <row r="131" customFormat="false" ht="12.8" hidden="false" customHeight="false" outlineLevel="0" collapsed="false">
      <c r="B131" s="243"/>
      <c r="C131" s="244"/>
      <c r="D131" s="244"/>
      <c r="E131" s="244"/>
      <c r="F131" s="245"/>
      <c r="G131" s="243"/>
      <c r="H131" s="244"/>
      <c r="I131" s="244"/>
      <c r="J131" s="244"/>
      <c r="K131" s="243"/>
    </row>
    <row r="132" customFormat="false" ht="12.8" hidden="false" customHeight="false" outlineLevel="0" collapsed="false">
      <c r="A132" s="236" t="s">
        <v>306</v>
      </c>
      <c r="B132" s="239"/>
      <c r="C132" s="240"/>
      <c r="D132" s="241"/>
      <c r="E132" s="241"/>
      <c r="F132" s="242"/>
      <c r="G132" s="239"/>
      <c r="H132" s="241"/>
      <c r="I132" s="241"/>
      <c r="J132" s="240"/>
      <c r="K132" s="239"/>
    </row>
    <row r="133" s="256" customFormat="true" ht="12.8" hidden="false" customHeight="false" outlineLevel="0" collapsed="false">
      <c r="A133" s="250" t="s">
        <v>307</v>
      </c>
      <c r="B133" s="251" t="n">
        <v>0</v>
      </c>
      <c r="C133" s="252"/>
      <c r="D133" s="253"/>
      <c r="E133" s="253"/>
      <c r="F133" s="254"/>
      <c r="G133" s="251" t="n">
        <v>0</v>
      </c>
      <c r="H133" s="253"/>
      <c r="I133" s="253"/>
      <c r="J133" s="252"/>
      <c r="K133" s="251" t="n">
        <v>0</v>
      </c>
      <c r="L133" s="255"/>
    </row>
    <row r="134" customFormat="false" ht="12.8" hidden="false" customHeight="false" outlineLevel="0" collapsed="false">
      <c r="B134" s="243"/>
      <c r="C134" s="244"/>
      <c r="D134" s="244"/>
      <c r="E134" s="244"/>
      <c r="F134" s="245"/>
      <c r="G134" s="243"/>
      <c r="H134" s="244"/>
      <c r="I134" s="244"/>
      <c r="J134" s="244"/>
      <c r="K134" s="243"/>
    </row>
    <row r="135" customFormat="false" ht="15" hidden="false" customHeight="false" outlineLevel="0" collapsed="false">
      <c r="A135" s="260" t="s">
        <v>308</v>
      </c>
      <c r="B135" s="272" t="n">
        <f aca="false">+B126-B130-B133</f>
        <v>48698.9686619018</v>
      </c>
      <c r="C135" s="244"/>
      <c r="D135" s="244"/>
      <c r="E135" s="244"/>
      <c r="F135" s="245"/>
      <c r="G135" s="272" t="n">
        <f aca="false">+G126-G130-G133</f>
        <v>70108.4576379019</v>
      </c>
      <c r="H135" s="244"/>
      <c r="I135" s="244"/>
      <c r="J135" s="244"/>
      <c r="K135" s="272" t="n">
        <f aca="false">+K126-K130-K133</f>
        <v>61195.6088379019</v>
      </c>
    </row>
    <row r="136" customFormat="false" ht="15" hidden="false" customHeight="false" outlineLevel="0" collapsed="false">
      <c r="A136" s="260"/>
      <c r="B136" s="272"/>
      <c r="C136" s="244"/>
      <c r="D136" s="244"/>
      <c r="E136" s="244"/>
      <c r="F136" s="245"/>
      <c r="G136" s="272"/>
      <c r="H136" s="244"/>
      <c r="I136" s="244"/>
      <c r="J136" s="244"/>
      <c r="K136" s="272"/>
    </row>
    <row r="137" customFormat="false" ht="12.8" hidden="false" customHeight="false" outlineLevel="0" collapsed="false">
      <c r="A137" s="236" t="s">
        <v>309</v>
      </c>
      <c r="B137" s="239"/>
      <c r="C137" s="240"/>
      <c r="D137" s="241"/>
      <c r="E137" s="241"/>
      <c r="F137" s="242"/>
      <c r="G137" s="239"/>
      <c r="H137" s="241"/>
      <c r="I137" s="241"/>
      <c r="J137" s="240"/>
      <c r="K137" s="239"/>
    </row>
    <row r="138" customFormat="false" ht="12.8" hidden="false" customHeight="false" outlineLevel="0" collapsed="false">
      <c r="A138" s="236" t="s">
        <v>310</v>
      </c>
      <c r="B138" s="239" t="n">
        <f aca="false">+B135*0.24+(B135+B117)*0.039</f>
        <v>43340.2000473866</v>
      </c>
      <c r="C138" s="240"/>
      <c r="D138" s="241"/>
      <c r="E138" s="241"/>
      <c r="F138" s="242"/>
      <c r="G138" s="239" t="n">
        <f aca="false">+G135*0.24+(G135+G117)*0.039</f>
        <v>49909.4610716906</v>
      </c>
      <c r="H138" s="241"/>
      <c r="I138" s="241"/>
      <c r="J138" s="240"/>
      <c r="K138" s="239" t="n">
        <f aca="false">+K135*0.24+(K135+K117)*0.039</f>
        <v>47960.2898564906</v>
      </c>
    </row>
    <row r="139" customFormat="false" ht="12.8" hidden="false" customHeight="false" outlineLevel="0" collapsed="false">
      <c r="A139" s="236" t="s">
        <v>311</v>
      </c>
      <c r="B139" s="239" t="n">
        <v>0</v>
      </c>
      <c r="C139" s="240"/>
      <c r="D139" s="241"/>
      <c r="E139" s="241"/>
      <c r="F139" s="242"/>
      <c r="G139" s="239" t="n">
        <v>0</v>
      </c>
      <c r="H139" s="241"/>
      <c r="I139" s="241"/>
      <c r="J139" s="240"/>
      <c r="K139" s="239" t="n">
        <v>0</v>
      </c>
    </row>
    <row r="140" customFormat="false" ht="12.8" hidden="false" customHeight="false" outlineLevel="0" collapsed="false">
      <c r="A140" s="250" t="s">
        <v>312</v>
      </c>
      <c r="B140" s="239" t="n">
        <f aca="false">+B138</f>
        <v>43340.2000473866</v>
      </c>
      <c r="C140" s="240"/>
      <c r="D140" s="241"/>
      <c r="E140" s="241"/>
      <c r="F140" s="242"/>
      <c r="G140" s="239" t="n">
        <f aca="false">+G138</f>
        <v>49909.4610716906</v>
      </c>
      <c r="H140" s="241"/>
      <c r="I140" s="241"/>
      <c r="J140" s="240"/>
      <c r="K140" s="239" t="n">
        <f aca="false">+K138</f>
        <v>47960.2898564906</v>
      </c>
    </row>
    <row r="141" customFormat="false" ht="12.8" hidden="false" customHeight="false" outlineLevel="0" collapsed="false">
      <c r="B141" s="243"/>
      <c r="C141" s="244"/>
      <c r="D141" s="244"/>
      <c r="E141" s="244"/>
      <c r="F141" s="245"/>
      <c r="G141" s="243"/>
      <c r="H141" s="244"/>
      <c r="I141" s="244"/>
      <c r="J141" s="244"/>
      <c r="K141" s="243"/>
    </row>
    <row r="142" customFormat="false" ht="15" hidden="false" customHeight="false" outlineLevel="0" collapsed="false">
      <c r="A142" s="260" t="s">
        <v>313</v>
      </c>
      <c r="B142" s="272" t="n">
        <f aca="false">+B135-B140</f>
        <v>5358.76861451518</v>
      </c>
      <c r="C142" s="244"/>
      <c r="D142" s="244"/>
      <c r="E142" s="244"/>
      <c r="F142" s="245"/>
      <c r="G142" s="272" t="n">
        <f aca="false">+G135-G140</f>
        <v>20198.9965662113</v>
      </c>
      <c r="H142" s="244"/>
      <c r="I142" s="244"/>
      <c r="J142" s="244"/>
      <c r="K142" s="272" t="n">
        <f aca="false">+K135-K140</f>
        <v>13235.3189814112</v>
      </c>
    </row>
    <row r="143" customFormat="false" ht="12.8" hidden="false" customHeight="false" outlineLevel="0" collapsed="false">
      <c r="A143" s="224" t="s">
        <v>314</v>
      </c>
    </row>
    <row r="144" customFormat="false" ht="12.8" hidden="false" customHeight="false" outlineLevel="0" collapsed="false">
      <c r="G144" s="258"/>
    </row>
  </sheetData>
  <mergeCells count="1">
    <mergeCell ref="A1:L1"/>
  </mergeCells>
  <printOptions headings="false" gridLines="false" gridLinesSet="true" horizontalCentered="true" verticalCentered="false"/>
  <pageMargins left="0.39375" right="0.39375" top="0.39375" bottom="0.39375" header="0.511805555555555" footer="0.511805555555555"/>
  <pageSetup paperSize="9" scale="100" fitToWidth="1" fitToHeight="2"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8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84" activeCellId="0" sqref="D84"/>
    </sheetView>
  </sheetViews>
  <sheetFormatPr defaultColWidth="9.13671875" defaultRowHeight="12.75" zeroHeight="false" outlineLevelRow="0" outlineLevelCol="0"/>
  <cols>
    <col collapsed="false" customWidth="true" hidden="false" outlineLevel="0" max="1" min="1" style="273" width="35.42"/>
    <col collapsed="false" customWidth="true" hidden="false" outlineLevel="0" max="2" min="2" style="273" width="11.86"/>
    <col collapsed="false" customWidth="true" hidden="false" outlineLevel="0" max="3" min="3" style="273" width="3.14"/>
    <col collapsed="false" customWidth="true" hidden="false" outlineLevel="0" max="4" min="4" style="273" width="13.43"/>
    <col collapsed="false" customWidth="true" hidden="false" outlineLevel="0" max="14" min="5" style="273" width="11.86"/>
    <col collapsed="false" customWidth="true" hidden="false" outlineLevel="0" max="15" min="15" style="273" width="12.78"/>
    <col collapsed="false" customWidth="true" hidden="false" outlineLevel="0" max="16" min="16" style="273" width="3.89"/>
    <col collapsed="false" customWidth="true" hidden="false" outlineLevel="0" max="17" min="17" style="273" width="10.97"/>
    <col collapsed="false" customWidth="true" hidden="false" outlineLevel="0" max="18" min="18" style="273" width="3.61"/>
    <col collapsed="false" customWidth="true" hidden="false" outlineLevel="0" max="19" min="19" style="273" width="18"/>
    <col collapsed="false" customWidth="true" hidden="false" outlineLevel="0" max="20" min="20" style="273" width="10"/>
    <col collapsed="false" customWidth="false" hidden="false" outlineLevel="0" max="256" min="21" style="273" width="9.13"/>
    <col collapsed="false" customWidth="true" hidden="false" outlineLevel="0" max="257" min="257" style="273" width="35.42"/>
    <col collapsed="false" customWidth="true" hidden="false" outlineLevel="0" max="258" min="258" style="273" width="11.86"/>
    <col collapsed="false" customWidth="true" hidden="false" outlineLevel="0" max="259" min="259" style="273" width="3.14"/>
    <col collapsed="false" customWidth="true" hidden="false" outlineLevel="0" max="260" min="260" style="273" width="13.43"/>
    <col collapsed="false" customWidth="true" hidden="false" outlineLevel="0" max="270" min="261" style="273" width="11.86"/>
    <col collapsed="false" customWidth="true" hidden="false" outlineLevel="0" max="271" min="271" style="273" width="15.15"/>
    <col collapsed="false" customWidth="false" hidden="false" outlineLevel="0" max="272" min="272" style="273" width="9.13"/>
    <col collapsed="false" customWidth="true" hidden="false" outlineLevel="0" max="273" min="273" style="273" width="15.42"/>
    <col collapsed="false" customWidth="false" hidden="false" outlineLevel="0" max="274" min="274" style="273" width="9.13"/>
    <col collapsed="false" customWidth="true" hidden="false" outlineLevel="0" max="275" min="275" style="273" width="18"/>
    <col collapsed="false" customWidth="true" hidden="false" outlineLevel="0" max="276" min="276" style="273" width="10"/>
    <col collapsed="false" customWidth="false" hidden="false" outlineLevel="0" max="512" min="277" style="273" width="9.13"/>
    <col collapsed="false" customWidth="true" hidden="false" outlineLevel="0" max="513" min="513" style="273" width="35.42"/>
    <col collapsed="false" customWidth="true" hidden="false" outlineLevel="0" max="514" min="514" style="273" width="11.86"/>
    <col collapsed="false" customWidth="true" hidden="false" outlineLevel="0" max="515" min="515" style="273" width="3.14"/>
    <col collapsed="false" customWidth="true" hidden="false" outlineLevel="0" max="516" min="516" style="273" width="13.43"/>
    <col collapsed="false" customWidth="true" hidden="false" outlineLevel="0" max="526" min="517" style="273" width="11.86"/>
    <col collapsed="false" customWidth="true" hidden="false" outlineLevel="0" max="527" min="527" style="273" width="15.15"/>
    <col collapsed="false" customWidth="false" hidden="false" outlineLevel="0" max="528" min="528" style="273" width="9.13"/>
    <col collapsed="false" customWidth="true" hidden="false" outlineLevel="0" max="529" min="529" style="273" width="15.42"/>
    <col collapsed="false" customWidth="false" hidden="false" outlineLevel="0" max="530" min="530" style="273" width="9.13"/>
    <col collapsed="false" customWidth="true" hidden="false" outlineLevel="0" max="531" min="531" style="273" width="18"/>
    <col collapsed="false" customWidth="true" hidden="false" outlineLevel="0" max="532" min="532" style="273" width="10"/>
    <col collapsed="false" customWidth="false" hidden="false" outlineLevel="0" max="768" min="533" style="273" width="9.13"/>
    <col collapsed="false" customWidth="true" hidden="false" outlineLevel="0" max="769" min="769" style="273" width="35.42"/>
    <col collapsed="false" customWidth="true" hidden="false" outlineLevel="0" max="770" min="770" style="273" width="11.86"/>
    <col collapsed="false" customWidth="true" hidden="false" outlineLevel="0" max="771" min="771" style="273" width="3.14"/>
    <col collapsed="false" customWidth="true" hidden="false" outlineLevel="0" max="772" min="772" style="273" width="13.43"/>
    <col collapsed="false" customWidth="true" hidden="false" outlineLevel="0" max="782" min="773" style="273" width="11.86"/>
    <col collapsed="false" customWidth="true" hidden="false" outlineLevel="0" max="783" min="783" style="273" width="15.15"/>
    <col collapsed="false" customWidth="false" hidden="false" outlineLevel="0" max="784" min="784" style="273" width="9.13"/>
    <col collapsed="false" customWidth="true" hidden="false" outlineLevel="0" max="785" min="785" style="273" width="15.42"/>
    <col collapsed="false" customWidth="false" hidden="false" outlineLevel="0" max="786" min="786" style="273" width="9.13"/>
    <col collapsed="false" customWidth="true" hidden="false" outlineLevel="0" max="787" min="787" style="273" width="18"/>
    <col collapsed="false" customWidth="true" hidden="false" outlineLevel="0" max="788" min="788" style="273" width="10"/>
    <col collapsed="false" customWidth="false" hidden="false" outlineLevel="0" max="1024" min="789" style="273" width="9.13"/>
  </cols>
  <sheetData>
    <row r="1" customFormat="false" ht="35.8" hidden="false" customHeight="true" outlineLevel="0" collapsed="false">
      <c r="A1" s="274" t="s">
        <v>315</v>
      </c>
      <c r="B1" s="274"/>
      <c r="C1" s="274"/>
      <c r="D1" s="274"/>
      <c r="E1" s="275"/>
      <c r="F1" s="275"/>
      <c r="G1" s="275"/>
      <c r="H1" s="275"/>
      <c r="I1" s="275"/>
      <c r="J1" s="275"/>
      <c r="K1" s="275"/>
      <c r="L1" s="275"/>
      <c r="M1" s="275"/>
      <c r="N1" s="275"/>
      <c r="O1" s="275"/>
    </row>
    <row r="2" customFormat="false" ht="12.8" hidden="false" customHeight="false" outlineLevel="0" collapsed="false">
      <c r="A2" s="276"/>
      <c r="B2" s="277"/>
      <c r="C2" s="278"/>
      <c r="D2" s="278"/>
      <c r="E2" s="278"/>
      <c r="F2" s="278"/>
      <c r="G2" s="278"/>
      <c r="H2" s="278"/>
      <c r="I2" s="278"/>
      <c r="J2" s="278"/>
      <c r="K2" s="278"/>
      <c r="L2" s="278"/>
      <c r="M2" s="278"/>
      <c r="N2" s="278"/>
      <c r="O2" s="278"/>
    </row>
    <row r="3" customFormat="false" ht="12.75" hidden="false" customHeight="false" outlineLevel="0" collapsed="false">
      <c r="A3" s="279" t="s">
        <v>316</v>
      </c>
      <c r="B3" s="280" t="s">
        <v>317</v>
      </c>
      <c r="C3" s="281"/>
      <c r="D3" s="282" t="s">
        <v>318</v>
      </c>
      <c r="E3" s="282" t="s">
        <v>319</v>
      </c>
      <c r="F3" s="282" t="s">
        <v>320</v>
      </c>
      <c r="G3" s="282" t="s">
        <v>321</v>
      </c>
      <c r="H3" s="282" t="s">
        <v>322</v>
      </c>
      <c r="I3" s="282" t="s">
        <v>323</v>
      </c>
      <c r="J3" s="282" t="s">
        <v>324</v>
      </c>
      <c r="K3" s="282" t="s">
        <v>325</v>
      </c>
      <c r="L3" s="282" t="s">
        <v>326</v>
      </c>
      <c r="M3" s="282" t="s">
        <v>327</v>
      </c>
      <c r="N3" s="282" t="s">
        <v>328</v>
      </c>
      <c r="O3" s="283" t="s">
        <v>329</v>
      </c>
    </row>
    <row r="4" customFormat="false" ht="13.5" hidden="false" customHeight="false" outlineLevel="0" collapsed="false">
      <c r="A4" s="284"/>
      <c r="B4" s="285"/>
      <c r="C4" s="286"/>
      <c r="D4" s="287"/>
      <c r="E4" s="287"/>
      <c r="F4" s="287"/>
      <c r="G4" s="287"/>
      <c r="H4" s="287"/>
      <c r="I4" s="287"/>
      <c r="J4" s="287"/>
      <c r="K4" s="287"/>
      <c r="L4" s="287"/>
      <c r="M4" s="287"/>
      <c r="N4" s="287"/>
      <c r="O4" s="288"/>
    </row>
    <row r="5" customFormat="false" ht="13.5" hidden="false" customHeight="false" outlineLevel="0" collapsed="false">
      <c r="A5" s="289" t="s">
        <v>330</v>
      </c>
      <c r="B5" s="290" t="n">
        <v>0</v>
      </c>
      <c r="C5" s="291"/>
      <c r="D5" s="292" t="n">
        <f aca="false">B26</f>
        <v>617991</v>
      </c>
      <c r="E5" s="292" t="n">
        <f aca="false">D26</f>
        <v>113716.367043777</v>
      </c>
      <c r="F5" s="292" t="n">
        <f aca="false">E26</f>
        <v>125081.734087555</v>
      </c>
      <c r="G5" s="292" t="n">
        <f aca="false">F26</f>
        <v>129868.808883333</v>
      </c>
      <c r="H5" s="292" t="n">
        <f aca="false">G26</f>
        <v>141234.17592711</v>
      </c>
      <c r="I5" s="292" t="n">
        <f aca="false">H26</f>
        <v>152599.542970887</v>
      </c>
      <c r="J5" s="292" t="n">
        <f aca="false">I26</f>
        <v>163964.910014665</v>
      </c>
      <c r="K5" s="292" t="n">
        <f aca="false">J26</f>
        <v>120837.259126728</v>
      </c>
      <c r="L5" s="292" t="n">
        <f aca="false">K26</f>
        <v>132202.626170506</v>
      </c>
      <c r="M5" s="292" t="n">
        <f aca="false">L26</f>
        <v>143567.993214283</v>
      </c>
      <c r="N5" s="292" t="n">
        <f aca="false">M26</f>
        <v>154933.360258061</v>
      </c>
      <c r="O5" s="292" t="n">
        <f aca="false">N26</f>
        <v>166298.727301838</v>
      </c>
    </row>
    <row r="6" customFormat="false" ht="12.75" hidden="false" customHeight="false" outlineLevel="0" collapsed="false">
      <c r="A6" s="293"/>
      <c r="B6" s="294"/>
      <c r="C6" s="295"/>
      <c r="D6" s="294"/>
      <c r="E6" s="294"/>
      <c r="F6" s="294"/>
      <c r="G6" s="294"/>
      <c r="H6" s="294"/>
      <c r="I6" s="294"/>
      <c r="J6" s="294"/>
      <c r="K6" s="294"/>
      <c r="L6" s="294"/>
      <c r="M6" s="294"/>
      <c r="N6" s="294"/>
      <c r="O6" s="296"/>
    </row>
    <row r="7" customFormat="false" ht="15" hidden="false" customHeight="false" outlineLevel="0" collapsed="false">
      <c r="A7" s="297" t="s">
        <v>331</v>
      </c>
      <c r="B7" s="298"/>
      <c r="C7" s="299"/>
      <c r="D7" s="299" t="n">
        <f aca="false">SUM(D8:D9)</f>
        <v>159578.739646158</v>
      </c>
      <c r="E7" s="299" t="n">
        <f aca="false">SUM(E8:E9)</f>
        <v>159578.739646158</v>
      </c>
      <c r="F7" s="299" t="n">
        <f aca="false">SUM(F8:F9)</f>
        <v>159578.739646158</v>
      </c>
      <c r="G7" s="299" t="n">
        <f aca="false">SUM(G8:G9)</f>
        <v>159578.739646158</v>
      </c>
      <c r="H7" s="299" t="n">
        <f aca="false">SUM(H8:H9)</f>
        <v>159578.739646158</v>
      </c>
      <c r="I7" s="299" t="n">
        <f aca="false">SUM(I8:I9)</f>
        <v>159578.739646158</v>
      </c>
      <c r="J7" s="299" t="n">
        <f aca="false">SUM(J8:J9)</f>
        <v>159578.739646158</v>
      </c>
      <c r="K7" s="299" t="n">
        <f aca="false">SUM(K8:K9)</f>
        <v>159578.739646158</v>
      </c>
      <c r="L7" s="299" t="n">
        <f aca="false">SUM(L8:L9)</f>
        <v>159578.739646158</v>
      </c>
      <c r="M7" s="299" t="n">
        <f aca="false">SUM(M8:M9)</f>
        <v>159578.739646158</v>
      </c>
      <c r="N7" s="299" t="n">
        <f aca="false">SUM(N8:N9)</f>
        <v>159578.739646158</v>
      </c>
      <c r="O7" s="300" t="n">
        <f aca="false">SUM(O8:O9)</f>
        <v>159578.739646158</v>
      </c>
      <c r="Q7" s="301" t="n">
        <f aca="false">SUM(D7:P7)</f>
        <v>1914944.8757539</v>
      </c>
    </row>
    <row r="8" customFormat="false" ht="15" hidden="false" customHeight="false" outlineLevel="0" collapsed="false">
      <c r="A8" s="302" t="s">
        <v>332</v>
      </c>
      <c r="B8" s="298"/>
      <c r="C8" s="299"/>
      <c r="D8" s="295" t="n">
        <f aca="false">+'3 - BILANCIO_CEE_2022_2024'!B103/12</f>
        <v>108584.744603419</v>
      </c>
      <c r="E8" s="295" t="n">
        <f aca="false">+D8</f>
        <v>108584.744603419</v>
      </c>
      <c r="F8" s="295" t="n">
        <f aca="false">+E8</f>
        <v>108584.744603419</v>
      </c>
      <c r="G8" s="295" t="n">
        <f aca="false">+F8</f>
        <v>108584.744603419</v>
      </c>
      <c r="H8" s="295" t="n">
        <f aca="false">+G8</f>
        <v>108584.744603419</v>
      </c>
      <c r="I8" s="295" t="n">
        <f aca="false">+H8</f>
        <v>108584.744603419</v>
      </c>
      <c r="J8" s="295" t="n">
        <f aca="false">+I8</f>
        <v>108584.744603419</v>
      </c>
      <c r="K8" s="295" t="n">
        <f aca="false">+J8</f>
        <v>108584.744603419</v>
      </c>
      <c r="L8" s="295" t="n">
        <f aca="false">+K8</f>
        <v>108584.744603419</v>
      </c>
      <c r="M8" s="295" t="n">
        <f aca="false">+L8</f>
        <v>108584.744603419</v>
      </c>
      <c r="N8" s="295" t="n">
        <f aca="false">+M8</f>
        <v>108584.744603419</v>
      </c>
      <c r="O8" s="303" t="n">
        <f aca="false">+N8</f>
        <v>108584.744603419</v>
      </c>
    </row>
    <row r="9" customFormat="false" ht="15" hidden="false" customHeight="false" outlineLevel="0" collapsed="false">
      <c r="A9" s="302" t="s">
        <v>333</v>
      </c>
      <c r="B9" s="298"/>
      <c r="C9" s="299"/>
      <c r="D9" s="295" t="n">
        <f aca="false">+('3 - BILANCIO_CEE_2022_2024'!B104/12)</f>
        <v>50993.9950427393</v>
      </c>
      <c r="E9" s="295" t="n">
        <f aca="false">+D9</f>
        <v>50993.9950427393</v>
      </c>
      <c r="F9" s="295" t="n">
        <f aca="false">+E9</f>
        <v>50993.9950427393</v>
      </c>
      <c r="G9" s="295" t="n">
        <f aca="false">+F9</f>
        <v>50993.9950427393</v>
      </c>
      <c r="H9" s="295" t="n">
        <f aca="false">+G9</f>
        <v>50993.9950427393</v>
      </c>
      <c r="I9" s="295" t="n">
        <f aca="false">+H9</f>
        <v>50993.9950427393</v>
      </c>
      <c r="J9" s="295" t="n">
        <f aca="false">+I9</f>
        <v>50993.9950427393</v>
      </c>
      <c r="K9" s="295" t="n">
        <f aca="false">+J9</f>
        <v>50993.9950427393</v>
      </c>
      <c r="L9" s="295" t="n">
        <f aca="false">+K9</f>
        <v>50993.9950427393</v>
      </c>
      <c r="M9" s="295" t="n">
        <f aca="false">+L9</f>
        <v>50993.9950427393</v>
      </c>
      <c r="N9" s="295" t="n">
        <f aca="false">+M9</f>
        <v>50993.9950427393</v>
      </c>
      <c r="O9" s="303" t="n">
        <f aca="false">+N9</f>
        <v>50993.9950427393</v>
      </c>
    </row>
    <row r="10" customFormat="false" ht="15" hidden="false" customHeight="false" outlineLevel="0" collapsed="false">
      <c r="A10" s="302"/>
      <c r="B10" s="298"/>
      <c r="C10" s="299"/>
      <c r="D10" s="299"/>
      <c r="E10" s="299"/>
      <c r="F10" s="299"/>
      <c r="G10" s="299"/>
      <c r="H10" s="299"/>
      <c r="I10" s="299"/>
      <c r="J10" s="299"/>
      <c r="K10" s="299"/>
      <c r="L10" s="299"/>
      <c r="M10" s="299"/>
      <c r="N10" s="299"/>
      <c r="O10" s="300"/>
    </row>
    <row r="11" customFormat="false" ht="15" hidden="false" customHeight="false" outlineLevel="0" collapsed="false">
      <c r="A11" s="297" t="s">
        <v>334</v>
      </c>
      <c r="B11" s="298"/>
      <c r="C11" s="299"/>
      <c r="D11" s="299" t="n">
        <f aca="false">SUM(D12:D17)</f>
        <v>115214.955935714</v>
      </c>
      <c r="E11" s="299" t="n">
        <f aca="false">SUM(E12:E17)</f>
        <v>115214.955935714</v>
      </c>
      <c r="F11" s="299" t="n">
        <f aca="false">SUM(F12:F17)</f>
        <v>121793.248183714</v>
      </c>
      <c r="G11" s="299" t="n">
        <f aca="false">SUM(G12:G17)</f>
        <v>115214.955935714</v>
      </c>
      <c r="H11" s="299" t="n">
        <f aca="false">SUM(H12:H17)</f>
        <v>115214.955935714</v>
      </c>
      <c r="I11" s="299" t="n">
        <f aca="false">SUM(I12:I17)</f>
        <v>115214.955935714</v>
      </c>
      <c r="J11" s="299" t="n">
        <f aca="false">SUM(J12:J17)</f>
        <v>169707.973867429</v>
      </c>
      <c r="K11" s="299" t="n">
        <f aca="false">SUM(K12:K17)</f>
        <v>115214.955935714</v>
      </c>
      <c r="L11" s="299" t="n">
        <f aca="false">SUM(L12:L17)</f>
        <v>115214.955935714</v>
      </c>
      <c r="M11" s="299" t="n">
        <f aca="false">SUM(M12:M17)</f>
        <v>115214.955935714</v>
      </c>
      <c r="N11" s="299" t="n">
        <f aca="false">SUM(N12:N17)</f>
        <v>115214.955935714</v>
      </c>
      <c r="O11" s="300" t="n">
        <f aca="false">SUM(O12:O17)</f>
        <v>169707.973867429</v>
      </c>
      <c r="Q11" s="301" t="n">
        <f aca="false">SUM(D11:P11)</f>
        <v>1498143.79934</v>
      </c>
    </row>
    <row r="12" customFormat="false" ht="12.75" hidden="false" customHeight="false" outlineLevel="0" collapsed="false">
      <c r="A12" s="302" t="s">
        <v>335</v>
      </c>
      <c r="B12" s="295"/>
      <c r="C12" s="295"/>
      <c r="D12" s="295" t="n">
        <f aca="false">+'3 - BILANCIO_CEE_2022_2024'!B109/12</f>
        <v>3853.6025</v>
      </c>
      <c r="E12" s="295" t="n">
        <f aca="false">+D12</f>
        <v>3853.6025</v>
      </c>
      <c r="F12" s="295" t="n">
        <f aca="false">+E12</f>
        <v>3853.6025</v>
      </c>
      <c r="G12" s="295" t="n">
        <f aca="false">+F12</f>
        <v>3853.6025</v>
      </c>
      <c r="H12" s="295" t="n">
        <f aca="false">+G12</f>
        <v>3853.6025</v>
      </c>
      <c r="I12" s="295" t="n">
        <f aca="false">+H12</f>
        <v>3853.6025</v>
      </c>
      <c r="J12" s="295" t="n">
        <f aca="false">+I12</f>
        <v>3853.6025</v>
      </c>
      <c r="K12" s="295" t="n">
        <f aca="false">+J12</f>
        <v>3853.6025</v>
      </c>
      <c r="L12" s="295" t="n">
        <f aca="false">+K12</f>
        <v>3853.6025</v>
      </c>
      <c r="M12" s="295" t="n">
        <f aca="false">+L12</f>
        <v>3853.6025</v>
      </c>
      <c r="N12" s="295" t="n">
        <f aca="false">+M12</f>
        <v>3853.6025</v>
      </c>
      <c r="O12" s="303" t="n">
        <f aca="false">+N12</f>
        <v>3853.6025</v>
      </c>
      <c r="Q12" s="301"/>
    </row>
    <row r="13" customFormat="false" ht="12.75" hidden="false" customHeight="false" outlineLevel="0" collapsed="false">
      <c r="A13" s="302" t="s">
        <v>336</v>
      </c>
      <c r="B13" s="295"/>
      <c r="C13" s="295"/>
      <c r="D13" s="295" t="n">
        <f aca="false">+'3 - BILANCIO_CEE_2022_2024'!B110/12</f>
        <v>34976.08</v>
      </c>
      <c r="E13" s="295" t="n">
        <f aca="false">+D13</f>
        <v>34976.08</v>
      </c>
      <c r="F13" s="295" t="n">
        <f aca="false">+E13</f>
        <v>34976.08</v>
      </c>
      <c r="G13" s="295" t="n">
        <f aca="false">+F13</f>
        <v>34976.08</v>
      </c>
      <c r="H13" s="295" t="n">
        <f aca="false">+G13</f>
        <v>34976.08</v>
      </c>
      <c r="I13" s="295" t="n">
        <f aca="false">+H13</f>
        <v>34976.08</v>
      </c>
      <c r="J13" s="295" t="n">
        <f aca="false">+I13</f>
        <v>34976.08</v>
      </c>
      <c r="K13" s="295" t="n">
        <f aca="false">+J13</f>
        <v>34976.08</v>
      </c>
      <c r="L13" s="295" t="n">
        <f aca="false">+K13</f>
        <v>34976.08</v>
      </c>
      <c r="M13" s="295" t="n">
        <f aca="false">+L13</f>
        <v>34976.08</v>
      </c>
      <c r="N13" s="295" t="n">
        <f aca="false">+M13</f>
        <v>34976.08</v>
      </c>
      <c r="O13" s="303" t="n">
        <f aca="false">+N13</f>
        <v>34976.08</v>
      </c>
      <c r="Q13" s="301"/>
    </row>
    <row r="14" customFormat="false" ht="12.75" hidden="false" customHeight="false" outlineLevel="0" collapsed="false">
      <c r="A14" s="302" t="s">
        <v>337</v>
      </c>
      <c r="B14" s="295"/>
      <c r="C14" s="295"/>
      <c r="D14" s="295" t="n">
        <f aca="false">+'3 - BILANCIO_CEE_2022_2024'!B111/12</f>
        <v>3462.13333333333</v>
      </c>
      <c r="E14" s="295" t="n">
        <f aca="false">+D14</f>
        <v>3462.13333333333</v>
      </c>
      <c r="F14" s="295" t="n">
        <f aca="false">+E14</f>
        <v>3462.13333333333</v>
      </c>
      <c r="G14" s="295" t="n">
        <f aca="false">+F14</f>
        <v>3462.13333333333</v>
      </c>
      <c r="H14" s="295" t="n">
        <f aca="false">+G14</f>
        <v>3462.13333333333</v>
      </c>
      <c r="I14" s="295" t="n">
        <f aca="false">+H14</f>
        <v>3462.13333333333</v>
      </c>
      <c r="J14" s="295" t="n">
        <f aca="false">+I14</f>
        <v>3462.13333333333</v>
      </c>
      <c r="K14" s="295" t="n">
        <f aca="false">+J14</f>
        <v>3462.13333333333</v>
      </c>
      <c r="L14" s="295" t="n">
        <f aca="false">+K14</f>
        <v>3462.13333333333</v>
      </c>
      <c r="M14" s="295" t="n">
        <f aca="false">+L14</f>
        <v>3462.13333333333</v>
      </c>
      <c r="N14" s="295" t="n">
        <f aca="false">+M14</f>
        <v>3462.13333333333</v>
      </c>
      <c r="O14" s="303" t="n">
        <f aca="false">+N14</f>
        <v>3462.13333333333</v>
      </c>
      <c r="Q14" s="301"/>
    </row>
    <row r="15" customFormat="false" ht="12.75" hidden="false" customHeight="false" outlineLevel="0" collapsed="false">
      <c r="A15" s="302" t="s">
        <v>338</v>
      </c>
      <c r="B15" s="295"/>
      <c r="C15" s="295"/>
      <c r="D15" s="295" t="n">
        <f aca="false">+'3 - BILANCIO_CEE_2022_2024'!B117/14</f>
        <v>54493.0179317143</v>
      </c>
      <c r="E15" s="295" t="n">
        <f aca="false">+D15</f>
        <v>54493.0179317143</v>
      </c>
      <c r="F15" s="295" t="n">
        <f aca="false">+E15</f>
        <v>54493.0179317143</v>
      </c>
      <c r="G15" s="295" t="n">
        <f aca="false">+F15</f>
        <v>54493.0179317143</v>
      </c>
      <c r="H15" s="295" t="n">
        <f aca="false">+G15</f>
        <v>54493.0179317143</v>
      </c>
      <c r="I15" s="295" t="n">
        <f aca="false">+H15</f>
        <v>54493.0179317143</v>
      </c>
      <c r="J15" s="295" t="n">
        <f aca="false">+I15*2</f>
        <v>108986.035863429</v>
      </c>
      <c r="K15" s="295" t="n">
        <f aca="false">+I15</f>
        <v>54493.0179317143</v>
      </c>
      <c r="L15" s="295" t="n">
        <f aca="false">+K15</f>
        <v>54493.0179317143</v>
      </c>
      <c r="M15" s="295" t="n">
        <f aca="false">+L15</f>
        <v>54493.0179317143</v>
      </c>
      <c r="N15" s="295" t="n">
        <f aca="false">+M15</f>
        <v>54493.0179317143</v>
      </c>
      <c r="O15" s="303" t="n">
        <f aca="false">+N15*2</f>
        <v>108986.035863429</v>
      </c>
      <c r="Q15" s="301"/>
    </row>
    <row r="16" customFormat="false" ht="12.75" hidden="false" customHeight="false" outlineLevel="0" collapsed="false">
      <c r="A16" s="302" t="s">
        <v>339</v>
      </c>
      <c r="B16" s="295"/>
      <c r="C16" s="295"/>
      <c r="D16" s="295" t="n">
        <f aca="false">+'3 - BILANCIO_CEE_2022_2024'!B122/12</f>
        <v>18430.1221706667</v>
      </c>
      <c r="E16" s="295" t="n">
        <f aca="false">+D16</f>
        <v>18430.1221706667</v>
      </c>
      <c r="F16" s="295" t="n">
        <f aca="false">+E16</f>
        <v>18430.1221706667</v>
      </c>
      <c r="G16" s="295" t="n">
        <f aca="false">+F16</f>
        <v>18430.1221706667</v>
      </c>
      <c r="H16" s="295" t="n">
        <f aca="false">+G16</f>
        <v>18430.1221706667</v>
      </c>
      <c r="I16" s="295" t="n">
        <f aca="false">+H16</f>
        <v>18430.1221706667</v>
      </c>
      <c r="J16" s="295" t="n">
        <f aca="false">+I16</f>
        <v>18430.1221706667</v>
      </c>
      <c r="K16" s="295" t="n">
        <f aca="false">+J16</f>
        <v>18430.1221706667</v>
      </c>
      <c r="L16" s="295" t="n">
        <f aca="false">+K16</f>
        <v>18430.1221706667</v>
      </c>
      <c r="M16" s="295" t="n">
        <f aca="false">+L16</f>
        <v>18430.1221706667</v>
      </c>
      <c r="N16" s="295" t="n">
        <f aca="false">+M16</f>
        <v>18430.1221706667</v>
      </c>
      <c r="O16" s="303" t="n">
        <f aca="false">+N16</f>
        <v>18430.1221706667</v>
      </c>
      <c r="Q16" s="301"/>
    </row>
    <row r="17" customFormat="false" ht="12.75" hidden="false" customHeight="false" outlineLevel="0" collapsed="false">
      <c r="A17" s="302" t="s">
        <v>340</v>
      </c>
      <c r="B17" s="295"/>
      <c r="C17" s="295"/>
      <c r="D17" s="295" t="n">
        <v>0</v>
      </c>
      <c r="E17" s="295" t="n">
        <v>0</v>
      </c>
      <c r="F17" s="295" t="n">
        <f aca="false">+'2 - Budget_analitico_2022_2024'!H149</f>
        <v>6578.292248</v>
      </c>
      <c r="G17" s="295" t="n">
        <v>0</v>
      </c>
      <c r="H17" s="295" t="n">
        <v>0</v>
      </c>
      <c r="I17" s="295" t="n">
        <v>0</v>
      </c>
      <c r="J17" s="295" t="n">
        <v>0</v>
      </c>
      <c r="K17" s="295" t="n">
        <v>0</v>
      </c>
      <c r="L17" s="295" t="n">
        <v>0</v>
      </c>
      <c r="M17" s="295" t="n">
        <v>0</v>
      </c>
      <c r="N17" s="295" t="n">
        <v>0</v>
      </c>
      <c r="O17" s="303" t="n">
        <v>0</v>
      </c>
      <c r="Q17" s="301"/>
    </row>
    <row r="18" customFormat="false" ht="13.5" hidden="false" customHeight="false" outlineLevel="0" collapsed="false">
      <c r="A18" s="284"/>
      <c r="B18" s="304"/>
      <c r="C18" s="295"/>
      <c r="D18" s="304"/>
      <c r="E18" s="304"/>
      <c r="F18" s="304"/>
      <c r="G18" s="304"/>
      <c r="H18" s="304"/>
      <c r="I18" s="304"/>
      <c r="J18" s="304"/>
      <c r="K18" s="304"/>
      <c r="L18" s="304"/>
      <c r="M18" s="304"/>
      <c r="N18" s="304"/>
      <c r="O18" s="305"/>
    </row>
    <row r="19" customFormat="false" ht="13.5" hidden="false" customHeight="false" outlineLevel="0" collapsed="false">
      <c r="A19" s="289" t="s">
        <v>341</v>
      </c>
      <c r="B19" s="290" t="n">
        <f aca="false">B5</f>
        <v>0</v>
      </c>
      <c r="C19" s="291"/>
      <c r="D19" s="292" t="n">
        <f aca="false">D5+D7-D11</f>
        <v>662354.783710444</v>
      </c>
      <c r="E19" s="292" t="n">
        <f aca="false">E5+E7-E11</f>
        <v>158080.150754222</v>
      </c>
      <c r="F19" s="292" t="n">
        <f aca="false">F5+F7-F11</f>
        <v>162867.225549999</v>
      </c>
      <c r="G19" s="292" t="n">
        <f aca="false">G5+G7-G11</f>
        <v>174232.592593777</v>
      </c>
      <c r="H19" s="292" t="n">
        <f aca="false">H5+H7-H11</f>
        <v>185597.959637554</v>
      </c>
      <c r="I19" s="292" t="n">
        <f aca="false">I5+I7-I11</f>
        <v>196963.326681332</v>
      </c>
      <c r="J19" s="292" t="n">
        <f aca="false">J5+J7-J11</f>
        <v>153835.675793395</v>
      </c>
      <c r="K19" s="292" t="n">
        <f aca="false">K5+K7-K11</f>
        <v>165201.042837172</v>
      </c>
      <c r="L19" s="292" t="n">
        <f aca="false">L5+L7-L11</f>
        <v>176566.40988095</v>
      </c>
      <c r="M19" s="292" t="n">
        <f aca="false">M5+M7-M11</f>
        <v>187931.776924727</v>
      </c>
      <c r="N19" s="292" t="n">
        <f aca="false">N5+N7-N11</f>
        <v>199297.143968505</v>
      </c>
      <c r="O19" s="292" t="n">
        <f aca="false">O5+O7-O11</f>
        <v>156169.493080568</v>
      </c>
    </row>
    <row r="20" customFormat="false" ht="12.8" hidden="false" customHeight="false" outlineLevel="0" collapsed="false">
      <c r="A20" s="306"/>
      <c r="B20" s="294"/>
      <c r="C20" s="295"/>
      <c r="D20" s="294"/>
      <c r="E20" s="294"/>
      <c r="F20" s="294"/>
      <c r="G20" s="294"/>
      <c r="H20" s="294"/>
      <c r="I20" s="294"/>
      <c r="J20" s="294"/>
      <c r="K20" s="294"/>
      <c r="L20" s="294"/>
      <c r="M20" s="294"/>
      <c r="N20" s="294"/>
      <c r="O20" s="296"/>
    </row>
    <row r="21" customFormat="false" ht="12.75" hidden="false" customHeight="false" outlineLevel="0" collapsed="false">
      <c r="A21" s="302" t="s">
        <v>342</v>
      </c>
      <c r="B21" s="298" t="n">
        <f aca="false">+'3 - BILANCIO_CEE_2022_2024'!B57</f>
        <v>217991</v>
      </c>
      <c r="C21" s="295"/>
      <c r="D21" s="295" t="n">
        <v>0</v>
      </c>
      <c r="E21" s="295" t="n">
        <v>0</v>
      </c>
      <c r="F21" s="295" t="n">
        <f aca="false">+E21</f>
        <v>0</v>
      </c>
      <c r="G21" s="295" t="n">
        <f aca="false">+F21</f>
        <v>0</v>
      </c>
      <c r="H21" s="295" t="n">
        <f aca="false">+G21</f>
        <v>0</v>
      </c>
      <c r="I21" s="295" t="n">
        <f aca="false">+H21</f>
        <v>0</v>
      </c>
      <c r="J21" s="295" t="n">
        <f aca="false">+I21</f>
        <v>0</v>
      </c>
      <c r="K21" s="295" t="n">
        <f aca="false">+J21</f>
        <v>0</v>
      </c>
      <c r="L21" s="295" t="n">
        <f aca="false">+K21</f>
        <v>0</v>
      </c>
      <c r="M21" s="295" t="n">
        <f aca="false">+L21</f>
        <v>0</v>
      </c>
      <c r="N21" s="295" t="n">
        <f aca="false">+M21</f>
        <v>0</v>
      </c>
      <c r="O21" s="303" t="n">
        <f aca="false">+N21</f>
        <v>0</v>
      </c>
    </row>
    <row r="22" customFormat="false" ht="12.75" hidden="false" customHeight="false" outlineLevel="0" collapsed="false">
      <c r="A22" s="302" t="s">
        <v>343</v>
      </c>
      <c r="B22" s="298" t="n">
        <f aca="false">+'3 - BILANCIO_CEE_2022_2024'!B80</f>
        <v>400000</v>
      </c>
      <c r="C22" s="295"/>
      <c r="D22" s="295" t="n">
        <f aca="false">-'3 - BILANCIO_CEE_2022_2024'!B130/12</f>
        <v>-1000</v>
      </c>
      <c r="E22" s="295" t="n">
        <f aca="false">+D22</f>
        <v>-1000</v>
      </c>
      <c r="F22" s="295" t="n">
        <f aca="false">+E22</f>
        <v>-1000</v>
      </c>
      <c r="G22" s="295" t="n">
        <f aca="false">+F22</f>
        <v>-1000</v>
      </c>
      <c r="H22" s="295" t="n">
        <f aca="false">+G22</f>
        <v>-1000</v>
      </c>
      <c r="I22" s="295" t="n">
        <f aca="false">+H22</f>
        <v>-1000</v>
      </c>
      <c r="J22" s="295" t="n">
        <f aca="false">+I22</f>
        <v>-1000</v>
      </c>
      <c r="K22" s="295" t="n">
        <f aca="false">+J22</f>
        <v>-1000</v>
      </c>
      <c r="L22" s="295" t="n">
        <f aca="false">+K22</f>
        <v>-1000</v>
      </c>
      <c r="M22" s="295" t="n">
        <f aca="false">+L22</f>
        <v>-1000</v>
      </c>
      <c r="N22" s="295" t="n">
        <f aca="false">+M22</f>
        <v>-1000</v>
      </c>
      <c r="O22" s="303" t="n">
        <f aca="false">+N22</f>
        <v>-1000</v>
      </c>
      <c r="Q22" s="307"/>
    </row>
    <row r="23" customFormat="false" ht="12.75" hidden="false" customHeight="false" outlineLevel="0" collapsed="false">
      <c r="A23" s="302" t="s">
        <v>344</v>
      </c>
      <c r="B23" s="298" t="n">
        <v>515640</v>
      </c>
      <c r="C23" s="295"/>
      <c r="D23" s="295" t="n">
        <f aca="false">+'5 - Ammortamenti'!M4+'5 - Ammortamenti'!M5+'5 - Ammortamenti'!M6+'5 - Ammortamenti'!M7+'5 - Ammortamenti'!M8+'5 - Ammortamenti'!M9+'5 - Ammortamenti'!M10+'5 - Ammortamenti'!M15+'5 - Ammortamenti'!M16</f>
        <v>-515640</v>
      </c>
      <c r="E23" s="295" t="n">
        <v>0</v>
      </c>
      <c r="F23" s="295" t="n">
        <f aca="false">+E23</f>
        <v>0</v>
      </c>
      <c r="G23" s="295" t="n">
        <f aca="false">+F23</f>
        <v>0</v>
      </c>
      <c r="H23" s="295" t="n">
        <f aca="false">+G23</f>
        <v>0</v>
      </c>
      <c r="I23" s="295" t="n">
        <f aca="false">+H23</f>
        <v>0</v>
      </c>
      <c r="J23" s="295" t="n">
        <f aca="false">+I23</f>
        <v>0</v>
      </c>
      <c r="K23" s="295" t="n">
        <f aca="false">+J23</f>
        <v>0</v>
      </c>
      <c r="L23" s="295" t="n">
        <f aca="false">+K23</f>
        <v>0</v>
      </c>
      <c r="M23" s="295" t="n">
        <f aca="false">+L23</f>
        <v>0</v>
      </c>
      <c r="N23" s="295" t="n">
        <f aca="false">+M23</f>
        <v>0</v>
      </c>
      <c r="O23" s="303" t="n">
        <f aca="false">+N23</f>
        <v>0</v>
      </c>
      <c r="Q23" s="307"/>
    </row>
    <row r="24" customFormat="false" ht="12.75" hidden="false" customHeight="false" outlineLevel="0" collapsed="false">
      <c r="A24" s="302" t="s">
        <v>345</v>
      </c>
      <c r="B24" s="298" t="n">
        <v>383981</v>
      </c>
      <c r="C24" s="295"/>
      <c r="D24" s="295" t="n">
        <f aca="false">'5 - Ammortamenti'!M17/12</f>
        <v>-31998.4166666667</v>
      </c>
      <c r="E24" s="295" t="n">
        <f aca="false">+D24</f>
        <v>-31998.4166666667</v>
      </c>
      <c r="F24" s="295" t="n">
        <f aca="false">+E24</f>
        <v>-31998.4166666667</v>
      </c>
      <c r="G24" s="295" t="n">
        <f aca="false">+F24</f>
        <v>-31998.4166666667</v>
      </c>
      <c r="H24" s="295" t="n">
        <f aca="false">+G24</f>
        <v>-31998.4166666667</v>
      </c>
      <c r="I24" s="295" t="n">
        <f aca="false">+H24</f>
        <v>-31998.4166666667</v>
      </c>
      <c r="J24" s="295" t="n">
        <f aca="false">+I24</f>
        <v>-31998.4166666667</v>
      </c>
      <c r="K24" s="295" t="n">
        <f aca="false">+J24</f>
        <v>-31998.4166666667</v>
      </c>
      <c r="L24" s="295" t="n">
        <f aca="false">+K24</f>
        <v>-31998.4166666667</v>
      </c>
      <c r="M24" s="295" t="n">
        <f aca="false">+L24</f>
        <v>-31998.4166666667</v>
      </c>
      <c r="N24" s="295" t="n">
        <f aca="false">+M24</f>
        <v>-31998.4166666667</v>
      </c>
      <c r="O24" s="303" t="n">
        <f aca="false">+N24</f>
        <v>-31998.4166666667</v>
      </c>
      <c r="Q24" s="307"/>
    </row>
    <row r="25" customFormat="false" ht="13.5" hidden="false" customHeight="false" outlineLevel="0" collapsed="false">
      <c r="A25" s="284"/>
      <c r="B25" s="304"/>
      <c r="C25" s="295"/>
      <c r="D25" s="304"/>
      <c r="E25" s="304"/>
      <c r="F25" s="304"/>
      <c r="G25" s="304"/>
      <c r="H25" s="304"/>
      <c r="I25" s="304"/>
      <c r="J25" s="304"/>
      <c r="K25" s="304"/>
      <c r="L25" s="304"/>
      <c r="M25" s="304"/>
      <c r="N25" s="304"/>
      <c r="O25" s="305"/>
    </row>
    <row r="26" customFormat="false" ht="13.5" hidden="false" customHeight="false" outlineLevel="0" collapsed="false">
      <c r="A26" s="289" t="s">
        <v>346</v>
      </c>
      <c r="B26" s="290" t="n">
        <f aca="false">SUM(B19:B22)</f>
        <v>617991</v>
      </c>
      <c r="C26" s="308"/>
      <c r="D26" s="292" t="n">
        <f aca="false">D19+SUM(D21:D25)</f>
        <v>113716.367043777</v>
      </c>
      <c r="E26" s="292" t="n">
        <f aca="false">E19+SUM(E21:E25)</f>
        <v>125081.734087555</v>
      </c>
      <c r="F26" s="292" t="n">
        <f aca="false">F19+SUM(F21:F25)</f>
        <v>129868.808883333</v>
      </c>
      <c r="G26" s="292" t="n">
        <f aca="false">G19+SUM(G21:G25)</f>
        <v>141234.17592711</v>
      </c>
      <c r="H26" s="292" t="n">
        <f aca="false">H19+SUM(H21:H25)</f>
        <v>152599.542970887</v>
      </c>
      <c r="I26" s="292" t="n">
        <f aca="false">I19+SUM(I21:I25)</f>
        <v>163964.910014665</v>
      </c>
      <c r="J26" s="292" t="n">
        <f aca="false">J19+SUM(J21:J25)</f>
        <v>120837.259126728</v>
      </c>
      <c r="K26" s="292" t="n">
        <f aca="false">K19+SUM(K21:K25)</f>
        <v>132202.626170506</v>
      </c>
      <c r="L26" s="292" t="n">
        <f aca="false">L19+SUM(L21:L25)</f>
        <v>143567.993214283</v>
      </c>
      <c r="M26" s="292" t="n">
        <f aca="false">M19+SUM(M21:M25)</f>
        <v>154933.360258061</v>
      </c>
      <c r="N26" s="292" t="n">
        <f aca="false">N19+SUM(N21:N25)</f>
        <v>166298.727301838</v>
      </c>
      <c r="O26" s="292" t="n">
        <f aca="false">O19+SUM(O21:O25)</f>
        <v>123171.076413901</v>
      </c>
    </row>
    <row r="27" customFormat="false" ht="13.5" hidden="false" customHeight="false" outlineLevel="0" collapsed="false">
      <c r="A27" s="309"/>
      <c r="B27" s="301"/>
      <c r="C27" s="301"/>
      <c r="D27" s="301"/>
      <c r="E27" s="301"/>
      <c r="F27" s="301"/>
      <c r="G27" s="301"/>
      <c r="H27" s="301"/>
      <c r="I27" s="301"/>
      <c r="J27" s="301"/>
      <c r="K27" s="301"/>
      <c r="L27" s="301"/>
      <c r="M27" s="301"/>
      <c r="N27" s="301"/>
      <c r="O27" s="301"/>
    </row>
    <row r="28" customFormat="false" ht="12.75" hidden="false" customHeight="false" outlineLevel="0" collapsed="false">
      <c r="A28" s="279" t="s">
        <v>347</v>
      </c>
      <c r="B28" s="280" t="s">
        <v>317</v>
      </c>
      <c r="C28" s="281"/>
      <c r="D28" s="282" t="s">
        <v>318</v>
      </c>
      <c r="E28" s="282" t="s">
        <v>319</v>
      </c>
      <c r="F28" s="282" t="s">
        <v>320</v>
      </c>
      <c r="G28" s="282" t="s">
        <v>321</v>
      </c>
      <c r="H28" s="282" t="s">
        <v>322</v>
      </c>
      <c r="I28" s="282" t="s">
        <v>323</v>
      </c>
      <c r="J28" s="282" t="s">
        <v>324</v>
      </c>
      <c r="K28" s="282" t="s">
        <v>325</v>
      </c>
      <c r="L28" s="282" t="s">
        <v>326</v>
      </c>
      <c r="M28" s="282" t="s">
        <v>327</v>
      </c>
      <c r="N28" s="282" t="s">
        <v>328</v>
      </c>
      <c r="O28" s="283" t="s">
        <v>329</v>
      </c>
    </row>
    <row r="29" customFormat="false" ht="13.5" hidden="false" customHeight="false" outlineLevel="0" collapsed="false">
      <c r="A29" s="284"/>
      <c r="B29" s="285"/>
      <c r="C29" s="286"/>
      <c r="D29" s="287"/>
      <c r="E29" s="287"/>
      <c r="F29" s="287"/>
      <c r="G29" s="287"/>
      <c r="H29" s="287"/>
      <c r="I29" s="287"/>
      <c r="J29" s="287"/>
      <c r="K29" s="287"/>
      <c r="L29" s="287"/>
      <c r="M29" s="287"/>
      <c r="N29" s="287"/>
      <c r="O29" s="288"/>
    </row>
    <row r="30" customFormat="false" ht="13.5" hidden="false" customHeight="false" outlineLevel="0" collapsed="false">
      <c r="A30" s="289"/>
      <c r="B30" s="290" t="n">
        <f aca="false">+O26</f>
        <v>123171.076413901</v>
      </c>
      <c r="C30" s="291"/>
      <c r="D30" s="292" t="n">
        <f aca="false">+B51</f>
        <v>123171.076413901</v>
      </c>
      <c r="E30" s="292" t="n">
        <f aca="false">+D51</f>
        <v>116772.525872346</v>
      </c>
      <c r="F30" s="292" t="n">
        <f aca="false">+E51</f>
        <v>130237.97533079</v>
      </c>
      <c r="G30" s="292" t="n">
        <f aca="false">+F51</f>
        <v>129969.260917234</v>
      </c>
      <c r="H30" s="292" t="n">
        <f aca="false">+G51</f>
        <v>143434.710375678</v>
      </c>
      <c r="I30" s="292" t="n">
        <f aca="false">+H51</f>
        <v>156900.159834122</v>
      </c>
      <c r="J30" s="292" t="n">
        <f aca="false">+I51</f>
        <v>127025.40924518</v>
      </c>
      <c r="K30" s="292" t="n">
        <f aca="false">+J51</f>
        <v>84906.2407719099</v>
      </c>
      <c r="L30" s="292" t="n">
        <f aca="false">+K51</f>
        <v>98371.6902303541</v>
      </c>
      <c r="M30" s="292" t="n">
        <f aca="false">+L51</f>
        <v>111837.139688798</v>
      </c>
      <c r="N30" s="292" t="n">
        <f aca="false">+M51</f>
        <v>125302.589147242</v>
      </c>
      <c r="O30" s="292" t="n">
        <f aca="false">+N51</f>
        <v>138768.038605687</v>
      </c>
    </row>
    <row r="31" customFormat="false" ht="12.75" hidden="false" customHeight="false" outlineLevel="0" collapsed="false">
      <c r="A31" s="293"/>
      <c r="B31" s="294"/>
      <c r="C31" s="295"/>
      <c r="D31" s="294"/>
      <c r="E31" s="294"/>
      <c r="F31" s="294"/>
      <c r="G31" s="294"/>
      <c r="H31" s="294"/>
      <c r="I31" s="294"/>
      <c r="J31" s="294"/>
      <c r="K31" s="294"/>
      <c r="L31" s="294"/>
      <c r="M31" s="294"/>
      <c r="N31" s="294"/>
      <c r="O31" s="296"/>
    </row>
    <row r="32" customFormat="false" ht="13.8" hidden="false" customHeight="false" outlineLevel="0" collapsed="false">
      <c r="A32" s="297" t="s">
        <v>331</v>
      </c>
      <c r="B32" s="298"/>
      <c r="C32" s="299"/>
      <c r="D32" s="310" t="n">
        <f aca="false">SUM(D33:D34)</f>
        <v>161765.564646158</v>
      </c>
      <c r="E32" s="310" t="n">
        <f aca="false">SUM(E33:E34)</f>
        <v>161765.564646158</v>
      </c>
      <c r="F32" s="310" t="n">
        <f aca="false">SUM(F33:F34)</f>
        <v>161765.564646158</v>
      </c>
      <c r="G32" s="310" t="n">
        <f aca="false">SUM(G33:G34)</f>
        <v>161765.564646158</v>
      </c>
      <c r="H32" s="310" t="n">
        <f aca="false">SUM(H33:H34)</f>
        <v>161765.564646158</v>
      </c>
      <c r="I32" s="310" t="n">
        <f aca="false">SUM(I33:I34)</f>
        <v>161765.564646158</v>
      </c>
      <c r="J32" s="310" t="n">
        <f aca="false">SUM(J33:J34)</f>
        <v>161765.564646158</v>
      </c>
      <c r="K32" s="310" t="n">
        <f aca="false">SUM(K33:K34)</f>
        <v>161765.564646158</v>
      </c>
      <c r="L32" s="310" t="n">
        <f aca="false">SUM(L33:L34)</f>
        <v>161765.564646158</v>
      </c>
      <c r="M32" s="310" t="n">
        <f aca="false">SUM(M33:M34)</f>
        <v>161765.564646158</v>
      </c>
      <c r="N32" s="310" t="n">
        <f aca="false">SUM(N33:N34)</f>
        <v>161765.564646158</v>
      </c>
      <c r="O32" s="311" t="n">
        <f aca="false">SUM(O33:O34)</f>
        <v>161765.564646158</v>
      </c>
      <c r="Q32" s="301" t="n">
        <f aca="false">SUM(D32:P32)</f>
        <v>1941186.7757539</v>
      </c>
    </row>
    <row r="33" customFormat="false" ht="15" hidden="false" customHeight="false" outlineLevel="0" collapsed="false">
      <c r="A33" s="302" t="s">
        <v>332</v>
      </c>
      <c r="B33" s="298"/>
      <c r="C33" s="299"/>
      <c r="D33" s="295" t="n">
        <f aca="false">+'3 - BILANCIO_CEE_2022_2024'!G103/12</f>
        <v>111084.744603419</v>
      </c>
      <c r="E33" s="295" t="n">
        <f aca="false">+D33</f>
        <v>111084.744603419</v>
      </c>
      <c r="F33" s="295" t="n">
        <f aca="false">+E33</f>
        <v>111084.744603419</v>
      </c>
      <c r="G33" s="295" t="n">
        <f aca="false">+F33</f>
        <v>111084.744603419</v>
      </c>
      <c r="H33" s="295" t="n">
        <f aca="false">+G33</f>
        <v>111084.744603419</v>
      </c>
      <c r="I33" s="295" t="n">
        <f aca="false">+H33</f>
        <v>111084.744603419</v>
      </c>
      <c r="J33" s="295" t="n">
        <f aca="false">+I33</f>
        <v>111084.744603419</v>
      </c>
      <c r="K33" s="295" t="n">
        <f aca="false">+J33</f>
        <v>111084.744603419</v>
      </c>
      <c r="L33" s="295" t="n">
        <f aca="false">+K33</f>
        <v>111084.744603419</v>
      </c>
      <c r="M33" s="295" t="n">
        <f aca="false">+L33</f>
        <v>111084.744603419</v>
      </c>
      <c r="N33" s="295" t="n">
        <f aca="false">+M33</f>
        <v>111084.744603419</v>
      </c>
      <c r="O33" s="303" t="n">
        <f aca="false">+N33</f>
        <v>111084.744603419</v>
      </c>
      <c r="Q33" s="301"/>
    </row>
    <row r="34" customFormat="false" ht="15" hidden="false" customHeight="false" outlineLevel="0" collapsed="false">
      <c r="A34" s="302" t="s">
        <v>333</v>
      </c>
      <c r="B34" s="298"/>
      <c r="C34" s="299"/>
      <c r="D34" s="295" t="n">
        <f aca="false">+'3 - BILANCIO_CEE_2022_2024'!G104/12</f>
        <v>50680.8200427393</v>
      </c>
      <c r="E34" s="295" t="n">
        <f aca="false">+D34</f>
        <v>50680.8200427393</v>
      </c>
      <c r="F34" s="295" t="n">
        <f aca="false">+E34</f>
        <v>50680.8200427393</v>
      </c>
      <c r="G34" s="295" t="n">
        <f aca="false">+F34</f>
        <v>50680.8200427393</v>
      </c>
      <c r="H34" s="295" t="n">
        <f aca="false">+G34</f>
        <v>50680.8200427393</v>
      </c>
      <c r="I34" s="295" t="n">
        <f aca="false">+H34</f>
        <v>50680.8200427393</v>
      </c>
      <c r="J34" s="295" t="n">
        <f aca="false">+I34</f>
        <v>50680.8200427393</v>
      </c>
      <c r="K34" s="295" t="n">
        <f aca="false">+J34</f>
        <v>50680.8200427393</v>
      </c>
      <c r="L34" s="295" t="n">
        <f aca="false">+K34</f>
        <v>50680.8200427393</v>
      </c>
      <c r="M34" s="295" t="n">
        <f aca="false">+L34</f>
        <v>50680.8200427393</v>
      </c>
      <c r="N34" s="295" t="n">
        <f aca="false">+M34</f>
        <v>50680.8200427393</v>
      </c>
      <c r="O34" s="303" t="n">
        <f aca="false">+N34</f>
        <v>50680.8200427393</v>
      </c>
    </row>
    <row r="35" customFormat="false" ht="15" hidden="false" customHeight="false" outlineLevel="0" collapsed="false">
      <c r="A35" s="302"/>
      <c r="B35" s="298"/>
      <c r="C35" s="299"/>
      <c r="D35" s="299"/>
      <c r="E35" s="299"/>
      <c r="F35" s="299"/>
      <c r="G35" s="299"/>
      <c r="H35" s="299"/>
      <c r="I35" s="299"/>
      <c r="J35" s="299"/>
      <c r="K35" s="299"/>
      <c r="L35" s="299"/>
      <c r="M35" s="299"/>
      <c r="N35" s="299"/>
      <c r="O35" s="300"/>
    </row>
    <row r="36" customFormat="false" ht="15" hidden="false" customHeight="false" outlineLevel="0" collapsed="false">
      <c r="A36" s="297" t="s">
        <v>334</v>
      </c>
      <c r="B36" s="298"/>
      <c r="C36" s="299"/>
      <c r="D36" s="299" t="n">
        <f aca="false">SUM(D37:D42)</f>
        <v>115301.698521048</v>
      </c>
      <c r="E36" s="299" t="n">
        <f aca="false">SUM(E37:E42)</f>
        <v>115301.698521048</v>
      </c>
      <c r="F36" s="299" t="n">
        <f aca="false">SUM(F37:F42)</f>
        <v>129035.862393048</v>
      </c>
      <c r="G36" s="299" t="n">
        <f aca="false">SUM(G37:G42)</f>
        <v>115301.698521048</v>
      </c>
      <c r="H36" s="299" t="n">
        <f aca="false">SUM(H37:H42)</f>
        <v>115301.698521048</v>
      </c>
      <c r="I36" s="299" t="n">
        <f aca="false">SUM(I37:I42)</f>
        <v>158641.898568434</v>
      </c>
      <c r="J36" s="299" t="n">
        <f aca="false">SUM(J37:J42)</f>
        <v>170886.316452762</v>
      </c>
      <c r="K36" s="299" t="n">
        <f aca="false">SUM(K37:K42)</f>
        <v>115301.698521048</v>
      </c>
      <c r="L36" s="299" t="n">
        <f aca="false">SUM(L37:L42)</f>
        <v>115301.698521048</v>
      </c>
      <c r="M36" s="299" t="n">
        <f aca="false">SUM(M37:M42)</f>
        <v>115301.698521048</v>
      </c>
      <c r="N36" s="299" t="n">
        <f aca="false">SUM(N37:N42)</f>
        <v>115301.698521048</v>
      </c>
      <c r="O36" s="300" t="n">
        <f aca="false">SUM(O37:O42)</f>
        <v>170886.316452762</v>
      </c>
      <c r="Q36" s="301" t="n">
        <f aca="false">SUM(D36:P36)</f>
        <v>1551863.98203539</v>
      </c>
    </row>
    <row r="37" customFormat="false" ht="12.75" hidden="false" customHeight="false" outlineLevel="0" collapsed="false">
      <c r="A37" s="302" t="s">
        <v>335</v>
      </c>
      <c r="B37" s="295"/>
      <c r="C37" s="295"/>
      <c r="D37" s="295" t="n">
        <f aca="false">+'3 - BILANCIO_CEE_2022_2024'!G109/12</f>
        <v>4651.41666666667</v>
      </c>
      <c r="E37" s="295" t="n">
        <f aca="false">+D37</f>
        <v>4651.41666666667</v>
      </c>
      <c r="F37" s="295" t="n">
        <f aca="false">+E37</f>
        <v>4651.41666666667</v>
      </c>
      <c r="G37" s="295" t="n">
        <f aca="false">+F37</f>
        <v>4651.41666666667</v>
      </c>
      <c r="H37" s="295" t="n">
        <f aca="false">+G37</f>
        <v>4651.41666666667</v>
      </c>
      <c r="I37" s="295" t="n">
        <f aca="false">+H37</f>
        <v>4651.41666666667</v>
      </c>
      <c r="J37" s="295" t="n">
        <f aca="false">+I37</f>
        <v>4651.41666666667</v>
      </c>
      <c r="K37" s="295" t="n">
        <f aca="false">+J37</f>
        <v>4651.41666666667</v>
      </c>
      <c r="L37" s="295" t="n">
        <f aca="false">+K37</f>
        <v>4651.41666666667</v>
      </c>
      <c r="M37" s="295" t="n">
        <f aca="false">+L37</f>
        <v>4651.41666666667</v>
      </c>
      <c r="N37" s="295" t="n">
        <f aca="false">+M37</f>
        <v>4651.41666666667</v>
      </c>
      <c r="O37" s="303" t="n">
        <f aca="false">+N37</f>
        <v>4651.41666666667</v>
      </c>
      <c r="Q37" s="301"/>
    </row>
    <row r="38" customFormat="false" ht="12.75" hidden="false" customHeight="false" outlineLevel="0" collapsed="false">
      <c r="A38" s="302" t="s">
        <v>336</v>
      </c>
      <c r="B38" s="295"/>
      <c r="C38" s="295"/>
      <c r="D38" s="295" t="n">
        <f aca="false">+'3 - BILANCIO_CEE_2022_2024'!G110/12</f>
        <v>40588.3716666667</v>
      </c>
      <c r="E38" s="295" t="n">
        <f aca="false">+D38</f>
        <v>40588.3716666667</v>
      </c>
      <c r="F38" s="295" t="n">
        <f aca="false">+E38</f>
        <v>40588.3716666667</v>
      </c>
      <c r="G38" s="295" t="n">
        <f aca="false">+F38</f>
        <v>40588.3716666667</v>
      </c>
      <c r="H38" s="295" t="n">
        <f aca="false">+G38</f>
        <v>40588.3716666667</v>
      </c>
      <c r="I38" s="295" t="n">
        <f aca="false">+H38</f>
        <v>40588.3716666667</v>
      </c>
      <c r="J38" s="295" t="n">
        <f aca="false">+I38</f>
        <v>40588.3716666667</v>
      </c>
      <c r="K38" s="295" t="n">
        <f aca="false">+J38</f>
        <v>40588.3716666667</v>
      </c>
      <c r="L38" s="295" t="n">
        <f aca="false">+K38</f>
        <v>40588.3716666667</v>
      </c>
      <c r="M38" s="295" t="n">
        <f aca="false">+L38</f>
        <v>40588.3716666667</v>
      </c>
      <c r="N38" s="295" t="n">
        <f aca="false">+M38</f>
        <v>40588.3716666667</v>
      </c>
      <c r="O38" s="303" t="n">
        <f aca="false">+N38</f>
        <v>40588.3716666667</v>
      </c>
      <c r="Q38" s="301"/>
    </row>
    <row r="39" customFormat="false" ht="12.75" hidden="false" customHeight="false" outlineLevel="0" collapsed="false">
      <c r="A39" s="302" t="s">
        <v>337</v>
      </c>
      <c r="B39" s="295"/>
      <c r="C39" s="295"/>
      <c r="D39" s="295" t="n">
        <f aca="false">+'3 - BILANCIO_CEE_2022_2024'!G111/12</f>
        <v>3462.13333333333</v>
      </c>
      <c r="E39" s="295" t="n">
        <f aca="false">+D39</f>
        <v>3462.13333333333</v>
      </c>
      <c r="F39" s="295" t="n">
        <f aca="false">+E39</f>
        <v>3462.13333333333</v>
      </c>
      <c r="G39" s="295" t="n">
        <f aca="false">+F39</f>
        <v>3462.13333333333</v>
      </c>
      <c r="H39" s="295" t="n">
        <f aca="false">+G39</f>
        <v>3462.13333333333</v>
      </c>
      <c r="I39" s="295" t="n">
        <f aca="false">+H39</f>
        <v>3462.13333333333</v>
      </c>
      <c r="J39" s="295" t="n">
        <f aca="false">+I39</f>
        <v>3462.13333333333</v>
      </c>
      <c r="K39" s="295" t="n">
        <f aca="false">+J39</f>
        <v>3462.13333333333</v>
      </c>
      <c r="L39" s="295" t="n">
        <f aca="false">+K39</f>
        <v>3462.13333333333</v>
      </c>
      <c r="M39" s="295" t="n">
        <f aca="false">+L39</f>
        <v>3462.13333333333</v>
      </c>
      <c r="N39" s="295" t="n">
        <f aca="false">+M39</f>
        <v>3462.13333333333</v>
      </c>
      <c r="O39" s="303" t="n">
        <f aca="false">+N39</f>
        <v>3462.13333333333</v>
      </c>
      <c r="Q39" s="301"/>
    </row>
    <row r="40" customFormat="false" ht="12.75" hidden="false" customHeight="false" outlineLevel="0" collapsed="false">
      <c r="A40" s="302" t="s">
        <v>338</v>
      </c>
      <c r="B40" s="295"/>
      <c r="C40" s="295"/>
      <c r="D40" s="295" t="n">
        <f aca="false">+'3 - BILANCIO_CEE_2022_2024'!G117/14</f>
        <v>55584.6179317143</v>
      </c>
      <c r="E40" s="295" t="n">
        <f aca="false">+D40</f>
        <v>55584.6179317143</v>
      </c>
      <c r="F40" s="295" t="n">
        <f aca="false">+E40</f>
        <v>55584.6179317143</v>
      </c>
      <c r="G40" s="295" t="n">
        <f aca="false">+F40</f>
        <v>55584.6179317143</v>
      </c>
      <c r="H40" s="295" t="n">
        <f aca="false">+G40</f>
        <v>55584.6179317143</v>
      </c>
      <c r="I40" s="295" t="n">
        <f aca="false">+H40</f>
        <v>55584.6179317143</v>
      </c>
      <c r="J40" s="295" t="n">
        <f aca="false">+I40*2</f>
        <v>111169.235863429</v>
      </c>
      <c r="K40" s="295" t="n">
        <f aca="false">+I40</f>
        <v>55584.6179317143</v>
      </c>
      <c r="L40" s="295" t="n">
        <f aca="false">+K40</f>
        <v>55584.6179317143</v>
      </c>
      <c r="M40" s="295" t="n">
        <f aca="false">+L40</f>
        <v>55584.6179317143</v>
      </c>
      <c r="N40" s="295" t="n">
        <f aca="false">+M40</f>
        <v>55584.6179317143</v>
      </c>
      <c r="O40" s="303" t="n">
        <f aca="false">+N40*2</f>
        <v>111169.235863429</v>
      </c>
      <c r="Q40" s="301"/>
    </row>
    <row r="41" customFormat="false" ht="12.75" hidden="false" customHeight="false" outlineLevel="0" collapsed="false">
      <c r="A41" s="302" t="s">
        <v>339</v>
      </c>
      <c r="B41" s="295"/>
      <c r="C41" s="295"/>
      <c r="D41" s="295" t="n">
        <f aca="false">+'3 - BILANCIO_CEE_2022_2024'!G122/12</f>
        <v>11015.1589226667</v>
      </c>
      <c r="E41" s="295" t="n">
        <f aca="false">+D41</f>
        <v>11015.1589226667</v>
      </c>
      <c r="F41" s="295" t="n">
        <f aca="false">+E41</f>
        <v>11015.1589226667</v>
      </c>
      <c r="G41" s="295" t="n">
        <f aca="false">+F41</f>
        <v>11015.1589226667</v>
      </c>
      <c r="H41" s="295" t="n">
        <f aca="false">+G41</f>
        <v>11015.1589226667</v>
      </c>
      <c r="I41" s="295" t="n">
        <f aca="false">+H41</f>
        <v>11015.1589226667</v>
      </c>
      <c r="J41" s="295" t="n">
        <f aca="false">+I41</f>
        <v>11015.1589226667</v>
      </c>
      <c r="K41" s="295" t="n">
        <f aca="false">+J41</f>
        <v>11015.1589226667</v>
      </c>
      <c r="L41" s="295" t="n">
        <f aca="false">+K41</f>
        <v>11015.1589226667</v>
      </c>
      <c r="M41" s="295" t="n">
        <f aca="false">+L41</f>
        <v>11015.1589226667</v>
      </c>
      <c r="N41" s="295" t="n">
        <f aca="false">+M41</f>
        <v>11015.1589226667</v>
      </c>
      <c r="O41" s="303" t="n">
        <f aca="false">+N41</f>
        <v>11015.1589226667</v>
      </c>
      <c r="Q41" s="301"/>
    </row>
    <row r="42" customFormat="false" ht="12.75" hidden="false" customHeight="false" outlineLevel="0" collapsed="false">
      <c r="A42" s="302" t="s">
        <v>340</v>
      </c>
      <c r="B42" s="295"/>
      <c r="C42" s="295"/>
      <c r="D42" s="295" t="n">
        <v>0</v>
      </c>
      <c r="E42" s="295" t="n">
        <v>0</v>
      </c>
      <c r="F42" s="295" t="n">
        <f aca="false">+'2 - Budget_analitico_2022_2024'!L149</f>
        <v>13734.163872</v>
      </c>
      <c r="G42" s="295" t="n">
        <v>0</v>
      </c>
      <c r="H42" s="295" t="n">
        <v>0</v>
      </c>
      <c r="I42" s="295" t="n">
        <f aca="false">+'3 - BILANCIO_CEE_2022_2024'!B140</f>
        <v>43340.2000473866</v>
      </c>
      <c r="J42" s="295" t="n">
        <v>0</v>
      </c>
      <c r="K42" s="295" t="n">
        <v>0</v>
      </c>
      <c r="L42" s="295" t="n">
        <v>0</v>
      </c>
      <c r="M42" s="295" t="n">
        <v>0</v>
      </c>
      <c r="N42" s="295" t="n">
        <v>0</v>
      </c>
      <c r="O42" s="303" t="n">
        <v>0</v>
      </c>
      <c r="Q42" s="301"/>
    </row>
    <row r="43" customFormat="false" ht="13.5" hidden="false" customHeight="false" outlineLevel="0" collapsed="false">
      <c r="A43" s="284"/>
      <c r="B43" s="304"/>
      <c r="C43" s="295"/>
      <c r="D43" s="304"/>
      <c r="E43" s="304"/>
      <c r="F43" s="304"/>
      <c r="G43" s="304"/>
      <c r="H43" s="304"/>
      <c r="I43" s="304"/>
      <c r="J43" s="304"/>
      <c r="K43" s="304"/>
      <c r="L43" s="304"/>
      <c r="M43" s="304"/>
      <c r="N43" s="304"/>
      <c r="O43" s="305"/>
    </row>
    <row r="44" customFormat="false" ht="13.5" hidden="false" customHeight="false" outlineLevel="0" collapsed="false">
      <c r="A44" s="289" t="s">
        <v>341</v>
      </c>
      <c r="B44" s="290" t="n">
        <f aca="false">B30</f>
        <v>123171.076413901</v>
      </c>
      <c r="C44" s="291"/>
      <c r="D44" s="292" t="n">
        <f aca="false">D30+D32-D36</f>
        <v>169634.942539012</v>
      </c>
      <c r="E44" s="292" t="n">
        <f aca="false">E30+E32-E36</f>
        <v>163236.391997456</v>
      </c>
      <c r="F44" s="292" t="n">
        <f aca="false">F30+F32-F36</f>
        <v>162967.677583901</v>
      </c>
      <c r="G44" s="292" t="n">
        <f aca="false">G30+G32-G36</f>
        <v>176433.127042345</v>
      </c>
      <c r="H44" s="292" t="n">
        <f aca="false">H30+H32-H36</f>
        <v>189898.576500789</v>
      </c>
      <c r="I44" s="292" t="n">
        <f aca="false">I30+I32-I36</f>
        <v>160023.825911847</v>
      </c>
      <c r="J44" s="292" t="n">
        <f aca="false">J30+J32-J36</f>
        <v>117904.657438577</v>
      </c>
      <c r="K44" s="292" t="n">
        <f aca="false">K30+K32-K36</f>
        <v>131370.106897021</v>
      </c>
      <c r="L44" s="292" t="n">
        <f aca="false">L30+L32-L36</f>
        <v>144835.556355465</v>
      </c>
      <c r="M44" s="292" t="n">
        <f aca="false">M30+M32-M36</f>
        <v>158301.005813909</v>
      </c>
      <c r="N44" s="292" t="n">
        <f aca="false">N30+N32-N36</f>
        <v>171766.455272353</v>
      </c>
      <c r="O44" s="292" t="n">
        <f aca="false">O30+O32-O36</f>
        <v>129647.286799083</v>
      </c>
    </row>
    <row r="45" customFormat="false" ht="12.75" hidden="false" customHeight="false" outlineLevel="0" collapsed="false">
      <c r="A45" s="306"/>
      <c r="B45" s="294"/>
      <c r="C45" s="295"/>
      <c r="D45" s="294"/>
      <c r="E45" s="294"/>
      <c r="F45" s="294"/>
      <c r="G45" s="294"/>
      <c r="H45" s="294"/>
      <c r="I45" s="294"/>
      <c r="J45" s="294"/>
      <c r="K45" s="294"/>
      <c r="L45" s="294"/>
      <c r="M45" s="294"/>
      <c r="N45" s="294"/>
      <c r="O45" s="296"/>
    </row>
    <row r="46" customFormat="false" ht="12.75" hidden="false" customHeight="false" outlineLevel="0" collapsed="false">
      <c r="A46" s="302" t="s">
        <v>342</v>
      </c>
      <c r="B46" s="298" t="n">
        <f aca="false">+'3 - BILANCIO_CEE_2022_2024'!B82</f>
        <v>0</v>
      </c>
      <c r="C46" s="295"/>
      <c r="D46" s="295" t="n">
        <v>0</v>
      </c>
      <c r="E46" s="295" t="n">
        <v>0</v>
      </c>
      <c r="F46" s="295" t="n">
        <f aca="false">+E46</f>
        <v>0</v>
      </c>
      <c r="G46" s="295" t="n">
        <f aca="false">+F46</f>
        <v>0</v>
      </c>
      <c r="H46" s="295" t="n">
        <f aca="false">+G46</f>
        <v>0</v>
      </c>
      <c r="I46" s="295" t="n">
        <f aca="false">+H46</f>
        <v>0</v>
      </c>
      <c r="J46" s="295" t="n">
        <f aca="false">+I46</f>
        <v>0</v>
      </c>
      <c r="K46" s="295" t="n">
        <f aca="false">+J46</f>
        <v>0</v>
      </c>
      <c r="L46" s="295" t="n">
        <f aca="false">+K46</f>
        <v>0</v>
      </c>
      <c r="M46" s="295" t="n">
        <f aca="false">+L46</f>
        <v>0</v>
      </c>
      <c r="N46" s="295" t="n">
        <f aca="false">+M46</f>
        <v>0</v>
      </c>
      <c r="O46" s="303" t="n">
        <f aca="false">+N46</f>
        <v>0</v>
      </c>
    </row>
    <row r="47" customFormat="false" ht="12.75" hidden="false" customHeight="false" outlineLevel="0" collapsed="false">
      <c r="A47" s="302" t="s">
        <v>343</v>
      </c>
      <c r="B47" s="298" t="n">
        <v>0</v>
      </c>
      <c r="C47" s="295"/>
      <c r="D47" s="295" t="n">
        <f aca="false">-'3 - BILANCIO_CEE_2022_2024'!G130/12</f>
        <v>-1000</v>
      </c>
      <c r="E47" s="295" t="n">
        <f aca="false">+D47</f>
        <v>-1000</v>
      </c>
      <c r="F47" s="295" t="n">
        <f aca="false">+E47</f>
        <v>-1000</v>
      </c>
      <c r="G47" s="295" t="n">
        <f aca="false">+F47</f>
        <v>-1000</v>
      </c>
      <c r="H47" s="295" t="n">
        <f aca="false">+G47</f>
        <v>-1000</v>
      </c>
      <c r="I47" s="295" t="n">
        <f aca="false">+H47</f>
        <v>-1000</v>
      </c>
      <c r="J47" s="295" t="n">
        <f aca="false">+I47</f>
        <v>-1000</v>
      </c>
      <c r="K47" s="295" t="n">
        <f aca="false">+J47</f>
        <v>-1000</v>
      </c>
      <c r="L47" s="295" t="n">
        <f aca="false">+K47</f>
        <v>-1000</v>
      </c>
      <c r="M47" s="295" t="n">
        <f aca="false">+L47</f>
        <v>-1000</v>
      </c>
      <c r="N47" s="295" t="n">
        <f aca="false">+M47</f>
        <v>-1000</v>
      </c>
      <c r="O47" s="303" t="n">
        <f aca="false">+N47</f>
        <v>-1000</v>
      </c>
      <c r="Q47" s="307"/>
    </row>
    <row r="48" customFormat="false" ht="12.75" hidden="false" customHeight="false" outlineLevel="0" collapsed="false">
      <c r="A48" s="302" t="s">
        <v>344</v>
      </c>
      <c r="B48" s="298" t="n">
        <f aca="false">-'5 - Ammortamenti'!M11</f>
        <v>19864</v>
      </c>
      <c r="C48" s="295"/>
      <c r="D48" s="295" t="n">
        <f aca="false">+'5 - Ammortamenti'!M11</f>
        <v>-19864</v>
      </c>
      <c r="E48" s="295" t="n">
        <v>0</v>
      </c>
      <c r="F48" s="295" t="n">
        <f aca="false">+E48</f>
        <v>0</v>
      </c>
      <c r="G48" s="295" t="n">
        <f aca="false">+F48</f>
        <v>0</v>
      </c>
      <c r="H48" s="295" t="n">
        <f aca="false">+G48</f>
        <v>0</v>
      </c>
      <c r="I48" s="295" t="n">
        <f aca="false">+H48</f>
        <v>0</v>
      </c>
      <c r="J48" s="295" t="n">
        <f aca="false">+I48</f>
        <v>0</v>
      </c>
      <c r="K48" s="295" t="n">
        <f aca="false">+J48</f>
        <v>0</v>
      </c>
      <c r="L48" s="295" t="n">
        <f aca="false">+K48</f>
        <v>0</v>
      </c>
      <c r="M48" s="295" t="n">
        <f aca="false">+L48</f>
        <v>0</v>
      </c>
      <c r="N48" s="295" t="n">
        <f aca="false">+M48</f>
        <v>0</v>
      </c>
      <c r="O48" s="303" t="n">
        <f aca="false">+N48</f>
        <v>0</v>
      </c>
      <c r="Q48" s="307"/>
    </row>
    <row r="49" customFormat="false" ht="12.75" hidden="false" customHeight="false" outlineLevel="0" collapsed="false">
      <c r="A49" s="302" t="s">
        <v>345</v>
      </c>
      <c r="B49" s="298" t="n">
        <f aca="false">-'5 - Ammortamenti'!M18</f>
        <v>383981</v>
      </c>
      <c r="C49" s="295"/>
      <c r="D49" s="295" t="n">
        <f aca="false">+D24</f>
        <v>-31998.4166666667</v>
      </c>
      <c r="E49" s="295" t="n">
        <f aca="false">+D49</f>
        <v>-31998.4166666667</v>
      </c>
      <c r="F49" s="295" t="n">
        <f aca="false">+E49</f>
        <v>-31998.4166666667</v>
      </c>
      <c r="G49" s="295" t="n">
        <f aca="false">+F49</f>
        <v>-31998.4166666667</v>
      </c>
      <c r="H49" s="295" t="n">
        <f aca="false">+G49</f>
        <v>-31998.4166666667</v>
      </c>
      <c r="I49" s="295" t="n">
        <f aca="false">+H49</f>
        <v>-31998.4166666667</v>
      </c>
      <c r="J49" s="295" t="n">
        <f aca="false">+I49</f>
        <v>-31998.4166666667</v>
      </c>
      <c r="K49" s="295" t="n">
        <f aca="false">+J49</f>
        <v>-31998.4166666667</v>
      </c>
      <c r="L49" s="295" t="n">
        <f aca="false">+K49</f>
        <v>-31998.4166666667</v>
      </c>
      <c r="M49" s="295" t="n">
        <f aca="false">+L49</f>
        <v>-31998.4166666667</v>
      </c>
      <c r="N49" s="295" t="n">
        <f aca="false">+M49</f>
        <v>-31998.4166666667</v>
      </c>
      <c r="O49" s="303" t="n">
        <f aca="false">+N49</f>
        <v>-31998.4166666667</v>
      </c>
      <c r="Q49" s="301" t="n">
        <f aca="false">SUM(D49:P49)</f>
        <v>-383981</v>
      </c>
    </row>
    <row r="50" customFormat="false" ht="13.5" hidden="false" customHeight="false" outlineLevel="0" collapsed="false">
      <c r="A50" s="284"/>
      <c r="B50" s="304"/>
      <c r="C50" s="295"/>
      <c r="D50" s="304"/>
      <c r="E50" s="304"/>
      <c r="F50" s="304"/>
      <c r="G50" s="304"/>
      <c r="H50" s="304"/>
      <c r="I50" s="304"/>
      <c r="J50" s="304"/>
      <c r="K50" s="304"/>
      <c r="L50" s="304"/>
      <c r="M50" s="304"/>
      <c r="N50" s="304"/>
      <c r="O50" s="305"/>
    </row>
    <row r="51" customFormat="false" ht="13.5" hidden="false" customHeight="false" outlineLevel="0" collapsed="false">
      <c r="A51" s="289" t="s">
        <v>346</v>
      </c>
      <c r="B51" s="290" t="n">
        <f aca="false">+B44+B46+B47</f>
        <v>123171.076413901</v>
      </c>
      <c r="C51" s="308"/>
      <c r="D51" s="292" t="n">
        <f aca="false">D44+SUM(D46:D50)</f>
        <v>116772.525872346</v>
      </c>
      <c r="E51" s="292" t="n">
        <f aca="false">E44+SUM(E46:E50)</f>
        <v>130237.97533079</v>
      </c>
      <c r="F51" s="292" t="n">
        <f aca="false">F44+SUM(F46:F50)</f>
        <v>129969.260917234</v>
      </c>
      <c r="G51" s="292" t="n">
        <f aca="false">G44+SUM(G46:G50)</f>
        <v>143434.710375678</v>
      </c>
      <c r="H51" s="292" t="n">
        <f aca="false">H44+SUM(H46:H50)</f>
        <v>156900.159834122</v>
      </c>
      <c r="I51" s="292" t="n">
        <f aca="false">I44+SUM(I46:I50)</f>
        <v>127025.40924518</v>
      </c>
      <c r="J51" s="292" t="n">
        <f aca="false">J44+SUM(J46:J50)</f>
        <v>84906.2407719099</v>
      </c>
      <c r="K51" s="292" t="n">
        <f aca="false">K44+SUM(K46:K50)</f>
        <v>98371.6902303541</v>
      </c>
      <c r="L51" s="292" t="n">
        <f aca="false">L44+SUM(L46:L50)</f>
        <v>111837.139688798</v>
      </c>
      <c r="M51" s="292" t="n">
        <f aca="false">M44+SUM(M46:M50)</f>
        <v>125302.589147242</v>
      </c>
      <c r="N51" s="292" t="n">
        <f aca="false">N44+SUM(N46:N50)</f>
        <v>138768.038605687</v>
      </c>
      <c r="O51" s="292" t="n">
        <f aca="false">O44+SUM(O46:O50)</f>
        <v>96648.8701324166</v>
      </c>
    </row>
    <row r="52" customFormat="false" ht="12.75" hidden="false" customHeight="false" outlineLevel="0" collapsed="false">
      <c r="A52" s="312"/>
      <c r="B52" s="313"/>
      <c r="C52" s="301"/>
      <c r="D52" s="313"/>
      <c r="E52" s="313"/>
      <c r="F52" s="313"/>
      <c r="G52" s="313"/>
      <c r="H52" s="313"/>
      <c r="I52" s="313"/>
      <c r="J52" s="313"/>
      <c r="K52" s="313"/>
      <c r="L52" s="313"/>
      <c r="M52" s="313"/>
      <c r="N52" s="313"/>
      <c r="O52" s="313"/>
    </row>
    <row r="53" customFormat="false" ht="13.5" hidden="false" customHeight="false" outlineLevel="0" collapsed="false">
      <c r="A53" s="314"/>
      <c r="B53" s="315"/>
      <c r="C53" s="301"/>
      <c r="D53" s="301"/>
      <c r="E53" s="301"/>
      <c r="F53" s="301"/>
      <c r="G53" s="301"/>
      <c r="H53" s="301"/>
      <c r="I53" s="301"/>
      <c r="J53" s="301"/>
      <c r="K53" s="301"/>
      <c r="L53" s="301"/>
      <c r="M53" s="301"/>
      <c r="N53" s="301"/>
      <c r="O53" s="301"/>
    </row>
    <row r="54" customFormat="false" ht="12.75" hidden="false" customHeight="false" outlineLevel="0" collapsed="false">
      <c r="A54" s="279" t="s">
        <v>348</v>
      </c>
      <c r="B54" s="280" t="s">
        <v>317</v>
      </c>
      <c r="C54" s="281"/>
      <c r="D54" s="282" t="s">
        <v>318</v>
      </c>
      <c r="E54" s="282" t="s">
        <v>319</v>
      </c>
      <c r="F54" s="282" t="s">
        <v>320</v>
      </c>
      <c r="G54" s="282" t="s">
        <v>321</v>
      </c>
      <c r="H54" s="282" t="s">
        <v>322</v>
      </c>
      <c r="I54" s="282" t="s">
        <v>323</v>
      </c>
      <c r="J54" s="282" t="s">
        <v>324</v>
      </c>
      <c r="K54" s="282" t="s">
        <v>325</v>
      </c>
      <c r="L54" s="282" t="s">
        <v>326</v>
      </c>
      <c r="M54" s="282" t="s">
        <v>327</v>
      </c>
      <c r="N54" s="282" t="s">
        <v>328</v>
      </c>
      <c r="O54" s="283" t="s">
        <v>329</v>
      </c>
    </row>
    <row r="55" customFormat="false" ht="13.5" hidden="false" customHeight="false" outlineLevel="0" collapsed="false">
      <c r="A55" s="284"/>
      <c r="B55" s="285"/>
      <c r="C55" s="286"/>
      <c r="D55" s="287"/>
      <c r="E55" s="287"/>
      <c r="F55" s="287"/>
      <c r="G55" s="287"/>
      <c r="H55" s="287"/>
      <c r="I55" s="287"/>
      <c r="J55" s="287"/>
      <c r="K55" s="287"/>
      <c r="L55" s="287"/>
      <c r="M55" s="287"/>
      <c r="N55" s="287"/>
      <c r="O55" s="288"/>
    </row>
    <row r="56" customFormat="false" ht="13.5" hidden="false" customHeight="false" outlineLevel="0" collapsed="false">
      <c r="A56" s="289"/>
      <c r="B56" s="290" t="n">
        <f aca="false">+O51</f>
        <v>96648.8701324166</v>
      </c>
      <c r="C56" s="291"/>
      <c r="D56" s="292" t="n">
        <f aca="false">+B77</f>
        <v>96648.8701324166</v>
      </c>
      <c r="E56" s="292" t="n">
        <f aca="false">+D77</f>
        <v>99106.4250480037</v>
      </c>
      <c r="F56" s="292" t="n">
        <f aca="false">+E77</f>
        <v>118116.979963591</v>
      </c>
      <c r="G56" s="292" t="n">
        <f aca="false">+F77</f>
        <v>126938.532207178</v>
      </c>
      <c r="H56" s="292" t="n">
        <f aca="false">+G77</f>
        <v>145949.087122765</v>
      </c>
      <c r="I56" s="292" t="n">
        <f aca="false">+H77</f>
        <v>164959.642038352</v>
      </c>
      <c r="J56" s="292" t="n">
        <f aca="false">+I77</f>
        <v>134060.735882248</v>
      </c>
      <c r="K56" s="292" t="n">
        <f aca="false">+J77</f>
        <v>96502.215723264</v>
      </c>
      <c r="L56" s="292" t="n">
        <f aca="false">+K77</f>
        <v>115512.770638851</v>
      </c>
      <c r="M56" s="292" t="n">
        <f aca="false">+L77</f>
        <v>134523.325554438</v>
      </c>
      <c r="N56" s="292" t="n">
        <f aca="false">+M77</f>
        <v>153533.880470025</v>
      </c>
      <c r="O56" s="292" t="n">
        <f aca="false">+N77</f>
        <v>172544.435385612</v>
      </c>
    </row>
    <row r="57" customFormat="false" ht="12.75" hidden="false" customHeight="false" outlineLevel="0" collapsed="false">
      <c r="A57" s="293"/>
      <c r="B57" s="294"/>
      <c r="C57" s="295"/>
      <c r="D57" s="294"/>
      <c r="E57" s="294"/>
      <c r="F57" s="294"/>
      <c r="G57" s="294"/>
      <c r="H57" s="294"/>
      <c r="I57" s="294"/>
      <c r="J57" s="294"/>
      <c r="K57" s="294"/>
      <c r="L57" s="294"/>
      <c r="M57" s="294"/>
      <c r="N57" s="294"/>
      <c r="O57" s="296"/>
    </row>
    <row r="58" customFormat="false" ht="15" hidden="false" customHeight="false" outlineLevel="0" collapsed="false">
      <c r="A58" s="297" t="s">
        <v>331</v>
      </c>
      <c r="B58" s="298"/>
      <c r="C58" s="299"/>
      <c r="D58" s="299" t="n">
        <f aca="false">SUM(D59:D60)</f>
        <v>164852.514646158</v>
      </c>
      <c r="E58" s="299" t="n">
        <f aca="false">SUM(E59:E60)</f>
        <v>164852.514646158</v>
      </c>
      <c r="F58" s="299" t="n">
        <f aca="false">SUM(F59:F60)</f>
        <v>164852.514646158</v>
      </c>
      <c r="G58" s="299" t="n">
        <f aca="false">SUM(G59:G60)</f>
        <v>164852.514646158</v>
      </c>
      <c r="H58" s="299" t="n">
        <f aca="false">SUM(H59:H60)</f>
        <v>164852.514646158</v>
      </c>
      <c r="I58" s="299" t="n">
        <f aca="false">SUM(I59:I60)</f>
        <v>164852.514646158</v>
      </c>
      <c r="J58" s="299" t="n">
        <f aca="false">SUM(J59:J60)</f>
        <v>164852.514646158</v>
      </c>
      <c r="K58" s="299" t="n">
        <f aca="false">SUM(K59:K60)</f>
        <v>164852.514646158</v>
      </c>
      <c r="L58" s="299" t="n">
        <f aca="false">SUM(L59:L60)</f>
        <v>164852.514646158</v>
      </c>
      <c r="M58" s="299" t="n">
        <f aca="false">SUM(M59:M60)</f>
        <v>164852.514646158</v>
      </c>
      <c r="N58" s="299" t="n">
        <f aca="false">SUM(N59:N60)</f>
        <v>164852.514646158</v>
      </c>
      <c r="O58" s="300" t="n">
        <f aca="false">SUM(O59:O60)</f>
        <v>164852.514646158</v>
      </c>
      <c r="Q58" s="301" t="n">
        <f aca="false">SUM(D58:P58)</f>
        <v>1978230.1757539</v>
      </c>
    </row>
    <row r="59" customFormat="false" ht="15" hidden="false" customHeight="false" outlineLevel="0" collapsed="false">
      <c r="A59" s="302" t="s">
        <v>332</v>
      </c>
      <c r="B59" s="298"/>
      <c r="C59" s="299"/>
      <c r="D59" s="295" t="n">
        <f aca="false">+'3 - BILANCIO_CEE_2022_2024'!K103/12</f>
        <v>112751.411270086</v>
      </c>
      <c r="E59" s="295" t="n">
        <f aca="false">+D59</f>
        <v>112751.411270086</v>
      </c>
      <c r="F59" s="295" t="n">
        <f aca="false">+E59</f>
        <v>112751.411270086</v>
      </c>
      <c r="G59" s="295" t="n">
        <f aca="false">+F59</f>
        <v>112751.411270086</v>
      </c>
      <c r="H59" s="295" t="n">
        <f aca="false">+G59</f>
        <v>112751.411270086</v>
      </c>
      <c r="I59" s="295" t="n">
        <f aca="false">+H59</f>
        <v>112751.411270086</v>
      </c>
      <c r="J59" s="295" t="n">
        <f aca="false">+I59</f>
        <v>112751.411270086</v>
      </c>
      <c r="K59" s="295" t="n">
        <f aca="false">+J59</f>
        <v>112751.411270086</v>
      </c>
      <c r="L59" s="295" t="n">
        <f aca="false">+K59</f>
        <v>112751.411270086</v>
      </c>
      <c r="M59" s="295" t="n">
        <f aca="false">+L59</f>
        <v>112751.411270086</v>
      </c>
      <c r="N59" s="295" t="n">
        <f aca="false">+M59</f>
        <v>112751.411270086</v>
      </c>
      <c r="O59" s="303" t="n">
        <f aca="false">+N59</f>
        <v>112751.411270086</v>
      </c>
      <c r="Q59" s="301"/>
    </row>
    <row r="60" customFormat="false" ht="15" hidden="false" customHeight="false" outlineLevel="0" collapsed="false">
      <c r="A60" s="302" t="s">
        <v>333</v>
      </c>
      <c r="B60" s="298"/>
      <c r="C60" s="299"/>
      <c r="D60" s="295" t="n">
        <f aca="false">+'3 - BILANCIO_CEE_2022_2024'!K104/12</f>
        <v>52101.1033760727</v>
      </c>
      <c r="E60" s="295" t="n">
        <f aca="false">+D60</f>
        <v>52101.1033760727</v>
      </c>
      <c r="F60" s="295" t="n">
        <f aca="false">+E60</f>
        <v>52101.1033760727</v>
      </c>
      <c r="G60" s="295" t="n">
        <f aca="false">+F60</f>
        <v>52101.1033760727</v>
      </c>
      <c r="H60" s="295" t="n">
        <f aca="false">+G60</f>
        <v>52101.1033760727</v>
      </c>
      <c r="I60" s="295" t="n">
        <f aca="false">+H60</f>
        <v>52101.1033760727</v>
      </c>
      <c r="J60" s="295" t="n">
        <f aca="false">+I60</f>
        <v>52101.1033760727</v>
      </c>
      <c r="K60" s="295" t="n">
        <f aca="false">+J60</f>
        <v>52101.1033760727</v>
      </c>
      <c r="L60" s="295" t="n">
        <f aca="false">+K60</f>
        <v>52101.1033760727</v>
      </c>
      <c r="M60" s="295" t="n">
        <f aca="false">+L60</f>
        <v>52101.1033760727</v>
      </c>
      <c r="N60" s="295" t="n">
        <f aca="false">+M60</f>
        <v>52101.1033760727</v>
      </c>
      <c r="O60" s="303" t="n">
        <f aca="false">+N60</f>
        <v>52101.1033760727</v>
      </c>
    </row>
    <row r="61" customFormat="false" ht="15" hidden="false" customHeight="false" outlineLevel="0" collapsed="false">
      <c r="A61" s="302"/>
      <c r="B61" s="298"/>
      <c r="C61" s="299"/>
      <c r="D61" s="299"/>
      <c r="E61" s="299"/>
      <c r="F61" s="299"/>
      <c r="G61" s="299"/>
      <c r="H61" s="299"/>
      <c r="I61" s="299"/>
      <c r="J61" s="299"/>
      <c r="K61" s="299"/>
      <c r="L61" s="299"/>
      <c r="M61" s="299"/>
      <c r="N61" s="299"/>
      <c r="O61" s="300"/>
    </row>
    <row r="62" customFormat="false" ht="15" hidden="false" customHeight="false" outlineLevel="0" collapsed="false">
      <c r="A62" s="297" t="s">
        <v>334</v>
      </c>
      <c r="B62" s="298"/>
      <c r="C62" s="299"/>
      <c r="D62" s="299" t="n">
        <f aca="false">SUM(D63:D68)</f>
        <v>112843.543063905</v>
      </c>
      <c r="E62" s="299" t="n">
        <f aca="false">SUM(E63:E68)</f>
        <v>112843.543063905</v>
      </c>
      <c r="F62" s="299" t="n">
        <f aca="false">SUM(F63:F68)</f>
        <v>123032.545735905</v>
      </c>
      <c r="G62" s="299" t="n">
        <f aca="false">SUM(G63:G68)</f>
        <v>112843.543063905</v>
      </c>
      <c r="H62" s="299" t="n">
        <f aca="false">SUM(H63:H68)</f>
        <v>112843.543063905</v>
      </c>
      <c r="I62" s="299" t="n">
        <f aca="false">SUM(I63:I68)</f>
        <v>162753.004135595</v>
      </c>
      <c r="J62" s="299" t="n">
        <f aca="false">SUM(J63:J68)</f>
        <v>169412.618138476</v>
      </c>
      <c r="K62" s="299" t="n">
        <f aca="false">SUM(K63:K68)</f>
        <v>112843.543063905</v>
      </c>
      <c r="L62" s="299" t="n">
        <f aca="false">SUM(L63:L68)</f>
        <v>112843.543063905</v>
      </c>
      <c r="M62" s="299" t="n">
        <f aca="false">SUM(M63:M68)</f>
        <v>112843.543063905</v>
      </c>
      <c r="N62" s="299" t="n">
        <f aca="false">SUM(N63:N68)</f>
        <v>112843.543063905</v>
      </c>
      <c r="O62" s="300" t="n">
        <f aca="false">SUM(O63:O68)</f>
        <v>169412.618138476</v>
      </c>
      <c r="Q62" s="301" t="n">
        <f aca="false">SUM(D62:P62)</f>
        <v>1527359.13065969</v>
      </c>
    </row>
    <row r="63" customFormat="false" ht="12.75" hidden="false" customHeight="false" outlineLevel="0" collapsed="false">
      <c r="A63" s="302" t="s">
        <v>335</v>
      </c>
      <c r="B63" s="295"/>
      <c r="C63" s="295"/>
      <c r="D63" s="295" t="n">
        <f aca="false">+'3 - BILANCIO_CEE_2022_2024'!K109/12</f>
        <v>4359.75</v>
      </c>
      <c r="E63" s="295" t="n">
        <f aca="false">+D63</f>
        <v>4359.75</v>
      </c>
      <c r="F63" s="295" t="n">
        <f aca="false">+E63</f>
        <v>4359.75</v>
      </c>
      <c r="G63" s="295" t="n">
        <f aca="false">+F63</f>
        <v>4359.75</v>
      </c>
      <c r="H63" s="295" t="n">
        <f aca="false">+G63</f>
        <v>4359.75</v>
      </c>
      <c r="I63" s="295" t="n">
        <f aca="false">+H63</f>
        <v>4359.75</v>
      </c>
      <c r="J63" s="295" t="n">
        <f aca="false">+I63</f>
        <v>4359.75</v>
      </c>
      <c r="K63" s="295" t="n">
        <f aca="false">+J63</f>
        <v>4359.75</v>
      </c>
      <c r="L63" s="295" t="n">
        <f aca="false">+K63</f>
        <v>4359.75</v>
      </c>
      <c r="M63" s="295" t="n">
        <f aca="false">+L63</f>
        <v>4359.75</v>
      </c>
      <c r="N63" s="295" t="n">
        <f aca="false">+M63</f>
        <v>4359.75</v>
      </c>
      <c r="O63" s="303" t="n">
        <f aca="false">+N63</f>
        <v>4359.75</v>
      </c>
      <c r="Q63" s="301"/>
    </row>
    <row r="64" customFormat="false" ht="12.75" hidden="false" customHeight="false" outlineLevel="0" collapsed="false">
      <c r="A64" s="302" t="s">
        <v>336</v>
      </c>
      <c r="B64" s="295"/>
      <c r="C64" s="295"/>
      <c r="D64" s="295" t="n">
        <f aca="false">+'3 - BILANCIO_CEE_2022_2024'!K110/12</f>
        <v>38075.6633333333</v>
      </c>
      <c r="E64" s="295" t="n">
        <f aca="false">+D64</f>
        <v>38075.6633333333</v>
      </c>
      <c r="F64" s="295" t="n">
        <f aca="false">+E64</f>
        <v>38075.6633333333</v>
      </c>
      <c r="G64" s="295" t="n">
        <f aca="false">+F64</f>
        <v>38075.6633333333</v>
      </c>
      <c r="H64" s="295" t="n">
        <f aca="false">+G64</f>
        <v>38075.6633333333</v>
      </c>
      <c r="I64" s="295" t="n">
        <f aca="false">+H64</f>
        <v>38075.6633333333</v>
      </c>
      <c r="J64" s="295" t="n">
        <f aca="false">+I64</f>
        <v>38075.6633333333</v>
      </c>
      <c r="K64" s="295" t="n">
        <f aca="false">+J64</f>
        <v>38075.6633333333</v>
      </c>
      <c r="L64" s="295" t="n">
        <f aca="false">+K64</f>
        <v>38075.6633333333</v>
      </c>
      <c r="M64" s="295" t="n">
        <f aca="false">+L64</f>
        <v>38075.6633333333</v>
      </c>
      <c r="N64" s="295" t="n">
        <f aca="false">+M64</f>
        <v>38075.6633333333</v>
      </c>
      <c r="O64" s="303" t="n">
        <f aca="false">+N64</f>
        <v>38075.6633333333</v>
      </c>
      <c r="Q64" s="301"/>
    </row>
    <row r="65" customFormat="false" ht="12.75" hidden="false" customHeight="false" outlineLevel="0" collapsed="false">
      <c r="A65" s="302" t="s">
        <v>337</v>
      </c>
      <c r="B65" s="295"/>
      <c r="C65" s="295"/>
      <c r="D65" s="295" t="n">
        <f aca="false">+'3 - BILANCIO_CEE_2022_2024'!K111/12</f>
        <v>3462.13333333333</v>
      </c>
      <c r="E65" s="295" t="n">
        <f aca="false">+D65</f>
        <v>3462.13333333333</v>
      </c>
      <c r="F65" s="295" t="n">
        <f aca="false">+E65</f>
        <v>3462.13333333333</v>
      </c>
      <c r="G65" s="295" t="n">
        <f aca="false">+F65</f>
        <v>3462.13333333333</v>
      </c>
      <c r="H65" s="295" t="n">
        <f aca="false">+G65</f>
        <v>3462.13333333333</v>
      </c>
      <c r="I65" s="295" t="n">
        <f aca="false">+H65</f>
        <v>3462.13333333333</v>
      </c>
      <c r="J65" s="295" t="n">
        <f aca="false">+I65</f>
        <v>3462.13333333333</v>
      </c>
      <c r="K65" s="295" t="n">
        <f aca="false">+J65</f>
        <v>3462.13333333333</v>
      </c>
      <c r="L65" s="295" t="n">
        <f aca="false">+K65</f>
        <v>3462.13333333333</v>
      </c>
      <c r="M65" s="295" t="n">
        <f aca="false">+L65</f>
        <v>3462.13333333333</v>
      </c>
      <c r="N65" s="295" t="n">
        <f aca="false">+M65</f>
        <v>3462.13333333333</v>
      </c>
      <c r="O65" s="303" t="n">
        <f aca="false">+N65</f>
        <v>3462.13333333333</v>
      </c>
      <c r="Q65" s="301"/>
    </row>
    <row r="66" customFormat="false" ht="12.75" hidden="false" customHeight="false" outlineLevel="0" collapsed="false">
      <c r="A66" s="302" t="s">
        <v>338</v>
      </c>
      <c r="B66" s="295"/>
      <c r="C66" s="295"/>
      <c r="D66" s="295" t="n">
        <f aca="false">+'3 - BILANCIO_CEE_2022_2024'!K117/14</f>
        <v>56569.0750745714</v>
      </c>
      <c r="E66" s="295" t="n">
        <f aca="false">+D66</f>
        <v>56569.0750745714</v>
      </c>
      <c r="F66" s="295" t="n">
        <f aca="false">+E66</f>
        <v>56569.0750745714</v>
      </c>
      <c r="G66" s="295" t="n">
        <f aca="false">+F66</f>
        <v>56569.0750745714</v>
      </c>
      <c r="H66" s="295" t="n">
        <f aca="false">+G66</f>
        <v>56569.0750745714</v>
      </c>
      <c r="I66" s="295" t="n">
        <f aca="false">+H66</f>
        <v>56569.0750745714</v>
      </c>
      <c r="J66" s="295" t="n">
        <f aca="false">+I66*2</f>
        <v>113138.150149143</v>
      </c>
      <c r="K66" s="295" t="n">
        <f aca="false">+I66</f>
        <v>56569.0750745714</v>
      </c>
      <c r="L66" s="295" t="n">
        <f aca="false">+K66</f>
        <v>56569.0750745714</v>
      </c>
      <c r="M66" s="295" t="n">
        <f aca="false">+L66</f>
        <v>56569.0750745714</v>
      </c>
      <c r="N66" s="295" t="n">
        <f aca="false">+M66</f>
        <v>56569.0750745714</v>
      </c>
      <c r="O66" s="303" t="n">
        <f aca="false">+N66*2</f>
        <v>113138.150149143</v>
      </c>
      <c r="Q66" s="301"/>
    </row>
    <row r="67" customFormat="false" ht="12.75" hidden="false" customHeight="false" outlineLevel="0" collapsed="false">
      <c r="A67" s="302" t="s">
        <v>339</v>
      </c>
      <c r="B67" s="295"/>
      <c r="C67" s="295"/>
      <c r="D67" s="295" t="n">
        <f aca="false">+'3 - BILANCIO_CEE_2022_2024'!K122/12</f>
        <v>10376.9213226667</v>
      </c>
      <c r="E67" s="295" t="n">
        <f aca="false">+D67</f>
        <v>10376.9213226667</v>
      </c>
      <c r="F67" s="295" t="n">
        <f aca="false">+E67</f>
        <v>10376.9213226667</v>
      </c>
      <c r="G67" s="295" t="n">
        <f aca="false">+F67</f>
        <v>10376.9213226667</v>
      </c>
      <c r="H67" s="295" t="n">
        <f aca="false">+G67</f>
        <v>10376.9213226667</v>
      </c>
      <c r="I67" s="295" t="n">
        <f aca="false">+H67</f>
        <v>10376.9213226667</v>
      </c>
      <c r="J67" s="295" t="n">
        <f aca="false">+I67</f>
        <v>10376.9213226667</v>
      </c>
      <c r="K67" s="295" t="n">
        <f aca="false">+J67</f>
        <v>10376.9213226667</v>
      </c>
      <c r="L67" s="295" t="n">
        <f aca="false">+K67</f>
        <v>10376.9213226667</v>
      </c>
      <c r="M67" s="295" t="n">
        <f aca="false">+L67</f>
        <v>10376.9213226667</v>
      </c>
      <c r="N67" s="295" t="n">
        <f aca="false">+M67</f>
        <v>10376.9213226667</v>
      </c>
      <c r="O67" s="303" t="n">
        <f aca="false">+N67</f>
        <v>10376.9213226667</v>
      </c>
      <c r="Q67" s="301"/>
    </row>
    <row r="68" customFormat="false" ht="12.75" hidden="false" customHeight="false" outlineLevel="0" collapsed="false">
      <c r="A68" s="302" t="s">
        <v>340</v>
      </c>
      <c r="B68" s="295"/>
      <c r="C68" s="295"/>
      <c r="D68" s="295" t="n">
        <v>0</v>
      </c>
      <c r="E68" s="295" t="n">
        <v>0</v>
      </c>
      <c r="F68" s="295" t="n">
        <f aca="false">+'2 - Budget_analitico_2022_2024'!P149-5278.55</f>
        <v>10189.002672</v>
      </c>
      <c r="G68" s="295" t="n">
        <v>0</v>
      </c>
      <c r="H68" s="295" t="n">
        <v>0</v>
      </c>
      <c r="I68" s="295" t="n">
        <f aca="false">+'3 - BILANCIO_CEE_2022_2024'!G138</f>
        <v>49909.4610716906</v>
      </c>
      <c r="J68" s="295" t="n">
        <v>0</v>
      </c>
      <c r="K68" s="295" t="n">
        <v>0</v>
      </c>
      <c r="L68" s="295" t="n">
        <v>0</v>
      </c>
      <c r="M68" s="295" t="n">
        <v>0</v>
      </c>
      <c r="N68" s="295" t="n">
        <v>0</v>
      </c>
      <c r="O68" s="303" t="n">
        <v>0</v>
      </c>
      <c r="Q68" s="301"/>
    </row>
    <row r="69" customFormat="false" ht="13.5" hidden="false" customHeight="false" outlineLevel="0" collapsed="false">
      <c r="A69" s="284"/>
      <c r="B69" s="304"/>
      <c r="C69" s="295"/>
      <c r="D69" s="304"/>
      <c r="E69" s="304"/>
      <c r="F69" s="304"/>
      <c r="G69" s="304"/>
      <c r="H69" s="304"/>
      <c r="I69" s="304"/>
      <c r="J69" s="304"/>
      <c r="K69" s="304"/>
      <c r="L69" s="304"/>
      <c r="M69" s="304"/>
      <c r="N69" s="304"/>
      <c r="O69" s="305"/>
    </row>
    <row r="70" customFormat="false" ht="13.5" hidden="false" customHeight="false" outlineLevel="0" collapsed="false">
      <c r="A70" s="289" t="s">
        <v>341</v>
      </c>
      <c r="B70" s="290" t="n">
        <f aca="false">B56</f>
        <v>96648.8701324166</v>
      </c>
      <c r="C70" s="291"/>
      <c r="D70" s="292" t="n">
        <f aca="false">D56+D58-D62</f>
        <v>148657.84171467</v>
      </c>
      <c r="E70" s="292" t="n">
        <f aca="false">E56+E58-E62</f>
        <v>151115.396630257</v>
      </c>
      <c r="F70" s="292" t="n">
        <f aca="false">F56+F58-F62</f>
        <v>159936.948873844</v>
      </c>
      <c r="G70" s="292" t="n">
        <f aca="false">G56+G58-G62</f>
        <v>178947.503789432</v>
      </c>
      <c r="H70" s="292" t="n">
        <f aca="false">H56+H58-H62</f>
        <v>197958.058705019</v>
      </c>
      <c r="I70" s="292" t="n">
        <f aca="false">I56+I58-I62</f>
        <v>167059.152548915</v>
      </c>
      <c r="J70" s="292" t="n">
        <f aca="false">J56+J58-J62</f>
        <v>129500.632389931</v>
      </c>
      <c r="K70" s="292" t="n">
        <f aca="false">K56+K58-K62</f>
        <v>148511.187305518</v>
      </c>
      <c r="L70" s="292" t="n">
        <f aca="false">L56+L58-L62</f>
        <v>167521.742221105</v>
      </c>
      <c r="M70" s="292" t="n">
        <f aca="false">M56+M58-M62</f>
        <v>186532.297136692</v>
      </c>
      <c r="N70" s="292" t="n">
        <f aca="false">N56+N58-N62</f>
        <v>205542.852052279</v>
      </c>
      <c r="O70" s="292" t="n">
        <f aca="false">O56+O58-O62</f>
        <v>167984.331893294</v>
      </c>
    </row>
    <row r="71" customFormat="false" ht="12.75" hidden="false" customHeight="false" outlineLevel="0" collapsed="false">
      <c r="A71" s="306"/>
      <c r="B71" s="294"/>
      <c r="C71" s="295"/>
      <c r="D71" s="294"/>
      <c r="E71" s="294"/>
      <c r="F71" s="294"/>
      <c r="G71" s="294"/>
      <c r="H71" s="294"/>
      <c r="I71" s="294"/>
      <c r="J71" s="294"/>
      <c r="K71" s="294"/>
      <c r="L71" s="294"/>
      <c r="M71" s="294"/>
      <c r="N71" s="294"/>
      <c r="O71" s="296"/>
    </row>
    <row r="72" customFormat="false" ht="12.75" hidden="false" customHeight="false" outlineLevel="0" collapsed="false">
      <c r="A72" s="302" t="s">
        <v>342</v>
      </c>
      <c r="B72" s="298" t="n">
        <f aca="false">+'3 - BILANCIO_CEE_2022_2024'!B108</f>
        <v>0</v>
      </c>
      <c r="C72" s="295"/>
      <c r="D72" s="295" t="n">
        <v>0</v>
      </c>
      <c r="E72" s="295" t="n">
        <v>0</v>
      </c>
      <c r="F72" s="295" t="n">
        <f aca="false">+E72</f>
        <v>0</v>
      </c>
      <c r="G72" s="295" t="n">
        <f aca="false">+F72</f>
        <v>0</v>
      </c>
      <c r="H72" s="295" t="n">
        <f aca="false">+G72</f>
        <v>0</v>
      </c>
      <c r="I72" s="295" t="n">
        <f aca="false">+H72</f>
        <v>0</v>
      </c>
      <c r="J72" s="295" t="n">
        <f aca="false">+I72</f>
        <v>0</v>
      </c>
      <c r="K72" s="295" t="n">
        <f aca="false">+J72</f>
        <v>0</v>
      </c>
      <c r="L72" s="295" t="n">
        <f aca="false">+K72</f>
        <v>0</v>
      </c>
      <c r="M72" s="295" t="n">
        <f aca="false">+L72</f>
        <v>0</v>
      </c>
      <c r="N72" s="295" t="n">
        <f aca="false">+M72</f>
        <v>0</v>
      </c>
      <c r="O72" s="303" t="n">
        <f aca="false">+N72</f>
        <v>0</v>
      </c>
    </row>
    <row r="73" customFormat="false" ht="12.75" hidden="false" customHeight="false" outlineLevel="0" collapsed="false">
      <c r="A73" s="302" t="s">
        <v>343</v>
      </c>
      <c r="B73" s="298" t="n">
        <v>0</v>
      </c>
      <c r="C73" s="295"/>
      <c r="D73" s="295" t="n">
        <f aca="false">-'3 - BILANCIO_CEE_2022_2024'!K130/12</f>
        <v>-1000</v>
      </c>
      <c r="E73" s="295" t="n">
        <f aca="false">+D73</f>
        <v>-1000</v>
      </c>
      <c r="F73" s="295" t="n">
        <f aca="false">+E73</f>
        <v>-1000</v>
      </c>
      <c r="G73" s="295" t="n">
        <f aca="false">+F73</f>
        <v>-1000</v>
      </c>
      <c r="H73" s="295" t="n">
        <f aca="false">+G73</f>
        <v>-1000</v>
      </c>
      <c r="I73" s="295" t="n">
        <f aca="false">+H73</f>
        <v>-1000</v>
      </c>
      <c r="J73" s="295" t="n">
        <f aca="false">+I73</f>
        <v>-1000</v>
      </c>
      <c r="K73" s="295" t="n">
        <f aca="false">+J73</f>
        <v>-1000</v>
      </c>
      <c r="L73" s="295" t="n">
        <f aca="false">+K73</f>
        <v>-1000</v>
      </c>
      <c r="M73" s="295" t="n">
        <f aca="false">+L73</f>
        <v>-1000</v>
      </c>
      <c r="N73" s="295" t="n">
        <f aca="false">+M73</f>
        <v>-1000</v>
      </c>
      <c r="O73" s="303" t="n">
        <f aca="false">+N73</f>
        <v>-1000</v>
      </c>
      <c r="Q73" s="307"/>
    </row>
    <row r="74" customFormat="false" ht="12.75" hidden="false" customHeight="false" outlineLevel="0" collapsed="false">
      <c r="A74" s="302" t="s">
        <v>344</v>
      </c>
      <c r="B74" s="298" t="n">
        <f aca="false">-'5 - Ammortamenti'!M12</f>
        <v>16553</v>
      </c>
      <c r="C74" s="295"/>
      <c r="D74" s="295" t="n">
        <f aca="false">-B74</f>
        <v>-16553</v>
      </c>
      <c r="E74" s="295" t="n">
        <v>0</v>
      </c>
      <c r="F74" s="295" t="n">
        <f aca="false">+E74</f>
        <v>0</v>
      </c>
      <c r="G74" s="295" t="n">
        <f aca="false">+F74</f>
        <v>0</v>
      </c>
      <c r="H74" s="295" t="n">
        <f aca="false">+G74</f>
        <v>0</v>
      </c>
      <c r="I74" s="295" t="n">
        <f aca="false">+H74</f>
        <v>0</v>
      </c>
      <c r="J74" s="295" t="n">
        <f aca="false">+I74</f>
        <v>0</v>
      </c>
      <c r="K74" s="295" t="n">
        <f aca="false">+J74</f>
        <v>0</v>
      </c>
      <c r="L74" s="295" t="n">
        <f aca="false">+K74</f>
        <v>0</v>
      </c>
      <c r="M74" s="295" t="n">
        <f aca="false">+L74</f>
        <v>0</v>
      </c>
      <c r="N74" s="295" t="n">
        <f aca="false">+M74</f>
        <v>0</v>
      </c>
      <c r="O74" s="303" t="n">
        <f aca="false">+N74</f>
        <v>0</v>
      </c>
      <c r="Q74" s="307"/>
    </row>
    <row r="75" customFormat="false" ht="12.75" hidden="false" customHeight="false" outlineLevel="0" collapsed="false">
      <c r="A75" s="302" t="s">
        <v>345</v>
      </c>
      <c r="B75" s="298" t="n">
        <f aca="false">-'5 - Ammortamenti'!M19</f>
        <v>383981</v>
      </c>
      <c r="C75" s="295"/>
      <c r="D75" s="295" t="n">
        <f aca="false">+D49</f>
        <v>-31998.4166666667</v>
      </c>
      <c r="E75" s="295" t="n">
        <f aca="false">+D75</f>
        <v>-31998.4166666667</v>
      </c>
      <c r="F75" s="295" t="n">
        <f aca="false">+E75</f>
        <v>-31998.4166666667</v>
      </c>
      <c r="G75" s="295" t="n">
        <f aca="false">+F75</f>
        <v>-31998.4166666667</v>
      </c>
      <c r="H75" s="295" t="n">
        <f aca="false">+G75</f>
        <v>-31998.4166666667</v>
      </c>
      <c r="I75" s="295" t="n">
        <f aca="false">+H75</f>
        <v>-31998.4166666667</v>
      </c>
      <c r="J75" s="295" t="n">
        <f aca="false">+I75</f>
        <v>-31998.4166666667</v>
      </c>
      <c r="K75" s="295" t="n">
        <f aca="false">+J75</f>
        <v>-31998.4166666667</v>
      </c>
      <c r="L75" s="295" t="n">
        <f aca="false">+K75</f>
        <v>-31998.4166666667</v>
      </c>
      <c r="M75" s="295" t="n">
        <f aca="false">+L75</f>
        <v>-31998.4166666667</v>
      </c>
      <c r="N75" s="295" t="n">
        <f aca="false">+M75</f>
        <v>-31998.4166666667</v>
      </c>
      <c r="O75" s="303" t="n">
        <f aca="false">+N75</f>
        <v>-31998.4166666667</v>
      </c>
      <c r="Q75" s="301" t="n">
        <f aca="false">SUM(D75:P75)</f>
        <v>-383981</v>
      </c>
    </row>
    <row r="76" customFormat="false" ht="13.5" hidden="false" customHeight="false" outlineLevel="0" collapsed="false">
      <c r="A76" s="284"/>
      <c r="B76" s="304"/>
      <c r="C76" s="295"/>
      <c r="D76" s="304"/>
      <c r="E76" s="304"/>
      <c r="F76" s="304"/>
      <c r="G76" s="304"/>
      <c r="H76" s="304"/>
      <c r="I76" s="304"/>
      <c r="J76" s="304"/>
      <c r="K76" s="304"/>
      <c r="L76" s="304"/>
      <c r="M76" s="304"/>
      <c r="N76" s="304"/>
      <c r="O76" s="305"/>
    </row>
    <row r="77" customFormat="false" ht="13.5" hidden="false" customHeight="false" outlineLevel="0" collapsed="false">
      <c r="A77" s="289" t="s">
        <v>346</v>
      </c>
      <c r="B77" s="290" t="n">
        <f aca="false">+B70+B72+B73</f>
        <v>96648.8701324166</v>
      </c>
      <c r="C77" s="308"/>
      <c r="D77" s="292" t="n">
        <f aca="false">D70+SUM(D72:D76)</f>
        <v>99106.4250480037</v>
      </c>
      <c r="E77" s="292" t="n">
        <f aca="false">E70+SUM(E72:E76)</f>
        <v>118116.979963591</v>
      </c>
      <c r="F77" s="292" t="n">
        <f aca="false">F70+SUM(F72:F76)</f>
        <v>126938.532207178</v>
      </c>
      <c r="G77" s="292" t="n">
        <f aca="false">G70+SUM(G72:G76)</f>
        <v>145949.087122765</v>
      </c>
      <c r="H77" s="292" t="n">
        <f aca="false">H70+SUM(H72:H76)</f>
        <v>164959.642038352</v>
      </c>
      <c r="I77" s="292" t="n">
        <f aca="false">I70+SUM(I72:I76)</f>
        <v>134060.735882248</v>
      </c>
      <c r="J77" s="292" t="n">
        <f aca="false">J70+SUM(J72:J76)</f>
        <v>96502.215723264</v>
      </c>
      <c r="K77" s="292" t="n">
        <f aca="false">K70+SUM(K72:K76)</f>
        <v>115512.770638851</v>
      </c>
      <c r="L77" s="292" t="n">
        <f aca="false">L70+SUM(L72:L76)</f>
        <v>134523.325554438</v>
      </c>
      <c r="M77" s="292" t="n">
        <f aca="false">M70+SUM(M72:M76)</f>
        <v>153533.880470025</v>
      </c>
      <c r="N77" s="292" t="n">
        <f aca="false">N70+SUM(N72:N76)</f>
        <v>172544.435385612</v>
      </c>
      <c r="O77" s="292" t="n">
        <f aca="false">O70+SUM(O72:O76)</f>
        <v>134985.915226628</v>
      </c>
    </row>
    <row r="83" customFormat="false" ht="12.75" hidden="false" customHeight="false" outlineLevel="0" collapsed="false">
      <c r="D83" s="316" t="n">
        <f aca="false">(SUM(D26:O26)+SUM(D51:O51)+SUM(D77:O77))/36</f>
        <v>131232.920467371</v>
      </c>
    </row>
  </sheetData>
  <mergeCells count="1">
    <mergeCell ref="A1:D1"/>
  </mergeCells>
  <printOptions headings="false" gridLines="false" gridLinesSet="true" horizontalCentered="false" verticalCentered="false"/>
  <pageMargins left="0.7" right="0.7" top="0.75" bottom="0.75" header="0.511805555555555" footer="0.511805555555555"/>
  <pageSetup paperSize="8"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W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16" activeCellId="0" sqref="P16"/>
    </sheetView>
  </sheetViews>
  <sheetFormatPr defaultColWidth="11.78515625" defaultRowHeight="12.8" zeroHeight="false" outlineLevelRow="0" outlineLevelCol="0"/>
  <cols>
    <col collapsed="false" customWidth="true" hidden="false" outlineLevel="0" max="1" min="1" style="317" width="3.42"/>
    <col collapsed="false" customWidth="true" hidden="false" outlineLevel="0" max="2" min="2" style="318" width="5.28"/>
    <col collapsed="false" customWidth="false" hidden="false" outlineLevel="0" max="3" min="3" style="318" width="11.77"/>
    <col collapsed="false" customWidth="true" hidden="false" outlineLevel="0" max="4" min="4" style="318" width="17.4"/>
    <col collapsed="false" customWidth="true" hidden="false" outlineLevel="0" max="5" min="5" style="318" width="19.58"/>
    <col collapsed="false" customWidth="true" hidden="false" outlineLevel="0" max="6" min="6" style="318" width="5.43"/>
    <col collapsed="false" customWidth="true" hidden="false" outlineLevel="0" max="7" min="7" style="318" width="10.42"/>
    <col collapsed="false" customWidth="true" hidden="false" outlineLevel="0" max="8" min="8" style="318" width="8.71"/>
    <col collapsed="false" customWidth="true" hidden="false" outlineLevel="0" max="9" min="9" style="318" width="9.71"/>
    <col collapsed="false" customWidth="true" hidden="false" outlineLevel="0" max="10" min="10" style="318" width="7"/>
    <col collapsed="false" customWidth="true" hidden="false" outlineLevel="0" max="11" min="11" style="318" width="7.41"/>
    <col collapsed="false" customWidth="true" hidden="false" outlineLevel="0" max="12" min="12" style="318" width="8"/>
    <col collapsed="false" customWidth="true" hidden="false" outlineLevel="0" max="13" min="13" style="318" width="10.28"/>
    <col collapsed="false" customWidth="true" hidden="false" outlineLevel="0" max="14" min="14" style="318" width="8.33"/>
    <col collapsed="false" customWidth="true" hidden="false" outlineLevel="0" max="15" min="15" style="318" width="9.44"/>
    <col collapsed="false" customWidth="true" hidden="false" outlineLevel="0" max="16" min="16" style="318" width="11.14"/>
    <col collapsed="false" customWidth="true" hidden="false" outlineLevel="0" max="17" min="17" style="318" width="10.58"/>
    <col collapsed="false" customWidth="true" hidden="false" outlineLevel="0" max="18" min="18" style="318" width="12.5"/>
    <col collapsed="false" customWidth="true" hidden="false" outlineLevel="0" max="19" min="19" style="318" width="3.74"/>
    <col collapsed="false" customWidth="true" hidden="false" outlineLevel="0" max="22" min="20" style="318" width="3.61"/>
    <col collapsed="false" customWidth="false" hidden="false" outlineLevel="0" max="1024" min="23" style="318" width="11.77"/>
  </cols>
  <sheetData>
    <row r="1" customFormat="false" ht="29.1" hidden="false" customHeight="true" outlineLevel="0" collapsed="false">
      <c r="A1" s="319" t="s">
        <v>349</v>
      </c>
      <c r="B1" s="319"/>
      <c r="C1" s="319"/>
      <c r="D1" s="319"/>
      <c r="E1" s="319"/>
      <c r="F1" s="319"/>
      <c r="G1" s="319"/>
      <c r="H1" s="319"/>
      <c r="I1" s="319"/>
      <c r="J1" s="319"/>
      <c r="K1" s="319"/>
      <c r="L1" s="319"/>
      <c r="M1" s="319"/>
      <c r="N1" s="319"/>
      <c r="O1" s="319"/>
      <c r="P1" s="319"/>
    </row>
    <row r="2" customFormat="false" ht="22.35" hidden="false" customHeight="true" outlineLevel="0" collapsed="false">
      <c r="G2" s="320" t="s">
        <v>350</v>
      </c>
      <c r="H2" s="320"/>
      <c r="I2" s="320"/>
      <c r="J2" s="320"/>
      <c r="M2" s="321"/>
    </row>
    <row r="3" customFormat="false" ht="53.7" hidden="false" customHeight="true" outlineLevel="0" collapsed="false">
      <c r="B3" s="322" t="s">
        <v>74</v>
      </c>
      <c r="C3" s="322" t="s">
        <v>75</v>
      </c>
      <c r="D3" s="322" t="s">
        <v>76</v>
      </c>
      <c r="E3" s="323" t="s">
        <v>77</v>
      </c>
      <c r="F3" s="324" t="s">
        <v>78</v>
      </c>
      <c r="G3" s="82" t="s">
        <v>79</v>
      </c>
      <c r="H3" s="86" t="s">
        <v>80</v>
      </c>
      <c r="I3" s="82" t="s">
        <v>81</v>
      </c>
      <c r="J3" s="322" t="s">
        <v>351</v>
      </c>
      <c r="K3" s="323" t="s">
        <v>352</v>
      </c>
      <c r="L3" s="323" t="s">
        <v>353</v>
      </c>
      <c r="M3" s="323" t="s">
        <v>354</v>
      </c>
      <c r="N3" s="323" t="s">
        <v>80</v>
      </c>
      <c r="O3" s="323" t="s">
        <v>355</v>
      </c>
      <c r="P3" s="325" t="s">
        <v>356</v>
      </c>
      <c r="Q3" s="325" t="s">
        <v>357</v>
      </c>
      <c r="R3" s="326" t="s">
        <v>358</v>
      </c>
      <c r="S3" s="327"/>
      <c r="T3" s="328"/>
      <c r="U3" s="329"/>
      <c r="V3" s="330"/>
      <c r="W3" s="0"/>
    </row>
    <row r="4" customFormat="false" ht="46.1" hidden="false" customHeight="true" outlineLevel="0" collapsed="false">
      <c r="A4" s="317" t="n">
        <v>1</v>
      </c>
      <c r="B4" s="331" t="s">
        <v>359</v>
      </c>
      <c r="C4" s="331" t="str">
        <f aca="false">'2 - Budget_analitico_2022_2024'!B4</f>
        <v>Servizi istituzionali</v>
      </c>
      <c r="D4" s="332" t="s">
        <v>360</v>
      </c>
      <c r="E4" s="333" t="str">
        <f aca="false">'2 - Budget_analitico_2022_2024'!D12</f>
        <v>Ammortamento – Consulenze e formazione per start-up nuovo ente</v>
      </c>
      <c r="F4" s="334" t="s">
        <v>10</v>
      </c>
      <c r="G4" s="335" t="n">
        <f aca="false">+M4*J4</f>
        <v>-2400</v>
      </c>
      <c r="H4" s="335" t="n">
        <f aca="false">(G4/100)*22</f>
        <v>-528</v>
      </c>
      <c r="I4" s="335" t="n">
        <f aca="false">G4+H4</f>
        <v>-2928</v>
      </c>
      <c r="J4" s="336" t="n">
        <v>0.2</v>
      </c>
      <c r="K4" s="337" t="n">
        <v>2022</v>
      </c>
      <c r="L4" s="334" t="n">
        <v>2026</v>
      </c>
      <c r="M4" s="338" t="n">
        <v>-12000</v>
      </c>
      <c r="N4" s="339" t="n">
        <f aca="false">(M4/100)*22</f>
        <v>-2640</v>
      </c>
      <c r="O4" s="339" t="n">
        <f aca="false">M4+N4</f>
        <v>-14640</v>
      </c>
      <c r="P4" s="334" t="n">
        <v>2022</v>
      </c>
      <c r="Q4" s="334" t="s">
        <v>361</v>
      </c>
      <c r="R4" s="320" t="s">
        <v>361</v>
      </c>
      <c r="S4" s="340"/>
      <c r="T4" s="340"/>
      <c r="U4" s="340"/>
      <c r="V4" s="340"/>
      <c r="W4" s="0"/>
    </row>
    <row r="5" customFormat="false" ht="46.1" hidden="false" customHeight="true" outlineLevel="0" collapsed="false">
      <c r="A5" s="317" t="n">
        <v>2</v>
      </c>
      <c r="B5" s="331" t="s">
        <v>359</v>
      </c>
      <c r="C5" s="331" t="s">
        <v>9</v>
      </c>
      <c r="D5" s="341" t="s">
        <v>362</v>
      </c>
      <c r="E5" s="333" t="str">
        <f aca="false">'2 - Budget_analitico_2022_2024'!D21</f>
        <v>Ammortamento -Consulenza giuslavoristica per start-up  ente </v>
      </c>
      <c r="F5" s="342" t="s">
        <v>10</v>
      </c>
      <c r="G5" s="335" t="n">
        <f aca="false">+M5*J5</f>
        <v>-2000</v>
      </c>
      <c r="H5" s="335" t="n">
        <f aca="false">(G5/100)*22</f>
        <v>-440</v>
      </c>
      <c r="I5" s="335" t="n">
        <f aca="false">G5+H5</f>
        <v>-2440</v>
      </c>
      <c r="J5" s="336" t="n">
        <v>0.2</v>
      </c>
      <c r="K5" s="337" t="n">
        <v>2022</v>
      </c>
      <c r="L5" s="334" t="n">
        <v>2026</v>
      </c>
      <c r="M5" s="338" t="n">
        <v>-10000</v>
      </c>
      <c r="N5" s="339" t="n">
        <f aca="false">(M5/100)*22</f>
        <v>-2200</v>
      </c>
      <c r="O5" s="339" t="n">
        <f aca="false">M5+N5</f>
        <v>-12200</v>
      </c>
      <c r="P5" s="334" t="n">
        <v>2022</v>
      </c>
      <c r="Q5" s="334" t="s">
        <v>361</v>
      </c>
      <c r="R5" s="320" t="s">
        <v>361</v>
      </c>
      <c r="S5" s="340"/>
      <c r="T5" s="340"/>
      <c r="U5" s="340"/>
      <c r="V5" s="340"/>
      <c r="W5" s="0"/>
    </row>
    <row r="6" customFormat="false" ht="26.7" hidden="false" customHeight="true" outlineLevel="0" collapsed="false">
      <c r="A6" s="317" t="n">
        <v>3</v>
      </c>
      <c r="B6" s="331" t="s">
        <v>359</v>
      </c>
      <c r="C6" s="331" t="s">
        <v>9</v>
      </c>
      <c r="D6" s="341" t="s">
        <v>16</v>
      </c>
      <c r="E6" s="333" t="str">
        <f aca="false">'2 - Budget_analitico_2022_2024'!D32</f>
        <v>Ammortamento -Arredi (unatantum)</v>
      </c>
      <c r="F6" s="342" t="s">
        <v>10</v>
      </c>
      <c r="G6" s="335" t="n">
        <f aca="false">+M6*J6</f>
        <v>-1200</v>
      </c>
      <c r="H6" s="335" t="n">
        <f aca="false">(G6/100)*22</f>
        <v>-264</v>
      </c>
      <c r="I6" s="335" t="n">
        <f aca="false">G6+H6</f>
        <v>-1464</v>
      </c>
      <c r="J6" s="336" t="n">
        <v>0.12</v>
      </c>
      <c r="K6" s="337" t="n">
        <v>2022</v>
      </c>
      <c r="L6" s="334" t="n">
        <v>2028</v>
      </c>
      <c r="M6" s="338" t="n">
        <v>-10000</v>
      </c>
      <c r="N6" s="339" t="n">
        <f aca="false">(M6/100)*22</f>
        <v>-2200</v>
      </c>
      <c r="O6" s="339" t="n">
        <f aca="false">M6+N6</f>
        <v>-12200</v>
      </c>
      <c r="P6" s="334" t="n">
        <v>2022</v>
      </c>
      <c r="Q6" s="334" t="s">
        <v>361</v>
      </c>
      <c r="R6" s="320" t="s">
        <v>361</v>
      </c>
      <c r="S6" s="340"/>
      <c r="T6" s="340"/>
      <c r="U6" s="340"/>
      <c r="V6" s="340"/>
      <c r="W6" s="0"/>
    </row>
    <row r="7" customFormat="false" ht="46.1" hidden="false" customHeight="true" outlineLevel="0" collapsed="false">
      <c r="A7" s="317" t="n">
        <v>4</v>
      </c>
      <c r="B7" s="331" t="s">
        <v>359</v>
      </c>
      <c r="C7" s="331" t="s">
        <v>9</v>
      </c>
      <c r="D7" s="341" t="s">
        <v>363</v>
      </c>
      <c r="E7" s="333" t="str">
        <f aca="false">'2 - Budget_analitico_2022_2024'!D56</f>
        <v>Ammortamento - Supporto sistemistico x progettazione nuova  architettura servizi IT</v>
      </c>
      <c r="F7" s="342" t="s">
        <v>10</v>
      </c>
      <c r="G7" s="335" t="n">
        <f aca="false">+M7*J7</f>
        <v>-1600</v>
      </c>
      <c r="H7" s="335" t="n">
        <f aca="false">(G7/100)*22</f>
        <v>-352</v>
      </c>
      <c r="I7" s="335" t="n">
        <f aca="false">G7+H7</f>
        <v>-1952</v>
      </c>
      <c r="J7" s="336" t="n">
        <v>0.2</v>
      </c>
      <c r="K7" s="337" t="n">
        <v>2022</v>
      </c>
      <c r="L7" s="334" t="n">
        <v>2026</v>
      </c>
      <c r="M7" s="338" t="n">
        <v>-8000</v>
      </c>
      <c r="N7" s="339" t="n">
        <f aca="false">(M7/100)*22</f>
        <v>-1760</v>
      </c>
      <c r="O7" s="339" t="n">
        <f aca="false">M7+N7</f>
        <v>-9760</v>
      </c>
      <c r="P7" s="334" t="n">
        <v>2022</v>
      </c>
      <c r="Q7" s="334" t="s">
        <v>361</v>
      </c>
      <c r="R7" s="320" t="s">
        <v>361</v>
      </c>
      <c r="S7" s="340"/>
      <c r="T7" s="340"/>
      <c r="U7" s="340"/>
      <c r="V7" s="340"/>
      <c r="W7" s="0"/>
    </row>
    <row r="8" customFormat="false" ht="44" hidden="false" customHeight="true" outlineLevel="0" collapsed="false">
      <c r="A8" s="317" t="n">
        <v>5</v>
      </c>
      <c r="B8" s="331" t="s">
        <v>359</v>
      </c>
      <c r="C8" s="331" t="s">
        <v>9</v>
      </c>
      <c r="D8" s="341" t="s">
        <v>363</v>
      </c>
      <c r="E8" s="333" t="str">
        <f aca="false">'2 - Budget_analitico_2022_2024'!D58</f>
        <v>Ammortamento -  pc+monitor (lotto_acquisti 2022) </v>
      </c>
      <c r="F8" s="342" t="s">
        <v>10</v>
      </c>
      <c r="G8" s="335" t="n">
        <f aca="false">+M8*J8</f>
        <v>-112100</v>
      </c>
      <c r="H8" s="335" t="n">
        <f aca="false">(G8/100)*22</f>
        <v>-24662</v>
      </c>
      <c r="I8" s="335" t="n">
        <f aca="false">G8+H8</f>
        <v>-136762</v>
      </c>
      <c r="J8" s="336" t="n">
        <v>1</v>
      </c>
      <c r="K8" s="337" t="n">
        <v>2022</v>
      </c>
      <c r="L8" s="334" t="n">
        <v>2022</v>
      </c>
      <c r="M8" s="338" t="n">
        <v>-112100</v>
      </c>
      <c r="N8" s="339" t="n">
        <f aca="false">(M8/100)*22</f>
        <v>-24662</v>
      </c>
      <c r="O8" s="339" t="n">
        <f aca="false">M8+N8</f>
        <v>-136762</v>
      </c>
      <c r="P8" s="334" t="n">
        <v>2022</v>
      </c>
      <c r="Q8" s="320" t="s">
        <v>364</v>
      </c>
      <c r="R8" s="343" t="s">
        <v>365</v>
      </c>
      <c r="S8" s="344"/>
      <c r="T8" s="340"/>
      <c r="U8" s="340"/>
      <c r="V8" s="340"/>
      <c r="W8" s="0"/>
    </row>
    <row r="9" customFormat="false" ht="26.7" hidden="false" customHeight="true" outlineLevel="0" collapsed="false">
      <c r="A9" s="317" t="n">
        <v>6</v>
      </c>
      <c r="B9" s="331" t="s">
        <v>359</v>
      </c>
      <c r="C9" s="331" t="s">
        <v>9</v>
      </c>
      <c r="D9" s="341" t="s">
        <v>363</v>
      </c>
      <c r="E9" s="333" t="str">
        <f aca="false">'2 - Budget_analitico_2022_2024'!D62</f>
        <v>Ammortamento – Acquisto switch</v>
      </c>
      <c r="F9" s="342" t="s">
        <v>10</v>
      </c>
      <c r="G9" s="335" t="n">
        <f aca="false">+M9*J9</f>
        <v>-3850</v>
      </c>
      <c r="H9" s="335" t="n">
        <f aca="false">(G9/100)*22</f>
        <v>-847</v>
      </c>
      <c r="I9" s="335" t="n">
        <f aca="false">G9+H9</f>
        <v>-4697</v>
      </c>
      <c r="J9" s="336" t="n">
        <v>1</v>
      </c>
      <c r="K9" s="337" t="n">
        <v>2022</v>
      </c>
      <c r="L9" s="334" t="n">
        <v>2022</v>
      </c>
      <c r="M9" s="338" t="n">
        <v>-3850</v>
      </c>
      <c r="N9" s="339" t="n">
        <f aca="false">(M9/100)*22</f>
        <v>-847</v>
      </c>
      <c r="O9" s="339" t="n">
        <f aca="false">M9+N9</f>
        <v>-4697</v>
      </c>
      <c r="P9" s="334" t="n">
        <v>2022</v>
      </c>
      <c r="Q9" s="320" t="s">
        <v>364</v>
      </c>
      <c r="R9" s="320" t="s">
        <v>361</v>
      </c>
      <c r="S9" s="181"/>
      <c r="T9" s="340"/>
      <c r="U9" s="340"/>
      <c r="V9" s="340"/>
      <c r="W9" s="0"/>
    </row>
    <row r="10" customFormat="false" ht="26.7" hidden="false" customHeight="true" outlineLevel="0" collapsed="false">
      <c r="A10" s="317" t="n">
        <v>7</v>
      </c>
      <c r="B10" s="331" t="s">
        <v>359</v>
      </c>
      <c r="C10" s="331" t="s">
        <v>9</v>
      </c>
      <c r="D10" s="341" t="s">
        <v>363</v>
      </c>
      <c r="E10" s="333" t="str">
        <f aca="false">'2 - Budget_analitico_2022_2024'!D75</f>
        <v>Ammortamento  - stampanti etichette</v>
      </c>
      <c r="F10" s="334" t="s">
        <v>10</v>
      </c>
      <c r="G10" s="335" t="n">
        <f aca="false">+M10*J10</f>
        <v>-17500</v>
      </c>
      <c r="H10" s="335" t="n">
        <f aca="false">(G10/100)*22</f>
        <v>-3850</v>
      </c>
      <c r="I10" s="335" t="n">
        <f aca="false">G10+H10</f>
        <v>-21350</v>
      </c>
      <c r="J10" s="336" t="n">
        <v>1</v>
      </c>
      <c r="K10" s="337" t="n">
        <v>2022</v>
      </c>
      <c r="L10" s="334" t="n">
        <v>2022</v>
      </c>
      <c r="M10" s="338" t="n">
        <v>-17500</v>
      </c>
      <c r="N10" s="339" t="n">
        <f aca="false">(M10/100)*22</f>
        <v>-3850</v>
      </c>
      <c r="O10" s="339" t="n">
        <f aca="false">M10+N10</f>
        <v>-21350</v>
      </c>
      <c r="P10" s="334" t="n">
        <v>2022</v>
      </c>
      <c r="Q10" s="320" t="s">
        <v>364</v>
      </c>
      <c r="R10" s="320" t="s">
        <v>361</v>
      </c>
      <c r="S10" s="181"/>
      <c r="T10" s="340"/>
      <c r="U10" s="340"/>
      <c r="V10" s="340"/>
      <c r="W10" s="0"/>
    </row>
    <row r="11" customFormat="false" ht="35.65" hidden="false" customHeight="true" outlineLevel="0" collapsed="false">
      <c r="A11" s="317" t="n">
        <v>8</v>
      </c>
      <c r="B11" s="331" t="s">
        <v>359</v>
      </c>
      <c r="C11" s="331" t="s">
        <v>9</v>
      </c>
      <c r="D11" s="341" t="s">
        <v>363</v>
      </c>
      <c r="E11" s="333" t="s">
        <v>366</v>
      </c>
      <c r="F11" s="334" t="s">
        <v>10</v>
      </c>
      <c r="G11" s="335" t="n">
        <f aca="false">+M11*J11</f>
        <v>-19864</v>
      </c>
      <c r="H11" s="335" t="n">
        <f aca="false">(G11/100)*22</f>
        <v>-4370.08</v>
      </c>
      <c r="I11" s="335" t="n">
        <f aca="false">G11+H11</f>
        <v>-24234.08</v>
      </c>
      <c r="J11" s="336" t="n">
        <v>1</v>
      </c>
      <c r="K11" s="334" t="n">
        <v>2023</v>
      </c>
      <c r="L11" s="334" t="n">
        <v>2023</v>
      </c>
      <c r="M11" s="338" t="n">
        <v>-19864</v>
      </c>
      <c r="N11" s="339" t="n">
        <f aca="false">(M11/100)*22</f>
        <v>-4370.08</v>
      </c>
      <c r="O11" s="339" t="n">
        <f aca="false">M11+N11</f>
        <v>-24234.08</v>
      </c>
      <c r="P11" s="334" t="n">
        <v>2023</v>
      </c>
      <c r="Q11" s="320" t="s">
        <v>364</v>
      </c>
      <c r="R11" s="345" t="s">
        <v>367</v>
      </c>
      <c r="S11" s="344"/>
      <c r="T11" s="340"/>
      <c r="U11" s="340"/>
      <c r="V11" s="340"/>
      <c r="W11" s="0"/>
    </row>
    <row r="12" customFormat="false" ht="35.65" hidden="false" customHeight="true" outlineLevel="0" collapsed="false">
      <c r="A12" s="317" t="n">
        <v>9</v>
      </c>
      <c r="B12" s="331" t="s">
        <v>359</v>
      </c>
      <c r="C12" s="331" t="s">
        <v>9</v>
      </c>
      <c r="D12" s="341" t="s">
        <v>363</v>
      </c>
      <c r="E12" s="333" t="s">
        <v>368</v>
      </c>
      <c r="F12" s="334" t="s">
        <v>10</v>
      </c>
      <c r="G12" s="335" t="n">
        <f aca="false">+M12*J12</f>
        <v>-16553</v>
      </c>
      <c r="H12" s="335" t="n">
        <f aca="false">(G12/100)*22</f>
        <v>-3641.66</v>
      </c>
      <c r="I12" s="335" t="n">
        <f aca="false">G12+H12</f>
        <v>-20194.66</v>
      </c>
      <c r="J12" s="336" t="n">
        <v>1</v>
      </c>
      <c r="K12" s="334" t="n">
        <v>2024</v>
      </c>
      <c r="L12" s="334" t="n">
        <v>2024</v>
      </c>
      <c r="M12" s="338" t="n">
        <v>-16553</v>
      </c>
      <c r="N12" s="339" t="n">
        <f aca="false">(M12/100)*22</f>
        <v>-3641.66</v>
      </c>
      <c r="O12" s="339" t="n">
        <f aca="false">M12+N12</f>
        <v>-20194.66</v>
      </c>
      <c r="P12" s="334" t="n">
        <v>2024</v>
      </c>
      <c r="Q12" s="320" t="s">
        <v>364</v>
      </c>
      <c r="R12" s="345" t="s">
        <v>369</v>
      </c>
      <c r="S12" s="344"/>
      <c r="T12" s="340"/>
      <c r="U12" s="340"/>
      <c r="V12" s="340"/>
      <c r="W12" s="0"/>
    </row>
    <row r="13" customFormat="false" ht="35.65" hidden="false" customHeight="true" outlineLevel="0" collapsed="false">
      <c r="A13" s="317" t="n">
        <v>10</v>
      </c>
      <c r="B13" s="331" t="s">
        <v>359</v>
      </c>
      <c r="C13" s="331" t="s">
        <v>9</v>
      </c>
      <c r="D13" s="341" t="s">
        <v>363</v>
      </c>
      <c r="E13" s="333" t="s">
        <v>370</v>
      </c>
      <c r="F13" s="334" t="s">
        <v>10</v>
      </c>
      <c r="G13" s="335" t="n">
        <f aca="false">+M13*J13</f>
        <v>-22702</v>
      </c>
      <c r="H13" s="335" t="n">
        <f aca="false">(G13/100)*22</f>
        <v>-4994.44</v>
      </c>
      <c r="I13" s="335" t="n">
        <f aca="false">G13+H13</f>
        <v>-27696.44</v>
      </c>
      <c r="J13" s="336" t="n">
        <v>1</v>
      </c>
      <c r="K13" s="334" t="n">
        <v>2025</v>
      </c>
      <c r="L13" s="334" t="n">
        <v>2025</v>
      </c>
      <c r="M13" s="338" t="n">
        <v>-22702</v>
      </c>
      <c r="N13" s="339" t="n">
        <f aca="false">(M13/100)*22</f>
        <v>-4994.44</v>
      </c>
      <c r="O13" s="339" t="n">
        <f aca="false">M13+N13</f>
        <v>-27696.44</v>
      </c>
      <c r="P13" s="334" t="n">
        <v>2025</v>
      </c>
      <c r="Q13" s="320" t="s">
        <v>364</v>
      </c>
      <c r="R13" s="345" t="s">
        <v>371</v>
      </c>
      <c r="S13" s="344"/>
      <c r="T13" s="340"/>
      <c r="U13" s="340"/>
      <c r="V13" s="340"/>
      <c r="W13" s="0"/>
    </row>
    <row r="14" customFormat="false" ht="35.65" hidden="false" customHeight="true" outlineLevel="0" collapsed="false">
      <c r="A14" s="317" t="n">
        <v>11</v>
      </c>
      <c r="B14" s="331" t="s">
        <v>359</v>
      </c>
      <c r="C14" s="331" t="s">
        <v>9</v>
      </c>
      <c r="D14" s="341" t="s">
        <v>363</v>
      </c>
      <c r="E14" s="333" t="s">
        <v>372</v>
      </c>
      <c r="F14" s="334" t="s">
        <v>10</v>
      </c>
      <c r="G14" s="335" t="n">
        <f aca="false">+M14*J14</f>
        <v>-8986</v>
      </c>
      <c r="H14" s="335" t="n">
        <f aca="false">(G14/100)*22</f>
        <v>-1976.92</v>
      </c>
      <c r="I14" s="335" t="n">
        <f aca="false">G14+H14</f>
        <v>-10962.92</v>
      </c>
      <c r="J14" s="336" t="n">
        <v>1</v>
      </c>
      <c r="K14" s="334" t="n">
        <v>2026</v>
      </c>
      <c r="L14" s="334" t="n">
        <v>2026</v>
      </c>
      <c r="M14" s="338" t="n">
        <v>-8986</v>
      </c>
      <c r="N14" s="339" t="n">
        <f aca="false">(M14/100)*22</f>
        <v>-1976.92</v>
      </c>
      <c r="O14" s="339" t="n">
        <f aca="false">M14+N14</f>
        <v>-10962.92</v>
      </c>
      <c r="P14" s="334" t="n">
        <v>2026</v>
      </c>
      <c r="Q14" s="320" t="s">
        <v>364</v>
      </c>
      <c r="R14" s="345" t="s">
        <v>373</v>
      </c>
      <c r="S14" s="344"/>
      <c r="T14" s="340"/>
      <c r="U14" s="340"/>
      <c r="V14" s="340"/>
      <c r="W14" s="0"/>
    </row>
    <row r="15" customFormat="false" ht="43.1" hidden="false" customHeight="true" outlineLevel="0" collapsed="false">
      <c r="A15" s="317" t="n">
        <v>12</v>
      </c>
      <c r="B15" s="346" t="s">
        <v>374</v>
      </c>
      <c r="C15" s="347" t="s">
        <v>44</v>
      </c>
      <c r="D15" s="347" t="s">
        <v>375</v>
      </c>
      <c r="E15" s="348" t="s">
        <v>176</v>
      </c>
      <c r="F15" s="334" t="s">
        <v>10</v>
      </c>
      <c r="G15" s="335" t="n">
        <f aca="false">+M15*J15</f>
        <v>-36040</v>
      </c>
      <c r="H15" s="335" t="n">
        <f aca="false">(G15/100)*22</f>
        <v>-7928.8</v>
      </c>
      <c r="I15" s="335" t="n">
        <f aca="false">G15+H15</f>
        <v>-43968.8</v>
      </c>
      <c r="J15" s="336" t="n">
        <v>0.2</v>
      </c>
      <c r="K15" s="337" t="n">
        <v>2022</v>
      </c>
      <c r="L15" s="334" t="n">
        <v>2026</v>
      </c>
      <c r="M15" s="338" t="n">
        <v>-180200</v>
      </c>
      <c r="N15" s="339" t="n">
        <f aca="false">(M15/100)*22</f>
        <v>-39644</v>
      </c>
      <c r="O15" s="339" t="n">
        <f aca="false">M15+N15</f>
        <v>-219844</v>
      </c>
      <c r="P15" s="334" t="n">
        <v>2022</v>
      </c>
      <c r="Q15" s="334" t="s">
        <v>361</v>
      </c>
      <c r="R15" s="320" t="s">
        <v>361</v>
      </c>
      <c r="S15" s="344"/>
      <c r="T15" s="340"/>
      <c r="U15" s="340"/>
      <c r="V15" s="340"/>
      <c r="W15" s="0"/>
    </row>
    <row r="16" customFormat="false" ht="33.4" hidden="false" customHeight="true" outlineLevel="0" collapsed="false">
      <c r="A16" s="317" t="n">
        <v>13</v>
      </c>
      <c r="B16" s="346" t="s">
        <v>374</v>
      </c>
      <c r="C16" s="347" t="s">
        <v>44</v>
      </c>
      <c r="D16" s="347" t="s">
        <v>375</v>
      </c>
      <c r="E16" s="348" t="s">
        <v>177</v>
      </c>
      <c r="F16" s="334" t="s">
        <v>10</v>
      </c>
      <c r="G16" s="335" t="n">
        <f aca="false">+M16*J16</f>
        <v>-32398</v>
      </c>
      <c r="H16" s="335" t="n">
        <f aca="false">(G16/100)*22</f>
        <v>-7127.56</v>
      </c>
      <c r="I16" s="335" t="n">
        <f aca="false">G16+H16</f>
        <v>-39525.56</v>
      </c>
      <c r="J16" s="336" t="n">
        <v>0.2</v>
      </c>
      <c r="K16" s="337" t="n">
        <v>2022</v>
      </c>
      <c r="L16" s="334" t="n">
        <v>2026</v>
      </c>
      <c r="M16" s="338" t="n">
        <v>-161990</v>
      </c>
      <c r="N16" s="339" t="n">
        <f aca="false">(M16/100)*22</f>
        <v>-35637.8</v>
      </c>
      <c r="O16" s="339" t="n">
        <f aca="false">M16+N16</f>
        <v>-197627.8</v>
      </c>
      <c r="P16" s="334" t="n">
        <v>2022</v>
      </c>
      <c r="Q16" s="334" t="s">
        <v>361</v>
      </c>
      <c r="R16" s="320" t="s">
        <v>361</v>
      </c>
      <c r="S16" s="344"/>
      <c r="T16" s="340"/>
      <c r="U16" s="340"/>
      <c r="V16" s="340"/>
      <c r="W16" s="0"/>
    </row>
    <row r="17" s="354" customFormat="true" ht="26.7" hidden="false" customHeight="true" outlineLevel="0" collapsed="false">
      <c r="A17" s="317" t="n">
        <v>14</v>
      </c>
      <c r="B17" s="331" t="s">
        <v>359</v>
      </c>
      <c r="C17" s="331" t="s">
        <v>9</v>
      </c>
      <c r="D17" s="347" t="s">
        <v>146</v>
      </c>
      <c r="E17" s="348" t="s">
        <v>376</v>
      </c>
      <c r="F17" s="334" t="s">
        <v>10</v>
      </c>
      <c r="G17" s="335" t="n">
        <f aca="false">+M17*J17</f>
        <v>-153592.4</v>
      </c>
      <c r="H17" s="349" t="s">
        <v>377</v>
      </c>
      <c r="I17" s="335"/>
      <c r="J17" s="336" t="n">
        <v>0.4</v>
      </c>
      <c r="K17" s="337" t="n">
        <v>2022</v>
      </c>
      <c r="L17" s="334" t="n">
        <v>2025</v>
      </c>
      <c r="M17" s="338" t="n">
        <v>-383981</v>
      </c>
      <c r="N17" s="339" t="n">
        <v>0</v>
      </c>
      <c r="O17" s="339" t="n">
        <f aca="false">M17+N17</f>
        <v>-383981</v>
      </c>
      <c r="P17" s="334" t="n">
        <v>2022</v>
      </c>
      <c r="Q17" s="320" t="s">
        <v>364</v>
      </c>
      <c r="R17" s="350" t="s">
        <v>378</v>
      </c>
      <c r="S17" s="351" t="n">
        <v>0.4</v>
      </c>
      <c r="T17" s="352" t="n">
        <v>0.3</v>
      </c>
      <c r="U17" s="352" t="n">
        <v>0.2</v>
      </c>
      <c r="V17" s="352" t="n">
        <v>0.1</v>
      </c>
      <c r="W17" s="353"/>
    </row>
    <row r="18" s="354" customFormat="true" ht="26.7" hidden="false" customHeight="true" outlineLevel="0" collapsed="false">
      <c r="A18" s="317" t="n">
        <v>15</v>
      </c>
      <c r="B18" s="331" t="s">
        <v>359</v>
      </c>
      <c r="C18" s="331" t="s">
        <v>9</v>
      </c>
      <c r="D18" s="347" t="s">
        <v>146</v>
      </c>
      <c r="E18" s="348" t="s">
        <v>379</v>
      </c>
      <c r="F18" s="334" t="s">
        <v>10</v>
      </c>
      <c r="G18" s="335" t="n">
        <f aca="false">+M18*J18</f>
        <v>-153592.4</v>
      </c>
      <c r="H18" s="349" t="s">
        <v>377</v>
      </c>
      <c r="I18" s="335"/>
      <c r="J18" s="336" t="n">
        <v>0.4</v>
      </c>
      <c r="K18" s="355" t="n">
        <v>2023</v>
      </c>
      <c r="L18" s="334" t="n">
        <v>2026</v>
      </c>
      <c r="M18" s="338" t="n">
        <v>-383981</v>
      </c>
      <c r="N18" s="339" t="n">
        <v>0</v>
      </c>
      <c r="O18" s="339" t="n">
        <f aca="false">M18+N18</f>
        <v>-383981</v>
      </c>
      <c r="P18" s="334" t="n">
        <v>2022</v>
      </c>
      <c r="Q18" s="320" t="s">
        <v>364</v>
      </c>
      <c r="R18" s="350" t="s">
        <v>378</v>
      </c>
      <c r="S18" s="351" t="n">
        <v>0.4</v>
      </c>
      <c r="T18" s="352" t="n">
        <v>0.3</v>
      </c>
      <c r="U18" s="352" t="n">
        <v>0.2</v>
      </c>
      <c r="V18" s="352" t="n">
        <v>0.1</v>
      </c>
      <c r="W18" s="353"/>
    </row>
    <row r="19" s="354" customFormat="true" ht="26.7" hidden="false" customHeight="true" outlineLevel="0" collapsed="false">
      <c r="A19" s="317" t="n">
        <v>16</v>
      </c>
      <c r="B19" s="331" t="s">
        <v>359</v>
      </c>
      <c r="C19" s="331" t="s">
        <v>9</v>
      </c>
      <c r="D19" s="347" t="s">
        <v>146</v>
      </c>
      <c r="E19" s="348" t="s">
        <v>380</v>
      </c>
      <c r="F19" s="334" t="s">
        <v>10</v>
      </c>
      <c r="G19" s="335" t="n">
        <f aca="false">+M19*J19</f>
        <v>-153592.4</v>
      </c>
      <c r="H19" s="349" t="s">
        <v>377</v>
      </c>
      <c r="I19" s="335"/>
      <c r="J19" s="336" t="n">
        <v>0.4</v>
      </c>
      <c r="K19" s="355" t="n">
        <v>2024</v>
      </c>
      <c r="L19" s="334" t="n">
        <v>2027</v>
      </c>
      <c r="M19" s="338" t="n">
        <v>-383981</v>
      </c>
      <c r="N19" s="339" t="n">
        <v>0</v>
      </c>
      <c r="O19" s="339" t="n">
        <f aca="false">M19+N19</f>
        <v>-383981</v>
      </c>
      <c r="P19" s="334" t="n">
        <v>2022</v>
      </c>
      <c r="Q19" s="320" t="s">
        <v>364</v>
      </c>
      <c r="R19" s="350" t="s">
        <v>378</v>
      </c>
      <c r="S19" s="351" t="n">
        <v>0.4</v>
      </c>
      <c r="T19" s="352" t="n">
        <v>0.3</v>
      </c>
      <c r="U19" s="352" t="n">
        <v>0.2</v>
      </c>
      <c r="V19" s="352" t="n">
        <v>0.1</v>
      </c>
      <c r="W19" s="353"/>
    </row>
    <row r="20" customFormat="false" ht="22.35" hidden="true" customHeight="true" outlineLevel="0" collapsed="false">
      <c r="G20" s="356" t="n">
        <f aca="false">SUM(G4:G17)</f>
        <v>-430785.4</v>
      </c>
      <c r="H20" s="357"/>
      <c r="I20" s="357"/>
      <c r="J20" s="357"/>
      <c r="K20" s="357"/>
      <c r="L20" s="357"/>
      <c r="M20" s="358" t="n">
        <f aca="false">SUM(M4:M17)</f>
        <v>-967726</v>
      </c>
      <c r="N20" s="358" t="n">
        <f aca="false">SUM(N4:N17)-N11-N12-N13-N14</f>
        <v>-113440.8</v>
      </c>
      <c r="O20" s="359" t="n">
        <f aca="false">M20+N20</f>
        <v>-1081166.8</v>
      </c>
      <c r="P20" s="357"/>
      <c r="Q20" s="357"/>
    </row>
    <row r="21" customFormat="false" ht="22.35" hidden="false" customHeight="true" outlineLevel="0" collapsed="false">
      <c r="K21" s="360"/>
      <c r="L21" s="360"/>
      <c r="M21" s="360"/>
      <c r="N21" s="360"/>
      <c r="O21" s="360"/>
    </row>
    <row r="22" customFormat="false" ht="22.35" hidden="false" customHeight="true" outlineLevel="0" collapsed="false">
      <c r="L22" s="361" t="s">
        <v>381</v>
      </c>
      <c r="M22" s="362" t="n">
        <f aca="false">+M6+M8+M9+M10+M15</f>
        <v>-323650</v>
      </c>
      <c r="N22" s="362"/>
      <c r="O22" s="362"/>
    </row>
    <row r="23" customFormat="false" ht="22.35" hidden="false" customHeight="true" outlineLevel="0" collapsed="false">
      <c r="L23" s="361" t="s">
        <v>382</v>
      </c>
      <c r="M23" s="362" t="n">
        <f aca="false">+M22*0.1</f>
        <v>-32365</v>
      </c>
      <c r="N23" s="362"/>
      <c r="O23" s="362"/>
    </row>
  </sheetData>
  <mergeCells count="3">
    <mergeCell ref="A1:P1"/>
    <mergeCell ref="G2:J2"/>
    <mergeCell ref="K21:O21"/>
  </mergeCells>
  <printOptions headings="false" gridLines="false" gridLinesSet="true" horizontalCentered="true" verticalCentered="false"/>
  <pageMargins left="0.39375" right="0.39375" top="0.39375" bottom="0.39375" header="0.511805555555555" footer="0.511805555555555"/>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D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G30" activeCellId="0" sqref="G30"/>
    </sheetView>
  </sheetViews>
  <sheetFormatPr defaultColWidth="11.43359375" defaultRowHeight="12.75" zeroHeight="false" outlineLevelRow="0" outlineLevelCol="0"/>
  <cols>
    <col collapsed="false" customWidth="true" hidden="false" outlineLevel="0" max="1" min="1" style="363" width="2.42"/>
    <col collapsed="false" customWidth="true" hidden="false" outlineLevel="0" max="2" min="2" style="74" width="19.99"/>
    <col collapsed="false" customWidth="true" hidden="false" outlineLevel="0" max="3" min="3" style="74" width="14.43"/>
    <col collapsed="false" customWidth="true" hidden="false" outlineLevel="0" max="4" min="4" style="74" width="5.43"/>
    <col collapsed="false" customWidth="true" hidden="false" outlineLevel="0" max="5" min="5" style="74" width="10.12"/>
    <col collapsed="false" customWidth="true" hidden="false" outlineLevel="0" max="6" min="6" style="74" width="1.42"/>
    <col collapsed="false" customWidth="true" hidden="false" outlineLevel="0" max="7" min="7" style="74" width="8.7"/>
    <col collapsed="false" customWidth="true" hidden="false" outlineLevel="0" max="10" min="8" style="74" width="6.88"/>
    <col collapsed="false" customWidth="true" hidden="false" outlineLevel="0" max="11" min="11" style="74" width="6.08"/>
    <col collapsed="false" customWidth="true" hidden="false" outlineLevel="0" max="12" min="12" style="74" width="1.8"/>
    <col collapsed="false" customWidth="true" hidden="false" outlineLevel="0" max="16" min="13" style="74" width="6.88"/>
    <col collapsed="false" customWidth="true" hidden="false" outlineLevel="0" max="17" min="17" style="74" width="6.81"/>
    <col collapsed="false" customWidth="true" hidden="false" outlineLevel="0" max="20" min="18" style="74" width="6.08"/>
    <col collapsed="false" customWidth="true" hidden="false" outlineLevel="0" max="21" min="21" style="74" width="6.88"/>
    <col collapsed="false" customWidth="true" hidden="false" outlineLevel="0" max="22" min="22" style="74" width="2.36"/>
    <col collapsed="false" customWidth="true" hidden="false" outlineLevel="0" max="23" min="23" style="74" width="7.73"/>
    <col collapsed="false" customWidth="true" hidden="false" outlineLevel="0" max="25" min="24" style="74" width="6.88"/>
    <col collapsed="false" customWidth="true" hidden="false" outlineLevel="0" max="26" min="26" style="74" width="6.08"/>
    <col collapsed="false" customWidth="true" hidden="false" outlineLevel="0" max="27" min="27" style="74" width="6.88"/>
    <col collapsed="false" customWidth="true" hidden="false" outlineLevel="0" max="28" min="28" style="74" width="2.14"/>
    <col collapsed="false" customWidth="true" hidden="false" outlineLevel="0" max="29" min="29" style="200" width="4.71"/>
    <col collapsed="false" customWidth="false" hidden="false" outlineLevel="0" max="1024" min="30" style="74" width="11.42"/>
  </cols>
  <sheetData>
    <row r="1" s="77" customFormat="true" ht="26.1" hidden="false" customHeight="true" outlineLevel="0" collapsed="false">
      <c r="A1" s="364"/>
      <c r="B1" s="365" t="s">
        <v>383</v>
      </c>
      <c r="C1" s="365"/>
      <c r="D1" s="365"/>
      <c r="E1" s="365"/>
      <c r="F1" s="365"/>
      <c r="G1" s="365"/>
      <c r="H1" s="365"/>
      <c r="I1" s="365"/>
      <c r="J1" s="365"/>
      <c r="K1" s="365"/>
      <c r="L1" s="365"/>
      <c r="M1" s="365"/>
      <c r="N1" s="365"/>
      <c r="O1" s="365"/>
      <c r="P1" s="365"/>
      <c r="Q1" s="365"/>
      <c r="R1" s="365"/>
      <c r="S1" s="365"/>
      <c r="T1" s="365"/>
      <c r="U1" s="365"/>
      <c r="V1" s="365"/>
      <c r="W1" s="365"/>
      <c r="X1" s="365"/>
      <c r="Y1" s="365"/>
      <c r="Z1" s="365"/>
      <c r="AA1" s="365"/>
      <c r="AC1" s="366"/>
    </row>
    <row r="2" s="77" customFormat="true" ht="12.75" hidden="false" customHeight="true" outlineLevel="0" collapsed="false">
      <c r="A2" s="364"/>
      <c r="G2" s="145"/>
      <c r="H2" s="367"/>
      <c r="I2" s="367"/>
      <c r="J2" s="367"/>
      <c r="K2" s="367"/>
      <c r="L2" s="368"/>
      <c r="M2" s="145"/>
      <c r="N2" s="367"/>
      <c r="O2" s="367"/>
      <c r="P2" s="367"/>
      <c r="Q2" s="367"/>
      <c r="R2" s="367"/>
      <c r="S2" s="367"/>
      <c r="T2" s="367"/>
      <c r="U2" s="367"/>
      <c r="W2" s="369"/>
      <c r="X2" s="369"/>
      <c r="Y2" s="369"/>
      <c r="Z2" s="369"/>
      <c r="AA2" s="370"/>
      <c r="AC2" s="366"/>
    </row>
    <row r="3" customFormat="false" ht="20.45" hidden="false" customHeight="true" outlineLevel="0" collapsed="false">
      <c r="G3" s="371" t="s">
        <v>384</v>
      </c>
      <c r="H3" s="371"/>
      <c r="I3" s="371"/>
      <c r="J3" s="371"/>
      <c r="K3" s="371"/>
      <c r="L3" s="372"/>
      <c r="M3" s="144" t="s">
        <v>385</v>
      </c>
      <c r="N3" s="144"/>
      <c r="O3" s="144"/>
      <c r="P3" s="144"/>
      <c r="Q3" s="144"/>
      <c r="R3" s="144"/>
      <c r="S3" s="144"/>
      <c r="T3" s="144"/>
      <c r="U3" s="144"/>
      <c r="W3" s="82" t="s">
        <v>386</v>
      </c>
      <c r="X3" s="82"/>
      <c r="Y3" s="82"/>
      <c r="Z3" s="82"/>
      <c r="AA3" s="82"/>
    </row>
    <row r="4" customFormat="false" ht="17.45" hidden="false" customHeight="true" outlineLevel="0" collapsed="false">
      <c r="E4" s="373"/>
      <c r="G4" s="371"/>
      <c r="H4" s="371"/>
      <c r="I4" s="371"/>
      <c r="J4" s="371"/>
      <c r="K4" s="371"/>
      <c r="L4" s="372"/>
      <c r="M4" s="144" t="s">
        <v>387</v>
      </c>
      <c r="N4" s="144"/>
      <c r="O4" s="144"/>
      <c r="P4" s="144" t="s">
        <v>388</v>
      </c>
      <c r="Q4" s="144"/>
      <c r="R4" s="144"/>
      <c r="S4" s="144" t="s">
        <v>389</v>
      </c>
      <c r="T4" s="144"/>
      <c r="U4" s="144"/>
      <c r="W4" s="82"/>
      <c r="X4" s="82"/>
      <c r="Y4" s="82"/>
      <c r="Z4" s="82"/>
      <c r="AA4" s="82"/>
    </row>
    <row r="5" s="376" customFormat="true" ht="90.75" hidden="false" customHeight="true" outlineLevel="0" collapsed="false">
      <c r="A5" s="374"/>
      <c r="B5" s="375" t="s">
        <v>390</v>
      </c>
      <c r="C5" s="375" t="s">
        <v>391</v>
      </c>
      <c r="D5" s="375" t="s">
        <v>392</v>
      </c>
      <c r="E5" s="375" t="s">
        <v>393</v>
      </c>
      <c r="G5" s="377" t="s">
        <v>394</v>
      </c>
      <c r="H5" s="377" t="s">
        <v>395</v>
      </c>
      <c r="I5" s="377" t="s">
        <v>390</v>
      </c>
      <c r="J5" s="377" t="s">
        <v>396</v>
      </c>
      <c r="K5" s="377" t="s">
        <v>397</v>
      </c>
      <c r="L5" s="378"/>
      <c r="M5" s="379" t="s">
        <v>398</v>
      </c>
      <c r="N5" s="379" t="s">
        <v>399</v>
      </c>
      <c r="O5" s="379" t="s">
        <v>400</v>
      </c>
      <c r="P5" s="379" t="s">
        <v>401</v>
      </c>
      <c r="Q5" s="379" t="s">
        <v>402</v>
      </c>
      <c r="R5" s="379" t="s">
        <v>403</v>
      </c>
      <c r="S5" s="379" t="s">
        <v>404</v>
      </c>
      <c r="T5" s="379" t="s">
        <v>405</v>
      </c>
      <c r="U5" s="379" t="s">
        <v>406</v>
      </c>
      <c r="W5" s="380" t="s">
        <v>407</v>
      </c>
      <c r="X5" s="380" t="s">
        <v>408</v>
      </c>
      <c r="Y5" s="380" t="s">
        <v>409</v>
      </c>
      <c r="Z5" s="380" t="s">
        <v>410</v>
      </c>
      <c r="AA5" s="380" t="s">
        <v>411</v>
      </c>
      <c r="AC5" s="381" t="s">
        <v>412</v>
      </c>
    </row>
    <row r="6" s="100" customFormat="true" ht="15.65" hidden="false" customHeight="true" outlineLevel="0" collapsed="false">
      <c r="A6" s="363" t="n">
        <v>1</v>
      </c>
      <c r="B6" s="382" t="s">
        <v>413</v>
      </c>
      <c r="C6" s="107" t="s">
        <v>414</v>
      </c>
      <c r="D6" s="92" t="n">
        <v>1</v>
      </c>
      <c r="E6" s="383" t="n">
        <v>54565.091044</v>
      </c>
      <c r="G6" s="384" t="n">
        <v>0.2</v>
      </c>
      <c r="H6" s="384" t="n">
        <v>0.25</v>
      </c>
      <c r="I6" s="384" t="n">
        <v>0.1</v>
      </c>
      <c r="J6" s="384" t="n">
        <v>0.1</v>
      </c>
      <c r="K6" s="385"/>
      <c r="L6" s="386"/>
      <c r="M6" s="385" t="n">
        <v>0.2</v>
      </c>
      <c r="N6" s="385"/>
      <c r="O6" s="385"/>
      <c r="P6" s="384"/>
      <c r="Q6" s="384"/>
      <c r="R6" s="384"/>
      <c r="S6" s="384"/>
      <c r="T6" s="384"/>
      <c r="U6" s="384" t="n">
        <v>0.05</v>
      </c>
      <c r="V6" s="387"/>
      <c r="W6" s="384" t="n">
        <v>0.1</v>
      </c>
      <c r="X6" s="384"/>
      <c r="Y6" s="384"/>
      <c r="Z6" s="384"/>
      <c r="AA6" s="384"/>
      <c r="AC6" s="388" t="n">
        <f aca="false">SUM(G6:AA6)</f>
        <v>1</v>
      </c>
    </row>
    <row r="7" s="100" customFormat="true" ht="15.65" hidden="false" customHeight="true" outlineLevel="0" collapsed="false">
      <c r="A7" s="363" t="n">
        <v>2</v>
      </c>
      <c r="B7" s="389" t="s">
        <v>415</v>
      </c>
      <c r="C7" s="108" t="s">
        <v>416</v>
      </c>
      <c r="D7" s="92" t="n">
        <v>1</v>
      </c>
      <c r="E7" s="390" t="n">
        <v>36326</v>
      </c>
      <c r="G7" s="384" t="n">
        <v>0.25</v>
      </c>
      <c r="H7" s="384" t="n">
        <v>0.25</v>
      </c>
      <c r="I7" s="384" t="n">
        <v>0.25</v>
      </c>
      <c r="J7" s="384"/>
      <c r="K7" s="385"/>
      <c r="L7" s="386"/>
      <c r="M7" s="385"/>
      <c r="N7" s="385"/>
      <c r="O7" s="385"/>
      <c r="P7" s="384"/>
      <c r="Q7" s="384"/>
      <c r="R7" s="384"/>
      <c r="S7" s="384"/>
      <c r="T7" s="384"/>
      <c r="U7" s="384"/>
      <c r="V7" s="387"/>
      <c r="W7" s="384" t="n">
        <v>0.25</v>
      </c>
      <c r="X7" s="384"/>
      <c r="Y7" s="384"/>
      <c r="Z7" s="384"/>
      <c r="AA7" s="384"/>
      <c r="AC7" s="388" t="n">
        <f aca="false">SUM(G7:AA7)</f>
        <v>1</v>
      </c>
    </row>
    <row r="8" s="100" customFormat="true" ht="15.65" hidden="false" customHeight="true" outlineLevel="0" collapsed="false">
      <c r="A8" s="363" t="n">
        <v>3</v>
      </c>
      <c r="B8" s="389" t="s">
        <v>417</v>
      </c>
      <c r="C8" s="108" t="s">
        <v>416</v>
      </c>
      <c r="D8" s="92" t="n">
        <v>1</v>
      </c>
      <c r="E8" s="390" t="n">
        <v>36326</v>
      </c>
      <c r="G8" s="384"/>
      <c r="H8" s="384"/>
      <c r="I8" s="384"/>
      <c r="J8" s="384"/>
      <c r="K8" s="385"/>
      <c r="L8" s="386"/>
      <c r="M8" s="385"/>
      <c r="N8" s="385"/>
      <c r="O8" s="385"/>
      <c r="P8" s="384" t="n">
        <v>0.2</v>
      </c>
      <c r="Q8" s="384" t="n">
        <v>0.5</v>
      </c>
      <c r="R8" s="384" t="n">
        <v>0.1</v>
      </c>
      <c r="S8" s="384"/>
      <c r="T8" s="384"/>
      <c r="U8" s="384" t="n">
        <v>0.15</v>
      </c>
      <c r="V8" s="387"/>
      <c r="W8" s="384"/>
      <c r="X8" s="384"/>
      <c r="Y8" s="384"/>
      <c r="Z8" s="385" t="n">
        <v>0.05</v>
      </c>
      <c r="AA8" s="384"/>
      <c r="AC8" s="388" t="n">
        <f aca="false">SUM(G8:AA8)</f>
        <v>1</v>
      </c>
    </row>
    <row r="9" s="100" customFormat="true" ht="15.65" hidden="false" customHeight="true" outlineLevel="0" collapsed="false">
      <c r="A9" s="363" t="n">
        <v>4</v>
      </c>
      <c r="B9" s="389" t="s">
        <v>418</v>
      </c>
      <c r="C9" s="108" t="s">
        <v>416</v>
      </c>
      <c r="D9" s="92" t="n">
        <v>0.5</v>
      </c>
      <c r="E9" s="390" t="n">
        <v>18163</v>
      </c>
      <c r="G9" s="384"/>
      <c r="H9" s="384"/>
      <c r="I9" s="384"/>
      <c r="J9" s="384" t="n">
        <v>1</v>
      </c>
      <c r="K9" s="385"/>
      <c r="L9" s="386"/>
      <c r="M9" s="385"/>
      <c r="N9" s="385"/>
      <c r="O9" s="385"/>
      <c r="P9" s="384"/>
      <c r="Q9" s="384"/>
      <c r="R9" s="384"/>
      <c r="S9" s="384"/>
      <c r="T9" s="384"/>
      <c r="U9" s="384"/>
      <c r="V9" s="387"/>
      <c r="W9" s="384"/>
      <c r="X9" s="384"/>
      <c r="Y9" s="384"/>
      <c r="Z9" s="384"/>
      <c r="AA9" s="384"/>
      <c r="AC9" s="388" t="n">
        <f aca="false">SUM(G9:AA9)</f>
        <v>1</v>
      </c>
    </row>
    <row r="10" s="100" customFormat="true" ht="15.65" hidden="false" customHeight="true" outlineLevel="0" collapsed="false">
      <c r="A10" s="363" t="n">
        <v>5</v>
      </c>
      <c r="B10" s="389" t="s">
        <v>419</v>
      </c>
      <c r="C10" s="108" t="s">
        <v>416</v>
      </c>
      <c r="D10" s="92" t="n">
        <v>1</v>
      </c>
      <c r="E10" s="390" t="n">
        <v>36326</v>
      </c>
      <c r="G10" s="384"/>
      <c r="H10" s="384"/>
      <c r="I10" s="384"/>
      <c r="J10" s="384"/>
      <c r="K10" s="385"/>
      <c r="L10" s="386"/>
      <c r="M10" s="385"/>
      <c r="N10" s="385"/>
      <c r="O10" s="385"/>
      <c r="P10" s="384"/>
      <c r="Q10" s="384"/>
      <c r="R10" s="384"/>
      <c r="S10" s="384"/>
      <c r="T10" s="384"/>
      <c r="U10" s="384"/>
      <c r="V10" s="387"/>
      <c r="W10" s="384" t="n">
        <v>0.8</v>
      </c>
      <c r="X10" s="384" t="n">
        <v>0.1</v>
      </c>
      <c r="Y10" s="384" t="n">
        <v>0.1</v>
      </c>
      <c r="Z10" s="384"/>
      <c r="AA10" s="384"/>
      <c r="AC10" s="388" t="n">
        <f aca="false">SUM(G10:AA10)</f>
        <v>1</v>
      </c>
    </row>
    <row r="11" s="100" customFormat="true" ht="15.65" hidden="false" customHeight="true" outlineLevel="0" collapsed="false">
      <c r="A11" s="363" t="n">
        <v>5</v>
      </c>
      <c r="B11" s="389" t="s">
        <v>420</v>
      </c>
      <c r="C11" s="108" t="s">
        <v>421</v>
      </c>
      <c r="D11" s="92" t="n">
        <v>1</v>
      </c>
      <c r="E11" s="391" t="n">
        <v>35000</v>
      </c>
      <c r="G11" s="384"/>
      <c r="H11" s="384"/>
      <c r="I11" s="384"/>
      <c r="J11" s="384" t="n">
        <v>0.2</v>
      </c>
      <c r="K11" s="385"/>
      <c r="L11" s="386"/>
      <c r="M11" s="385"/>
      <c r="N11" s="385"/>
      <c r="O11" s="385"/>
      <c r="P11" s="385" t="n">
        <v>0.25</v>
      </c>
      <c r="Q11" s="385"/>
      <c r="R11" s="385"/>
      <c r="S11" s="385"/>
      <c r="T11" s="385" t="n">
        <v>0.2</v>
      </c>
      <c r="U11" s="385" t="n">
        <v>0.15</v>
      </c>
      <c r="V11" s="386"/>
      <c r="W11" s="385" t="n">
        <v>0.1</v>
      </c>
      <c r="X11" s="385" t="n">
        <v>0.1</v>
      </c>
      <c r="Y11" s="385"/>
      <c r="Z11" s="385"/>
      <c r="AA11" s="384"/>
      <c r="AC11" s="388" t="n">
        <f aca="false">SUM(G11:AA11)</f>
        <v>1</v>
      </c>
    </row>
    <row r="12" s="100" customFormat="true" ht="15.65" hidden="false" customHeight="true" outlineLevel="0" collapsed="false">
      <c r="A12" s="363" t="n">
        <v>6</v>
      </c>
      <c r="B12" s="389" t="s">
        <v>422</v>
      </c>
      <c r="C12" s="108" t="s">
        <v>421</v>
      </c>
      <c r="D12" s="92" t="n">
        <v>0.8</v>
      </c>
      <c r="E12" s="391" t="n">
        <v>28000</v>
      </c>
      <c r="G12" s="384"/>
      <c r="H12" s="384"/>
      <c r="I12" s="384"/>
      <c r="J12" s="384"/>
      <c r="K12" s="385"/>
      <c r="L12" s="386"/>
      <c r="M12" s="385"/>
      <c r="N12" s="385"/>
      <c r="O12" s="385"/>
      <c r="P12" s="385" t="n">
        <v>0.6</v>
      </c>
      <c r="Q12" s="385" t="n">
        <v>0.2</v>
      </c>
      <c r="R12" s="385" t="n">
        <v>0.1</v>
      </c>
      <c r="S12" s="385"/>
      <c r="T12" s="385"/>
      <c r="U12" s="385"/>
      <c r="V12" s="386"/>
      <c r="W12" s="385" t="n">
        <v>0.1</v>
      </c>
      <c r="X12" s="385"/>
      <c r="Y12" s="385"/>
      <c r="Z12" s="385"/>
      <c r="AA12" s="384"/>
      <c r="AC12" s="388" t="n">
        <f aca="false">SUM(G12:AA12)</f>
        <v>1</v>
      </c>
    </row>
    <row r="13" s="100" customFormat="true" ht="15.65" hidden="false" customHeight="true" outlineLevel="0" collapsed="false">
      <c r="A13" s="363" t="n">
        <v>7</v>
      </c>
      <c r="B13" s="389" t="s">
        <v>423</v>
      </c>
      <c r="C13" s="108" t="s">
        <v>424</v>
      </c>
      <c r="D13" s="92" t="n">
        <v>1</v>
      </c>
      <c r="E13" s="391" t="n">
        <v>30000</v>
      </c>
      <c r="G13" s="384"/>
      <c r="H13" s="384" t="n">
        <v>0.1</v>
      </c>
      <c r="I13" s="384"/>
      <c r="J13" s="384"/>
      <c r="K13" s="385"/>
      <c r="L13" s="386"/>
      <c r="M13" s="385" t="n">
        <v>0.1</v>
      </c>
      <c r="N13" s="385" t="n">
        <v>0.2</v>
      </c>
      <c r="O13" s="385" t="n">
        <v>0.5</v>
      </c>
      <c r="P13" s="385"/>
      <c r="Q13" s="385"/>
      <c r="R13" s="385"/>
      <c r="S13" s="385"/>
      <c r="T13" s="385"/>
      <c r="U13" s="385"/>
      <c r="V13" s="386"/>
      <c r="W13" s="385" t="n">
        <v>0.1</v>
      </c>
      <c r="X13" s="385"/>
      <c r="Y13" s="385"/>
      <c r="Z13" s="385"/>
      <c r="AA13" s="384"/>
      <c r="AC13" s="388" t="n">
        <f aca="false">SUM(G13:AA13)</f>
        <v>1</v>
      </c>
    </row>
    <row r="14" s="100" customFormat="true" ht="15.65" hidden="false" customHeight="true" outlineLevel="0" collapsed="false">
      <c r="A14" s="363" t="n">
        <v>8</v>
      </c>
      <c r="B14" s="389" t="s">
        <v>425</v>
      </c>
      <c r="C14" s="108" t="s">
        <v>416</v>
      </c>
      <c r="D14" s="92" t="n">
        <v>0.5</v>
      </c>
      <c r="E14" s="390" t="n">
        <v>18163</v>
      </c>
      <c r="G14" s="384"/>
      <c r="H14" s="384"/>
      <c r="I14" s="384"/>
      <c r="J14" s="384"/>
      <c r="K14" s="385" t="n">
        <v>0.5</v>
      </c>
      <c r="L14" s="386"/>
      <c r="M14" s="385"/>
      <c r="N14" s="385"/>
      <c r="O14" s="385"/>
      <c r="P14" s="385"/>
      <c r="Q14" s="385"/>
      <c r="R14" s="385"/>
      <c r="S14" s="385" t="n">
        <v>0.5</v>
      </c>
      <c r="T14" s="385"/>
      <c r="U14" s="385"/>
      <c r="V14" s="386"/>
      <c r="W14" s="385"/>
      <c r="X14" s="385"/>
      <c r="Y14" s="385"/>
      <c r="Z14" s="385"/>
      <c r="AA14" s="384"/>
      <c r="AC14" s="388" t="n">
        <f aca="false">SUM(G14:AA14)</f>
        <v>1</v>
      </c>
    </row>
    <row r="15" s="100" customFormat="true" ht="15.65" hidden="false" customHeight="true" outlineLevel="0" collapsed="false">
      <c r="A15" s="363" t="n">
        <v>9</v>
      </c>
      <c r="B15" s="392" t="s">
        <v>426</v>
      </c>
      <c r="C15" s="91" t="s">
        <v>427</v>
      </c>
      <c r="D15" s="170" t="n">
        <v>1</v>
      </c>
      <c r="E15" s="393" t="n">
        <v>32344</v>
      </c>
      <c r="G15" s="384" t="n">
        <v>0.2</v>
      </c>
      <c r="H15" s="384" t="n">
        <v>0.4</v>
      </c>
      <c r="I15" s="384" t="n">
        <v>0.4</v>
      </c>
      <c r="J15" s="384"/>
      <c r="K15" s="385"/>
      <c r="L15" s="386"/>
      <c r="M15" s="385"/>
      <c r="N15" s="385"/>
      <c r="O15" s="385"/>
      <c r="P15" s="385"/>
      <c r="Q15" s="385"/>
      <c r="R15" s="385"/>
      <c r="S15" s="385"/>
      <c r="T15" s="385"/>
      <c r="U15" s="385"/>
      <c r="V15" s="386"/>
      <c r="W15" s="385"/>
      <c r="X15" s="385"/>
      <c r="Y15" s="385"/>
      <c r="Z15" s="385"/>
      <c r="AA15" s="384"/>
      <c r="AC15" s="388" t="n">
        <f aca="false">SUM(G15:AA15)</f>
        <v>1</v>
      </c>
    </row>
    <row r="16" s="100" customFormat="true" ht="15.65" hidden="false" customHeight="true" outlineLevel="0" collapsed="false">
      <c r="A16" s="363" t="n">
        <v>10</v>
      </c>
      <c r="B16" s="389" t="s">
        <v>428</v>
      </c>
      <c r="C16" s="108" t="s">
        <v>429</v>
      </c>
      <c r="D16" s="92" t="n">
        <v>0.2</v>
      </c>
      <c r="E16" s="390" t="n">
        <v>7200</v>
      </c>
      <c r="G16" s="384"/>
      <c r="H16" s="384"/>
      <c r="I16" s="384"/>
      <c r="J16" s="384"/>
      <c r="K16" s="385"/>
      <c r="L16" s="386"/>
      <c r="M16" s="385"/>
      <c r="N16" s="385" t="n">
        <v>1</v>
      </c>
      <c r="O16" s="385"/>
      <c r="P16" s="385"/>
      <c r="Q16" s="385"/>
      <c r="R16" s="385"/>
      <c r="S16" s="385"/>
      <c r="T16" s="385"/>
      <c r="U16" s="385"/>
      <c r="V16" s="386"/>
      <c r="W16" s="385"/>
      <c r="X16" s="385"/>
      <c r="Y16" s="385"/>
      <c r="Z16" s="385"/>
      <c r="AA16" s="384"/>
      <c r="AC16" s="388" t="n">
        <f aca="false">SUM(G16:AA16)</f>
        <v>1</v>
      </c>
    </row>
    <row r="17" s="100" customFormat="true" ht="15.65" hidden="false" customHeight="true" outlineLevel="0" collapsed="false">
      <c r="A17" s="363" t="n">
        <v>11</v>
      </c>
      <c r="B17" s="382" t="s">
        <v>430</v>
      </c>
      <c r="C17" s="108" t="s">
        <v>429</v>
      </c>
      <c r="D17" s="92" t="n">
        <v>0.2</v>
      </c>
      <c r="E17" s="390" t="n">
        <v>7200</v>
      </c>
      <c r="G17" s="384"/>
      <c r="H17" s="384" t="n">
        <v>0.8</v>
      </c>
      <c r="I17" s="384"/>
      <c r="J17" s="384"/>
      <c r="K17" s="385"/>
      <c r="L17" s="386"/>
      <c r="M17" s="385"/>
      <c r="N17" s="385"/>
      <c r="O17" s="385"/>
      <c r="P17" s="385"/>
      <c r="Q17" s="385"/>
      <c r="R17" s="385"/>
      <c r="S17" s="385"/>
      <c r="T17" s="385"/>
      <c r="U17" s="385"/>
      <c r="V17" s="386"/>
      <c r="W17" s="385" t="n">
        <v>0.2</v>
      </c>
      <c r="X17" s="385"/>
      <c r="Y17" s="385"/>
      <c r="Z17" s="385"/>
      <c r="AA17" s="384"/>
      <c r="AC17" s="388" t="n">
        <f aca="false">SUM(G17:AA17)</f>
        <v>1</v>
      </c>
    </row>
    <row r="18" s="100" customFormat="true" ht="25.2" hidden="false" customHeight="true" outlineLevel="0" collapsed="false">
      <c r="A18" s="363" t="n">
        <v>12</v>
      </c>
      <c r="B18" s="394" t="s">
        <v>431</v>
      </c>
      <c r="C18" s="108" t="s">
        <v>432</v>
      </c>
      <c r="D18" s="92" t="n">
        <v>0.54</v>
      </c>
      <c r="E18" s="390" t="n">
        <v>5000</v>
      </c>
      <c r="G18" s="384"/>
      <c r="H18" s="384"/>
      <c r="I18" s="384"/>
      <c r="J18" s="385" t="n">
        <v>0.3</v>
      </c>
      <c r="K18" s="385"/>
      <c r="L18" s="386"/>
      <c r="M18" s="385" t="n">
        <v>0.2</v>
      </c>
      <c r="N18" s="385"/>
      <c r="O18" s="385"/>
      <c r="P18" s="385"/>
      <c r="Q18" s="385"/>
      <c r="R18" s="385"/>
      <c r="S18" s="385"/>
      <c r="T18" s="385"/>
      <c r="U18" s="385"/>
      <c r="V18" s="386"/>
      <c r="W18" s="385" t="n">
        <v>0.2</v>
      </c>
      <c r="X18" s="385"/>
      <c r="Y18" s="385"/>
      <c r="Z18" s="385" t="n">
        <v>0.3</v>
      </c>
      <c r="AA18" s="384"/>
      <c r="AC18" s="388" t="n">
        <f aca="false">SUM(G18:AA18)</f>
        <v>1</v>
      </c>
    </row>
    <row r="19" s="100" customFormat="true" ht="25.2" hidden="false" customHeight="true" outlineLevel="0" collapsed="false">
      <c r="A19" s="363" t="n">
        <v>13</v>
      </c>
      <c r="B19" s="394" t="s">
        <v>433</v>
      </c>
      <c r="C19" s="107" t="s">
        <v>434</v>
      </c>
      <c r="D19" s="92" t="n">
        <v>7.3</v>
      </c>
      <c r="E19" s="390" t="n">
        <f aca="false">[2]Costo_ora!F5*9</f>
        <v>235335.78</v>
      </c>
      <c r="G19" s="384"/>
      <c r="H19" s="384"/>
      <c r="I19" s="384"/>
      <c r="J19" s="385"/>
      <c r="K19" s="385"/>
      <c r="L19" s="386"/>
      <c r="M19" s="385"/>
      <c r="N19" s="385"/>
      <c r="O19" s="385"/>
      <c r="P19" s="384"/>
      <c r="Q19" s="384"/>
      <c r="R19" s="384"/>
      <c r="S19" s="384"/>
      <c r="T19" s="384"/>
      <c r="U19" s="384"/>
      <c r="V19" s="387"/>
      <c r="W19" s="384" t="n">
        <v>1</v>
      </c>
      <c r="X19" s="384"/>
      <c r="Y19" s="384"/>
      <c r="Z19" s="395"/>
      <c r="AA19" s="384"/>
      <c r="AC19" s="388" t="n">
        <f aca="false">SUM(G19:AA19)</f>
        <v>1</v>
      </c>
    </row>
    <row r="20" s="100" customFormat="true" ht="36.55" hidden="false" customHeight="true" outlineLevel="0" collapsed="false">
      <c r="A20" s="363" t="n">
        <v>14</v>
      </c>
      <c r="B20" s="394" t="s">
        <v>435</v>
      </c>
      <c r="C20" s="107" t="s">
        <v>436</v>
      </c>
      <c r="D20" s="92" t="n">
        <v>0.95</v>
      </c>
      <c r="E20" s="390" t="n">
        <v>30667</v>
      </c>
      <c r="G20" s="384"/>
      <c r="H20" s="384"/>
      <c r="I20" s="384"/>
      <c r="J20" s="385"/>
      <c r="K20" s="385"/>
      <c r="L20" s="386"/>
      <c r="M20" s="385"/>
      <c r="N20" s="385"/>
      <c r="O20" s="385"/>
      <c r="P20" s="384"/>
      <c r="Q20" s="384"/>
      <c r="R20" s="384"/>
      <c r="S20" s="384"/>
      <c r="T20" s="384"/>
      <c r="U20" s="384"/>
      <c r="V20" s="387"/>
      <c r="W20" s="384" t="n">
        <v>1</v>
      </c>
      <c r="X20" s="384"/>
      <c r="Y20" s="384"/>
      <c r="Z20" s="395"/>
      <c r="AA20" s="384"/>
      <c r="AC20" s="388" t="n">
        <f aca="false">SUM(G20:AA20)</f>
        <v>1</v>
      </c>
    </row>
    <row r="21" s="100" customFormat="true" ht="35.65" hidden="false" customHeight="true" outlineLevel="0" collapsed="false">
      <c r="A21" s="363" t="n">
        <v>15</v>
      </c>
      <c r="B21" s="394" t="s">
        <v>437</v>
      </c>
      <c r="C21" s="107" t="s">
        <v>438</v>
      </c>
      <c r="D21" s="92" t="n">
        <v>0.81</v>
      </c>
      <c r="E21" s="390" t="n">
        <f aca="false">D21*32334</f>
        <v>26190.54</v>
      </c>
      <c r="G21" s="384"/>
      <c r="H21" s="384"/>
      <c r="I21" s="384"/>
      <c r="J21" s="385"/>
      <c r="K21" s="385"/>
      <c r="L21" s="386"/>
      <c r="M21" s="385"/>
      <c r="N21" s="385"/>
      <c r="O21" s="385"/>
      <c r="P21" s="384"/>
      <c r="Q21" s="384"/>
      <c r="R21" s="384"/>
      <c r="S21" s="384"/>
      <c r="T21" s="384"/>
      <c r="U21" s="384"/>
      <c r="V21" s="387"/>
      <c r="W21" s="384"/>
      <c r="X21" s="396" t="n">
        <v>1</v>
      </c>
      <c r="Y21" s="396"/>
      <c r="Z21" s="397"/>
      <c r="AA21" s="396"/>
      <c r="AC21" s="388" t="n">
        <f aca="false">SUM(G21:AA21)</f>
        <v>1</v>
      </c>
    </row>
    <row r="22" s="100" customFormat="true" ht="33.4" hidden="false" customHeight="true" outlineLevel="0" collapsed="false">
      <c r="A22" s="363" t="n">
        <v>16</v>
      </c>
      <c r="B22" s="394" t="s">
        <v>439</v>
      </c>
      <c r="C22" s="107" t="s">
        <v>440</v>
      </c>
      <c r="D22" s="398" t="s">
        <v>441</v>
      </c>
      <c r="E22" s="390" t="n">
        <f aca="false">21.65*1008</f>
        <v>21823.2</v>
      </c>
      <c r="G22" s="384"/>
      <c r="H22" s="384"/>
      <c r="I22" s="384"/>
      <c r="J22" s="385"/>
      <c r="K22" s="385"/>
      <c r="L22" s="386"/>
      <c r="M22" s="385"/>
      <c r="N22" s="385"/>
      <c r="O22" s="385"/>
      <c r="P22" s="384"/>
      <c r="Q22" s="384"/>
      <c r="R22" s="384"/>
      <c r="S22" s="384"/>
      <c r="T22" s="384"/>
      <c r="U22" s="384"/>
      <c r="V22" s="387"/>
      <c r="W22" s="384"/>
      <c r="X22" s="396"/>
      <c r="Y22" s="396" t="n">
        <v>1</v>
      </c>
      <c r="Z22" s="397"/>
      <c r="AA22" s="396"/>
      <c r="AC22" s="388" t="n">
        <f aca="false">SUM(G22:AA22)</f>
        <v>1</v>
      </c>
    </row>
    <row r="23" s="100" customFormat="true" ht="15.65" hidden="false" customHeight="true" outlineLevel="0" collapsed="false">
      <c r="A23" s="363" t="n">
        <v>17</v>
      </c>
      <c r="B23" s="394" t="s">
        <v>442</v>
      </c>
      <c r="C23" s="108" t="s">
        <v>416</v>
      </c>
      <c r="D23" s="92" t="n">
        <v>0.5</v>
      </c>
      <c r="E23" s="390" t="n">
        <v>18163</v>
      </c>
      <c r="G23" s="384"/>
      <c r="H23" s="384"/>
      <c r="I23" s="384"/>
      <c r="J23" s="385"/>
      <c r="K23" s="385"/>
      <c r="L23" s="386"/>
      <c r="M23" s="385"/>
      <c r="N23" s="385"/>
      <c r="O23" s="385"/>
      <c r="P23" s="384"/>
      <c r="Q23" s="384"/>
      <c r="R23" s="384"/>
      <c r="S23" s="384"/>
      <c r="T23" s="384"/>
      <c r="U23" s="384"/>
      <c r="V23" s="387"/>
      <c r="W23" s="384"/>
      <c r="X23" s="396"/>
      <c r="Y23" s="396"/>
      <c r="Z23" s="397"/>
      <c r="AA23" s="396" t="n">
        <v>1</v>
      </c>
      <c r="AC23" s="388" t="n">
        <f aca="false">SUM(G23:AA23)</f>
        <v>1</v>
      </c>
    </row>
    <row r="24" s="100" customFormat="true" ht="15.65" hidden="false" customHeight="true" outlineLevel="0" collapsed="false">
      <c r="A24" s="363" t="n">
        <v>18</v>
      </c>
      <c r="B24" s="394" t="s">
        <v>443</v>
      </c>
      <c r="C24" s="108" t="s">
        <v>427</v>
      </c>
      <c r="D24" s="92" t="n">
        <v>0.25</v>
      </c>
      <c r="E24" s="390" t="n">
        <f aca="false">D24*32334</f>
        <v>8083.5</v>
      </c>
      <c r="G24" s="384"/>
      <c r="H24" s="384"/>
      <c r="I24" s="384"/>
      <c r="J24" s="385"/>
      <c r="K24" s="385"/>
      <c r="L24" s="386"/>
      <c r="M24" s="385"/>
      <c r="N24" s="385"/>
      <c r="O24" s="385"/>
      <c r="P24" s="384"/>
      <c r="Q24" s="384"/>
      <c r="R24" s="384"/>
      <c r="S24" s="384"/>
      <c r="T24" s="384"/>
      <c r="U24" s="384"/>
      <c r="V24" s="387"/>
      <c r="W24" s="384"/>
      <c r="X24" s="396"/>
      <c r="Y24" s="396"/>
      <c r="Z24" s="397"/>
      <c r="AA24" s="396" t="n">
        <v>1</v>
      </c>
      <c r="AC24" s="388" t="n">
        <f aca="false">SUM(G24:AA24)</f>
        <v>1</v>
      </c>
    </row>
    <row r="25" s="100" customFormat="true" ht="21.2" hidden="false" customHeight="true" outlineLevel="0" collapsed="false">
      <c r="A25" s="363"/>
      <c r="B25" s="399"/>
      <c r="C25" s="178"/>
      <c r="D25" s="400" t="s">
        <v>444</v>
      </c>
      <c r="E25" s="400"/>
      <c r="G25" s="401" t="n">
        <f aca="false">($E$6*G6)+($E$7*G7)+($E$8*G8)+($E$9*G9)+($E$10*G10)+($E$11*G11)+($E$12*G12)+($E$13*G13)+($E$14*G14)+($E$15*G15)+($E$16*G16)+($E$17*G17)+($E$18*G18)</f>
        <v>26463.3182088</v>
      </c>
      <c r="H25" s="401" t="n">
        <f aca="false">($E$6*H6)+($E$7*H7)+($E$8*H8)+($E$9*H9)+($E$10*H10)+($E$11*H11)+($E$12*H12)+($E$13*H13)+($E$14*H14)+($E$15*H15)+($E$16*H16)+($E$17*H17)+($E$18*H18)</f>
        <v>44420.372761</v>
      </c>
      <c r="I25" s="401" t="n">
        <f aca="false">($E$6*I6)+($E$7*I7)+($E$8*I8)+($E$9*I9)+($E$10*I10)+($E$11*I11)+($E$12*I12)+($E$13*I13)+($E$14*I14)+($E$15*I15)+($E$16*I16)+($E$17*I17)+($E$18*I18)</f>
        <v>27475.6091044</v>
      </c>
      <c r="J25" s="401" t="n">
        <f aca="false">($E$6*J6)+($E$7*J7)+($E$8*J8)+($E$9*J9)+($E$10*J10)+($E$11*J11)+($E$12*J12)+($E$13*J13)+($E$14*J14)+($E$15*J15)+($E$16*J16)+($E$17*J17)+($E$18*J18)</f>
        <v>32119.5091044</v>
      </c>
      <c r="K25" s="401" t="n">
        <f aca="false">($E$6*K6)+($E$7*K7)+($E$8*K8)+($E$9*K9)+($E$10*K10)+($E$11*K11)+($E$12*K12)+($E$13*K13)+($E$14*K14)+($E$15*K15)+($E$16*K16)+($E$17*K17)+($E$18*K18)</f>
        <v>9081.5</v>
      </c>
      <c r="L25" s="402"/>
      <c r="M25" s="401" t="n">
        <f aca="false">($E$6*M6)+($E$7*M7)+($E$8*M8)+($E$9*M9)+($E$10*M10)+($E$11*M11)+($E$12*M12)+($E$13*M13)+($E$14*M14)+($E$15*M15)+($E$16*M16)+($E$17*M17)+($E$18*M18)</f>
        <v>14913.0182088</v>
      </c>
      <c r="N25" s="401" t="n">
        <f aca="false">($E$6*N6)+($E$7*N7)+($E$8*N8)+($E$9*N9)+($E$10*N10)+($E$11*N11)+($E$12*N12)+($E$13*N13)+($E$14*N14)+($E$15*N15)+($E$16*N16)+($E$17*N17)+($E$18*N18)</f>
        <v>13200</v>
      </c>
      <c r="O25" s="401" t="n">
        <f aca="false">($E$6*O6)+($E$7*O7)+($E$8*O8)+($E$9*O9)+($E$10*O10)+($E$11*O11)+($E$12*O12)+($E$13*O13)+($E$14*O14)+($E$15*O15)+($E$16*O16)+($E$17*O17)+($E$18*O18)</f>
        <v>15000</v>
      </c>
      <c r="P25" s="401" t="n">
        <f aca="false">($E$6*P6)+($E$7*P7)+($E$8*P8)+($E$9*P9)+($E$10*P10)+($E$11*P11)+($E$12*P12)+($E$13*P13)+($E$14*P14)+($E$15*P15)+($E$16*P16)+($E$17*P17)+($E$18*P18)</f>
        <v>32815.2</v>
      </c>
      <c r="Q25" s="401" t="n">
        <f aca="false">($E$6*Q6)+($E$7*Q7)+($E$8*Q8)+($E$9*Q9)+($E$10*Q10)+($E$11*Q11)+($E$12*Q12)+($E$13*Q13)+($E$14*Q14)+($E$15*Q15)+($E$16*Q16)+($E$17*Q17)+($E$18*Q18)</f>
        <v>23763</v>
      </c>
      <c r="R25" s="401" t="n">
        <f aca="false">($E$6*R6)+($E$7*R7)+($E$8*R8)+($E$9*R9)+($E$10*R10)+($E$11*R11)+($E$12*R12)+($E$13*R13)+($E$14*R14)+($E$15*R15)+($E$16*R16)+($E$17*R17)+($E$18*R18)</f>
        <v>6432.6</v>
      </c>
      <c r="S25" s="401" t="n">
        <f aca="false">($E$6*S6)+($E$7*S7)+($E$8*S8)+($E$9*S9)+($E$10*S10)+($E$11*S11)+($E$12*S12)+($E$13*S13)+($E$14*S14)+($E$15*S15)+($E$16*S16)+($E$17*S17)+($E$18*S18)</f>
        <v>9081.5</v>
      </c>
      <c r="T25" s="401" t="n">
        <f aca="false">($E$6*T6)+($E$7*T7)+($E$8*T8)+($E$9*T9)+($E$10*T10)+($E$11*T11)+($E$12*T12)+($E$13*T13)+($E$14*T14)+($E$15*T15)+($E$16*T16)+($E$17*T17)+($E$18*T18)</f>
        <v>7000</v>
      </c>
      <c r="U25" s="401" t="n">
        <f aca="false">($E$6*U6)+($E$7*U7)+($E$8*U8)+($E$9*U9)+($E$10*U10)+($E$11*U11)+($E$12*U12)+($E$13*U13)+($E$14*U14)+($E$15*U15)+($E$16*U16)+($E$17*U17)+($E$18*U18)</f>
        <v>13427.1545522</v>
      </c>
      <c r="V25" s="402"/>
      <c r="W25" s="401" t="n">
        <f aca="false">($E$6*W6)+($E$7*W7)+($E$8*W8)+($E$9*W9)+($E$10*W10)+($E$11*W11)+($E$12*W12)+($E$13*W13)+($E$14*W14)+($E$15*W15)+($E$16*W16)+($E$17*W17)+($E$18*W18)+($E$19*W19)+($E$20*W20)</f>
        <v>321341.5891044</v>
      </c>
      <c r="X25" s="401" t="n">
        <f aca="false">($E$6*X6)+($E$7*X7)+($E$8*X8)+($E$9*X9)+($E$10*X10)+($E$11*X11)+($E$12*X12)+($E$13*X13)+($E$14*X14)+($E$15*X15)+($E$16*X16)+($E$17*X17)+($E$18*X18)+($E$19*X19)+($E$20*X20)+($E$21*X21)+($E$22*X22)+($E$23*X23)+($E$24*X24)</f>
        <v>33323.14</v>
      </c>
      <c r="Y25" s="401" t="n">
        <f aca="false">($E$6*Y6)+($E$7*Y7)+($E$8*Y8)+($E$9*Y9)+($E$10*Y10)+($E$11*Y11)+($E$12*Y12)+($E$13*Y13)+($E$14*Y14)+($E$15*Y15)+($E$16*Y16)+($E$17*Y17)+($E$18*Y18)+($E$19*Y19)+($E$20*Y20)+($E$21*Y21)+($E$22*Y22)+($E$23*Y23)+($E$24*Y24)</f>
        <v>25455.8</v>
      </c>
      <c r="Z25" s="401" t="n">
        <f aca="false">($E$6*Z6)+($E$7*Z7)+($E$8*Z8)+($E$9*Z9)+($E$10*Z10)+($E$11*Z11)+($E$12*Z12)+($E$13*Z13)+($E$14*Z14)+($E$15*Z15)+($E$16*Z16)+($E$17*Z17)+($E$18*Z18)</f>
        <v>3316.3</v>
      </c>
      <c r="AA25" s="401" t="n">
        <f aca="false">($E$6*AA6)+($E$7*AA7)+($E$8*AA8)+($E$9*AA9)+($E$10*AA10)+($E$11*AA11)+($E$12*AA12)+($E$13*AA13)+($E$14*AA14)+($E$15*AA15)+($E$16*AA16)+($E$17*AA17)+($E$18*AA18)+($E$19*AA19)+($E$20*AA20)+($E$21*AA21)+($E$22*AA22)+($E$23*AA23)+($E$24*AA24)</f>
        <v>26246.5</v>
      </c>
      <c r="AC25" s="403"/>
    </row>
    <row r="26" s="100" customFormat="true" ht="21.2" hidden="false" customHeight="true" outlineLevel="0" collapsed="false">
      <c r="A26" s="363"/>
      <c r="B26" s="404"/>
      <c r="C26" s="178"/>
      <c r="D26" s="400" t="s">
        <v>445</v>
      </c>
      <c r="E26" s="400"/>
      <c r="G26" s="405" t="n">
        <f aca="false">($D$6*G6)+($D$7*G7)+($D$8*G8)+($D$9*G9)+($D$10*G10)+($D$11*G11)+($D$12*G12)+($D$13*G13)+($D$14*G14)+($D$15*G15)+($D$16*G16)+($D$17*G17)+($D$18*G18)</f>
        <v>0.65</v>
      </c>
      <c r="H26" s="405" t="n">
        <f aca="false">($D$6*H6)+($D$7*H7)+($D$8*H8)+($D$9*H9)+($D$10*H10)+($D$11*H11)+($D$12*H12)+($D$13*H13)+($D$14*H14)+($D$15*H15)+($D$16*H16)+($D$17*H17)+($D$18*H18)</f>
        <v>1.16</v>
      </c>
      <c r="I26" s="405" t="n">
        <f aca="false">($D$6*I6)+($D$7*I7)+($D$8*I8)+($D$9*I9)+($D$10*I10)+($D$11*I11)+($D$12*I12)+($D$13*I13)+($D$14*I14)+($D$15*I15)+($D$16*I16)+($D$17*I17)+($D$18*I18)</f>
        <v>0.75</v>
      </c>
      <c r="J26" s="406" t="n">
        <f aca="false">($D$6*J6)+($D$7*J7)+($D$8*J8)+($D$9*J9)+($D$10*J10)+($D$11*J11)+($D$12*J12)+($D$13*J13)+($D$14*J14)+($D$15*J15)+($D$16*J16)+($D$17*J17)+($D$18*J18)</f>
        <v>0.962</v>
      </c>
      <c r="K26" s="405" t="n">
        <f aca="false">($D$6*K6)+($D$7*K7)+($D$8*K8)+($D$9*K9)+($D$10*K10)+($D$11*K11)+($D$12*K12)+($D$13*K13)+($D$14*K14)+($D$15*K15)+($D$16*K16)+($D$17*K17)+($D$18*K18)</f>
        <v>0.25</v>
      </c>
      <c r="L26" s="387"/>
      <c r="M26" s="406" t="n">
        <f aca="false">($D$6*M6)+($D$7*M7)+($D$8*M8)+($D$9*M9)+($D$10*M10)+($D$11*M11)+($D$12*M12)+($D$13*M13)+($D$14*M14)+($D$15*M15)+($D$16*M16)+($D$17*M17)+($D$18*M18)</f>
        <v>0.408</v>
      </c>
      <c r="N26" s="406" t="n">
        <f aca="false">($D$6*N6)+($D$7*N7)+($D$8*N8)+($D$9*N9)+($D$10*N10)+($D$11*N11)+($D$12*N12)+($D$13*N13)+($D$14*N14)+($D$15*N15)+($D$16*N16)+($D$17*N17)+($D$18*N18)</f>
        <v>0.4</v>
      </c>
      <c r="O26" s="406" t="n">
        <f aca="false">($D$6*O6)+($D$7*O7)+($D$8*O8)+($D$9*O9)+($D$10*O10)+($D$11*O11)+($D$12*O12)+($D$13*O13)+($D$14*O14)+($D$15*O15)+($D$16*O16)+($D$17*O17)+($D$18*O18)</f>
        <v>0.5</v>
      </c>
      <c r="P26" s="406" t="n">
        <f aca="false">($D$6*P6)+($D$7*P7)+($D$8*P8)+($D$9*P9)+($D$10*P10)+($D$11*P11)+($D$12*P12)+($D$13*P13)+($D$14*P14)+($D$15*P15)+($D$16*P16)+($D$17*P17)+($D$18*P18)</f>
        <v>0.93</v>
      </c>
      <c r="Q26" s="406" t="n">
        <f aca="false">($D$6*Q6)+($D$7*Q7)+($D$8*Q8)+($D$9*Q9)+($D$10*Q10)+($D$11*Q11)+($D$12*Q12)+($D$13*Q13)+($D$14*Q14)+($D$15*Q15)+($D$16*Q16)+($D$17*Q17)+($D$18*Q18)</f>
        <v>0.66</v>
      </c>
      <c r="R26" s="406" t="n">
        <f aca="false">($D$6*R6)+($D$7*R7)+($D$8*R8)+($D$9*R9)+($D$10*R10)+($D$11*R11)+($D$12*R12)+($D$13*R13)+($D$14*R14)+($D$15*R15)+($D$16*R16)+($D$17*R17)+($D$18*R18)</f>
        <v>0.18</v>
      </c>
      <c r="S26" s="406" t="n">
        <f aca="false">($D$6*S6)+($D$7*S7)+($D$8*S8)+($D$9*S9)+($D$10*S10)+($D$11*S11)+($D$12*S12)+($D$13*S13)+($D$14*S14)+($D$15*S15)+($D$16*S16)+($D$17*S17)+($D$18*S18)</f>
        <v>0.25</v>
      </c>
      <c r="T26" s="406" t="n">
        <f aca="false">($D$6*T6)+($D$7*T7)+($D$8*T8)+($D$9*T9)+($D$10*T10)+($D$11*T11)+($D$12*T12)+($D$13*T13)+($D$14*T14)+($D$15*T15)+($D$16*T16)+($D$17*T17)+($D$18*T18)</f>
        <v>0.2</v>
      </c>
      <c r="U26" s="406" t="n">
        <f aca="false">($D$6*U6)+($D$7*U7)+($D$8*U8)+($D$9*U9)+($D$10*U10)+($D$11*U11)+($D$12*U12)+($D$13*U13)+($D$14*U14)+($D$15*U15)+($D$16*U16)+($D$17*U17)+($D$18*U18)</f>
        <v>0.35</v>
      </c>
      <c r="V26" s="387"/>
      <c r="W26" s="406" t="n">
        <f aca="false">($D$6*W6)+($D$7*W7)+($D$8*W8)+($D$9*W9)+($D$10*W10)+($D$11*W11)+($D$12*W12)+($D$13*W13)+($D$14*W14)+($D$15*W15)+($D$16*W16)+($D$17*W17)+($D$18*W18)+($D$19*W19)+($D$20*W20)</f>
        <v>9.828</v>
      </c>
      <c r="X26" s="406" t="n">
        <f aca="false">($D$6*X6)+($D$7*X7)+($D$8*X8)+($D$9*X9)+($D$10*X10)+($D$11*X11)+($D$12*X12)+($D$13*X13)+($D$14*X14)+($D$15*X15)+($D$16*X16)+($D$17*X17)+($D$18*X18)+($D$19*X19)+($D$20*X20)+($D$21*X21)+($D$23*X23)+($D$24*X24)</f>
        <v>1.01</v>
      </c>
      <c r="Y26" s="406" t="n">
        <v>0.66</v>
      </c>
      <c r="Z26" s="406" t="n">
        <f aca="false">($D$6*Z6)+($D$7*Z7)+($D$8*Z8)+($D$9*Z9)+($D$10*Z10)+($D$11*Z11)+($D$12*Z12)+($D$13*Z13)+($D$14*Z14)+($D$15*Z15)+($D$16*Z16)+($D$17*Z17)+($D$18*Z18)</f>
        <v>0.212</v>
      </c>
      <c r="AA26" s="406" t="n">
        <f aca="false">($D$6*AA6)+($D$7*AA7)+($D$8*AA8)+($D$9*AA9)+($D$10*AA10)+($D$11*AA11)+($D$12*AA12)+($D$13*AA13)+($D$14*AA14)+($D$15*AA15)+($D$16*AA16)+($D$17*AA17)+($D$18*AA18)+($D$19*AA19)+($D$20*AA20)+($D$21*AA21)+($D$23*AA23)+($D$24*AA24)</f>
        <v>0.75</v>
      </c>
      <c r="AC26" s="403"/>
      <c r="AD26" s="407"/>
    </row>
    <row r="27" s="100" customFormat="true" ht="21.2" hidden="false" customHeight="true" outlineLevel="0" collapsed="false">
      <c r="A27" s="363"/>
      <c r="B27" s="404"/>
      <c r="C27" s="178"/>
      <c r="D27" s="408" t="s">
        <v>446</v>
      </c>
      <c r="E27" s="408"/>
      <c r="G27" s="409" t="n">
        <f aca="false">G25+H25+I25+J25+K25</f>
        <v>139560.3091786</v>
      </c>
      <c r="H27" s="409"/>
      <c r="I27" s="409"/>
      <c r="J27" s="409"/>
      <c r="K27" s="409"/>
      <c r="L27" s="387"/>
      <c r="M27" s="409" t="n">
        <f aca="false">M25+N25+O25+P25+Q25+S25+T25+U25</f>
        <v>129199.872761</v>
      </c>
      <c r="N27" s="409"/>
      <c r="O27" s="409"/>
      <c r="P27" s="409"/>
      <c r="Q27" s="409"/>
      <c r="R27" s="409"/>
      <c r="S27" s="409"/>
      <c r="T27" s="409"/>
      <c r="U27" s="409"/>
      <c r="V27" s="387"/>
      <c r="W27" s="409" t="n">
        <f aca="false">W25+X25+Y25+Z25+AA25</f>
        <v>409683.3291044</v>
      </c>
      <c r="X27" s="409"/>
      <c r="Y27" s="409"/>
      <c r="Z27" s="409"/>
      <c r="AA27" s="409"/>
      <c r="AC27" s="410"/>
    </row>
    <row r="28" customFormat="false" ht="21.2" hidden="false" customHeight="true" outlineLevel="0" collapsed="false">
      <c r="D28" s="408" t="s">
        <v>447</v>
      </c>
      <c r="E28" s="408"/>
      <c r="G28" s="411" t="n">
        <f aca="false">G26+H26+I26+J26+K26</f>
        <v>3.772</v>
      </c>
      <c r="H28" s="411"/>
      <c r="I28" s="411"/>
      <c r="J28" s="411"/>
      <c r="K28" s="411"/>
      <c r="M28" s="412" t="n">
        <f aca="false">M26+N26+O26+P26+Q26+S26+T26+U26</f>
        <v>3.698</v>
      </c>
      <c r="N28" s="412"/>
      <c r="O28" s="412"/>
      <c r="P28" s="412"/>
      <c r="Q28" s="412"/>
      <c r="R28" s="412"/>
      <c r="S28" s="412"/>
      <c r="T28" s="412"/>
      <c r="U28" s="412"/>
      <c r="W28" s="412" t="n">
        <f aca="false">W26+AA26</f>
        <v>10.578</v>
      </c>
      <c r="X28" s="412"/>
      <c r="Y28" s="412"/>
      <c r="Z28" s="412"/>
      <c r="AA28" s="412"/>
      <c r="AC28" s="410"/>
    </row>
    <row r="29" customFormat="false" ht="17.45" hidden="false" customHeight="true" outlineLevel="0" collapsed="false">
      <c r="D29" s="174"/>
      <c r="G29" s="413"/>
      <c r="H29" s="413"/>
      <c r="I29" s="413"/>
      <c r="J29" s="413"/>
      <c r="K29" s="413"/>
      <c r="M29" s="413"/>
      <c r="N29" s="413"/>
      <c r="O29" s="413"/>
      <c r="P29" s="413"/>
      <c r="Q29" s="413"/>
      <c r="R29" s="413"/>
      <c r="S29" s="413"/>
      <c r="T29" s="413"/>
      <c r="U29" s="413"/>
      <c r="W29" s="413"/>
      <c r="X29" s="413"/>
      <c r="Y29" s="413"/>
      <c r="Z29" s="413"/>
      <c r="AA29" s="413"/>
    </row>
    <row r="30" customFormat="false" ht="23.1" hidden="false" customHeight="true" outlineLevel="0" collapsed="false">
      <c r="D30" s="414" t="s">
        <v>448</v>
      </c>
      <c r="E30" s="414"/>
      <c r="G30" s="415" t="n">
        <f aca="false">G27+M27+W27</f>
        <v>678443.511044</v>
      </c>
      <c r="J30" s="416"/>
      <c r="P30" s="417" t="s">
        <v>449</v>
      </c>
      <c r="Q30" s="418" t="s">
        <v>450</v>
      </c>
      <c r="R30" s="418"/>
      <c r="S30" s="100"/>
      <c r="T30" s="100"/>
      <c r="U30" s="100"/>
      <c r="V30" s="100"/>
      <c r="W30" s="100"/>
      <c r="X30" s="100"/>
      <c r="Y30" s="100"/>
      <c r="Z30" s="419"/>
      <c r="AA30" s="100"/>
      <c r="AB30" s="100"/>
      <c r="AC30" s="420"/>
      <c r="AD30" s="100"/>
    </row>
    <row r="31" customFormat="false" ht="23.1" hidden="false" customHeight="true" outlineLevel="0" collapsed="false">
      <c r="B31" s="172" t="s">
        <v>451</v>
      </c>
      <c r="C31" s="421" t="n">
        <v>6.78</v>
      </c>
      <c r="D31" s="414" t="s">
        <v>452</v>
      </c>
      <c r="E31" s="414"/>
      <c r="G31" s="422" t="n">
        <f aca="false">G28+M28+W28</f>
        <v>18.048</v>
      </c>
      <c r="H31" s="423" t="s">
        <v>453</v>
      </c>
      <c r="I31" s="423"/>
      <c r="J31" s="423"/>
      <c r="P31" s="424" t="s">
        <v>454</v>
      </c>
      <c r="Q31" s="425" t="s">
        <v>455</v>
      </c>
      <c r="R31" s="425"/>
      <c r="S31" s="425"/>
      <c r="T31" s="425"/>
      <c r="U31" s="425"/>
      <c r="V31" s="425"/>
      <c r="W31" s="425"/>
      <c r="X31" s="425"/>
      <c r="Y31" s="425"/>
      <c r="Z31" s="425"/>
      <c r="AA31" s="425"/>
      <c r="AB31" s="100"/>
      <c r="AC31" s="420"/>
      <c r="AD31" s="100"/>
    </row>
    <row r="32" customFormat="false" ht="19.35" hidden="false" customHeight="true" outlineLevel="0" collapsed="false">
      <c r="B32" s="426" t="s">
        <v>456</v>
      </c>
      <c r="C32" s="421" t="n">
        <v>9</v>
      </c>
      <c r="D32" s="414" t="s">
        <v>457</v>
      </c>
      <c r="E32" s="414"/>
      <c r="G32" s="427" t="n">
        <v>23</v>
      </c>
      <c r="H32" s="428" t="s">
        <v>458</v>
      </c>
      <c r="I32" s="428"/>
      <c r="J32" s="428"/>
      <c r="K32" s="428"/>
      <c r="L32" s="428"/>
      <c r="M32" s="428"/>
      <c r="N32" s="428"/>
      <c r="O32" s="428"/>
      <c r="P32" s="429"/>
      <c r="Q32" s="430"/>
      <c r="R32" s="430"/>
      <c r="S32" s="100"/>
      <c r="T32" s="100"/>
      <c r="U32" s="100"/>
      <c r="V32" s="100"/>
      <c r="W32" s="100"/>
      <c r="X32" s="100"/>
      <c r="Y32" s="100"/>
      <c r="Z32" s="100"/>
      <c r="AA32" s="100"/>
      <c r="AB32" s="100"/>
      <c r="AC32" s="420"/>
      <c r="AD32" s="100"/>
    </row>
    <row r="33" customFormat="false" ht="12.8" hidden="false" customHeight="false" outlineLevel="0" collapsed="false">
      <c r="H33" s="428"/>
      <c r="I33" s="428"/>
      <c r="J33" s="428"/>
      <c r="K33" s="428"/>
      <c r="L33" s="428"/>
      <c r="M33" s="428"/>
      <c r="N33" s="428"/>
      <c r="O33" s="428"/>
      <c r="R33" s="430"/>
      <c r="S33" s="100"/>
      <c r="T33" s="100"/>
      <c r="U33" s="100"/>
      <c r="V33" s="100"/>
      <c r="W33" s="407"/>
      <c r="X33" s="100"/>
      <c r="Y33" s="100"/>
      <c r="Z33" s="100"/>
      <c r="AA33" s="100"/>
      <c r="AB33" s="100"/>
      <c r="AC33" s="420"/>
      <c r="AD33" s="100"/>
    </row>
    <row r="34" customFormat="false" ht="12.8" hidden="false" customHeight="false" outlineLevel="0" collapsed="false">
      <c r="C34" s="0"/>
      <c r="D34" s="172"/>
      <c r="E34" s="172"/>
      <c r="G34" s="0"/>
      <c r="P34" s="100"/>
      <c r="Q34" s="100"/>
      <c r="R34" s="100"/>
      <c r="S34" s="100"/>
      <c r="T34" s="100"/>
      <c r="U34" s="100"/>
      <c r="V34" s="100"/>
      <c r="W34" s="100"/>
      <c r="X34" s="100"/>
      <c r="Y34" s="100"/>
      <c r="Z34" s="100"/>
      <c r="AA34" s="100"/>
      <c r="AB34" s="100"/>
      <c r="AC34" s="420"/>
      <c r="AD34" s="100"/>
    </row>
    <row r="35" customFormat="false" ht="12.8" hidden="false" customHeight="false" outlineLevel="0" collapsed="false">
      <c r="D35" s="0"/>
      <c r="E35" s="0"/>
      <c r="G35" s="0"/>
    </row>
    <row r="36" customFormat="false" ht="12.75" hidden="false" customHeight="true" outlineLevel="0" collapsed="false"/>
    <row r="37" customFormat="false" ht="12.75" hidden="false" customHeight="true" outlineLevel="0" collapsed="false">
      <c r="E37" s="431"/>
    </row>
    <row r="38" customFormat="false" ht="12.75" hidden="false" customHeight="true" outlineLevel="0" collapsed="false">
      <c r="E38" s="432"/>
    </row>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sheetData>
  <mergeCells count="23">
    <mergeCell ref="B1:AA1"/>
    <mergeCell ref="G3:K4"/>
    <mergeCell ref="M3:U3"/>
    <mergeCell ref="W3:AA4"/>
    <mergeCell ref="M4:O4"/>
    <mergeCell ref="P4:R4"/>
    <mergeCell ref="S4:U4"/>
    <mergeCell ref="D25:E25"/>
    <mergeCell ref="D26:E26"/>
    <mergeCell ref="D27:E27"/>
    <mergeCell ref="G27:K27"/>
    <mergeCell ref="M27:U27"/>
    <mergeCell ref="W27:AA27"/>
    <mergeCell ref="D28:E28"/>
    <mergeCell ref="G28:K28"/>
    <mergeCell ref="M28:U28"/>
    <mergeCell ref="W28:AA28"/>
    <mergeCell ref="D30:E30"/>
    <mergeCell ref="D31:E31"/>
    <mergeCell ref="Q31:AA31"/>
    <mergeCell ref="D32:E32"/>
    <mergeCell ref="H32:O33"/>
    <mergeCell ref="D34:E34"/>
  </mergeCells>
  <printOptions headings="false" gridLines="false" gridLinesSet="true" horizontalCentered="true" verticalCentered="false"/>
  <pageMargins left="0.39375" right="0.39375" top="0.39375" bottom="0.39375" header="0.511805555555555" footer="0.511805555555555"/>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1048576"/>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F47" activeCellId="0" sqref="F47"/>
    </sheetView>
  </sheetViews>
  <sheetFormatPr defaultColWidth="11.43359375" defaultRowHeight="12.75" zeroHeight="false" outlineLevelRow="0" outlineLevelCol="0"/>
  <cols>
    <col collapsed="false" customWidth="true" hidden="false" outlineLevel="0" max="1" min="1" style="73" width="8.29"/>
    <col collapsed="false" customWidth="true" hidden="false" outlineLevel="0" max="2" min="2" style="74" width="13.43"/>
    <col collapsed="false" customWidth="true" hidden="false" outlineLevel="0" max="3" min="3" style="74" width="28.14"/>
    <col collapsed="false" customWidth="true" hidden="false" outlineLevel="0" max="4" min="4" style="74" width="35.12"/>
    <col collapsed="false" customWidth="true" hidden="false" outlineLevel="0" max="5" min="5" style="74" width="11.3"/>
    <col collapsed="false" customWidth="true" hidden="false" outlineLevel="0" max="6" min="6" style="74" width="10.85"/>
    <col collapsed="false" customWidth="true" hidden="false" outlineLevel="0" max="7" min="7" style="74" width="12.42"/>
    <col collapsed="false" customWidth="true" hidden="false" outlineLevel="0" max="8" min="8" style="74" width="24.17"/>
    <col collapsed="false" customWidth="false" hidden="false" outlineLevel="0" max="1021" min="9" style="74" width="11.42"/>
  </cols>
  <sheetData>
    <row r="1" customFormat="false" ht="26.1" hidden="false" customHeight="true" outlineLevel="0" collapsed="false">
      <c r="A1" s="433" t="s">
        <v>459</v>
      </c>
      <c r="B1" s="433"/>
      <c r="C1" s="433"/>
      <c r="D1" s="433"/>
      <c r="E1" s="433"/>
      <c r="F1" s="433"/>
      <c r="G1" s="433"/>
      <c r="H1" s="433"/>
    </row>
    <row r="2" customFormat="false" ht="26.1" hidden="false" customHeight="true" outlineLevel="0" collapsed="false">
      <c r="A2" s="434"/>
      <c r="B2" s="435"/>
      <c r="C2" s="435"/>
      <c r="D2" s="435"/>
      <c r="E2" s="435"/>
      <c r="F2" s="435"/>
      <c r="G2" s="435"/>
    </row>
    <row r="3" customFormat="false" ht="69.4" hidden="false" customHeight="true" outlineLevel="0" collapsed="false">
      <c r="A3" s="436" t="s">
        <v>460</v>
      </c>
      <c r="B3" s="436"/>
      <c r="C3" s="436"/>
      <c r="D3" s="436"/>
      <c r="E3" s="436"/>
      <c r="F3" s="436"/>
      <c r="G3" s="436"/>
      <c r="H3" s="436"/>
    </row>
    <row r="5" customFormat="false" ht="12.8" hidden="false" customHeight="false" outlineLevel="0" collapsed="false">
      <c r="A5" s="82" t="s">
        <v>74</v>
      </c>
      <c r="B5" s="82" t="s">
        <v>75</v>
      </c>
      <c r="C5" s="82" t="s">
        <v>461</v>
      </c>
      <c r="D5" s="83" t="s">
        <v>462</v>
      </c>
      <c r="E5" s="82" t="s">
        <v>79</v>
      </c>
      <c r="F5" s="86" t="s">
        <v>80</v>
      </c>
      <c r="G5" s="82" t="s">
        <v>81</v>
      </c>
    </row>
    <row r="6" s="100" customFormat="true" ht="27.95" hidden="false" customHeight="true" outlineLevel="0" collapsed="false">
      <c r="A6" s="437" t="s">
        <v>8</v>
      </c>
      <c r="B6" s="438" t="s">
        <v>9</v>
      </c>
      <c r="C6" s="90" t="s">
        <v>84</v>
      </c>
      <c r="D6" s="439" t="s">
        <v>86</v>
      </c>
      <c r="E6" s="440" t="n">
        <f aca="false">'2 - Budget_analitico_2022_2024'!G5</f>
        <v>-1800</v>
      </c>
      <c r="F6" s="440" t="n">
        <f aca="false">'2 - Budget_analitico_2022_2024'!H5</f>
        <v>0</v>
      </c>
      <c r="G6" s="440" t="n">
        <f aca="false">'2 - Budget_analitico_2022_2024'!I5</f>
        <v>-1800</v>
      </c>
    </row>
    <row r="7" s="100" customFormat="true" ht="18.6" hidden="false" customHeight="true" outlineLevel="0" collapsed="false">
      <c r="A7" s="437"/>
      <c r="B7" s="438"/>
      <c r="C7" s="90"/>
      <c r="D7" s="439" t="s">
        <v>88</v>
      </c>
      <c r="E7" s="440" t="n">
        <f aca="false">'2 - Budget_analitico_2022_2024'!G6</f>
        <v>-1000</v>
      </c>
      <c r="F7" s="440" t="n">
        <f aca="false">'2 - Budget_analitico_2022_2024'!H6</f>
        <v>0</v>
      </c>
      <c r="G7" s="440" t="n">
        <f aca="false">'2 - Budget_analitico_2022_2024'!I6</f>
        <v>-1000</v>
      </c>
    </row>
    <row r="8" s="100" customFormat="true" ht="18.6" hidden="false" customHeight="true" outlineLevel="0" collapsed="false">
      <c r="A8" s="437"/>
      <c r="B8" s="438"/>
      <c r="C8" s="90"/>
      <c r="D8" s="439" t="s">
        <v>89</v>
      </c>
      <c r="E8" s="440" t="n">
        <f aca="false">'2 - Budget_analitico_2022_2024'!G7</f>
        <v>-4000</v>
      </c>
      <c r="F8" s="440" t="n">
        <f aca="false">'2 - Budget_analitico_2022_2024'!H7</f>
        <v>-880</v>
      </c>
      <c r="G8" s="440" t="n">
        <f aca="false">'2 - Budget_analitico_2022_2024'!I7</f>
        <v>-4880</v>
      </c>
    </row>
    <row r="9" s="100" customFormat="true" ht="26.45" hidden="false" customHeight="true" outlineLevel="0" collapsed="false">
      <c r="A9" s="437"/>
      <c r="B9" s="438"/>
      <c r="C9" s="90"/>
      <c r="D9" s="441" t="s">
        <v>90</v>
      </c>
      <c r="E9" s="440" t="n">
        <f aca="false">'2 - Budget_analitico_2022_2024'!G8</f>
        <v>-5000</v>
      </c>
      <c r="F9" s="440" t="n">
        <f aca="false">'2 - Budget_analitico_2022_2024'!H8</f>
        <v>-1100</v>
      </c>
      <c r="G9" s="440" t="n">
        <f aca="false">'2 - Budget_analitico_2022_2024'!I8</f>
        <v>-6100</v>
      </c>
    </row>
    <row r="10" s="100" customFormat="true" ht="26.45" hidden="false" customHeight="true" outlineLevel="0" collapsed="false">
      <c r="A10" s="437"/>
      <c r="B10" s="438"/>
      <c r="C10" s="90"/>
      <c r="D10" s="441" t="s">
        <v>91</v>
      </c>
      <c r="E10" s="440" t="n">
        <f aca="false">'2 - Budget_analitico_2022_2024'!G9</f>
        <v>-2000</v>
      </c>
      <c r="F10" s="440" t="n">
        <f aca="false">'2 - Budget_analitico_2022_2024'!H9</f>
        <v>-440</v>
      </c>
      <c r="G10" s="440" t="n">
        <f aca="false">'2 - Budget_analitico_2022_2024'!I9</f>
        <v>-2440</v>
      </c>
    </row>
    <row r="11" s="100" customFormat="true" ht="26.45" hidden="false" customHeight="true" outlineLevel="0" collapsed="false">
      <c r="A11" s="437"/>
      <c r="B11" s="438"/>
      <c r="C11" s="90"/>
      <c r="D11" s="441" t="s">
        <v>92</v>
      </c>
      <c r="E11" s="440" t="n">
        <f aca="false">'2 - Budget_analitico_2022_2024'!G10</f>
        <v>-5000</v>
      </c>
      <c r="F11" s="440" t="n">
        <f aca="false">'2 - Budget_analitico_2022_2024'!H10</f>
        <v>-1100</v>
      </c>
      <c r="G11" s="440" t="n">
        <f aca="false">'2 - Budget_analitico_2022_2024'!I10</f>
        <v>-6100</v>
      </c>
    </row>
    <row r="12" s="100" customFormat="true" ht="26.45" hidden="false" customHeight="true" outlineLevel="0" collapsed="false">
      <c r="A12" s="437"/>
      <c r="B12" s="438"/>
      <c r="C12" s="90"/>
      <c r="D12" s="441" t="s">
        <v>93</v>
      </c>
      <c r="E12" s="440" t="n">
        <f aca="false">'2 - Budget_analitico_2022_2024'!G11</f>
        <v>-2500</v>
      </c>
      <c r="F12" s="440" t="n">
        <f aca="false">'2 - Budget_analitico_2022_2024'!H11</f>
        <v>0</v>
      </c>
      <c r="G12" s="440" t="n">
        <f aca="false">'2 - Budget_analitico_2022_2024'!I11</f>
        <v>-2500</v>
      </c>
    </row>
    <row r="13" s="100" customFormat="true" ht="26.45" hidden="false" customHeight="true" outlineLevel="0" collapsed="false">
      <c r="A13" s="437"/>
      <c r="B13" s="438"/>
      <c r="C13" s="90"/>
      <c r="D13" s="110" t="s">
        <v>463</v>
      </c>
      <c r="E13" s="440" t="n">
        <f aca="false">'2 - Budget_analitico_2022_2024'!G12</f>
        <v>-2400</v>
      </c>
      <c r="F13" s="440" t="n">
        <f aca="false">'2 - Budget_analitico_2022_2024'!H12</f>
        <v>0</v>
      </c>
      <c r="G13" s="440" t="n">
        <f aca="false">'2 - Budget_analitico_2022_2024'!I12</f>
        <v>-2400</v>
      </c>
    </row>
    <row r="14" s="100" customFormat="true" ht="26.45" hidden="false" customHeight="true" outlineLevel="0" collapsed="false">
      <c r="A14" s="437"/>
      <c r="B14" s="438"/>
      <c r="C14" s="90" t="s">
        <v>95</v>
      </c>
      <c r="D14" s="441" t="s">
        <v>96</v>
      </c>
      <c r="E14" s="442" t="n">
        <f aca="false">'2 - Budget_analitico_2022_2024'!G14</f>
        <v>-8000</v>
      </c>
      <c r="F14" s="442" t="n">
        <f aca="false">'2 - Budget_analitico_2022_2024'!H14</f>
        <v>-1760</v>
      </c>
      <c r="G14" s="442" t="n">
        <f aca="false">'2 - Budget_analitico_2022_2024'!I14</f>
        <v>-9760</v>
      </c>
    </row>
    <row r="15" s="100" customFormat="true" ht="18.6" hidden="false" customHeight="true" outlineLevel="0" collapsed="false">
      <c r="A15" s="437"/>
      <c r="B15" s="438"/>
      <c r="C15" s="90"/>
      <c r="D15" s="439" t="s">
        <v>97</v>
      </c>
      <c r="E15" s="442" t="n">
        <f aca="false">'2 - Budget_analitico_2022_2024'!G15</f>
        <v>-7000</v>
      </c>
      <c r="F15" s="442" t="n">
        <f aca="false">'2 - Budget_analitico_2022_2024'!H15</f>
        <v>-1540</v>
      </c>
      <c r="G15" s="442" t="n">
        <f aca="false">'2 - Budget_analitico_2022_2024'!I15</f>
        <v>-8540</v>
      </c>
    </row>
    <row r="16" s="100" customFormat="true" ht="18.6" hidden="false" customHeight="true" outlineLevel="0" collapsed="false">
      <c r="A16" s="437"/>
      <c r="B16" s="438"/>
      <c r="C16" s="90"/>
      <c r="D16" s="441" t="s">
        <v>98</v>
      </c>
      <c r="E16" s="442" t="n">
        <f aca="false">'2 - Budget_analitico_2022_2024'!G16</f>
        <v>-1000</v>
      </c>
      <c r="F16" s="442" t="n">
        <f aca="false">'2 - Budget_analitico_2022_2024'!H16</f>
        <v>0</v>
      </c>
      <c r="G16" s="442" t="n">
        <f aca="false">'2 - Budget_analitico_2022_2024'!I16</f>
        <v>-1000</v>
      </c>
    </row>
    <row r="17" s="100" customFormat="true" ht="26.45" hidden="false" customHeight="true" outlineLevel="0" collapsed="false">
      <c r="A17" s="437"/>
      <c r="B17" s="438"/>
      <c r="C17" s="106" t="s">
        <v>13</v>
      </c>
      <c r="D17" s="443" t="s">
        <v>101</v>
      </c>
      <c r="E17" s="442" t="n">
        <f aca="false">'2 - Budget_analitico_2022_2024'!G19</f>
        <v>-8500</v>
      </c>
      <c r="F17" s="442" t="n">
        <f aca="false">'2 - Budget_analitico_2022_2024'!H19</f>
        <v>-1870</v>
      </c>
      <c r="G17" s="442" t="n">
        <f aca="false">'2 - Budget_analitico_2022_2024'!I19</f>
        <v>-10370</v>
      </c>
    </row>
    <row r="18" s="100" customFormat="true" ht="26.45" hidden="false" customHeight="true" outlineLevel="0" collapsed="false">
      <c r="A18" s="437"/>
      <c r="B18" s="438"/>
      <c r="C18" s="106"/>
      <c r="D18" s="443" t="s">
        <v>102</v>
      </c>
      <c r="E18" s="442" t="n">
        <f aca="false">'2 - Budget_analitico_2022_2024'!G20</f>
        <v>-5000</v>
      </c>
      <c r="F18" s="442" t="n">
        <f aca="false">'2 - Budget_analitico_2022_2024'!H20</f>
        <v>-1100</v>
      </c>
      <c r="G18" s="442" t="n">
        <f aca="false">'2 - Budget_analitico_2022_2024'!I20</f>
        <v>-6100</v>
      </c>
    </row>
    <row r="19" s="100" customFormat="true" ht="45.95" hidden="false" customHeight="true" outlineLevel="0" collapsed="false">
      <c r="A19" s="437"/>
      <c r="B19" s="438"/>
      <c r="C19" s="106"/>
      <c r="D19" s="104" t="s">
        <v>103</v>
      </c>
      <c r="E19" s="442" t="n">
        <f aca="false">'2 - Budget_analitico_2022_2024'!G21</f>
        <v>-2000</v>
      </c>
      <c r="F19" s="442" t="n">
        <f aca="false">'2 - Budget_analitico_2022_2024'!H21</f>
        <v>0</v>
      </c>
      <c r="G19" s="442" t="n">
        <f aca="false">'2 - Budget_analitico_2022_2024'!I21</f>
        <v>-2000</v>
      </c>
    </row>
    <row r="20" s="100" customFormat="true" ht="18.6" hidden="false" customHeight="true" outlineLevel="0" collapsed="false">
      <c r="A20" s="437"/>
      <c r="B20" s="438"/>
      <c r="C20" s="106"/>
      <c r="D20" s="443" t="s">
        <v>104</v>
      </c>
      <c r="E20" s="442" t="n">
        <f aca="false">'2 - Budget_analitico_2022_2024'!G22</f>
        <v>-3600</v>
      </c>
      <c r="F20" s="442" t="n">
        <f aca="false">'2 - Budget_analitico_2022_2024'!H22</f>
        <v>-792</v>
      </c>
      <c r="G20" s="442" t="n">
        <f aca="false">'2 - Budget_analitico_2022_2024'!I22</f>
        <v>-4392</v>
      </c>
    </row>
    <row r="21" s="100" customFormat="true" ht="18.6" hidden="false" customHeight="true" outlineLevel="0" collapsed="false">
      <c r="A21" s="437"/>
      <c r="B21" s="438"/>
      <c r="C21" s="106" t="s">
        <v>16</v>
      </c>
      <c r="D21" s="439" t="s">
        <v>108</v>
      </c>
      <c r="E21" s="442" t="n">
        <f aca="false">'2 - Budget_analitico_2022_2024'!G28</f>
        <v>-9000</v>
      </c>
      <c r="F21" s="442" t="n">
        <f aca="false">'2 - Budget_analitico_2022_2024'!H28</f>
        <v>-1980</v>
      </c>
      <c r="G21" s="442" t="n">
        <f aca="false">'2 - Budget_analitico_2022_2024'!I28</f>
        <v>-10980</v>
      </c>
    </row>
    <row r="22" s="100" customFormat="true" ht="18.6" hidden="false" customHeight="true" outlineLevel="0" collapsed="false">
      <c r="A22" s="437"/>
      <c r="B22" s="438"/>
      <c r="C22" s="106"/>
      <c r="D22" s="439" t="s">
        <v>109</v>
      </c>
      <c r="E22" s="442" t="n">
        <f aca="false">'2 - Budget_analitico_2022_2024'!G29</f>
        <v>-1800</v>
      </c>
      <c r="F22" s="442" t="n">
        <f aca="false">'2 - Budget_analitico_2022_2024'!H29</f>
        <v>-396</v>
      </c>
      <c r="G22" s="442" t="n">
        <f aca="false">'2 - Budget_analitico_2022_2024'!I29</f>
        <v>-2196</v>
      </c>
    </row>
    <row r="23" s="100" customFormat="true" ht="18.6" hidden="false" customHeight="true" outlineLevel="0" collapsed="false">
      <c r="A23" s="437"/>
      <c r="B23" s="438"/>
      <c r="C23" s="106"/>
      <c r="D23" s="439" t="s">
        <v>110</v>
      </c>
      <c r="E23" s="442" t="n">
        <f aca="false">'2 - Budget_analitico_2022_2024'!G30</f>
        <v>-1500</v>
      </c>
      <c r="F23" s="442" t="n">
        <f aca="false">'2 - Budget_analitico_2022_2024'!H30</f>
        <v>-330</v>
      </c>
      <c r="G23" s="442" t="n">
        <f aca="false">'2 - Budget_analitico_2022_2024'!I30</f>
        <v>-1830</v>
      </c>
    </row>
    <row r="24" s="100" customFormat="true" ht="18.6" hidden="false" customHeight="true" outlineLevel="0" collapsed="false">
      <c r="A24" s="437"/>
      <c r="B24" s="438"/>
      <c r="C24" s="106"/>
      <c r="D24" s="439" t="s">
        <v>111</v>
      </c>
      <c r="E24" s="442" t="n">
        <f aca="false">'2 - Budget_analitico_2022_2024'!G31</f>
        <v>-2000</v>
      </c>
      <c r="F24" s="442" t="n">
        <f aca="false">'2 - Budget_analitico_2022_2024'!H31</f>
        <v>-440</v>
      </c>
      <c r="G24" s="442" t="n">
        <f aca="false">'2 - Budget_analitico_2022_2024'!I31</f>
        <v>-2440</v>
      </c>
    </row>
    <row r="25" s="100" customFormat="true" ht="18.6" hidden="false" customHeight="true" outlineLevel="0" collapsed="false">
      <c r="A25" s="437"/>
      <c r="B25" s="438"/>
      <c r="C25" s="106"/>
      <c r="D25" s="110" t="s">
        <v>112</v>
      </c>
      <c r="E25" s="442" t="n">
        <f aca="false">'2 - Budget_analitico_2022_2024'!G32</f>
        <v>-1200</v>
      </c>
      <c r="F25" s="442" t="n">
        <f aca="false">'2 - Budget_analitico_2022_2024'!H32</f>
        <v>0</v>
      </c>
      <c r="G25" s="442" t="n">
        <f aca="false">'2 - Budget_analitico_2022_2024'!I32</f>
        <v>-1200</v>
      </c>
    </row>
    <row r="26" s="100" customFormat="true" ht="18.6" hidden="false" customHeight="true" outlineLevel="0" collapsed="false">
      <c r="A26" s="437"/>
      <c r="B26" s="438"/>
      <c r="C26" s="106"/>
      <c r="D26" s="439" t="s">
        <v>113</v>
      </c>
      <c r="E26" s="442" t="n">
        <f aca="false">'2 - Budget_analitico_2022_2024'!G33</f>
        <v>-1000</v>
      </c>
      <c r="F26" s="442" t="n">
        <f aca="false">'2 - Budget_analitico_2022_2024'!H33</f>
        <v>-220</v>
      </c>
      <c r="G26" s="442" t="n">
        <f aca="false">'2 - Budget_analitico_2022_2024'!I33</f>
        <v>-1220</v>
      </c>
    </row>
    <row r="27" s="100" customFormat="true" ht="26.45" hidden="false" customHeight="true" outlineLevel="0" collapsed="false">
      <c r="A27" s="437"/>
      <c r="B27" s="438"/>
      <c r="C27" s="444" t="s">
        <v>17</v>
      </c>
      <c r="D27" s="441" t="s">
        <v>114</v>
      </c>
      <c r="E27" s="101" t="n">
        <v>-1500</v>
      </c>
      <c r="F27" s="101" t="n">
        <f aca="false">(E27/100)*22</f>
        <v>-330</v>
      </c>
      <c r="G27" s="101" t="n">
        <f aca="false">E27+F27</f>
        <v>-1830</v>
      </c>
    </row>
    <row r="28" s="100" customFormat="true" ht="26.45" hidden="false" customHeight="true" outlineLevel="0" collapsed="false">
      <c r="A28" s="437"/>
      <c r="B28" s="438"/>
      <c r="C28" s="444"/>
      <c r="D28" s="441" t="s">
        <v>115</v>
      </c>
      <c r="E28" s="101" t="n">
        <v>-2500</v>
      </c>
      <c r="F28" s="101" t="n">
        <v>0</v>
      </c>
      <c r="G28" s="101" t="n">
        <f aca="false">E28+F28</f>
        <v>-2500</v>
      </c>
    </row>
    <row r="29" s="100" customFormat="true" ht="18.6" hidden="false" customHeight="true" outlineLevel="0" collapsed="false">
      <c r="A29" s="437"/>
      <c r="B29" s="438"/>
      <c r="C29" s="444"/>
      <c r="D29" s="441" t="s">
        <v>116</v>
      </c>
      <c r="E29" s="101" t="n">
        <v>-2500</v>
      </c>
      <c r="F29" s="101" t="n">
        <v>0</v>
      </c>
      <c r="G29" s="101" t="n">
        <f aca="false">E29+F29</f>
        <v>-2500</v>
      </c>
    </row>
    <row r="30" s="100" customFormat="true" ht="18.6" hidden="false" customHeight="true" outlineLevel="0" collapsed="false">
      <c r="A30" s="437"/>
      <c r="B30" s="438"/>
      <c r="C30" s="444"/>
      <c r="D30" s="441" t="s">
        <v>117</v>
      </c>
      <c r="E30" s="101" t="n">
        <v>-3600</v>
      </c>
      <c r="F30" s="101" t="n">
        <f aca="false">(E30/100)*22</f>
        <v>-792</v>
      </c>
      <c r="G30" s="101" t="n">
        <f aca="false">E30+F30</f>
        <v>-4392</v>
      </c>
    </row>
    <row r="31" s="100" customFormat="true" ht="18.6" hidden="false" customHeight="true" outlineLevel="0" collapsed="false">
      <c r="A31" s="437"/>
      <c r="B31" s="438"/>
      <c r="C31" s="444"/>
      <c r="D31" s="443" t="s">
        <v>118</v>
      </c>
      <c r="E31" s="101" t="n">
        <v>-1200</v>
      </c>
      <c r="F31" s="101" t="n">
        <f aca="false">(E31/100)*22</f>
        <v>-264</v>
      </c>
      <c r="G31" s="101" t="n">
        <f aca="false">E31+F31</f>
        <v>-1464</v>
      </c>
    </row>
    <row r="32" s="100" customFormat="true" ht="26.45" hidden="false" customHeight="true" outlineLevel="0" collapsed="false">
      <c r="A32" s="437"/>
      <c r="B32" s="438"/>
      <c r="C32" s="444"/>
      <c r="D32" s="443" t="s">
        <v>119</v>
      </c>
      <c r="E32" s="101" t="n">
        <v>-3000</v>
      </c>
      <c r="F32" s="101" t="n">
        <f aca="false">(E32/100)*22</f>
        <v>-660</v>
      </c>
      <c r="G32" s="101" t="n">
        <f aca="false">E32+F32</f>
        <v>-3660</v>
      </c>
    </row>
    <row r="33" s="100" customFormat="true" ht="26.45" hidden="false" customHeight="true" outlineLevel="0" collapsed="false">
      <c r="A33" s="437"/>
      <c r="B33" s="438"/>
      <c r="C33" s="444"/>
      <c r="D33" s="443" t="s">
        <v>120</v>
      </c>
      <c r="E33" s="101" t="n">
        <v>-2000</v>
      </c>
      <c r="F33" s="101" t="n">
        <f aca="false">(E33/100)*22</f>
        <v>-440</v>
      </c>
      <c r="G33" s="101" t="n">
        <f aca="false">E33+F33</f>
        <v>-2440</v>
      </c>
    </row>
    <row r="34" s="100" customFormat="true" ht="26.45" hidden="false" customHeight="true" outlineLevel="0" collapsed="false">
      <c r="A34" s="437"/>
      <c r="B34" s="438"/>
      <c r="C34" s="444"/>
      <c r="D34" s="443" t="s">
        <v>121</v>
      </c>
      <c r="E34" s="101" t="n">
        <v>-20000</v>
      </c>
      <c r="F34" s="101"/>
      <c r="G34" s="95" t="n">
        <f aca="false">E34+(E34/100)*3.9</f>
        <v>-20780</v>
      </c>
    </row>
    <row r="35" s="100" customFormat="true" ht="26.45" hidden="false" customHeight="true" outlineLevel="0" collapsed="false">
      <c r="A35" s="437"/>
      <c r="B35" s="438"/>
      <c r="C35" s="444"/>
      <c r="D35" s="443" t="s">
        <v>123</v>
      </c>
      <c r="E35" s="101" t="n">
        <v>-1500</v>
      </c>
      <c r="F35" s="101" t="n">
        <v>0</v>
      </c>
      <c r="G35" s="101" t="n">
        <f aca="false">E35+F35</f>
        <v>-1500</v>
      </c>
    </row>
    <row r="36" customFormat="false" ht="22.35" hidden="false" customHeight="true" outlineLevel="0" collapsed="false">
      <c r="D36" s="445" t="s">
        <v>464</v>
      </c>
      <c r="E36" s="446" t="n">
        <f aca="false">SUM(E6:E35)</f>
        <v>-113100</v>
      </c>
      <c r="F36" s="447" t="n">
        <f aca="false">SUM(F8:F35)</f>
        <v>-16434</v>
      </c>
      <c r="G36" s="447" t="n">
        <f aca="false">SUM(G6:G35)</f>
        <v>-130314</v>
      </c>
    </row>
    <row r="37" customFormat="false" ht="12.8" hidden="false" customHeight="false" outlineLevel="0" collapsed="false">
      <c r="D37" s="448"/>
      <c r="G37" s="199"/>
      <c r="H37" s="199"/>
    </row>
    <row r="38" customFormat="false" ht="12.8" hidden="false" customHeight="false" outlineLevel="0" collapsed="false">
      <c r="D38" s="449" t="s">
        <v>465</v>
      </c>
      <c r="E38" s="450" t="n">
        <f aca="false">'2 - Budget_analitico_2022_2024'!G96</f>
        <v>-1113861.9719396</v>
      </c>
      <c r="F38" s="450" t="n">
        <f aca="false">'2 - Budget_analitico_2022_2024'!H96</f>
        <v>-106672.8938</v>
      </c>
      <c r="G38" s="450" t="n">
        <f aca="false">'2 - Budget_analitico_2022_2024'!I96</f>
        <v>-1232554.38423524</v>
      </c>
      <c r="H38" s="199"/>
    </row>
    <row r="39" customFormat="false" ht="12.8" hidden="false" customHeight="false" outlineLevel="0" collapsed="false">
      <c r="D39" s="449"/>
      <c r="E39" s="450"/>
      <c r="F39" s="450"/>
      <c r="G39" s="450"/>
      <c r="H39" s="451"/>
    </row>
    <row r="40" customFormat="false" ht="12.8" hidden="false" customHeight="false" outlineLevel="0" collapsed="false">
      <c r="D40" s="449" t="s">
        <v>466</v>
      </c>
      <c r="E40" s="450"/>
      <c r="F40" s="450"/>
      <c r="G40" s="452" t="n">
        <f aca="false">G36/G38</f>
        <v>0.105726774953509</v>
      </c>
      <c r="H40" s="451"/>
    </row>
    <row r="42" customFormat="false" ht="30.55" hidden="false" customHeight="true" outlineLevel="0" collapsed="false">
      <c r="D42" s="453" t="s">
        <v>467</v>
      </c>
      <c r="E42" s="453"/>
      <c r="F42" s="453"/>
      <c r="G42" s="453"/>
      <c r="H42" s="453"/>
    </row>
    <row r="44" customFormat="false" ht="41" hidden="false" customHeight="true" outlineLevel="0" collapsed="false">
      <c r="D44" s="454" t="s">
        <v>468</v>
      </c>
      <c r="E44" s="455" t="n">
        <v>0.08</v>
      </c>
      <c r="F44" s="456" t="s">
        <v>469</v>
      </c>
      <c r="G44" s="456"/>
      <c r="H44" s="456"/>
    </row>
    <row r="45" customFormat="false" ht="48.5" hidden="false" customHeight="true" outlineLevel="0" collapsed="false">
      <c r="D45" s="454" t="s">
        <v>470</v>
      </c>
      <c r="E45" s="455" t="n">
        <v>0</v>
      </c>
      <c r="F45" s="456" t="s">
        <v>471</v>
      </c>
      <c r="G45" s="456"/>
      <c r="H45" s="456"/>
    </row>
    <row r="46" customFormat="false" ht="20.1" hidden="false" customHeight="true" outlineLevel="0" collapsed="false">
      <c r="D46" s="454" t="s">
        <v>472</v>
      </c>
      <c r="E46" s="455" t="n">
        <v>0.1</v>
      </c>
      <c r="F46" s="190"/>
      <c r="G46" s="190"/>
      <c r="H46" s="190"/>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3">
    <mergeCell ref="A1:H1"/>
    <mergeCell ref="A3:H3"/>
    <mergeCell ref="A6:A35"/>
    <mergeCell ref="B6:B35"/>
    <mergeCell ref="C6:C13"/>
    <mergeCell ref="C14:C16"/>
    <mergeCell ref="C17:C20"/>
    <mergeCell ref="C21:C26"/>
    <mergeCell ref="C27:C35"/>
    <mergeCell ref="D42:H42"/>
    <mergeCell ref="F44:H44"/>
    <mergeCell ref="F45:H45"/>
    <mergeCell ref="F46:H46"/>
  </mergeCells>
  <printOptions headings="false" gridLines="false" gridLinesSet="true" horizontalCentered="true" verticalCentered="false"/>
  <pageMargins left="0.39375" right="0.39375" top="0.39375" bottom="0.393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43359375" defaultRowHeight="12.8" zeroHeight="false" outlineLevelRow="0" outlineLevelCol="0"/>
  <cols>
    <col collapsed="false" customWidth="true" hidden="false" outlineLevel="0" max="1" min="1" style="73" width="8.29"/>
    <col collapsed="false" customWidth="true" hidden="false" outlineLevel="0" max="2" min="2" style="74" width="13.43"/>
    <col collapsed="false" customWidth="true" hidden="false" outlineLevel="0" max="3" min="3" style="74" width="28.14"/>
    <col collapsed="false" customWidth="true" hidden="false" outlineLevel="0" max="4" min="4" style="74" width="35.12"/>
    <col collapsed="false" customWidth="true" hidden="false" outlineLevel="0" max="5" min="5" style="74" width="11.3"/>
    <col collapsed="false" customWidth="true" hidden="false" outlineLevel="0" max="6" min="6" style="74" width="10.85"/>
    <col collapsed="false" customWidth="true" hidden="false" outlineLevel="0" max="7" min="7" style="74" width="12.42"/>
    <col collapsed="false" customWidth="false" hidden="false" outlineLevel="0" max="1020" min="8" style="74" width="11.42"/>
    <col collapsed="false" customWidth="true" hidden="false" outlineLevel="0" max="1024" min="1024" style="0" width="11.52"/>
  </cols>
  <sheetData>
    <row r="1" customFormat="false" ht="32.8" hidden="false" customHeight="true" outlineLevel="0" collapsed="false">
      <c r="A1" s="433" t="s">
        <v>473</v>
      </c>
      <c r="B1" s="433"/>
      <c r="C1" s="433"/>
      <c r="D1" s="433"/>
      <c r="E1" s="433"/>
      <c r="F1" s="433"/>
      <c r="G1" s="433"/>
    </row>
    <row r="2" customFormat="false" ht="26.1" hidden="false" customHeight="true" outlineLevel="0" collapsed="false">
      <c r="A2" s="434"/>
      <c r="B2" s="435"/>
      <c r="C2" s="435"/>
      <c r="D2" s="435"/>
      <c r="E2" s="435"/>
      <c r="F2" s="435"/>
      <c r="G2" s="435"/>
    </row>
    <row r="3" customFormat="false" ht="75.35" hidden="false" customHeight="true" outlineLevel="0" collapsed="false">
      <c r="A3" s="436" t="s">
        <v>474</v>
      </c>
      <c r="B3" s="436"/>
      <c r="C3" s="436"/>
      <c r="D3" s="436"/>
      <c r="E3" s="436"/>
      <c r="F3" s="436"/>
      <c r="G3" s="436"/>
    </row>
    <row r="4" customFormat="false" ht="103.7" hidden="false" customHeight="true" outlineLevel="0" collapsed="false">
      <c r="A4" s="436" t="s">
        <v>475</v>
      </c>
      <c r="B4" s="436"/>
      <c r="C4" s="436"/>
      <c r="D4" s="436"/>
      <c r="E4" s="436"/>
      <c r="F4" s="436"/>
      <c r="G4" s="436"/>
    </row>
    <row r="6" customFormat="false" ht="29.1" hidden="false" customHeight="true" outlineLevel="0" collapsed="false">
      <c r="A6" s="457" t="s">
        <v>74</v>
      </c>
      <c r="B6" s="457" t="s">
        <v>75</v>
      </c>
      <c r="C6" s="457" t="s">
        <v>461</v>
      </c>
      <c r="D6" s="83" t="s">
        <v>462</v>
      </c>
      <c r="E6" s="457" t="s">
        <v>79</v>
      </c>
      <c r="F6" s="86" t="s">
        <v>80</v>
      </c>
      <c r="G6" s="457" t="s">
        <v>81</v>
      </c>
    </row>
    <row r="7" customFormat="false" ht="15.65" hidden="false" customHeight="true" outlineLevel="0" collapsed="false">
      <c r="A7" s="437" t="s">
        <v>8</v>
      </c>
      <c r="B7" s="438" t="s">
        <v>9</v>
      </c>
      <c r="C7" s="90" t="s">
        <v>84</v>
      </c>
      <c r="D7" s="443" t="s">
        <v>121</v>
      </c>
      <c r="E7" s="458" t="n">
        <f aca="false">'2 - Budget_analitico_2022_2024'!G41</f>
        <v>-20000</v>
      </c>
      <c r="F7" s="459"/>
      <c r="G7" s="458" t="n">
        <f aca="false">E7+(E7/100)*3.9</f>
        <v>-20780</v>
      </c>
    </row>
    <row r="8" customFormat="false" ht="15.65" hidden="false" customHeight="true" outlineLevel="0" collapsed="false">
      <c r="A8" s="437"/>
      <c r="B8" s="437"/>
      <c r="C8" s="90"/>
      <c r="D8" s="443" t="s">
        <v>476</v>
      </c>
      <c r="E8" s="458" t="n">
        <f aca="false">-'6 - Funzionigramma'!E7</f>
        <v>-36326</v>
      </c>
      <c r="F8" s="459"/>
      <c r="G8" s="458" t="n">
        <f aca="false">E8+(E8/100)*3.9</f>
        <v>-37742.714</v>
      </c>
    </row>
    <row r="9" s="100" customFormat="true" ht="15.65" hidden="false" customHeight="true" outlineLevel="0" collapsed="false">
      <c r="A9" s="437"/>
      <c r="B9" s="437"/>
      <c r="C9" s="90"/>
      <c r="D9" s="439" t="s">
        <v>86</v>
      </c>
      <c r="E9" s="460" t="n">
        <f aca="false">'2 - Budget_analitico_2022_2024'!G5</f>
        <v>-1800</v>
      </c>
      <c r="F9" s="460" t="n">
        <f aca="false">'2 - Budget_analitico_2022_2024'!H5</f>
        <v>0</v>
      </c>
      <c r="G9" s="460" t="n">
        <f aca="false">'2 - Budget_analitico_2022_2024'!I5</f>
        <v>-1800</v>
      </c>
      <c r="AMJ9" s="0"/>
    </row>
    <row r="10" s="100" customFormat="true" ht="15.65" hidden="false" customHeight="true" outlineLevel="0" collapsed="false">
      <c r="A10" s="437"/>
      <c r="B10" s="438"/>
      <c r="C10" s="90"/>
      <c r="D10" s="439" t="s">
        <v>88</v>
      </c>
      <c r="E10" s="460" t="n">
        <f aca="false">'2 - Budget_analitico_2022_2024'!G6</f>
        <v>-1000</v>
      </c>
      <c r="F10" s="460" t="n">
        <f aca="false">'2 - Budget_analitico_2022_2024'!H6</f>
        <v>0</v>
      </c>
      <c r="G10" s="460" t="n">
        <f aca="false">'2 - Budget_analitico_2022_2024'!I6</f>
        <v>-1000</v>
      </c>
      <c r="AMJ10" s="0"/>
    </row>
    <row r="11" s="100" customFormat="true" ht="15.65" hidden="false" customHeight="true" outlineLevel="0" collapsed="false">
      <c r="A11" s="437"/>
      <c r="B11" s="438"/>
      <c r="C11" s="90"/>
      <c r="D11" s="439" t="s">
        <v>89</v>
      </c>
      <c r="E11" s="460" t="n">
        <f aca="false">'2 - Budget_analitico_2022_2024'!G7</f>
        <v>-4000</v>
      </c>
      <c r="F11" s="460" t="n">
        <f aca="false">'2 - Budget_analitico_2022_2024'!H7</f>
        <v>-880</v>
      </c>
      <c r="G11" s="460" t="n">
        <f aca="false">'2 - Budget_analitico_2022_2024'!I7</f>
        <v>-4880</v>
      </c>
      <c r="AMJ11" s="0"/>
    </row>
    <row r="12" s="100" customFormat="true" ht="15.65" hidden="false" customHeight="true" outlineLevel="0" collapsed="false">
      <c r="A12" s="437"/>
      <c r="B12" s="438"/>
      <c r="C12" s="90"/>
      <c r="D12" s="441" t="s">
        <v>90</v>
      </c>
      <c r="E12" s="460" t="n">
        <f aca="false">'2 - Budget_analitico_2022_2024'!G8</f>
        <v>-5000</v>
      </c>
      <c r="F12" s="460" t="n">
        <f aca="false">'2 - Budget_analitico_2022_2024'!H8</f>
        <v>-1100</v>
      </c>
      <c r="G12" s="460" t="n">
        <f aca="false">'2 - Budget_analitico_2022_2024'!I8</f>
        <v>-6100</v>
      </c>
      <c r="AMJ12" s="0"/>
    </row>
    <row r="13" s="100" customFormat="true" ht="15.65" hidden="false" customHeight="true" outlineLevel="0" collapsed="false">
      <c r="A13" s="437"/>
      <c r="B13" s="438"/>
      <c r="C13" s="90"/>
      <c r="D13" s="441" t="s">
        <v>91</v>
      </c>
      <c r="E13" s="460" t="n">
        <f aca="false">'2 - Budget_analitico_2022_2024'!G9</f>
        <v>-2000</v>
      </c>
      <c r="F13" s="460" t="n">
        <f aca="false">'2 - Budget_analitico_2022_2024'!H9</f>
        <v>-440</v>
      </c>
      <c r="G13" s="460" t="n">
        <f aca="false">'2 - Budget_analitico_2022_2024'!I9</f>
        <v>-2440</v>
      </c>
      <c r="AMJ13" s="0"/>
    </row>
    <row r="14" s="100" customFormat="true" ht="25.2" hidden="false" customHeight="true" outlineLevel="0" collapsed="false">
      <c r="A14" s="437"/>
      <c r="B14" s="438"/>
      <c r="C14" s="90"/>
      <c r="D14" s="441" t="s">
        <v>92</v>
      </c>
      <c r="E14" s="460" t="n">
        <f aca="false">'2 - Budget_analitico_2022_2024'!G10</f>
        <v>-5000</v>
      </c>
      <c r="F14" s="460" t="n">
        <f aca="false">'2 - Budget_analitico_2022_2024'!H10</f>
        <v>-1100</v>
      </c>
      <c r="G14" s="460" t="n">
        <f aca="false">'2 - Budget_analitico_2022_2024'!I10</f>
        <v>-6100</v>
      </c>
      <c r="AMJ14" s="0"/>
    </row>
    <row r="15" s="100" customFormat="true" ht="15.65" hidden="false" customHeight="true" outlineLevel="0" collapsed="false">
      <c r="A15" s="437"/>
      <c r="B15" s="438"/>
      <c r="C15" s="90"/>
      <c r="D15" s="441" t="s">
        <v>93</v>
      </c>
      <c r="E15" s="460" t="n">
        <f aca="false">'2 - Budget_analitico_2022_2024'!G11</f>
        <v>-2500</v>
      </c>
      <c r="F15" s="460" t="n">
        <f aca="false">'2 - Budget_analitico_2022_2024'!H11</f>
        <v>0</v>
      </c>
      <c r="G15" s="460" t="n">
        <f aca="false">'2 - Budget_analitico_2022_2024'!I11</f>
        <v>-2500</v>
      </c>
      <c r="AMJ15" s="0"/>
    </row>
    <row r="16" s="100" customFormat="true" ht="23.7" hidden="false" customHeight="true" outlineLevel="0" collapsed="false">
      <c r="A16" s="437"/>
      <c r="B16" s="438"/>
      <c r="C16" s="90"/>
      <c r="D16" s="110" t="s">
        <v>477</v>
      </c>
      <c r="E16" s="460" t="n">
        <f aca="false">'2 - Budget_analitico_2022_2024'!G12</f>
        <v>-2400</v>
      </c>
      <c r="F16" s="460" t="n">
        <f aca="false">'2 - Budget_analitico_2022_2024'!H12</f>
        <v>0</v>
      </c>
      <c r="G16" s="460" t="n">
        <f aca="false">'2 - Budget_analitico_2022_2024'!I12</f>
        <v>-2400</v>
      </c>
      <c r="AMJ16" s="0"/>
    </row>
    <row r="17" s="100" customFormat="true" ht="15.65" hidden="false" customHeight="true" outlineLevel="0" collapsed="false">
      <c r="A17" s="437"/>
      <c r="B17" s="438"/>
      <c r="C17" s="90" t="s">
        <v>95</v>
      </c>
      <c r="D17" s="441" t="s">
        <v>96</v>
      </c>
      <c r="E17" s="459" t="n">
        <f aca="false">'2 - Budget_analitico_2022_2024'!G14</f>
        <v>-8000</v>
      </c>
      <c r="F17" s="459" t="n">
        <f aca="false">'2 - Budget_analitico_2022_2024'!H14</f>
        <v>-1760</v>
      </c>
      <c r="G17" s="459" t="n">
        <f aca="false">'2 - Budget_analitico_2022_2024'!I14</f>
        <v>-9760</v>
      </c>
      <c r="AMJ17" s="0"/>
    </row>
    <row r="18" s="100" customFormat="true" ht="15.65" hidden="false" customHeight="true" outlineLevel="0" collapsed="false">
      <c r="A18" s="437"/>
      <c r="B18" s="438"/>
      <c r="C18" s="90"/>
      <c r="D18" s="439" t="s">
        <v>97</v>
      </c>
      <c r="E18" s="459" t="n">
        <f aca="false">'2 - Budget_analitico_2022_2024'!G15</f>
        <v>-7000</v>
      </c>
      <c r="F18" s="459" t="n">
        <f aca="false">'2 - Budget_analitico_2022_2024'!H15</f>
        <v>-1540</v>
      </c>
      <c r="G18" s="459" t="n">
        <f aca="false">'2 - Budget_analitico_2022_2024'!I15</f>
        <v>-8540</v>
      </c>
      <c r="AMJ18" s="0"/>
    </row>
    <row r="19" s="100" customFormat="true" ht="15.65" hidden="false" customHeight="true" outlineLevel="0" collapsed="false">
      <c r="A19" s="437"/>
      <c r="B19" s="438"/>
      <c r="C19" s="90"/>
      <c r="D19" s="441" t="s">
        <v>98</v>
      </c>
      <c r="E19" s="459" t="n">
        <f aca="false">'2 - Budget_analitico_2022_2024'!G16</f>
        <v>-1000</v>
      </c>
      <c r="F19" s="459" t="n">
        <f aca="false">'2 - Budget_analitico_2022_2024'!H16</f>
        <v>0</v>
      </c>
      <c r="G19" s="459" t="n">
        <f aca="false">'2 - Budget_analitico_2022_2024'!I16</f>
        <v>-1000</v>
      </c>
      <c r="AMJ19" s="0"/>
    </row>
    <row r="20" s="100" customFormat="true" ht="25.2" hidden="false" customHeight="true" outlineLevel="0" collapsed="false">
      <c r="A20" s="437"/>
      <c r="B20" s="438"/>
      <c r="C20" s="106" t="s">
        <v>13</v>
      </c>
      <c r="D20" s="443" t="s">
        <v>101</v>
      </c>
      <c r="E20" s="459" t="n">
        <f aca="false">'2 - Budget_analitico_2022_2024'!G19</f>
        <v>-8500</v>
      </c>
      <c r="F20" s="459" t="n">
        <f aca="false">'2 - Budget_analitico_2022_2024'!H19</f>
        <v>-1870</v>
      </c>
      <c r="G20" s="459" t="n">
        <f aca="false">'2 - Budget_analitico_2022_2024'!I19</f>
        <v>-10370</v>
      </c>
      <c r="AMJ20" s="0"/>
    </row>
    <row r="21" s="100" customFormat="true" ht="25.2" hidden="false" customHeight="true" outlineLevel="0" collapsed="false">
      <c r="A21" s="437"/>
      <c r="B21" s="438"/>
      <c r="C21" s="106"/>
      <c r="D21" s="443" t="s">
        <v>102</v>
      </c>
      <c r="E21" s="459" t="n">
        <f aca="false">'2 - Budget_analitico_2022_2024'!G20</f>
        <v>-5000</v>
      </c>
      <c r="F21" s="459" t="n">
        <f aca="false">'2 - Budget_analitico_2022_2024'!H20</f>
        <v>-1100</v>
      </c>
      <c r="G21" s="459" t="n">
        <f aca="false">'2 - Budget_analitico_2022_2024'!I20</f>
        <v>-6100</v>
      </c>
      <c r="AMJ21" s="0"/>
    </row>
    <row r="22" s="100" customFormat="true" ht="23.7" hidden="false" customHeight="true" outlineLevel="0" collapsed="false">
      <c r="A22" s="437"/>
      <c r="B22" s="438"/>
      <c r="C22" s="106"/>
      <c r="D22" s="104" t="s">
        <v>478</v>
      </c>
      <c r="E22" s="459" t="n">
        <f aca="false">'2 - Budget_analitico_2022_2024'!G21</f>
        <v>-2000</v>
      </c>
      <c r="F22" s="459" t="n">
        <f aca="false">'2 - Budget_analitico_2022_2024'!H21</f>
        <v>0</v>
      </c>
      <c r="G22" s="459" t="n">
        <f aca="false">'2 - Budget_analitico_2022_2024'!I21</f>
        <v>-2000</v>
      </c>
      <c r="AMJ22" s="0"/>
    </row>
    <row r="23" s="100" customFormat="true" ht="15.65" hidden="false" customHeight="true" outlineLevel="0" collapsed="false">
      <c r="A23" s="437"/>
      <c r="B23" s="438"/>
      <c r="C23" s="106"/>
      <c r="D23" s="443" t="s">
        <v>104</v>
      </c>
      <c r="E23" s="459" t="n">
        <f aca="false">'2 - Budget_analitico_2022_2024'!G22</f>
        <v>-3600</v>
      </c>
      <c r="F23" s="459" t="n">
        <f aca="false">'2 - Budget_analitico_2022_2024'!H22</f>
        <v>-792</v>
      </c>
      <c r="G23" s="459" t="n">
        <f aca="false">'2 - Budget_analitico_2022_2024'!I22</f>
        <v>-4392</v>
      </c>
      <c r="AMJ23" s="0"/>
    </row>
    <row r="24" s="100" customFormat="true" ht="15.65" hidden="false" customHeight="true" outlineLevel="0" collapsed="false">
      <c r="A24" s="437"/>
      <c r="B24" s="438"/>
      <c r="C24" s="106" t="s">
        <v>479</v>
      </c>
      <c r="D24" s="441" t="s">
        <v>116</v>
      </c>
      <c r="E24" s="459" t="n">
        <v>-2500</v>
      </c>
      <c r="F24" s="459" t="n">
        <v>0</v>
      </c>
      <c r="G24" s="459" t="n">
        <f aca="false">E24+F24</f>
        <v>-2500</v>
      </c>
      <c r="AMJ24" s="0"/>
    </row>
    <row r="25" s="100" customFormat="true" ht="15.65" hidden="false" customHeight="true" outlineLevel="0" collapsed="false">
      <c r="A25" s="437"/>
      <c r="B25" s="438"/>
      <c r="C25" s="106"/>
      <c r="D25" s="439" t="s">
        <v>111</v>
      </c>
      <c r="E25" s="459" t="n">
        <f aca="false">'2 - Budget_analitico_2022_2024'!G31</f>
        <v>-2000</v>
      </c>
      <c r="F25" s="459" t="n">
        <f aca="false">'2 - Budget_analitico_2022_2024'!H31</f>
        <v>-440</v>
      </c>
      <c r="G25" s="459" t="n">
        <f aca="false">'2 - Budget_analitico_2022_2024'!I31</f>
        <v>-2440</v>
      </c>
      <c r="AMJ25" s="0"/>
    </row>
    <row r="26" customFormat="false" ht="22.35" hidden="false" customHeight="true" outlineLevel="0" collapsed="false">
      <c r="A26" s="461"/>
      <c r="B26" s="462"/>
      <c r="C26" s="462"/>
      <c r="D26" s="463" t="s">
        <v>480</v>
      </c>
      <c r="E26" s="464" t="n">
        <f aca="false">SUM(E7:E25)</f>
        <v>-119626</v>
      </c>
      <c r="F26" s="464" t="n">
        <f aca="false">SUM(F7:F25)</f>
        <v>-11022</v>
      </c>
      <c r="G26" s="464" t="n">
        <f aca="false">SUM(G7:G25)</f>
        <v>-132844.714</v>
      </c>
    </row>
  </sheetData>
  <mergeCells count="9">
    <mergeCell ref="A1:G1"/>
    <mergeCell ref="A3:G3"/>
    <mergeCell ref="A4:G4"/>
    <mergeCell ref="A7:A25"/>
    <mergeCell ref="B7:B25"/>
    <mergeCell ref="C7:C16"/>
    <mergeCell ref="C17:C19"/>
    <mergeCell ref="C20:C23"/>
    <mergeCell ref="C24:C25"/>
  </mergeCells>
  <printOptions headings="false" gridLines="false" gridLinesSet="true" horizontalCentered="true" verticalCentered="false"/>
  <pageMargins left="0.39375" right="0.39375" top="0.39375" bottom="0.393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1287</TotalTime>
  <Application>LibreOffice/7.1.0.3$Linux_X86_64 LibreOffice_project/10$Build-3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2021-01-28T10:27:59Z</dcterms:created>
  <dc:creator/>
  <dc:description/>
  <dc:language>it-IT</dc:language>
  <cp:lastModifiedBy/>
  <cp:lastPrinted>2021-03-11T21:04:32Z</cp:lastPrinted>
  <dcterms:modified xsi:type="dcterms:W3CDTF">2021-05-12T18:46:28Z</dcterms:modified>
  <cp:revision>72</cp:revision>
  <dc:subject/>
  <dc:title/>
</cp:coreProperties>
</file>

<file path=docProps/custom.xml><?xml version="1.0" encoding="utf-8"?>
<Properties xmlns="http://schemas.openxmlformats.org/officeDocument/2006/custom-properties" xmlns:vt="http://schemas.openxmlformats.org/officeDocument/2006/docPropsVTypes"/>
</file>