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debruin/Desktop/transit lab/contactless fare payment/"/>
    </mc:Choice>
  </mc:AlternateContent>
  <xr:revisionPtr revIDLastSave="0" documentId="13_ncr:1_{88D5E92B-8705-D645-A19E-A0739AB97F81}" xr6:coauthVersionLast="47" xr6:coauthVersionMax="47" xr10:uidLastSave="{00000000-0000-0000-0000-000000000000}"/>
  <bookViews>
    <workbookView xWindow="11220" yWindow="500" windowWidth="22380" windowHeight="19040" xr2:uid="{FE0A00CB-D587-4C8F-83D5-26CC1D7B57D7}"/>
  </bookViews>
  <sheets>
    <sheet name="Sheet1" sheetId="1" r:id="rId1"/>
  </sheets>
  <definedNames>
    <definedName name="_xlnm._FilterDatabase" localSheetId="0" hidden="1">Sheet1!$A$1:$C$8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28" i="1"/>
  <c r="B37" i="1"/>
  <c r="D37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I15" i="1"/>
  <c r="I16" i="1"/>
  <c r="I17" i="1"/>
  <c r="I18" i="1"/>
  <c r="I19" i="1"/>
  <c r="I14" i="1"/>
  <c r="H32" i="1"/>
  <c r="H28" i="1"/>
  <c r="F29" i="1"/>
  <c r="G29" i="1"/>
  <c r="H29" i="1"/>
  <c r="F30" i="1"/>
  <c r="G30" i="1"/>
  <c r="H30" i="1"/>
  <c r="F31" i="1"/>
  <c r="G31" i="1"/>
  <c r="H31" i="1"/>
  <c r="G32" i="1"/>
  <c r="F33" i="1"/>
  <c r="G33" i="1"/>
  <c r="H33" i="1"/>
  <c r="E28" i="1"/>
  <c r="E29" i="1"/>
  <c r="E30" i="1"/>
  <c r="E31" i="1"/>
  <c r="E32" i="1"/>
  <c r="E33" i="1"/>
  <c r="D28" i="1"/>
  <c r="D29" i="1"/>
  <c r="D30" i="1"/>
  <c r="D31" i="1"/>
  <c r="D33" i="1"/>
  <c r="C29" i="1"/>
  <c r="C30" i="1"/>
  <c r="C31" i="1"/>
  <c r="C32" i="1"/>
  <c r="C33" i="1"/>
  <c r="C28" i="1"/>
  <c r="B8" i="1"/>
  <c r="F6" i="1" s="1"/>
  <c r="I3" i="1" l="1"/>
  <c r="L3" i="1" s="1"/>
  <c r="M3" i="1" s="1"/>
  <c r="I5" i="1"/>
  <c r="L5" i="1"/>
  <c r="M5" i="1" s="1"/>
  <c r="I2" i="1"/>
  <c r="J2" i="1"/>
  <c r="K2" i="1" s="1"/>
  <c r="L2" i="1" s="1"/>
  <c r="M2" i="1" s="1"/>
  <c r="J4" i="1"/>
  <c r="K4" i="1" s="1"/>
  <c r="L4" i="1" s="1"/>
  <c r="M4" i="1" s="1"/>
  <c r="I4" i="1"/>
  <c r="I7" i="1"/>
  <c r="J7" i="1"/>
  <c r="J6" i="1"/>
  <c r="K6" i="1" s="1"/>
  <c r="L6" i="1" s="1"/>
  <c r="M6" i="1" s="1"/>
  <c r="I6" i="1"/>
  <c r="F28" i="1"/>
  <c r="L17" i="1"/>
  <c r="F5" i="1"/>
  <c r="D2" i="1"/>
  <c r="E2" i="1" s="1"/>
  <c r="F2" i="1"/>
  <c r="F4" i="1"/>
  <c r="D5" i="1"/>
  <c r="E5" i="1" s="1"/>
  <c r="G6" i="1" s="1"/>
  <c r="F7" i="1"/>
  <c r="F3" i="1"/>
  <c r="H34" i="1"/>
  <c r="C37" i="1"/>
  <c r="G34" i="1"/>
  <c r="E34" i="1"/>
  <c r="C34" i="1"/>
  <c r="G37" i="1"/>
  <c r="F37" i="1"/>
  <c r="E37" i="1"/>
  <c r="H37" i="1"/>
  <c r="F32" i="1"/>
  <c r="D32" i="1"/>
  <c r="D34" i="1" s="1"/>
  <c r="K7" i="1" l="1"/>
  <c r="L7" i="1" s="1"/>
  <c r="M7" i="1" s="1"/>
  <c r="F34" i="1"/>
  <c r="G3" i="1"/>
  <c r="G7" i="1"/>
  <c r="G2" i="1"/>
  <c r="G5" i="1"/>
  <c r="G4" i="1"/>
</calcChain>
</file>

<file path=xl/sharedStrings.xml><?xml version="1.0" encoding="utf-8"?>
<sst xmlns="http://schemas.openxmlformats.org/spreadsheetml/2006/main" count="42" uniqueCount="31">
  <si>
    <t xml:space="preserve"> </t>
  </si>
  <si>
    <t>Central Community Transit</t>
  </si>
  <si>
    <t>Morris Transit</t>
  </si>
  <si>
    <t>Tri-Cap Transit Connection</t>
  </si>
  <si>
    <t>Prairie Five Rides</t>
  </si>
  <si>
    <t>Transit Alternatives</t>
  </si>
  <si>
    <t>United Community Transit</t>
  </si>
  <si>
    <t>M</t>
  </si>
  <si>
    <t>F</t>
  </si>
  <si>
    <t>Type</t>
  </si>
  <si>
    <t>SubProp</t>
  </si>
  <si>
    <t>FM5050</t>
  </si>
  <si>
    <t>Naïve</t>
  </si>
  <si>
    <t>Weight</t>
  </si>
  <si>
    <t>Alloc1</t>
  </si>
  <si>
    <t>Alloc2</t>
  </si>
  <si>
    <t>Integer</t>
  </si>
  <si>
    <t>Limit</t>
  </si>
  <si>
    <t>&lt;Limit?</t>
  </si>
  <si>
    <t>https://www.research-advisors.com/tools/SampleSize.htm</t>
  </si>
  <si>
    <t>Table matches TCRP report</t>
  </si>
  <si>
    <t>MIN SAMPLE SIZES</t>
  </si>
  <si>
    <t>Population Size</t>
  </si>
  <si>
    <t>SUM</t>
  </si>
  <si>
    <t>Total</t>
  </si>
  <si>
    <t>trips per rider</t>
  </si>
  <si>
    <t>unique riders</t>
  </si>
  <si>
    <t>estimated average user uses it about 12 times a month</t>
  </si>
  <si>
    <t>originally 8000, when asked, estimated closer to 1400 (just a guess)</t>
  </si>
  <si>
    <t>Counts/month</t>
  </si>
  <si>
    <t>originally reported 500, total estimate- 1000 trips per month or so (just a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</si>
</sst>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2"/>
    <xf numFmtId="164" fontId="0" fillId="0" borderId="0" xfId="0" applyNumberFormat="1"/>
    <xf numFmtId="1" fontId="0" fillId="0" borderId="0" xfId="0" applyNumberFormat="1"/>
    <xf numFmtId="0" fontId="18" fillId="0" borderId="0" xfId="43"/>
    <xf numFmtId="9" fontId="21" fillId="0" borderId="0" xfId="0" applyNumberFormat="1" applyFont="1"/>
    <xf numFmtId="0" fontId="21" fillId="0" borderId="0" xfId="0" applyFont="1"/>
    <xf numFmtId="9" fontId="21" fillId="33" borderId="0" xfId="0" applyNumberFormat="1" applyFont="1" applyFill="1"/>
    <xf numFmtId="0" fontId="0" fillId="33" borderId="0" xfId="0" applyFill="1"/>
    <xf numFmtId="0" fontId="0" fillId="0" borderId="0" xfId="0" applyAlignment="1">
      <alignment horizontal="center" wrapText="1"/>
    </xf>
  </cellXfs>
  <cellStyles count="47">
    <cellStyle name="20% - Accent1 2" xfId="20" xr:uid="{63581A12-5E1B-4D8C-9ECD-5A28AFD3C4EE}"/>
    <cellStyle name="20% - Accent2 2" xfId="24" xr:uid="{670487D1-02B8-40A8-B21D-B5F61D0884E0}"/>
    <cellStyle name="20% - Accent3 2" xfId="28" xr:uid="{D91BA22F-F9DA-47AF-B822-38FEB02B91BB}"/>
    <cellStyle name="20% - Accent4 2" xfId="32" xr:uid="{B3886F9E-D7A4-412C-94AB-4017FC857183}"/>
    <cellStyle name="20% - Accent5 2" xfId="36" xr:uid="{F81C30EF-86F1-4477-A311-0EC8B8FB4B04}"/>
    <cellStyle name="20% - Accent6 2" xfId="40" xr:uid="{EFAFFD34-0B99-4FEB-8DEF-59D35C59F7FA}"/>
    <cellStyle name="40% - Accent1 2" xfId="21" xr:uid="{60F7AD06-5DFB-43D6-86D1-FB8B897F6884}"/>
    <cellStyle name="40% - Accent2 2" xfId="25" xr:uid="{1962A97C-BE58-4771-A016-327FD1C11260}"/>
    <cellStyle name="40% - Accent3 2" xfId="29" xr:uid="{AE7AA6B1-600E-4326-80DC-5D897632E419}"/>
    <cellStyle name="40% - Accent4 2" xfId="33" xr:uid="{BCDA1A18-82EF-401F-B594-C391FBCB6FA8}"/>
    <cellStyle name="40% - Accent5 2" xfId="37" xr:uid="{0B02AC36-CBD5-44B4-9B68-11A5AEF7D7F4}"/>
    <cellStyle name="40% - Accent6 2" xfId="41" xr:uid="{5876AD21-28C9-486F-B188-86E5F7DEBC1B}"/>
    <cellStyle name="60% - Accent1 2" xfId="22" xr:uid="{F58F812D-91DD-4723-9FDB-84D08045D3FF}"/>
    <cellStyle name="60% - Accent2 2" xfId="26" xr:uid="{9F86DBC2-8A06-468B-81E8-CB3D81C16C84}"/>
    <cellStyle name="60% - Accent3 2" xfId="30" xr:uid="{CC2E51CC-6701-4A86-915F-BE36507B075D}"/>
    <cellStyle name="60% - Accent4 2" xfId="34" xr:uid="{EDCB20F0-58D6-4A7E-932E-E33356623601}"/>
    <cellStyle name="60% - Accent5 2" xfId="38" xr:uid="{3A194030-60FE-4B53-8B99-B9D0D3E5EAB6}"/>
    <cellStyle name="60% - Accent6 2" xfId="42" xr:uid="{C588CD1C-1759-419F-8897-F50F9239B849}"/>
    <cellStyle name="Accent1 2" xfId="19" xr:uid="{628798B4-6B5D-488D-A75D-84A1D775EE51}"/>
    <cellStyle name="Accent2 2" xfId="23" xr:uid="{F0951AD4-8937-413E-96BD-2DCAE08E7372}"/>
    <cellStyle name="Accent3 2" xfId="27" xr:uid="{B39DB4D0-408F-47C5-B558-A72DB9008D6F}"/>
    <cellStyle name="Accent4 2" xfId="31" xr:uid="{464B4870-521A-45DF-8B7E-FF863785FE76}"/>
    <cellStyle name="Accent5 2" xfId="35" xr:uid="{688BFC17-2C83-47BA-8F9B-7622ED40A2A7}"/>
    <cellStyle name="Accent6 2" xfId="39" xr:uid="{AA179AE9-2C13-4261-9617-EC4FFF491C14}"/>
    <cellStyle name="Bad 2" xfId="8" xr:uid="{7D4DC278-20A9-4ACE-B33D-28FA157213D4}"/>
    <cellStyle name="Calculation 2" xfId="12" xr:uid="{17F7C782-1E98-4D7E-9F6E-4CF5FCE8188C}"/>
    <cellStyle name="Check Cell 2" xfId="14" xr:uid="{2E89741C-38DF-4DEC-AAB6-8E7F96FA3EC0}"/>
    <cellStyle name="Explanatory Text 2" xfId="17" xr:uid="{CF191463-65B7-443B-BCEB-6DC7ABA20389}"/>
    <cellStyle name="Good 2" xfId="7" xr:uid="{5F264784-E388-4E56-9B41-3DE9F0598A9A}"/>
    <cellStyle name="Heading 1 2" xfId="3" xr:uid="{2E3BA46C-A1FF-42AF-BF83-0EC053E43F9F}"/>
    <cellStyle name="Heading 2 2" xfId="4" xr:uid="{B494216F-4514-4AB5-A0EA-DDA637360FCB}"/>
    <cellStyle name="Heading 3 2" xfId="5" xr:uid="{C86BFD02-A503-4216-A72D-3EB5A49FA4E5}"/>
    <cellStyle name="Heading 4 2" xfId="6" xr:uid="{DBF29D51-87CC-426C-968A-DBD5C31E72B7}"/>
    <cellStyle name="Hyperlink" xfId="43" builtinId="8"/>
    <cellStyle name="Hyperlink 2" xfId="45" xr:uid="{5B5FA5F6-C0FA-B343-849E-1E9ECC338E29}"/>
    <cellStyle name="Input 2" xfId="10" xr:uid="{8D9EA2FD-6E84-421A-9993-61ECE59FFD23}"/>
    <cellStyle name="Linked Cell 2" xfId="13" xr:uid="{841FEDB7-5BB6-4727-AB28-5DB64B5D7878}"/>
    <cellStyle name="Neutral 2" xfId="9" xr:uid="{7A9357FC-E4CC-45E5-A86F-AF7606B8F6A6}"/>
    <cellStyle name="Normal" xfId="0" builtinId="0"/>
    <cellStyle name="Normal 2" xfId="2" xr:uid="{21E083C4-6603-4749-9EEE-9C5F4B20A4BF}"/>
    <cellStyle name="Normal 3" xfId="44" xr:uid="{8CE42CEC-C747-6F4A-822D-77AE16EFF083}"/>
    <cellStyle name="Note 2" xfId="16" xr:uid="{7864FB1E-8C5F-45B5-8AAE-B067F7305AF6}"/>
    <cellStyle name="Output 2" xfId="11" xr:uid="{14B609BA-9D58-4803-A466-11A3F6F0C7A5}"/>
    <cellStyle name="Percent 2" xfId="46" xr:uid="{FCF48F51-F716-9C4C-BBFC-94A78728800B}"/>
    <cellStyle name="Title" xfId="1" builtinId="15" customBuiltin="1"/>
    <cellStyle name="Total 2" xfId="18" xr:uid="{847A6886-A075-4B94-AD3A-D74853EA79FD}"/>
    <cellStyle name="Warning Text 2" xfId="15" xr:uid="{CDB59730-5887-421D-946B-849A07798E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15</xdr:row>
      <xdr:rowOff>79376</xdr:rowOff>
    </xdr:from>
    <xdr:to>
      <xdr:col>4</xdr:col>
      <xdr:colOff>119063</xdr:colOff>
      <xdr:row>24</xdr:row>
      <xdr:rowOff>15533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BD6947-7F0F-0CFE-7A98-3A799AC84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2936876"/>
          <a:ext cx="4730750" cy="1650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research-advisors.com/tools/SampleSiz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48C-4C44-4F31-83BA-B098B9C2477B}">
  <dimension ref="A1:V37"/>
  <sheetViews>
    <sheetView tabSelected="1" topLeftCell="L1" zoomScale="119" zoomScaleNormal="160" workbookViewId="0">
      <selection activeCell="S7" sqref="S7"/>
    </sheetView>
  </sheetViews>
  <sheetFormatPr baseColWidth="10" defaultColWidth="8.83203125" defaultRowHeight="15" x14ac:dyDescent="0.2"/>
  <cols>
    <col min="1" max="1" width="35.1640625" bestFit="1" customWidth="1"/>
    <col min="7" max="7" width="10.5" customWidth="1"/>
  </cols>
  <sheetData>
    <row r="1" spans="1:22" x14ac:dyDescent="0.2">
      <c r="A1" s="1" t="s">
        <v>0</v>
      </c>
      <c r="B1" s="1" t="s">
        <v>29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18</v>
      </c>
      <c r="L1" t="s">
        <v>15</v>
      </c>
      <c r="M1" t="s">
        <v>16</v>
      </c>
    </row>
    <row r="2" spans="1:22" x14ac:dyDescent="0.2">
      <c r="A2" s="1" t="s">
        <v>1</v>
      </c>
      <c r="B2" s="1">
        <v>17797</v>
      </c>
      <c r="C2" t="s">
        <v>8</v>
      </c>
      <c r="D2">
        <f>(B2+B3+B4)/$B$8</f>
        <v>0.66005441804611853</v>
      </c>
      <c r="E2">
        <f>0.5/D2</f>
        <v>0.75751329940354195</v>
      </c>
      <c r="F2">
        <f>B2/$B$8</f>
        <v>0.27052457172389682</v>
      </c>
      <c r="G2">
        <f>F2*$E$2</f>
        <v>0.20492596089629922</v>
      </c>
      <c r="H2" s="2">
        <f>ROUND(G2*$D$9,0)</f>
        <v>102</v>
      </c>
      <c r="I2">
        <f>IF($I$10-H2&lt;0,,$I$10-H2)</f>
        <v>0</v>
      </c>
      <c r="J2">
        <f>H2/(H2+H4+H6+H7)</f>
        <v>0.26356589147286824</v>
      </c>
      <c r="K2">
        <f>-1*J2*I3</f>
        <v>-2.8992248062015507</v>
      </c>
      <c r="L2" s="2">
        <f>H2+K2</f>
        <v>99.100775193798455</v>
      </c>
      <c r="M2" s="3">
        <f>ROUND(L2,0)</f>
        <v>99</v>
      </c>
      <c r="N2" s="3"/>
      <c r="Q2" s="2"/>
      <c r="R2" s="3"/>
      <c r="V2" s="1"/>
    </row>
    <row r="3" spans="1:22" x14ac:dyDescent="0.2">
      <c r="A3" s="1" t="s">
        <v>4</v>
      </c>
      <c r="B3" s="1">
        <v>11242</v>
      </c>
      <c r="C3" t="s">
        <v>8</v>
      </c>
      <c r="F3">
        <f t="shared" ref="F3:F7" si="0">B3/$B$8</f>
        <v>0.17088482526943014</v>
      </c>
      <c r="G3">
        <f>F3*$E$2</f>
        <v>0.12944752780784377</v>
      </c>
      <c r="H3" s="2">
        <f t="shared" ref="H3:H7" si="1">ROUND(G3*$D$9,0)</f>
        <v>65</v>
      </c>
      <c r="I3">
        <f t="shared" ref="I3:I7" si="2">IF($I$10-H3&lt;0,,$I$10-H3)</f>
        <v>11</v>
      </c>
      <c r="L3" s="2">
        <f>H3+I3</f>
        <v>76</v>
      </c>
      <c r="M3" s="3">
        <f t="shared" ref="M3:M7" si="3">ROUND(L3,0)</f>
        <v>76</v>
      </c>
      <c r="N3" s="3"/>
      <c r="Q3" s="2"/>
      <c r="R3" s="3"/>
      <c r="V3" s="1"/>
    </row>
    <row r="4" spans="1:22" x14ac:dyDescent="0.2">
      <c r="A4" s="1" t="s">
        <v>6</v>
      </c>
      <c r="B4" s="1">
        <v>14384</v>
      </c>
      <c r="C4" t="s">
        <v>8</v>
      </c>
      <c r="F4">
        <f t="shared" si="0"/>
        <v>0.21864502105279157</v>
      </c>
      <c r="G4">
        <f>F4*$E$2</f>
        <v>0.16562651129585704</v>
      </c>
      <c r="H4" s="2">
        <f t="shared" si="1"/>
        <v>83</v>
      </c>
      <c r="I4">
        <f t="shared" si="2"/>
        <v>0</v>
      </c>
      <c r="J4">
        <f>H4/(H2+H4+H6+H7)</f>
        <v>0.2144702842377261</v>
      </c>
      <c r="K4">
        <f>-1*J4*I3</f>
        <v>-2.3591731266149871</v>
      </c>
      <c r="L4" s="2">
        <f>H4+K4</f>
        <v>80.640826873385009</v>
      </c>
      <c r="M4" s="3">
        <f t="shared" si="3"/>
        <v>81</v>
      </c>
      <c r="Q4" s="2"/>
      <c r="R4" s="3"/>
      <c r="V4" s="1"/>
    </row>
    <row r="5" spans="1:22" x14ac:dyDescent="0.2">
      <c r="A5" s="1" t="s">
        <v>2</v>
      </c>
      <c r="B5" s="1">
        <v>4278</v>
      </c>
      <c r="C5" t="s">
        <v>7</v>
      </c>
      <c r="D5">
        <f>(B5+B6+B7)/$B$8</f>
        <v>0.33994558195388147</v>
      </c>
      <c r="E5">
        <f>0.5/D5</f>
        <v>1.4708236451439813</v>
      </c>
      <c r="F5">
        <f t="shared" si="0"/>
        <v>6.5028045054494055E-2</v>
      </c>
      <c r="G5">
        <f>F5*$E$5</f>
        <v>9.5644786263637996E-2</v>
      </c>
      <c r="H5" s="2">
        <f t="shared" si="1"/>
        <v>48</v>
      </c>
      <c r="I5">
        <f t="shared" si="2"/>
        <v>28</v>
      </c>
      <c r="L5" s="2">
        <f>H5+I5</f>
        <v>76</v>
      </c>
      <c r="M5" s="3">
        <f t="shared" si="3"/>
        <v>76</v>
      </c>
      <c r="Q5" s="2"/>
      <c r="R5" s="3"/>
      <c r="V5" s="1"/>
    </row>
    <row r="6" spans="1:22" x14ac:dyDescent="0.2">
      <c r="A6" s="1" t="s">
        <v>3</v>
      </c>
      <c r="B6" s="1">
        <v>10460</v>
      </c>
      <c r="C6" t="s">
        <v>7</v>
      </c>
      <c r="F6">
        <f t="shared" si="0"/>
        <v>0.15899797832398499</v>
      </c>
      <c r="G6">
        <f>F6*$E$5</f>
        <v>0.23385798604900734</v>
      </c>
      <c r="H6" s="2">
        <f t="shared" si="1"/>
        <v>117</v>
      </c>
      <c r="I6">
        <f t="shared" si="2"/>
        <v>0</v>
      </c>
      <c r="J6">
        <f>H6/(H7+H6+H2+H4)</f>
        <v>0.30232558139534882</v>
      </c>
      <c r="K6">
        <f>-1*J6*I5</f>
        <v>-8.4651162790697665</v>
      </c>
      <c r="L6" s="2">
        <f>H6+K6</f>
        <v>108.53488372093024</v>
      </c>
      <c r="M6" s="3">
        <f t="shared" si="3"/>
        <v>109</v>
      </c>
      <c r="Q6" s="2"/>
      <c r="R6" s="3"/>
      <c r="V6" s="1"/>
    </row>
    <row r="7" spans="1:22" x14ac:dyDescent="0.2">
      <c r="A7" s="1" t="s">
        <v>5</v>
      </c>
      <c r="B7" s="1">
        <v>7626</v>
      </c>
      <c r="C7" t="s">
        <v>7</v>
      </c>
      <c r="F7">
        <f t="shared" si="0"/>
        <v>0.11591955857540244</v>
      </c>
      <c r="G7">
        <f>F7*$E$5</f>
        <v>0.17049722768735467</v>
      </c>
      <c r="H7" s="2">
        <f t="shared" si="1"/>
        <v>85</v>
      </c>
      <c r="I7">
        <f t="shared" si="2"/>
        <v>0</v>
      </c>
      <c r="J7">
        <f>H7/(H6+H7+H2+H4)</f>
        <v>0.21963824289405684</v>
      </c>
      <c r="K7">
        <f>-1*J7*I5</f>
        <v>-6.1498708010335914</v>
      </c>
      <c r="L7" s="2">
        <f>H7+K7</f>
        <v>78.850129198966414</v>
      </c>
      <c r="M7" s="3">
        <f t="shared" si="3"/>
        <v>79</v>
      </c>
      <c r="Q7" s="2"/>
      <c r="R7" s="3"/>
      <c r="V7" s="1"/>
    </row>
    <row r="8" spans="1:22" x14ac:dyDescent="0.2">
      <c r="A8" s="1"/>
      <c r="B8">
        <f>SUM(B2:B7)</f>
        <v>65787</v>
      </c>
      <c r="M8" s="3"/>
    </row>
    <row r="9" spans="1:22" x14ac:dyDescent="0.2">
      <c r="A9" s="1"/>
      <c r="D9">
        <v>500</v>
      </c>
      <c r="I9" t="s">
        <v>17</v>
      </c>
    </row>
    <row r="10" spans="1:22" x14ac:dyDescent="0.2">
      <c r="I10">
        <v>76</v>
      </c>
    </row>
    <row r="13" spans="1:22" x14ac:dyDescent="0.2">
      <c r="A13" t="s">
        <v>21</v>
      </c>
      <c r="G13" t="s">
        <v>26</v>
      </c>
      <c r="H13" t="s">
        <v>25</v>
      </c>
    </row>
    <row r="14" spans="1:22" x14ac:dyDescent="0.2">
      <c r="A14" s="4" t="s">
        <v>19</v>
      </c>
      <c r="F14">
        <f t="shared" ref="F14:F19" si="4">B2</f>
        <v>17797</v>
      </c>
      <c r="G14">
        <v>1000</v>
      </c>
      <c r="H14" s="8">
        <f>F14/G14</f>
        <v>17.797000000000001</v>
      </c>
      <c r="I14" t="str">
        <f>A2</f>
        <v>Central Community Transit</v>
      </c>
      <c r="L14" t="s">
        <v>30</v>
      </c>
    </row>
    <row r="15" spans="1:22" x14ac:dyDescent="0.2">
      <c r="A15" t="s">
        <v>20</v>
      </c>
      <c r="F15">
        <f t="shared" si="4"/>
        <v>11242</v>
      </c>
      <c r="G15">
        <v>957</v>
      </c>
      <c r="H15">
        <f>F15/G15</f>
        <v>11.74712643678161</v>
      </c>
      <c r="I15" t="str">
        <f t="shared" ref="I15:I19" si="5">A3</f>
        <v>Prairie Five Rides</v>
      </c>
    </row>
    <row r="16" spans="1:22" x14ac:dyDescent="0.2">
      <c r="F16">
        <f t="shared" si="4"/>
        <v>14384</v>
      </c>
      <c r="G16">
        <v>1400</v>
      </c>
      <c r="H16" s="8">
        <f t="shared" ref="H16:H19" si="6">F16/G16</f>
        <v>10.274285714285714</v>
      </c>
      <c r="I16" t="str">
        <f t="shared" si="5"/>
        <v>United Community Transit</v>
      </c>
      <c r="L16" t="s">
        <v>28</v>
      </c>
    </row>
    <row r="17" spans="1:13" x14ac:dyDescent="0.2">
      <c r="F17">
        <f t="shared" si="4"/>
        <v>4278</v>
      </c>
      <c r="G17">
        <v>357</v>
      </c>
      <c r="H17" s="8">
        <f t="shared" si="6"/>
        <v>11.983193277310924</v>
      </c>
      <c r="I17" t="str">
        <f t="shared" si="5"/>
        <v>Morris Transit</v>
      </c>
      <c r="L17">
        <f>F17/12</f>
        <v>356.5</v>
      </c>
      <c r="M17" t="s">
        <v>27</v>
      </c>
    </row>
    <row r="18" spans="1:13" x14ac:dyDescent="0.2">
      <c r="F18">
        <f t="shared" si="4"/>
        <v>10460</v>
      </c>
      <c r="G18">
        <v>3500</v>
      </c>
      <c r="H18">
        <f t="shared" si="6"/>
        <v>2.9885714285714284</v>
      </c>
      <c r="I18" t="str">
        <f t="shared" si="5"/>
        <v>Tri-Cap Transit Connection</v>
      </c>
    </row>
    <row r="19" spans="1:13" x14ac:dyDescent="0.2">
      <c r="F19">
        <f t="shared" si="4"/>
        <v>7626</v>
      </c>
      <c r="G19">
        <v>5000</v>
      </c>
      <c r="H19">
        <f t="shared" si="6"/>
        <v>1.5251999999999999</v>
      </c>
      <c r="I19" t="str">
        <f t="shared" si="5"/>
        <v>Transit Alternatives</v>
      </c>
    </row>
    <row r="26" spans="1:13" x14ac:dyDescent="0.2">
      <c r="B26" s="9" t="s">
        <v>22</v>
      </c>
      <c r="C26" s="7">
        <v>0.95</v>
      </c>
      <c r="D26" s="5">
        <v>0.95</v>
      </c>
      <c r="E26" s="5">
        <v>0.95</v>
      </c>
      <c r="F26" s="5">
        <v>0.99</v>
      </c>
      <c r="G26" s="5">
        <v>0.99</v>
      </c>
      <c r="H26" s="5">
        <v>0.99</v>
      </c>
    </row>
    <row r="27" spans="1:13" x14ac:dyDescent="0.2">
      <c r="B27" s="9"/>
      <c r="C27" s="7">
        <v>0.1</v>
      </c>
      <c r="D27" s="5">
        <v>0.05</v>
      </c>
      <c r="E27" s="5">
        <v>0.03</v>
      </c>
      <c r="F27" s="5">
        <v>0.1</v>
      </c>
      <c r="G27" s="5">
        <v>0.05</v>
      </c>
      <c r="H27" s="5">
        <v>0.03</v>
      </c>
    </row>
    <row r="28" spans="1:13" x14ac:dyDescent="0.2">
      <c r="A28" s="1" t="s">
        <v>1</v>
      </c>
      <c r="B28" s="6">
        <v>1000</v>
      </c>
      <c r="C28">
        <f>ROUND((CHIINV((1-C$26),1)*$B28*0.25)/(((C$27^2)*($B28-1))+(CHIINV((1-C$26),1)*0.25)),0)</f>
        <v>88</v>
      </c>
      <c r="D28">
        <f>ROUND((CHIINV((1-D$26),1)*$B28*0.25)/(((D$27^2)*($B28-1))+(CHIINV((1-D$26),1)*0.25)),0)</f>
        <v>278</v>
      </c>
      <c r="E28">
        <f>ROUND((CHIINV((1-E$26),1)*$B28*0.25)/(((E$27^2)*($B28-1))+(CHIINV((1-E$26),1)*0.25)),0)</f>
        <v>516</v>
      </c>
      <c r="F28">
        <f t="shared" ref="F28:H28" si="7">ROUND((CHIINV((1-F$26),1)*$B28*0.25)/(((F$27^2)*($B28-1))+(CHIINV((1-F$26),1)*0.25)),0)</f>
        <v>142</v>
      </c>
      <c r="G28">
        <f t="shared" si="7"/>
        <v>399</v>
      </c>
      <c r="H28">
        <f t="shared" si="7"/>
        <v>648</v>
      </c>
    </row>
    <row r="29" spans="1:13" x14ac:dyDescent="0.2">
      <c r="A29" s="1" t="s">
        <v>4</v>
      </c>
      <c r="B29" s="6">
        <v>957</v>
      </c>
      <c r="C29">
        <f t="shared" ref="C29:H33" si="8">ROUND((CHIINV((1-C$26),1)*$B29*0.25)/(((C$27^2)*($B29-1))+(CHIINV((1-C$26),1)*0.25)),0)</f>
        <v>87</v>
      </c>
      <c r="D29">
        <f t="shared" si="8"/>
        <v>274</v>
      </c>
      <c r="E29">
        <f t="shared" si="8"/>
        <v>505</v>
      </c>
      <c r="F29">
        <f t="shared" si="8"/>
        <v>141</v>
      </c>
      <c r="G29">
        <f t="shared" si="8"/>
        <v>392</v>
      </c>
      <c r="H29">
        <f t="shared" si="8"/>
        <v>630</v>
      </c>
    </row>
    <row r="30" spans="1:13" x14ac:dyDescent="0.2">
      <c r="A30" s="1" t="s">
        <v>6</v>
      </c>
      <c r="B30" s="6">
        <v>1400</v>
      </c>
      <c r="C30">
        <f t="shared" si="8"/>
        <v>90</v>
      </c>
      <c r="D30">
        <f t="shared" si="8"/>
        <v>302</v>
      </c>
      <c r="E30">
        <f t="shared" si="8"/>
        <v>606</v>
      </c>
      <c r="F30">
        <f t="shared" si="8"/>
        <v>148</v>
      </c>
      <c r="G30">
        <f t="shared" si="8"/>
        <v>450</v>
      </c>
      <c r="H30">
        <f t="shared" si="8"/>
        <v>796</v>
      </c>
    </row>
    <row r="31" spans="1:13" x14ac:dyDescent="0.2">
      <c r="A31" s="1" t="s">
        <v>2</v>
      </c>
      <c r="B31" s="6">
        <v>357</v>
      </c>
      <c r="C31">
        <f t="shared" si="8"/>
        <v>76</v>
      </c>
      <c r="D31">
        <f t="shared" si="8"/>
        <v>185</v>
      </c>
      <c r="E31">
        <f t="shared" si="8"/>
        <v>268</v>
      </c>
      <c r="F31">
        <f t="shared" si="8"/>
        <v>113</v>
      </c>
      <c r="G31">
        <f t="shared" si="8"/>
        <v>232</v>
      </c>
      <c r="H31">
        <f t="shared" si="8"/>
        <v>299</v>
      </c>
    </row>
    <row r="32" spans="1:13" x14ac:dyDescent="0.2">
      <c r="A32" s="1" t="s">
        <v>3</v>
      </c>
      <c r="B32" s="6">
        <v>3500</v>
      </c>
      <c r="C32">
        <f t="shared" si="8"/>
        <v>93</v>
      </c>
      <c r="D32">
        <f t="shared" si="8"/>
        <v>346</v>
      </c>
      <c r="E32">
        <f t="shared" si="8"/>
        <v>818</v>
      </c>
      <c r="F32">
        <f t="shared" si="8"/>
        <v>158</v>
      </c>
      <c r="G32">
        <f t="shared" si="8"/>
        <v>558</v>
      </c>
      <c r="H32">
        <f t="shared" si="8"/>
        <v>1208</v>
      </c>
    </row>
    <row r="33" spans="1:8" x14ac:dyDescent="0.2">
      <c r="A33" s="1" t="s">
        <v>5</v>
      </c>
      <c r="B33" s="6">
        <v>5000</v>
      </c>
      <c r="C33">
        <f t="shared" si="8"/>
        <v>94</v>
      </c>
      <c r="D33">
        <f t="shared" si="8"/>
        <v>357</v>
      </c>
      <c r="E33">
        <f t="shared" si="8"/>
        <v>880</v>
      </c>
      <c r="F33">
        <f t="shared" si="8"/>
        <v>161</v>
      </c>
      <c r="G33">
        <f t="shared" si="8"/>
        <v>586</v>
      </c>
      <c r="H33">
        <f t="shared" si="8"/>
        <v>1347</v>
      </c>
    </row>
    <row r="34" spans="1:8" x14ac:dyDescent="0.2">
      <c r="B34" t="s">
        <v>23</v>
      </c>
      <c r="C34">
        <f t="shared" ref="C34:H34" si="9">SUM(C28:C33)</f>
        <v>528</v>
      </c>
      <c r="D34">
        <f t="shared" si="9"/>
        <v>1742</v>
      </c>
      <c r="E34">
        <f t="shared" si="9"/>
        <v>3593</v>
      </c>
      <c r="F34">
        <f t="shared" si="9"/>
        <v>863</v>
      </c>
      <c r="G34">
        <f t="shared" si="9"/>
        <v>2617</v>
      </c>
      <c r="H34">
        <f t="shared" si="9"/>
        <v>4928</v>
      </c>
    </row>
    <row r="35" spans="1:8" x14ac:dyDescent="0.2">
      <c r="B35" s="9" t="s">
        <v>22</v>
      </c>
      <c r="C35" s="5">
        <v>0.95</v>
      </c>
      <c r="D35" s="5">
        <v>0.95</v>
      </c>
      <c r="E35" s="5">
        <v>0.95</v>
      </c>
      <c r="F35" s="5">
        <v>0.99</v>
      </c>
      <c r="G35" s="5">
        <v>0.99</v>
      </c>
      <c r="H35" s="5">
        <v>0.99</v>
      </c>
    </row>
    <row r="36" spans="1:8" x14ac:dyDescent="0.2">
      <c r="B36" s="9"/>
      <c r="C36" s="5">
        <v>0.1</v>
      </c>
      <c r="D36" s="5">
        <v>0.05</v>
      </c>
      <c r="E36" s="5">
        <v>0.03</v>
      </c>
      <c r="F36" s="5">
        <v>0.1</v>
      </c>
      <c r="G36" s="5">
        <v>0.05</v>
      </c>
      <c r="H36" s="5">
        <v>0.03</v>
      </c>
    </row>
    <row r="37" spans="1:8" x14ac:dyDescent="0.2">
      <c r="A37" s="1" t="s">
        <v>24</v>
      </c>
      <c r="B37" s="6">
        <f>SUM(B28:B33)</f>
        <v>12214</v>
      </c>
      <c r="C37">
        <f t="shared" ref="C37:H37" si="10">ROUND((CHIINV((1-C$26),1)*$B37*0.25)/(((C$27^2)*($B37-1))+(CHIINV((1-C$26),1)*0.25)),0)</f>
        <v>95</v>
      </c>
      <c r="D37">
        <f t="shared" si="10"/>
        <v>372</v>
      </c>
      <c r="E37">
        <f t="shared" si="10"/>
        <v>981</v>
      </c>
      <c r="F37">
        <f t="shared" si="10"/>
        <v>164</v>
      </c>
      <c r="G37">
        <f t="shared" si="10"/>
        <v>629</v>
      </c>
      <c r="H37">
        <f t="shared" si="10"/>
        <v>1602</v>
      </c>
    </row>
  </sheetData>
  <mergeCells count="2">
    <mergeCell ref="B26:B27"/>
    <mergeCell ref="B35:B36"/>
  </mergeCells>
  <hyperlinks>
    <hyperlink ref="A14" r:id="rId1" xr:uid="{64368664-82DD-8F40-82AC-2B3B32A8634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KBaek</dc:creator>
  <cp:lastModifiedBy>Hannah DeBruin</cp:lastModifiedBy>
  <dcterms:created xsi:type="dcterms:W3CDTF">2023-01-06T05:00:49Z</dcterms:created>
  <dcterms:modified xsi:type="dcterms:W3CDTF">2023-01-27T19:28:57Z</dcterms:modified>
</cp:coreProperties>
</file>