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ICT-FILE-01\Data\Staff\Finance &amp; Project Management\IDOT-ICT Grant Research Information\Important Financial Docs\"/>
    </mc:Choice>
  </mc:AlternateContent>
  <xr:revisionPtr revIDLastSave="0" documentId="13_ncr:1_{1F413B41-3F60-41BB-9C92-A1FF9FD8F7A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FY18-23 Subawards" sheetId="4" r:id="rId1"/>
    <sheet name="Grants Contacts" sheetId="5" r:id="rId2"/>
  </sheets>
  <definedNames>
    <definedName name="_xlnm._FilterDatabase" localSheetId="0" hidden="1">'FY18-23 Subawards'!$A$1:$BC$60</definedName>
    <definedName name="_xlnm.Print_Area" localSheetId="0">'FY18-23 Subawards'!$B$1:$BA$63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49" i="4" l="1"/>
  <c r="BE49" i="4"/>
  <c r="BC50" i="4"/>
  <c r="BE50" i="4"/>
  <c r="BD50" i="4"/>
  <c r="BC51" i="4"/>
  <c r="AX48" i="4"/>
  <c r="AZ47" i="4" l="1"/>
  <c r="BC47" i="4"/>
  <c r="BC49" i="4"/>
  <c r="BC41" i="4"/>
  <c r="AW41" i="4"/>
  <c r="AX47" i="4"/>
  <c r="AZ45" i="4"/>
  <c r="AX45" i="4"/>
  <c r="AZ50" i="4"/>
  <c r="AX50" i="4"/>
  <c r="AX41" i="4"/>
  <c r="AX58" i="4" l="1"/>
  <c r="AW68" i="4"/>
  <c r="AJ59" i="4" l="1"/>
  <c r="AF59" i="4"/>
  <c r="AZ41" i="4" l="1"/>
  <c r="AZ59" i="4"/>
  <c r="AX59" i="4"/>
  <c r="AZ58" i="4"/>
  <c r="AZ49" i="4"/>
  <c r="AX49" i="4"/>
  <c r="AZ34" i="4"/>
  <c r="AX34" i="4"/>
  <c r="AZ46" i="4"/>
  <c r="AX46" i="4"/>
  <c r="AW45" i="4"/>
  <c r="AW48" i="4"/>
  <c r="AW47" i="4"/>
  <c r="AV50" i="4"/>
  <c r="AV51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6" i="4"/>
  <c r="AV52" i="4"/>
  <c r="AV53" i="4"/>
  <c r="AV54" i="4"/>
  <c r="AV55" i="4"/>
  <c r="AV57" i="4"/>
  <c r="AV58" i="4"/>
  <c r="AI46" i="4"/>
  <c r="AZ44" i="4"/>
  <c r="AX44" i="4"/>
  <c r="AW59" i="4" l="1"/>
  <c r="AZ42" i="4"/>
  <c r="AX42" i="4"/>
  <c r="AZ28" i="4"/>
  <c r="AX35" i="4" l="1"/>
  <c r="AZ35" i="4"/>
  <c r="AX32" i="4"/>
  <c r="AX18" i="4"/>
  <c r="AX28" i="4"/>
  <c r="AM84" i="4"/>
  <c r="AQ84" i="4"/>
  <c r="AU84" i="4"/>
  <c r="AI84" i="4"/>
  <c r="G84" i="4" s="1"/>
  <c r="AV84" i="4" l="1"/>
  <c r="AY59" i="4"/>
  <c r="AU59" i="4"/>
  <c r="AQ59" i="4"/>
  <c r="AM59" i="4"/>
  <c r="AV59" i="4" s="1"/>
  <c r="AI59" i="4"/>
  <c r="AE59" i="4"/>
  <c r="AA59" i="4"/>
  <c r="W59" i="4"/>
  <c r="S59" i="4"/>
  <c r="O59" i="4"/>
  <c r="K59" i="4"/>
  <c r="AZ27" i="4"/>
  <c r="AX27" i="4"/>
  <c r="AX43" i="4"/>
  <c r="AZ43" i="4"/>
  <c r="AX31" i="4"/>
  <c r="AX4" i="4"/>
  <c r="AX57" i="4"/>
  <c r="AY51" i="4"/>
  <c r="AU49" i="4"/>
  <c r="AU50" i="4"/>
  <c r="AU51" i="4"/>
  <c r="AQ51" i="4"/>
  <c r="AM51" i="4"/>
  <c r="AI51" i="4"/>
  <c r="G51" i="4" s="1"/>
  <c r="AI50" i="4"/>
  <c r="G59" i="4" l="1"/>
  <c r="AY50" i="4"/>
  <c r="AQ50" i="4"/>
  <c r="AM50" i="4"/>
  <c r="G50" i="4"/>
  <c r="AZ33" i="4"/>
  <c r="AX33" i="4"/>
  <c r="AZ39" i="4"/>
  <c r="AX39" i="4"/>
  <c r="AZ32" i="4"/>
  <c r="AY58" i="4"/>
  <c r="AY49" i="4"/>
  <c r="AP86" i="4" l="1"/>
  <c r="AO86" i="4"/>
  <c r="AN86" i="4"/>
  <c r="AQ85" i="4"/>
  <c r="AQ83" i="4"/>
  <c r="AQ82" i="4"/>
  <c r="AQ81" i="4"/>
  <c r="AQ80" i="4"/>
  <c r="AQ79" i="4"/>
  <c r="AQ78" i="4"/>
  <c r="AQ77" i="4"/>
  <c r="AQ76" i="4"/>
  <c r="AQ75" i="4"/>
  <c r="AP62" i="4"/>
  <c r="AO62" i="4"/>
  <c r="AN62" i="4"/>
  <c r="AQ60" i="4"/>
  <c r="AQ58" i="4"/>
  <c r="AQ57" i="4"/>
  <c r="AQ56" i="4"/>
  <c r="AQ55" i="4"/>
  <c r="AQ54" i="4"/>
  <c r="AQ53" i="4"/>
  <c r="AQ52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7" i="4"/>
  <c r="AQ6" i="4"/>
  <c r="AQ5" i="4"/>
  <c r="AQ4" i="4"/>
  <c r="AQ3" i="4"/>
  <c r="AY57" i="4"/>
  <c r="AU83" i="4"/>
  <c r="AM83" i="4"/>
  <c r="AI83" i="4"/>
  <c r="AE83" i="4"/>
  <c r="AA83" i="4"/>
  <c r="W83" i="4"/>
  <c r="S83" i="4"/>
  <c r="O83" i="4"/>
  <c r="K83" i="4"/>
  <c r="AU82" i="4"/>
  <c r="AM82" i="4"/>
  <c r="AI82" i="4"/>
  <c r="AE82" i="4"/>
  <c r="AA82" i="4"/>
  <c r="W82" i="4"/>
  <c r="S82" i="4"/>
  <c r="O82" i="4"/>
  <c r="K82" i="4"/>
  <c r="AM49" i="4"/>
  <c r="AI49" i="4"/>
  <c r="K49" i="4"/>
  <c r="O49" i="4"/>
  <c r="S49" i="4"/>
  <c r="W49" i="4"/>
  <c r="AA49" i="4"/>
  <c r="AE49" i="4"/>
  <c r="K48" i="4"/>
  <c r="O48" i="4"/>
  <c r="S48" i="4"/>
  <c r="W48" i="4"/>
  <c r="AA48" i="4"/>
  <c r="AE48" i="4"/>
  <c r="AI48" i="4"/>
  <c r="AM48" i="4"/>
  <c r="AU48" i="4"/>
  <c r="AV82" i="4" l="1"/>
  <c r="AV83" i="4"/>
  <c r="G49" i="4"/>
  <c r="G82" i="4"/>
  <c r="G48" i="4"/>
  <c r="G83" i="4"/>
  <c r="AQ62" i="4"/>
  <c r="AQ86" i="4"/>
  <c r="AQ88" i="4" l="1"/>
  <c r="AU58" i="4"/>
  <c r="AM58" i="4"/>
  <c r="AI58" i="4"/>
  <c r="AE58" i="4"/>
  <c r="AA57" i="4"/>
  <c r="AA58" i="4"/>
  <c r="W57" i="4"/>
  <c r="W58" i="4"/>
  <c r="S57" i="4"/>
  <c r="S58" i="4"/>
  <c r="O57" i="4"/>
  <c r="O58" i="4"/>
  <c r="K57" i="4"/>
  <c r="K58" i="4"/>
  <c r="AL86" i="4"/>
  <c r="AK86" i="4"/>
  <c r="AJ86" i="4"/>
  <c r="AM85" i="4"/>
  <c r="AM81" i="4"/>
  <c r="AM80" i="4"/>
  <c r="AM79" i="4"/>
  <c r="AM78" i="4"/>
  <c r="AM77" i="4"/>
  <c r="AM76" i="4"/>
  <c r="AM75" i="4"/>
  <c r="AL62" i="4"/>
  <c r="AK62" i="4"/>
  <c r="AJ62" i="4"/>
  <c r="AM60" i="4"/>
  <c r="AM57" i="4"/>
  <c r="AM56" i="4"/>
  <c r="AM55" i="4"/>
  <c r="AM54" i="4"/>
  <c r="AM53" i="4"/>
  <c r="AM52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7" i="4"/>
  <c r="AM6" i="4"/>
  <c r="AM5" i="4"/>
  <c r="AM4" i="4"/>
  <c r="AM3" i="4"/>
  <c r="AH34" i="4"/>
  <c r="AF34" i="4"/>
  <c r="G58" i="4" l="1"/>
  <c r="AM86" i="4"/>
  <c r="AM62" i="4"/>
  <c r="AY32" i="4"/>
  <c r="AD35" i="4"/>
  <c r="AB35" i="4"/>
  <c r="AM88" i="4" l="1"/>
  <c r="AZ40" i="4"/>
  <c r="AX40" i="4"/>
  <c r="AX37" i="4"/>
  <c r="AX36" i="4"/>
  <c r="AX38" i="4"/>
  <c r="AZ38" i="4"/>
  <c r="AY48" i="4"/>
  <c r="AY46" i="4"/>
  <c r="AU46" i="4"/>
  <c r="AE46" i="4"/>
  <c r="AA46" i="4"/>
  <c r="AA47" i="4"/>
  <c r="W46" i="4"/>
  <c r="W47" i="4"/>
  <c r="S46" i="4"/>
  <c r="S47" i="4"/>
  <c r="K47" i="4"/>
  <c r="O46" i="4"/>
  <c r="O47" i="4"/>
  <c r="K46" i="4"/>
  <c r="K45" i="4"/>
  <c r="O45" i="4"/>
  <c r="S45" i="4"/>
  <c r="W45" i="4"/>
  <c r="AA45" i="4"/>
  <c r="AE45" i="4"/>
  <c r="AI45" i="4"/>
  <c r="AU45" i="4"/>
  <c r="AY47" i="4"/>
  <c r="AH86" i="4"/>
  <c r="AG86" i="4"/>
  <c r="AF86" i="4"/>
  <c r="AI85" i="4"/>
  <c r="AI81" i="4"/>
  <c r="AI80" i="4"/>
  <c r="AI79" i="4"/>
  <c r="AI78" i="4"/>
  <c r="AI77" i="4"/>
  <c r="AI76" i="4"/>
  <c r="AI75" i="4"/>
  <c r="AI60" i="4"/>
  <c r="AI57" i="4"/>
  <c r="AI56" i="4"/>
  <c r="AI55" i="4"/>
  <c r="AI54" i="4"/>
  <c r="AI53" i="4"/>
  <c r="AI52" i="4"/>
  <c r="AI47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7" i="4"/>
  <c r="AI6" i="4"/>
  <c r="AI5" i="4"/>
  <c r="AI4" i="4"/>
  <c r="AI3" i="4"/>
  <c r="AU47" i="4"/>
  <c r="AE47" i="4"/>
  <c r="K75" i="4"/>
  <c r="T26" i="4"/>
  <c r="P30" i="4"/>
  <c r="R21" i="4"/>
  <c r="P21" i="4"/>
  <c r="K3" i="4"/>
  <c r="O3" i="4"/>
  <c r="G46" i="4" l="1"/>
  <c r="AI86" i="4"/>
  <c r="G47" i="4"/>
  <c r="G45" i="4"/>
  <c r="AG62" i="4"/>
  <c r="AH62" i="4"/>
  <c r="AF62" i="4"/>
  <c r="AZ31" i="4"/>
  <c r="AX56" i="4"/>
  <c r="AY56" i="4" s="1"/>
  <c r="AZ37" i="4"/>
  <c r="AU57" i="4"/>
  <c r="AE57" i="4"/>
  <c r="G57" i="4" s="1"/>
  <c r="AZ26" i="4"/>
  <c r="AI62" i="4" l="1"/>
  <c r="AI88" i="4" s="1"/>
  <c r="AU56" i="4" l="1"/>
  <c r="AE56" i="4"/>
  <c r="AA56" i="4"/>
  <c r="W56" i="4"/>
  <c r="S56" i="4"/>
  <c r="O56" i="4"/>
  <c r="K56" i="4"/>
  <c r="G56" i="4" l="1"/>
  <c r="AZ19" i="4" l="1"/>
  <c r="AX19" i="4"/>
  <c r="AX26" i="4" l="1"/>
  <c r="AY44" i="4" l="1"/>
  <c r="AU44" i="4"/>
  <c r="AE44" i="4"/>
  <c r="AA44" i="4"/>
  <c r="W44" i="4"/>
  <c r="S44" i="4"/>
  <c r="O44" i="4"/>
  <c r="K44" i="4"/>
  <c r="G44" i="4" l="1"/>
  <c r="AZ29" i="4"/>
  <c r="AX29" i="4"/>
  <c r="AE85" i="4" l="1"/>
  <c r="AU81" i="4"/>
  <c r="AE81" i="4"/>
  <c r="AA81" i="4"/>
  <c r="W81" i="4"/>
  <c r="S81" i="4"/>
  <c r="O81" i="4"/>
  <c r="K81" i="4"/>
  <c r="AY43" i="4"/>
  <c r="K43" i="4"/>
  <c r="O43" i="4"/>
  <c r="S43" i="4"/>
  <c r="W43" i="4"/>
  <c r="AA43" i="4"/>
  <c r="AE43" i="4"/>
  <c r="AU43" i="4"/>
  <c r="AV81" i="4" l="1"/>
  <c r="G81" i="4"/>
  <c r="G43" i="4"/>
  <c r="AY45" i="4"/>
  <c r="AY42" i="4" l="1"/>
  <c r="AU42" i="4"/>
  <c r="AE42" i="4"/>
  <c r="AA42" i="4"/>
  <c r="W42" i="4"/>
  <c r="S42" i="4"/>
  <c r="O42" i="4"/>
  <c r="K42" i="4"/>
  <c r="G42" i="4" l="1"/>
  <c r="AZ17" i="4"/>
  <c r="AX17" i="4"/>
  <c r="AY41" i="4" l="1"/>
  <c r="AU41" i="4"/>
  <c r="AE41" i="4"/>
  <c r="AA41" i="4"/>
  <c r="W41" i="4"/>
  <c r="S41" i="4"/>
  <c r="O41" i="4"/>
  <c r="K41" i="4"/>
  <c r="G41" i="4" l="1"/>
  <c r="AX22" i="4"/>
  <c r="AY40" i="4" l="1"/>
  <c r="AU40" i="4"/>
  <c r="AE40" i="4"/>
  <c r="AA40" i="4"/>
  <c r="W40" i="4"/>
  <c r="S40" i="4"/>
  <c r="O40" i="4"/>
  <c r="K40" i="4"/>
  <c r="AY39" i="4"/>
  <c r="AU39" i="4"/>
  <c r="AE39" i="4"/>
  <c r="AA39" i="4"/>
  <c r="W39" i="4"/>
  <c r="S39" i="4"/>
  <c r="O39" i="4"/>
  <c r="K39" i="4"/>
  <c r="G39" i="4" l="1"/>
  <c r="G40" i="4"/>
  <c r="AX7" i="4"/>
  <c r="AZ7" i="4"/>
  <c r="AX23" i="4" l="1"/>
  <c r="AY34" i="4" l="1"/>
  <c r="AZ15" i="4" l="1"/>
  <c r="AX15" i="4"/>
  <c r="AZ23" i="4"/>
  <c r="AX14" i="4" l="1"/>
  <c r="AZ24" i="4" l="1"/>
  <c r="AX24" i="4"/>
  <c r="AX25" i="4" l="1"/>
  <c r="V28" i="4" l="1"/>
  <c r="T28" i="4"/>
  <c r="AY60" i="4" l="1"/>
  <c r="AY55" i="4"/>
  <c r="AU55" i="4"/>
  <c r="AE55" i="4"/>
  <c r="AA55" i="4"/>
  <c r="W55" i="4"/>
  <c r="S55" i="4"/>
  <c r="O55" i="4"/>
  <c r="K55" i="4"/>
  <c r="G55" i="4" l="1"/>
  <c r="AZ18" i="4"/>
  <c r="AY26" i="4" l="1"/>
  <c r="AY17" i="4" l="1"/>
  <c r="AU34" i="4" l="1"/>
  <c r="AE34" i="4"/>
  <c r="AD86" i="4"/>
  <c r="AC86" i="4"/>
  <c r="AB86" i="4"/>
  <c r="AE80" i="4"/>
  <c r="AE79" i="4"/>
  <c r="AE78" i="4"/>
  <c r="AE77" i="4"/>
  <c r="AE76" i="4"/>
  <c r="AE75" i="4"/>
  <c r="AD62" i="4"/>
  <c r="AC62" i="4"/>
  <c r="AE60" i="4"/>
  <c r="AE54" i="4"/>
  <c r="AE53" i="4"/>
  <c r="AE52" i="4"/>
  <c r="AE38" i="4"/>
  <c r="AE37" i="4"/>
  <c r="AE36" i="4"/>
  <c r="AE35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7" i="4"/>
  <c r="AE6" i="4"/>
  <c r="AE5" i="4"/>
  <c r="AE4" i="4"/>
  <c r="AE3" i="4"/>
  <c r="AA34" i="4"/>
  <c r="W34" i="4"/>
  <c r="G34" i="4" l="1"/>
  <c r="AE86" i="4"/>
  <c r="AY37" i="4"/>
  <c r="AU37" i="4"/>
  <c r="AA37" i="4"/>
  <c r="W37" i="4"/>
  <c r="S37" i="4"/>
  <c r="O37" i="4"/>
  <c r="K37" i="4"/>
  <c r="AY36" i="4"/>
  <c r="AU36" i="4"/>
  <c r="AA36" i="4"/>
  <c r="W36" i="4"/>
  <c r="S36" i="4"/>
  <c r="O36" i="4"/>
  <c r="K36" i="4"/>
  <c r="AY35" i="4"/>
  <c r="AU35" i="4"/>
  <c r="AA35" i="4"/>
  <c r="W35" i="4"/>
  <c r="S35" i="4"/>
  <c r="O35" i="4"/>
  <c r="K35" i="4"/>
  <c r="AY33" i="4"/>
  <c r="AU33" i="4"/>
  <c r="AA33" i="4"/>
  <c r="W33" i="4"/>
  <c r="S33" i="4"/>
  <c r="O33" i="4"/>
  <c r="K33" i="4"/>
  <c r="G35" i="4" l="1"/>
  <c r="G37" i="4"/>
  <c r="G36" i="4"/>
  <c r="G33" i="4"/>
  <c r="AY38" i="4"/>
  <c r="AU38" i="4"/>
  <c r="AA38" i="4"/>
  <c r="W38" i="4"/>
  <c r="S38" i="4"/>
  <c r="O38" i="4"/>
  <c r="K38" i="4"/>
  <c r="G38" i="4" l="1"/>
  <c r="S30" i="4"/>
  <c r="AY31" i="4"/>
  <c r="AU31" i="4"/>
  <c r="AA31" i="4"/>
  <c r="W31" i="4"/>
  <c r="S31" i="4"/>
  <c r="O31" i="4"/>
  <c r="K31" i="4"/>
  <c r="G31" i="4" l="1"/>
  <c r="AX30" i="4"/>
  <c r="AZ30" i="4"/>
  <c r="AZ25" i="4" l="1"/>
  <c r="AZ53" i="4" l="1"/>
  <c r="AZ54" i="4"/>
  <c r="AX53" i="4"/>
  <c r="AU79" i="4" l="1"/>
  <c r="AA79" i="4"/>
  <c r="W79" i="4"/>
  <c r="S79" i="4"/>
  <c r="O79" i="4"/>
  <c r="K79" i="4"/>
  <c r="AU78" i="4"/>
  <c r="AA78" i="4"/>
  <c r="W78" i="4"/>
  <c r="S78" i="4"/>
  <c r="O78" i="4"/>
  <c r="K78" i="4"/>
  <c r="AV79" i="4" l="1"/>
  <c r="AV78" i="4"/>
  <c r="G78" i="4"/>
  <c r="G79" i="4"/>
  <c r="AZ20" i="4" l="1"/>
  <c r="AX20" i="4"/>
  <c r="AX54" i="4" l="1"/>
  <c r="AZ14" i="4" l="1"/>
  <c r="AZ4" i="4" l="1"/>
  <c r="AX5" i="4" l="1"/>
  <c r="AX3" i="4"/>
  <c r="AZ16" i="4"/>
  <c r="AX16" i="4"/>
  <c r="AU54" i="4" l="1"/>
  <c r="AA54" i="4"/>
  <c r="W54" i="4"/>
  <c r="S54" i="4"/>
  <c r="O54" i="4"/>
  <c r="K54" i="4"/>
  <c r="G54" i="4" l="1"/>
  <c r="V26" i="4"/>
  <c r="R26" i="4"/>
  <c r="P26" i="4"/>
  <c r="W32" i="4" l="1"/>
  <c r="AA32" i="4"/>
  <c r="AU32" i="4"/>
  <c r="S32" i="4"/>
  <c r="K32" i="4"/>
  <c r="O32" i="4"/>
  <c r="G32" i="4" l="1"/>
  <c r="P15" i="4"/>
  <c r="AY27" i="4" l="1"/>
  <c r="AY28" i="4"/>
  <c r="AY29" i="4"/>
  <c r="W27" i="4"/>
  <c r="AA27" i="4"/>
  <c r="AU27" i="4"/>
  <c r="W28" i="4"/>
  <c r="AA28" i="4"/>
  <c r="AU28" i="4"/>
  <c r="W29" i="4"/>
  <c r="AA29" i="4"/>
  <c r="AU29" i="4"/>
  <c r="S27" i="4"/>
  <c r="S28" i="4"/>
  <c r="S29" i="4"/>
  <c r="O27" i="4"/>
  <c r="O28" i="4"/>
  <c r="O29" i="4"/>
  <c r="O30" i="4"/>
  <c r="K25" i="4"/>
  <c r="K26" i="4"/>
  <c r="K27" i="4"/>
  <c r="K28" i="4"/>
  <c r="K29" i="4"/>
  <c r="K30" i="4"/>
  <c r="Z86" i="4"/>
  <c r="Y86" i="4"/>
  <c r="X86" i="4"/>
  <c r="AA85" i="4"/>
  <c r="AA80" i="4"/>
  <c r="AA77" i="4"/>
  <c r="AA76" i="4"/>
  <c r="AA75" i="4"/>
  <c r="Z62" i="4"/>
  <c r="Y62" i="4"/>
  <c r="AA60" i="4"/>
  <c r="AA53" i="4"/>
  <c r="AA52" i="4"/>
  <c r="AA30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7" i="4"/>
  <c r="AA6" i="4"/>
  <c r="AA5" i="4"/>
  <c r="AA4" i="4"/>
  <c r="AA3" i="4"/>
  <c r="V86" i="4"/>
  <c r="U86" i="4"/>
  <c r="T86" i="4"/>
  <c r="W85" i="4"/>
  <c r="W80" i="4"/>
  <c r="W77" i="4"/>
  <c r="W76" i="4"/>
  <c r="W75" i="4"/>
  <c r="V62" i="4"/>
  <c r="U62" i="4"/>
  <c r="W60" i="4"/>
  <c r="W53" i="4"/>
  <c r="W52" i="4"/>
  <c r="W30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7" i="4"/>
  <c r="W6" i="4"/>
  <c r="W5" i="4"/>
  <c r="W4" i="4"/>
  <c r="W3" i="4"/>
  <c r="G29" i="4" l="1"/>
  <c r="G27" i="4"/>
  <c r="G28" i="4"/>
  <c r="G30" i="4"/>
  <c r="AA86" i="4"/>
  <c r="W86" i="4"/>
  <c r="AY30" i="4" l="1"/>
  <c r="AU30" i="4"/>
  <c r="AZ13" i="4" l="1"/>
  <c r="AX13" i="4"/>
  <c r="AZ3" i="4" l="1"/>
  <c r="AY3" i="4"/>
  <c r="AY53" i="4" l="1"/>
  <c r="AU53" i="4"/>
  <c r="S53" i="4"/>
  <c r="O53" i="4"/>
  <c r="K53" i="4"/>
  <c r="G53" i="4" s="1"/>
  <c r="AY54" i="4" l="1"/>
  <c r="AX11" i="4"/>
  <c r="AZ21" i="4" l="1"/>
  <c r="AX21" i="4"/>
  <c r="AY14" i="4" l="1"/>
  <c r="AZ22" i="4" l="1"/>
  <c r="AY25" i="4" l="1"/>
  <c r="AZ10" i="4" l="1"/>
  <c r="AX10" i="4"/>
  <c r="AU80" i="4" l="1"/>
  <c r="S80" i="4"/>
  <c r="O80" i="4"/>
  <c r="K80" i="4"/>
  <c r="AU26" i="4"/>
  <c r="O26" i="4"/>
  <c r="AU52" i="4"/>
  <c r="AU20" i="4"/>
  <c r="AU21" i="4"/>
  <c r="AU22" i="4"/>
  <c r="AU23" i="4"/>
  <c r="AU24" i="4"/>
  <c r="AU25" i="4"/>
  <c r="AU19" i="4"/>
  <c r="S26" i="4"/>
  <c r="AZ5" i="4"/>
  <c r="AY24" i="4"/>
  <c r="S24" i="4"/>
  <c r="O24" i="4"/>
  <c r="K24" i="4"/>
  <c r="N7" i="4"/>
  <c r="L7" i="4"/>
  <c r="I62" i="4"/>
  <c r="AS62" i="4"/>
  <c r="AT62" i="4"/>
  <c r="R62" i="4"/>
  <c r="Q62" i="4"/>
  <c r="M62" i="4"/>
  <c r="S25" i="4"/>
  <c r="O25" i="4"/>
  <c r="AZ12" i="4"/>
  <c r="AX12" i="4"/>
  <c r="AZ52" i="4"/>
  <c r="AX52" i="4"/>
  <c r="AY23" i="4"/>
  <c r="S23" i="4"/>
  <c r="O23" i="4"/>
  <c r="K23" i="4"/>
  <c r="K76" i="4"/>
  <c r="K85" i="4"/>
  <c r="O76" i="4"/>
  <c r="O85" i="4"/>
  <c r="S75" i="4"/>
  <c r="S76" i="4"/>
  <c r="S85" i="4"/>
  <c r="AU77" i="4"/>
  <c r="S77" i="4"/>
  <c r="O77" i="4"/>
  <c r="K77" i="4"/>
  <c r="AY21" i="4"/>
  <c r="AY22" i="4"/>
  <c r="N4" i="4"/>
  <c r="L4" i="4"/>
  <c r="J4" i="4"/>
  <c r="J62" i="4" s="1"/>
  <c r="H4" i="4"/>
  <c r="S22" i="4"/>
  <c r="O22" i="4"/>
  <c r="K22" i="4"/>
  <c r="S20" i="4"/>
  <c r="O20" i="4"/>
  <c r="K20" i="4"/>
  <c r="AY15" i="4"/>
  <c r="AY16" i="4"/>
  <c r="AY18" i="4"/>
  <c r="AY19" i="4"/>
  <c r="AU12" i="4"/>
  <c r="AU13" i="4"/>
  <c r="AU14" i="4"/>
  <c r="AU15" i="4"/>
  <c r="AU16" i="4"/>
  <c r="AU17" i="4"/>
  <c r="AU18" i="4"/>
  <c r="AU60" i="4"/>
  <c r="AV60" i="4" s="1"/>
  <c r="S12" i="4"/>
  <c r="O12" i="4"/>
  <c r="S14" i="4"/>
  <c r="S15" i="4"/>
  <c r="S16" i="4"/>
  <c r="S17" i="4"/>
  <c r="S18" i="4"/>
  <c r="S19" i="4"/>
  <c r="S21" i="4"/>
  <c r="S52" i="4"/>
  <c r="S60" i="4"/>
  <c r="O14" i="4"/>
  <c r="O15" i="4"/>
  <c r="O16" i="4"/>
  <c r="O17" i="4"/>
  <c r="O18" i="4"/>
  <c r="O19" i="4"/>
  <c r="O21" i="4"/>
  <c r="O52" i="4"/>
  <c r="O60" i="4"/>
  <c r="K14" i="4"/>
  <c r="K15" i="4"/>
  <c r="K16" i="4"/>
  <c r="K17" i="4"/>
  <c r="K18" i="4"/>
  <c r="K19" i="4"/>
  <c r="K21" i="4"/>
  <c r="K52" i="4"/>
  <c r="K60" i="4"/>
  <c r="K12" i="4"/>
  <c r="M86" i="4"/>
  <c r="Q86" i="4"/>
  <c r="AS86" i="4"/>
  <c r="AU75" i="4"/>
  <c r="AU85" i="4"/>
  <c r="AU76" i="4"/>
  <c r="I86" i="4"/>
  <c r="AU3" i="4"/>
  <c r="AT86" i="4"/>
  <c r="AR86" i="4"/>
  <c r="R86" i="4"/>
  <c r="P86" i="4"/>
  <c r="N86" i="4"/>
  <c r="AY11" i="4"/>
  <c r="AY8" i="4"/>
  <c r="AY5" i="4"/>
  <c r="AY13" i="4"/>
  <c r="AY4" i="4"/>
  <c r="AY9" i="4"/>
  <c r="AY10" i="4"/>
  <c r="AY6" i="4"/>
  <c r="S13" i="4"/>
  <c r="O13" i="4"/>
  <c r="K13" i="4"/>
  <c r="AU11" i="4"/>
  <c r="S11" i="4"/>
  <c r="O11" i="4"/>
  <c r="K11" i="4"/>
  <c r="AU10" i="4"/>
  <c r="S10" i="4"/>
  <c r="O10" i="4"/>
  <c r="K10" i="4"/>
  <c r="AU9" i="4"/>
  <c r="S9" i="4"/>
  <c r="O9" i="4"/>
  <c r="K9" i="4"/>
  <c r="AY7" i="4"/>
  <c r="S7" i="4"/>
  <c r="K7" i="4"/>
  <c r="K8" i="4"/>
  <c r="O8" i="4"/>
  <c r="S8" i="4"/>
  <c r="J86" i="4"/>
  <c r="AU4" i="4"/>
  <c r="AU6" i="4"/>
  <c r="AU5" i="4"/>
  <c r="S3" i="4"/>
  <c r="G3" i="4" s="1"/>
  <c r="S4" i="4"/>
  <c r="S6" i="4"/>
  <c r="S5" i="4"/>
  <c r="O6" i="4"/>
  <c r="O5" i="4"/>
  <c r="K6" i="4"/>
  <c r="K5" i="4"/>
  <c r="AU7" i="4"/>
  <c r="AX62" i="4" l="1"/>
  <c r="AV76" i="4"/>
  <c r="AV85" i="4"/>
  <c r="AV80" i="4"/>
  <c r="AV77" i="4"/>
  <c r="G60" i="4"/>
  <c r="G14" i="4"/>
  <c r="G80" i="4"/>
  <c r="G5" i="4"/>
  <c r="G16" i="4"/>
  <c r="G12" i="4"/>
  <c r="AV62" i="4"/>
  <c r="G21" i="4"/>
  <c r="G24" i="4"/>
  <c r="G23" i="4"/>
  <c r="G25" i="4"/>
  <c r="G26" i="4"/>
  <c r="G8" i="4"/>
  <c r="G10" i="4"/>
  <c r="G13" i="4"/>
  <c r="G15" i="4"/>
  <c r="G76" i="4"/>
  <c r="G52" i="4"/>
  <c r="G20" i="4"/>
  <c r="G85" i="4"/>
  <c r="G9" i="4"/>
  <c r="G11" i="4"/>
  <c r="G19" i="4"/>
  <c r="G6" i="4"/>
  <c r="G18" i="4"/>
  <c r="G22" i="4"/>
  <c r="G17" i="4"/>
  <c r="G77" i="4"/>
  <c r="AU86" i="4"/>
  <c r="S86" i="4"/>
  <c r="N62" i="4"/>
  <c r="K4" i="4"/>
  <c r="O7" i="4"/>
  <c r="G7" i="4" s="1"/>
  <c r="AY12" i="4"/>
  <c r="O4" i="4"/>
  <c r="G4" i="4" l="1"/>
  <c r="G62" i="4" s="1"/>
  <c r="AY20" i="4"/>
  <c r="H86" i="4"/>
  <c r="K86" i="4"/>
  <c r="O75" i="4"/>
  <c r="AV75" i="4" s="1"/>
  <c r="L86" i="4"/>
  <c r="G75" i="4" l="1"/>
  <c r="O86" i="4"/>
  <c r="G86" i="4" s="1"/>
  <c r="AV86" i="4" l="1"/>
  <c r="L62" i="4"/>
  <c r="O62" i="4" s="1"/>
  <c r="O88" i="4" s="1"/>
  <c r="P62" i="4"/>
  <c r="S62" i="4" s="1"/>
  <c r="S88" i="4" s="1"/>
  <c r="H62" i="4"/>
  <c r="AR62" i="4"/>
  <c r="AU62" i="4" s="1"/>
  <c r="AU88" i="4" s="1"/>
  <c r="T62" i="4"/>
  <c r="W62" i="4" s="1"/>
  <c r="W88" i="4" s="1"/>
  <c r="X62" i="4"/>
  <c r="AA62" i="4" s="1"/>
  <c r="AA88" i="4" s="1"/>
  <c r="AB62" i="4"/>
  <c r="AE62" i="4" s="1"/>
  <c r="AE88" i="4" s="1"/>
  <c r="G92" i="4" l="1"/>
  <c r="K62" i="4"/>
  <c r="K88" i="4" s="1"/>
  <c r="AV88" i="4" l="1"/>
  <c r="G93" i="4"/>
  <c r="G8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Kristi Anderson</author>
    <author>Donoho, Audrey</author>
    <author>Anderson, Kristi Marie</author>
    <author>tc={E90918B4-29CA-4434-88F7-CCD46F69D2AA}</author>
    <author>Welborn, Audrey Rae</author>
  </authors>
  <commentList>
    <comment ref="AZ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Kristi Anderson:</t>
        </r>
        <r>
          <rPr>
            <sz val="9"/>
            <color indexed="81"/>
            <rFont val="Tahoma"/>
            <family val="2"/>
          </rPr>
          <t xml:space="preserve">
Green Font = Meet or Exceed Required Cost Share
Red Font = Less than Required Cost Share</t>
        </r>
      </text>
    </comment>
    <comment ref="BA1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Donoho, Audrey:</t>
        </r>
        <r>
          <rPr>
            <sz val="9"/>
            <color indexed="81"/>
            <rFont val="Tahoma"/>
            <family val="2"/>
          </rPr>
          <t xml:space="preserve">
8.31.21 final invoice requested </t>
        </r>
      </text>
    </comment>
    <comment ref="P21" authorId="2" shapeId="0" xr:uid="{E3BBB676-1F73-4B19-A5CD-C0AA5AC07A05}">
      <text>
        <r>
          <rPr>
            <b/>
            <sz val="9"/>
            <color indexed="81"/>
            <rFont val="Tahoma"/>
            <family val="2"/>
          </rPr>
          <t>Anderson, Kristi Marie:</t>
        </r>
        <r>
          <rPr>
            <sz val="9"/>
            <color indexed="81"/>
            <rFont val="Tahoma"/>
            <family val="2"/>
          </rPr>
          <t xml:space="preserve">
$38,947 funding was included in orginial budget, but was removed due to project ending prior to FY20.
</t>
        </r>
      </text>
    </comment>
    <comment ref="R21" authorId="2" shapeId="0" xr:uid="{F10CF9AC-B315-4BC3-9AF4-DFED42AD16BD}">
      <text>
        <r>
          <rPr>
            <b/>
            <sz val="9"/>
            <color indexed="81"/>
            <rFont val="Tahoma"/>
            <family val="2"/>
          </rPr>
          <t>Anderson, Kristi Marie:</t>
        </r>
        <r>
          <rPr>
            <sz val="9"/>
            <color indexed="81"/>
            <rFont val="Tahoma"/>
            <family val="2"/>
          </rPr>
          <t xml:space="preserve">
$38,947 funding was included in orginial budget, but was removed due to project ending prior to FY20.
</t>
        </r>
      </text>
    </comment>
    <comment ref="AZ26" authorId="3" shapeId="0" xr:uid="{E90918B4-29CA-4434-88F7-CCD46F69D2AA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 cost share of $412 added with transit recap</t>
      </text>
    </comment>
    <comment ref="AZ32" authorId="4" shapeId="0" xr:uid="{00000000-0006-0000-0000-000003000000}">
      <text>
        <r>
          <rPr>
            <b/>
            <sz val="9"/>
            <color indexed="81"/>
            <rFont val="Tahoma"/>
            <family val="2"/>
          </rPr>
          <t>Welborn, Audrey Rae:</t>
        </r>
        <r>
          <rPr>
            <sz val="9"/>
            <color indexed="81"/>
            <rFont val="Tahoma"/>
            <family val="2"/>
          </rPr>
          <t xml:space="preserve">
Invoice #10 included credit for previous processed invoice 12.1.20-12.31.20 for overlap in dates of invoices. $31.03 in cost share removed. Credit for expenses was shown in invoice detail provided. 
 </t>
        </r>
      </text>
    </comment>
    <comment ref="BA5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Donoho, Audrey:</t>
        </r>
        <r>
          <rPr>
            <sz val="9"/>
            <color indexed="81"/>
            <rFont val="Tahoma"/>
            <family val="2"/>
          </rPr>
          <t xml:space="preserve">
8.31.21 request sent for final invoice
</t>
        </r>
      </text>
    </comment>
  </commentList>
</comments>
</file>

<file path=xl/sharedStrings.xml><?xml version="1.0" encoding="utf-8"?>
<sst xmlns="http://schemas.openxmlformats.org/spreadsheetml/2006/main" count="1105" uniqueCount="748">
  <si>
    <t>Project Title:</t>
  </si>
  <si>
    <t xml:space="preserve">PI </t>
  </si>
  <si>
    <t>Subaward #</t>
  </si>
  <si>
    <t>Total Bills Recd. to Date</t>
  </si>
  <si>
    <t>Ending Date for Projects/ Subawards</t>
  </si>
  <si>
    <t>Applied Research Associates, Inc.</t>
  </si>
  <si>
    <t>Carmine Dwyer</t>
  </si>
  <si>
    <t>Bradley University</t>
  </si>
  <si>
    <t>Totals</t>
  </si>
  <si>
    <t xml:space="preserve"> </t>
  </si>
  <si>
    <t>Other UIC and UIS Projects:</t>
  </si>
  <si>
    <t>R27-120</t>
  </si>
  <si>
    <t>Evaluating All-Weather Pavement Markings &amp; Lab Methods to Simulate Field Exposure</t>
  </si>
  <si>
    <t>Neal Hawkins</t>
  </si>
  <si>
    <t>J. Eriksson (UIC)</t>
  </si>
  <si>
    <t>Murphy Pavement Technology</t>
  </si>
  <si>
    <t>Tim Murphy</t>
  </si>
  <si>
    <t>Abdolreza Osouli</t>
  </si>
  <si>
    <t>Cost Share Recd. To Date</t>
  </si>
  <si>
    <t>Cost Share Required to Date</t>
  </si>
  <si>
    <t xml:space="preserve"> Investigating the Optimum Performance of Reflective Pavement Markers</t>
  </si>
  <si>
    <t>R27-151</t>
  </si>
  <si>
    <t xml:space="preserve">Construction and Performance Monitoring of Various Asphalt Mixes </t>
  </si>
  <si>
    <t>R27-161C</t>
  </si>
  <si>
    <t>ERI, Inc.</t>
  </si>
  <si>
    <t>R27-154</t>
  </si>
  <si>
    <t>M. Issa(UIC)</t>
  </si>
  <si>
    <t>Plasticity Requirements of the Aggregates as Subbase, Base, Surface, and Shoulder Courses</t>
  </si>
  <si>
    <t>R27-157</t>
  </si>
  <si>
    <t>Southern Illinois University Edwardsville</t>
  </si>
  <si>
    <t>IDOT Share</t>
  </si>
  <si>
    <t>Cost Share</t>
  </si>
  <si>
    <t>Total Budget</t>
  </si>
  <si>
    <t>R27-169</t>
  </si>
  <si>
    <t>FY19 Total</t>
  </si>
  <si>
    <t>FY18 Total</t>
  </si>
  <si>
    <t>Establishing Procedures and Guidelines for Pedestrian Treatments at Uncontrolled Locations</t>
  </si>
  <si>
    <t>R27-167</t>
  </si>
  <si>
    <t>SIUE</t>
  </si>
  <si>
    <t>Y. Qi &amp; R. Fries</t>
  </si>
  <si>
    <t>Design of Living Barriers to Reduce the Impacts of Snow Drifts on Illinois Freeways</t>
  </si>
  <si>
    <t>R27-164</t>
  </si>
  <si>
    <t>Washington State University</t>
  </si>
  <si>
    <t>X. Shi</t>
  </si>
  <si>
    <t>Methodology for Evaluation of Seal Coat and Dirt Roads</t>
  </si>
  <si>
    <t>R27-174A</t>
  </si>
  <si>
    <t>I. Hossain</t>
  </si>
  <si>
    <t>Pavement Rehabilitation Stragety Course Development</t>
  </si>
  <si>
    <t>R27-170B</t>
  </si>
  <si>
    <t>A. Butt</t>
  </si>
  <si>
    <t>R27-170C</t>
  </si>
  <si>
    <t>T. Murphy</t>
  </si>
  <si>
    <t>Refinement of Load Factors for Ilinois-specific LRFR Bridge Load Rating using WIM Data</t>
  </si>
  <si>
    <t>R27-171</t>
  </si>
  <si>
    <t>IIT</t>
  </si>
  <si>
    <t>G. Fu</t>
  </si>
  <si>
    <t>Roadway Lighting's Impact on Altering Soybean Growth</t>
  </si>
  <si>
    <t>R27-172</t>
  </si>
  <si>
    <t>VTTI</t>
  </si>
  <si>
    <t>R. Gibbons</t>
  </si>
  <si>
    <t>R27-177</t>
  </si>
  <si>
    <t>Project Number:</t>
  </si>
  <si>
    <t>Sub</t>
  </si>
  <si>
    <t>FY2018</t>
  </si>
  <si>
    <t>FY2019</t>
  </si>
  <si>
    <t>FY2020</t>
  </si>
  <si>
    <t>Invoices Received</t>
  </si>
  <si>
    <t>FY20 Total</t>
  </si>
  <si>
    <t>FY21 Total</t>
  </si>
  <si>
    <t>A. Mohammadian (UIC)</t>
  </si>
  <si>
    <t>Subtotal - UIC and UIS Projects</t>
  </si>
  <si>
    <t>TOTAL OUTSOURCED</t>
  </si>
  <si>
    <t>FY18 
IDOT Share</t>
  </si>
  <si>
    <t>FY18 
Cost Share</t>
  </si>
  <si>
    <t>FY19 
IDOT Share</t>
  </si>
  <si>
    <t>FY19 
Cost Share</t>
  </si>
  <si>
    <t>FY20 
IDOT Share</t>
  </si>
  <si>
    <t>FY20 
Cost Share</t>
  </si>
  <si>
    <t>FY21 
IDOT Share</t>
  </si>
  <si>
    <t>FY21 
Cost Share</t>
  </si>
  <si>
    <t>Grant Code</t>
  </si>
  <si>
    <t>D5825</t>
  </si>
  <si>
    <t>Iowa State</t>
  </si>
  <si>
    <t>IDOT Sub Admin Cost</t>
  </si>
  <si>
    <t>FY18 
Sub Admin Cost</t>
  </si>
  <si>
    <t>FY21
Sub Admin Cost</t>
  </si>
  <si>
    <t>FY20 
Sub Admin Cost</t>
  </si>
  <si>
    <t>FY19 
Sub Admin Cost</t>
  </si>
  <si>
    <t>087795-16716</t>
  </si>
  <si>
    <t>D5819</t>
  </si>
  <si>
    <t>D5820</t>
  </si>
  <si>
    <t>087795-16577</t>
  </si>
  <si>
    <t>087795-16709</t>
  </si>
  <si>
    <t>D5868</t>
  </si>
  <si>
    <t>087795-16733</t>
  </si>
  <si>
    <t>D5818</t>
  </si>
  <si>
    <t>D5827</t>
  </si>
  <si>
    <t>D5864</t>
  </si>
  <si>
    <t>087795-16683</t>
  </si>
  <si>
    <t>087795-16664</t>
  </si>
  <si>
    <t>087795-16652</t>
  </si>
  <si>
    <t>D5826</t>
  </si>
  <si>
    <t>087795-16633</t>
  </si>
  <si>
    <t>D5828</t>
  </si>
  <si>
    <t>087795-16653</t>
  </si>
  <si>
    <t>D5863</t>
  </si>
  <si>
    <t>R27-178-2</t>
  </si>
  <si>
    <t>R27-179</t>
  </si>
  <si>
    <t>R27-181</t>
  </si>
  <si>
    <t>R27-183</t>
  </si>
  <si>
    <t>R27-187</t>
  </si>
  <si>
    <t>R27-SP36</t>
  </si>
  <si>
    <t>D5833</t>
  </si>
  <si>
    <t>D5821</t>
  </si>
  <si>
    <t>D5823</t>
  </si>
  <si>
    <t>D5811</t>
  </si>
  <si>
    <t>D5822</t>
  </si>
  <si>
    <t>D5782</t>
  </si>
  <si>
    <t>D5783</t>
  </si>
  <si>
    <t>D5824</t>
  </si>
  <si>
    <t>University of Delaware</t>
  </si>
  <si>
    <t>Saint Louis University</t>
  </si>
  <si>
    <t>Oklahoma State University</t>
  </si>
  <si>
    <t>US Geological Survey</t>
  </si>
  <si>
    <t>EZ Engineering Solutions</t>
  </si>
  <si>
    <t>087795-16576</t>
  </si>
  <si>
    <t>087795-16556</t>
  </si>
  <si>
    <t>087795-16630</t>
  </si>
  <si>
    <t>087795-16567</t>
  </si>
  <si>
    <t>087795-16530</t>
  </si>
  <si>
    <t>Bridge Decks:  Mitigation of Shrinkage Cracking Phase III</t>
  </si>
  <si>
    <t>P. Mondal</t>
  </si>
  <si>
    <t>R27-178-1A</t>
  </si>
  <si>
    <t>Effectiveness of Exterior Beam Rotation Prevention Systems for Bridge Deck Construction - Phase II</t>
  </si>
  <si>
    <t>R. Hindi</t>
  </si>
  <si>
    <t>PCC Pavement Mixes with High Cement Replacement Rates</t>
  </si>
  <si>
    <t>R27-180B</t>
  </si>
  <si>
    <t>Updated and Unified StreamStats Peak Flood Discharges for Streams of Illinois</t>
  </si>
  <si>
    <t>T. Ley</t>
  </si>
  <si>
    <t>T. Over &amp; D. Soong</t>
  </si>
  <si>
    <t>Evaluation of On-site and In-situ Treatment Alternatives for Contaminated Soils</t>
  </si>
  <si>
    <t>A. Hohner</t>
  </si>
  <si>
    <t>Pavement Surface Treatments for Ice-Prone Locations in Illinois Highway System</t>
  </si>
  <si>
    <t>Modified Micro-Deval Procedure for Polishing of Fine Asphalt Mix Aggregates</t>
  </si>
  <si>
    <t>Z. Eluri</t>
  </si>
  <si>
    <t>R27-186</t>
  </si>
  <si>
    <t>Work Zone Fatality and A-Injury Crashes "Density" and/or "Exposure" Quantification</t>
  </si>
  <si>
    <t>D5817</t>
  </si>
  <si>
    <t>087795-16777</t>
  </si>
  <si>
    <t>K. Schatter</t>
  </si>
  <si>
    <t>R27-188</t>
  </si>
  <si>
    <t>Evaluating the Accuracy and Use of Drilled Shaft Integrity Testing Methods in Illinois</t>
  </si>
  <si>
    <t>A. Osouli</t>
  </si>
  <si>
    <t>Final Invoice Received for 7.6.17-12.31.17 - $1,920</t>
  </si>
  <si>
    <t>Received 1 invoice: #1 for 7.6.17-10.31.17 $9,000</t>
  </si>
  <si>
    <t>087795-16838</t>
  </si>
  <si>
    <t>D5781</t>
  </si>
  <si>
    <t>087795-16837</t>
  </si>
  <si>
    <t>087795-16651</t>
  </si>
  <si>
    <t>Grant Contacts</t>
  </si>
  <si>
    <t>Organization</t>
  </si>
  <si>
    <t>Official Signee</t>
  </si>
  <si>
    <t>Title</t>
  </si>
  <si>
    <t>Last Name</t>
  </si>
  <si>
    <t>First Name</t>
  </si>
  <si>
    <t>Address</t>
  </si>
  <si>
    <t>City</t>
  </si>
  <si>
    <t>State</t>
  </si>
  <si>
    <t>Zip</t>
  </si>
  <si>
    <t>Phone</t>
  </si>
  <si>
    <t>Email</t>
  </si>
  <si>
    <t>Fax</t>
  </si>
  <si>
    <t>Date Modified</t>
  </si>
  <si>
    <t xml:space="preserve">ARA. Inc. </t>
  </si>
  <si>
    <t>No</t>
  </si>
  <si>
    <t>Dwyer</t>
  </si>
  <si>
    <t>Carmine</t>
  </si>
  <si>
    <t xml:space="preserve">100 Trade Centre Dr., Suite 200 </t>
  </si>
  <si>
    <t>Champaign</t>
  </si>
  <si>
    <t xml:space="preserve">IL </t>
  </si>
  <si>
    <t>217-356-4500</t>
  </si>
  <si>
    <t>cdwyer@ara.com</t>
  </si>
  <si>
    <t>217-356-3088</t>
  </si>
  <si>
    <t>Auburn University</t>
  </si>
  <si>
    <t>Tolbert</t>
  </si>
  <si>
    <t>Joanne</t>
  </si>
  <si>
    <t>Shelby Center for Engineering Technology, Suite 1310G</t>
  </si>
  <si>
    <t>Auburn</t>
  </si>
  <si>
    <t>AL</t>
  </si>
  <si>
    <t>334-844-2297</t>
  </si>
  <si>
    <t>tolbej1@auburn.edu</t>
  </si>
  <si>
    <t>334-844-2672</t>
  </si>
  <si>
    <t>Bradley University (BU)</t>
  </si>
  <si>
    <t>Kenny</t>
  </si>
  <si>
    <t>Terrance</t>
  </si>
  <si>
    <t>1501 West Bradley Avenue</t>
  </si>
  <si>
    <t>Peoria</t>
  </si>
  <si>
    <t>IL</t>
  </si>
  <si>
    <t>tkenny@fsmail.bradley.edu</t>
  </si>
  <si>
    <t>N/A</t>
  </si>
  <si>
    <t>Brigham Young University (BYU)</t>
  </si>
  <si>
    <t>Silversmith</t>
  </si>
  <si>
    <t>Debbie</t>
  </si>
  <si>
    <t>A-285 Abraham Smoot Admin Building</t>
  </si>
  <si>
    <t>Provo</t>
  </si>
  <si>
    <t>UT</t>
  </si>
  <si>
    <t>801-422-2970</t>
  </si>
  <si>
    <t>deborah_silversmith@byu.edu</t>
  </si>
  <si>
    <t>801-422-0620</t>
  </si>
  <si>
    <t>Yes</t>
  </si>
  <si>
    <t>Harker</t>
  </si>
  <si>
    <t>Alan</t>
  </si>
  <si>
    <t>California State University, Los Angeles</t>
  </si>
  <si>
    <t>Executive Director</t>
  </si>
  <si>
    <t>Sahagun</t>
  </si>
  <si>
    <t>Alma</t>
  </si>
  <si>
    <t>5151 State University Drive, GE 314</t>
  </si>
  <si>
    <t>Los Angeles</t>
  </si>
  <si>
    <t>CA</t>
  </si>
  <si>
    <t>323-343-3648</t>
  </si>
  <si>
    <t>asahag@cslanet.calstatela.edu</t>
  </si>
  <si>
    <t>323-343-6430</t>
  </si>
  <si>
    <t>ERDC-CERL</t>
  </si>
  <si>
    <t>Adiguzel</t>
  </si>
  <si>
    <t>Ilker</t>
  </si>
  <si>
    <t>Eres Interational, Inc. D/B/A Engineering &amp; Research Int'l, Inc. (ERI)</t>
  </si>
  <si>
    <t>President</t>
  </si>
  <si>
    <t>Butt</t>
  </si>
  <si>
    <t>Abbas</t>
  </si>
  <si>
    <t>1401 Regency Drive East</t>
  </si>
  <si>
    <t>Savoy</t>
  </si>
  <si>
    <t>217-356-5945</t>
  </si>
  <si>
    <t>eri@erikaub.com</t>
  </si>
  <si>
    <t>217-356-6347</t>
  </si>
  <si>
    <t>Heritage Research Group</t>
  </si>
  <si>
    <t>Kriech</t>
  </si>
  <si>
    <t>Anthony</t>
  </si>
  <si>
    <t xml:space="preserve">7901 W. Morris St. </t>
  </si>
  <si>
    <t>Indianapolis</t>
  </si>
  <si>
    <t>IN</t>
  </si>
  <si>
    <t>317-390-3137</t>
  </si>
  <si>
    <t>Tony.Kriech@heritage-enviro.com</t>
  </si>
  <si>
    <t>317-486-2985</t>
  </si>
  <si>
    <t>Illinois Institute of Technology (IIT)</t>
  </si>
  <si>
    <t>10 W. 35th Street, Suite 7D7-1</t>
  </si>
  <si>
    <t>Chicago</t>
  </si>
  <si>
    <t>312-567-6980</t>
  </si>
  <si>
    <t>Iowa State University (IASU)</t>
  </si>
  <si>
    <t>John</t>
  </si>
  <si>
    <t>Ames</t>
  </si>
  <si>
    <t>IA</t>
  </si>
  <si>
    <t>Missouri State University (MSU)</t>
  </si>
  <si>
    <t>Ailor</t>
  </si>
  <si>
    <t>Shannon</t>
  </si>
  <si>
    <t>901 S. National/Carrington 407</t>
  </si>
  <si>
    <t>Springfield</t>
  </si>
  <si>
    <t>MO</t>
  </si>
  <si>
    <t>417-836-4638</t>
  </si>
  <si>
    <t>ShannonAilor@missouristate.edu</t>
  </si>
  <si>
    <t>Murphy Pavement Technology, Inc. (MPT)</t>
  </si>
  <si>
    <t>Murphy</t>
  </si>
  <si>
    <t>Timothy</t>
  </si>
  <si>
    <t>7649 South State Street</t>
  </si>
  <si>
    <t>773-874-9800</t>
  </si>
  <si>
    <t>tmurphy@murphypavetech.com</t>
  </si>
  <si>
    <t>Northwestern University</t>
  </si>
  <si>
    <t>Associate Director, Office for Sponsored Programs</t>
  </si>
  <si>
    <t>Lindley</t>
  </si>
  <si>
    <t>Laura</t>
  </si>
  <si>
    <t>Rebecca Crown Center, 633 Clark Street, Suite 2-502</t>
  </si>
  <si>
    <t>Evanston</t>
  </si>
  <si>
    <t>847-491-3003</t>
  </si>
  <si>
    <t>osr-evanston@northwestern.edu</t>
  </si>
  <si>
    <t>847-491-4800</t>
  </si>
  <si>
    <t>Rutgers University (RU)</t>
  </si>
  <si>
    <t>Maghami</t>
  </si>
  <si>
    <t>Mojgan</t>
  </si>
  <si>
    <t>ASB III, 3 Rutgers Plaza</t>
  </si>
  <si>
    <t>New Brunswick</t>
  </si>
  <si>
    <t>NJ</t>
  </si>
  <si>
    <t>848-932-4042</t>
  </si>
  <si>
    <t>mojgan.maghami@rutgers.edu</t>
  </si>
  <si>
    <t>732-932-0162</t>
  </si>
  <si>
    <t>Southern Illinois University Edwardsville (SIUE)</t>
  </si>
  <si>
    <t>Grants &amp; Contracts Associate, Office of Research and Projects</t>
  </si>
  <si>
    <t>Smart</t>
  </si>
  <si>
    <t>Tammy L</t>
  </si>
  <si>
    <t>Campus Box 1046</t>
  </si>
  <si>
    <t>Edwardsville</t>
  </si>
  <si>
    <t>618-650-5364</t>
  </si>
  <si>
    <t>thornbe@siue.edu</t>
  </si>
  <si>
    <t>618-650-3523</t>
  </si>
  <si>
    <t>St. Louis University (SLU)</t>
  </si>
  <si>
    <t>St. Louis</t>
  </si>
  <si>
    <t>grants@slu.edu</t>
  </si>
  <si>
    <t>Temple University (TU)</t>
  </si>
  <si>
    <t>Senior Grants and Contracts Specialist</t>
  </si>
  <si>
    <t>Penner</t>
  </si>
  <si>
    <t>3340 North Broad Street</t>
  </si>
  <si>
    <t xml:space="preserve">Philadelphia </t>
  </si>
  <si>
    <t>PA</t>
  </si>
  <si>
    <t>215-707-3887</t>
  </si>
  <si>
    <t>tuf81570@temple.edu</t>
  </si>
  <si>
    <t>215-707-8387</t>
  </si>
  <si>
    <t>TERRA</t>
  </si>
  <si>
    <t>?</t>
  </si>
  <si>
    <t>Bell</t>
  </si>
  <si>
    <t>Don</t>
  </si>
  <si>
    <t>401 Main Street, Suite 1130</t>
  </si>
  <si>
    <t>309-999-0123</t>
  </si>
  <si>
    <t>dbell@terraengineering.com</t>
  </si>
  <si>
    <t xml:space="preserve">? </t>
  </si>
  <si>
    <t>Lim</t>
  </si>
  <si>
    <t>Evelyn</t>
  </si>
  <si>
    <t>225 W. Ohio Street, 4th Floor</t>
  </si>
  <si>
    <t>312-467-0123x235</t>
  </si>
  <si>
    <t>elim@terraengineering.com</t>
  </si>
  <si>
    <t>Sr. Contract &amp; Grants Specialist</t>
  </si>
  <si>
    <t>Brown</t>
  </si>
  <si>
    <t>Katie</t>
  </si>
  <si>
    <t>210 Hullihen Hall</t>
  </si>
  <si>
    <t>Newark</t>
  </si>
  <si>
    <t>DE</t>
  </si>
  <si>
    <t>302-831-6925</t>
  </si>
  <si>
    <t>brownkt@udel.edu</t>
  </si>
  <si>
    <t>302-831-2828</t>
  </si>
  <si>
    <t>University of Iowa</t>
  </si>
  <si>
    <t>Director of Sponsored Programs</t>
  </si>
  <si>
    <t>Lassner</t>
  </si>
  <si>
    <t>Jennifer</t>
  </si>
  <si>
    <t>2 Gilmore Hall</t>
  </si>
  <si>
    <t>Iowa City</t>
  </si>
  <si>
    <t>319-335-2123</t>
  </si>
  <si>
    <t>dsp@uiowa.edu</t>
  </si>
  <si>
    <t>319-335-2130</t>
  </si>
  <si>
    <t>University of Southern Indiana (USI)</t>
  </si>
  <si>
    <t xml:space="preserve">Grant Administrator </t>
  </si>
  <si>
    <t>Lynn</t>
  </si>
  <si>
    <t>Emily</t>
  </si>
  <si>
    <t xml:space="preserve">8600 University Blvd. </t>
  </si>
  <si>
    <t>Evansville</t>
  </si>
  <si>
    <t>812-465-1126</t>
  </si>
  <si>
    <t>eslynn@usi.edu</t>
  </si>
  <si>
    <t>Exec. Dir., Office of Sponsored Programs &amp; Research Admin</t>
  </si>
  <si>
    <t>Draughon</t>
  </si>
  <si>
    <t>Katherine</t>
  </si>
  <si>
    <t>812-464-1956</t>
  </si>
  <si>
    <t>University of Texas Pan-American (UTPA)</t>
  </si>
  <si>
    <t>Interim Director of Sponsored Programs</t>
  </si>
  <si>
    <t>Cass</t>
  </si>
  <si>
    <t>Tony</t>
  </si>
  <si>
    <t>Research and Innovation Building, ASB 1.111 H</t>
  </si>
  <si>
    <t>Edinburg</t>
  </si>
  <si>
    <t>TX</t>
  </si>
  <si>
    <t>965-665-7179</t>
  </si>
  <si>
    <t>casas@utpa.edu</t>
  </si>
  <si>
    <t>965-665-2940</t>
  </si>
  <si>
    <t>USGS - Illinois Water Science Center</t>
  </si>
  <si>
    <t>Urbana</t>
  </si>
  <si>
    <t>217-328-9770</t>
  </si>
  <si>
    <t>Virginia Tech. Transportation Institute (VTTI)</t>
  </si>
  <si>
    <t>North End Center, Suite 4200, 300 Turner Street NW</t>
  </si>
  <si>
    <t>Blacksburg</t>
  </si>
  <si>
    <t>VA</t>
  </si>
  <si>
    <t>Pullman</t>
  </si>
  <si>
    <t>WA</t>
  </si>
  <si>
    <t>Washington State University (WSU)</t>
  </si>
  <si>
    <t>Senior Engineer</t>
  </si>
  <si>
    <t>ACTIVE</t>
  </si>
  <si>
    <t>OLD</t>
  </si>
  <si>
    <t>309-677-3490</t>
  </si>
  <si>
    <t>Grants Finance Manager</t>
  </si>
  <si>
    <t>Deputy Director</t>
  </si>
  <si>
    <t>Lapointe</t>
  </si>
  <si>
    <t>Robert</t>
  </si>
  <si>
    <t>312-567-7135</t>
  </si>
  <si>
    <t>lapointe@iit.edu</t>
  </si>
  <si>
    <t>Assistant to the Director</t>
  </si>
  <si>
    <t>Thomas</t>
  </si>
  <si>
    <t>Judy</t>
  </si>
  <si>
    <t>2711 S. Loop Drive, Suite 4700</t>
  </si>
  <si>
    <t>515-294-1866</t>
  </si>
  <si>
    <t>jathomas@iastate.edu</t>
  </si>
  <si>
    <t>Schlueter</t>
  </si>
  <si>
    <t>Courtney</t>
  </si>
  <si>
    <t>314-977-7022</t>
  </si>
  <si>
    <t>n/a</t>
  </si>
  <si>
    <t>Grants Administrator</t>
  </si>
  <si>
    <t>Fusz Memorial Hall, 3700 West Pine Mall</t>
  </si>
  <si>
    <t>Administrative Officer</t>
  </si>
  <si>
    <t>Welborn</t>
  </si>
  <si>
    <t>Kelly</t>
  </si>
  <si>
    <t>405 N. Goodwin Ave.</t>
  </si>
  <si>
    <t>217-328-9740</t>
  </si>
  <si>
    <t>kwelborn@usgs.gov</t>
  </si>
  <si>
    <t>Contracts and Proposal Development Coordinator</t>
  </si>
  <si>
    <t>Mwinyi</t>
  </si>
  <si>
    <t>Mwanasera</t>
  </si>
  <si>
    <t>540-231-5782</t>
  </si>
  <si>
    <t>mwanas3@vt.edu</t>
  </si>
  <si>
    <t>Grant and Contract Coordinator</t>
  </si>
  <si>
    <t>Michener</t>
  </si>
  <si>
    <t>Matthew</t>
  </si>
  <si>
    <t xml:space="preserve">1815 Wilson Rd. </t>
  </si>
  <si>
    <t>509-335-7065</t>
  </si>
  <si>
    <t>Oklahoma state University (OK State)</t>
  </si>
  <si>
    <t>Grant Manager</t>
  </si>
  <si>
    <t>Riggs</t>
  </si>
  <si>
    <t>Mitzi</t>
  </si>
  <si>
    <t>201 Advanced Technology Research Center</t>
  </si>
  <si>
    <t>Stillwater</t>
  </si>
  <si>
    <t>OK</t>
  </si>
  <si>
    <t>405-744-6562</t>
  </si>
  <si>
    <t>mitzi.riggs@okstate.edu</t>
  </si>
  <si>
    <t>405-744-3189</t>
  </si>
  <si>
    <t>Eluri</t>
  </si>
  <si>
    <t>Zina</t>
  </si>
  <si>
    <t>Owner</t>
  </si>
  <si>
    <t>204 Muscovy Ln.</t>
  </si>
  <si>
    <t>Cedar Park</t>
  </si>
  <si>
    <t>608-772-6028</t>
  </si>
  <si>
    <t>zeluri@ezengsolutions.com</t>
  </si>
  <si>
    <t xml:space="preserve">FY18 Subaward Letter Sent </t>
  </si>
  <si>
    <t>4/4/18 arw</t>
  </si>
  <si>
    <t>FY18 Subaward Letter Rcvd</t>
  </si>
  <si>
    <t>4/5/18</t>
  </si>
  <si>
    <t>4/10/18</t>
  </si>
  <si>
    <t>4/9/18</t>
  </si>
  <si>
    <t>4/13/18</t>
  </si>
  <si>
    <t>pend idot</t>
  </si>
  <si>
    <t>per 4/16 email should have by 4/18</t>
  </si>
  <si>
    <t>087795-16665</t>
  </si>
  <si>
    <t>R27-192</t>
  </si>
  <si>
    <t>PS. Sriraj (UIC)</t>
  </si>
  <si>
    <t>R27-191</t>
  </si>
  <si>
    <t>Evaluating the Costs &amp; Benefits of Snow Fences in Illinois (Phase 2)</t>
  </si>
  <si>
    <t xml:space="preserve">Y. Qi  </t>
  </si>
  <si>
    <t>D5784</t>
  </si>
  <si>
    <t>087795-16843</t>
  </si>
  <si>
    <t>087795-16578</t>
  </si>
  <si>
    <t>Received 5 invoices: #1 for 9.1.17-12.31.17 $8,040; #2 for 1.1.18-1.31.18 $3,040; #3 for 2.1.18-2.28.18 $3,040; #4 for 3.1.18-3.31.18 $3,200; #5-FINAL for 4.1.18-5.16.18 $680.</t>
  </si>
  <si>
    <t xml:space="preserve">Received 3 invoices: #1 for 7.6.17-1.31.17 $18,030.23; #2 for 2.1.18-2.28.18 for $685.21; #3 for 3.1.18-3.31.18 $950.86; </t>
  </si>
  <si>
    <t>Received 1 invoice: #1-FINAL for 7.6.17-8.15.17</t>
  </si>
  <si>
    <t>087795-16982</t>
  </si>
  <si>
    <t>R27-201</t>
  </si>
  <si>
    <t>Motor Vehicle Crashes Among Older Population</t>
  </si>
  <si>
    <t>Y.Qi</t>
  </si>
  <si>
    <t>D5785</t>
  </si>
  <si>
    <t>R27-199</t>
  </si>
  <si>
    <t>Optimizing the Benefits of Smoother Roads against the Increased Costs to Build Them</t>
  </si>
  <si>
    <t>087795-17085</t>
  </si>
  <si>
    <t>D5786</t>
  </si>
  <si>
    <t>ARA</t>
  </si>
  <si>
    <t>H. Lee</t>
  </si>
  <si>
    <t>R27-183-HS</t>
  </si>
  <si>
    <t>R27-202</t>
  </si>
  <si>
    <t>Roadway Lighting's Effect on Pedestrian Safety at Intersection and Midblock Crosswalks</t>
  </si>
  <si>
    <t>Bhagavathula</t>
  </si>
  <si>
    <t>D5787</t>
  </si>
  <si>
    <t>087795-17058</t>
  </si>
  <si>
    <t>Received 6 invoice: #1 for 7.6.17-2.28.18 $13,986.37; #2 for 3.1.18-3.31.18 $14,012.63; #3 for 4.1.18-5.31.18 $7,397.08; 6.1.18-6.30.18 $7,702.01; 7.1.18-7.31.18 $578; #6-FINAL for 8.1.18-9.30.18 for $290.91</t>
  </si>
  <si>
    <t>R27-195</t>
  </si>
  <si>
    <t>087795-17131</t>
  </si>
  <si>
    <t>Received 2 invoice: #1 for 1.1.18-6.30.18 $2,880; #2 for 7.1.18-12.31.18 $3,840</t>
  </si>
  <si>
    <t>Received 8 invoices: #1 for 2.1.18-3.31.18 $49.44; #2 for 4.1.18-4.30.18 $170.21: #3 for 5.1.18-5.31.18 $1,675.01; #4 for 6.1.18-6.30.18 $6,733.04; #5 for 7.1.18-8.31.18 $4,049.65; #6 for 9.1.18-9.30.18 $7,546.57; #7 for 10.1.18-10.31.18 $9,830.38; #8-FINAL for 11.1.18 - 12.31.18$3,968.65</t>
  </si>
  <si>
    <t>Received 5 invoice: #1 for 7.6.17-2.28.18 $38,490.20; #2 for 3.1.18-3.31.18 $289.23; #3 for 4.1.18-4.30.18 $16,204.34; #4 for 5.1.18-8.31.18 $71,141.77; #5 FINAL for 9.1.18-2.28.19 $27,024.46</t>
  </si>
  <si>
    <t>R27-SP40</t>
  </si>
  <si>
    <t>Literature Review on Distractged Driving in Illinois</t>
  </si>
  <si>
    <t>087795-17355</t>
  </si>
  <si>
    <t>D5788</t>
  </si>
  <si>
    <t>Y. Qi</t>
  </si>
  <si>
    <t>Received 13 invoices: #1 for 7.6.17-5.31.18 $14,097.55; #2 for 6.1.18-7.31.18 $2,973.02; #3 fpr 8.1.18-8.31.18 $536.66; #4 for 9.1.18-9.30.18 $3,847.22; #5 for 10.1.18-10.31.18 $11,403.95; #6 for 11.1.18-11.30.18 $5,894.99; #7 for 12.1.18-12.31.18 $12,956.24; #8 for 1.1.19-1.31.19 $5,895.00; #9 for 2.1.19-2.28.19 $1,008.75; #10 for 3.1.19-3.31.19 $3,065.54; #11 for 4.1.19-4.30.19 $11,990.63; #12 for 5.1.19-5.31.19 $13,829.07; #13 - FINAL for 6.1.19-6.30.19 $21,126.93</t>
  </si>
  <si>
    <t>Received 7 invoice: #1 for 7.6.17-12.31.17 $16,643.97; #2 fpr 1.1.18-3.31.18 $8,549.40; #3 for 4.1.18-6.30.18 $8,296.48; #4 for 7.1.18-9.30.18 $13,347.30; #5 for 10.1.18-12.31.18 $5,585.30; #6 for 1.1.19-3.31.19 $9,528.74; #7- FINAL for 4.1.19-6.30.19 $12,021.20</t>
  </si>
  <si>
    <t>Measuring Transport Properties of Portland Cement Concrete Using Electrical Resistivity</t>
  </si>
  <si>
    <t>D5789</t>
  </si>
  <si>
    <t>J. Hartell</t>
  </si>
  <si>
    <t>Arizona State University</t>
  </si>
  <si>
    <t>R27-204</t>
  </si>
  <si>
    <t>Optimized Hot-Mix Asphalt (HMA) Lift Configuration for Performance</t>
  </si>
  <si>
    <t>R27-206</t>
  </si>
  <si>
    <t>D5790</t>
  </si>
  <si>
    <t>Evaluation of Roadway High Mast Tower Lighting</t>
  </si>
  <si>
    <t>R27-207B</t>
  </si>
  <si>
    <t>R27-204B</t>
  </si>
  <si>
    <t>Technical and Financial Feasibility Study for Installation of Solar Panels at IDOT Owned Facilities</t>
  </si>
  <si>
    <t>360 Energy Group</t>
  </si>
  <si>
    <t>W. El-Sharif</t>
  </si>
  <si>
    <t>Georgia Institute of Technology</t>
  </si>
  <si>
    <t>R27-210</t>
  </si>
  <si>
    <t>Cone Penetration Testing (CPT) for Illinois Subsurface Characterization and Geotechnical Design</t>
  </si>
  <si>
    <t>D5791</t>
  </si>
  <si>
    <t>D5543</t>
  </si>
  <si>
    <t>Arizona State</t>
  </si>
  <si>
    <t>H. Ozer</t>
  </si>
  <si>
    <t>D5541</t>
  </si>
  <si>
    <t>R27-SP41</t>
  </si>
  <si>
    <t>Small Cell Installation in Transportation Infrastructure - A Literature Review</t>
  </si>
  <si>
    <t>D5533</t>
  </si>
  <si>
    <t>orso@wsu.edu</t>
  </si>
  <si>
    <t>087795-17583</t>
  </si>
  <si>
    <t>FY22 
IDOT Share</t>
  </si>
  <si>
    <t>FY22
Sub Admin Cost</t>
  </si>
  <si>
    <t>FY22
Cost Share</t>
  </si>
  <si>
    <t>FY22 Total</t>
  </si>
  <si>
    <t>FY23
IDOT Share</t>
  </si>
  <si>
    <t>FY23
Sub Admin Cost</t>
  </si>
  <si>
    <t>FY23
Cost Share</t>
  </si>
  <si>
    <t>FY23 Total</t>
  </si>
  <si>
    <t>087795-17545</t>
  </si>
  <si>
    <t>Gates</t>
  </si>
  <si>
    <t>Sarah</t>
  </si>
  <si>
    <t>kitka@asu.edu</t>
  </si>
  <si>
    <t>480-727-3745</t>
  </si>
  <si>
    <t>087795-17550</t>
  </si>
  <si>
    <t>Received 20 invoices: #1 for 9.15.17-2.28.18 $11,265.37; #2 for 3.1.18-3.31.18 $6,889.67; #3 for 4.1.18-4.30.18 $2,400; #4 fpr 5.1.18-5.31.18 $8,861.23; #5 for 6.1.18-6.30.18 $10,188.16; #6 for 7.1.18-7.31.18 $11,781.11; #7 for 8.1.18-8.31.18 $14,811.83; #9 for 9.1.18-9.30.18 $4,057.35; #8 for 11.1.18-11.30.18 for $3,049.97; #9 for 10.1.18-10.31.18 $4,631.24; #10 for 11.1.18-11.30.18 $3,108.35; #11 for 12.1.18-12.31.18 $3,088.85; #12 for 1.1.19-1.31.19 $4,902; #13 for 2.1.19-2.28.19 #2,400; #14 for 3.1.19-3.31.19 #2,400; #15 for 4.1.19-4.30.19 $2,400: #16 for 5.1.19-5.31.19 $2,400: #17 for 6.1.19-6.30.19 $4,442.43; #18 for 7.1.19-7.31.19 $19,780.58; #19 for 8.1.19-8.31.19 $9,983.51; #20 for 9.1.19-9.15.19 $21,882.93</t>
  </si>
  <si>
    <t>087795-17551</t>
  </si>
  <si>
    <t>Received 17 invoice: #1 for 7.6.17-2.28.147 $34,645.92; #2 for 3.1.18-4.30.18 $4,426; #3 5.1.18-6.30.18 $6,663.60; #4 for 7.1.18-9.30.18 $5,243.37; #5 for 10.1.18-10.31.18 $7,927.96; #6 for 11.1.18-12.31.18 $7,130.24; #7 for 1.1.19-1.31.19 $3,500.92; #8 for 2.1.19-2.28.19 $5,728.02; #9 for 3.1.19-3.31.19 $6,205.83; #10 for 4.1.19-4.30.19 $22,790.90: #11 for 5.1.19-5.31.19 $11,141.58; #12 for 6.1.19-6.30.19 $6,440.25; #13 for 7.1.19-7.31.19 $8,.397.73; #14 for 8.1.19-8.31.19 $7,593.81; #15 for 9.1.19-9.30.19 $17,323.02; #16 10.1.19-10.31.19 $11,726.49; #17 for 11.1.19-11.30.19 $22,976.86</t>
  </si>
  <si>
    <t>087795-17555</t>
  </si>
  <si>
    <t>087795-17705</t>
  </si>
  <si>
    <t>Received 3 invoice: #1 for 9.1.19 to 9.30.19 $819; #2 10.1.19-12.31.19 $22,503.17; #3 1.1.20-1.31.20 $3,676.30</t>
  </si>
  <si>
    <t>Received 9 invoice: #1 for 2.1.18-3.31.18 $4,820.25; #2 for 4.1.18-6.30.18 $11,729.99; #3 for 7.1.18-9.30.18 $33,984.56; #4 for 10.1.18-12.31.18 $8,747.99; #5 for 1.1.19-3.31.19 $34,532.70; #6 for 4.1.19-6.30.19 $25,542.36; #7 for 7.1.19 -9.30.19 $44,553.09; #8 10.1.19-12.31.19 $15,231.22; #9 1.1.20-1.31.20 $6,741.70</t>
  </si>
  <si>
    <t>R27-215</t>
  </si>
  <si>
    <t>R27-218</t>
  </si>
  <si>
    <t>Total</t>
  </si>
  <si>
    <t>Received 7 invoice: #1 for 7.1.19-7.31.19 $626.36; #2 for 8.1.19-8.31.19 $762.14; #3 for 9.1.19-9.30.19 $2,775.05; #4 10.1.19-10.31.19 $5,312.54; #5 11.1.19-11.30.19 $2,952.40; #6 12.1.19-12.31.19 $1,804.59; #7 1.1.20-4.30.20 $12,762.69</t>
  </si>
  <si>
    <t>pamela.ware@osp.gatechn.edu</t>
  </si>
  <si>
    <t>Pamela</t>
  </si>
  <si>
    <t>Ware</t>
  </si>
  <si>
    <t xml:space="preserve">Received 4 invoices: #! 8.16.19-1.31.20 $1,631.82; #2 2.1.20-2.29.20 $4,486.34; #3 3.1.20-3.31.20 $7,098.53; #4 4.1.20 - 6.30.20 $38,259.07 </t>
  </si>
  <si>
    <t>R27-208A</t>
  </si>
  <si>
    <t>R27-208B</t>
  </si>
  <si>
    <t>D5377</t>
  </si>
  <si>
    <t xml:space="preserve">Texas A&amp;M Transportation Institute </t>
  </si>
  <si>
    <t>R27-223</t>
  </si>
  <si>
    <t>Crash Modification Factors (CMFs) for Contrast Pavement Marking on Light- Colored Pavement</t>
  </si>
  <si>
    <t>087795-17958</t>
  </si>
  <si>
    <t>D5536</t>
  </si>
  <si>
    <t>Indiana State University</t>
  </si>
  <si>
    <t>M. Williamson</t>
  </si>
  <si>
    <t>R27-219</t>
  </si>
  <si>
    <t>R27-221</t>
  </si>
  <si>
    <t>Influence of Field-Curing Conditions on Strength of Concrete Test Specimens</t>
  </si>
  <si>
    <t>Chip-Seal Quality Assurance Using Percent Embedment</t>
  </si>
  <si>
    <t>Evaluating IDOT's Community Impact Assessment Manual to Determine Socioeconomic Impacts of Projects</t>
  </si>
  <si>
    <t>R27-222B</t>
  </si>
  <si>
    <t>R27-222C</t>
  </si>
  <si>
    <t>D5376</t>
  </si>
  <si>
    <t>D5534</t>
  </si>
  <si>
    <t>D5535</t>
  </si>
  <si>
    <t>Illinois State University</t>
  </si>
  <si>
    <t>UC Davis</t>
  </si>
  <si>
    <t>Center for Neighborhood Technology</t>
  </si>
  <si>
    <t>P. Solanki</t>
  </si>
  <si>
    <t>A. Alhasan</t>
  </si>
  <si>
    <t>J.Barajas</t>
  </si>
  <si>
    <t>H. Persaud</t>
  </si>
  <si>
    <t>R27-220</t>
  </si>
  <si>
    <t>Developing Scour-Depth Estimation Using the In-Situ Scour Testing Device (ISTD) for Illinois Cohesive Soils</t>
  </si>
  <si>
    <t>D5537</t>
  </si>
  <si>
    <t>087795-17963</t>
  </si>
  <si>
    <t>087795-17989</t>
  </si>
  <si>
    <t>087795-17959</t>
  </si>
  <si>
    <t>087795-18073</t>
  </si>
  <si>
    <t>087795-18039</t>
  </si>
  <si>
    <t>R27-SP46</t>
  </si>
  <si>
    <t>Bridge Deterioration and Preservation Model Refinement/Development</t>
  </si>
  <si>
    <t>Received 8 invoices: #1 for 8.16.19-6.30.19 $19,047.54; #2 for 7.1.19-8.31.19 $1,376.22; #3 9.1.19 - 10.31.19 $19,744.49; #4 11.1.19-12.31.19 $2,585.64; #5 1.1.20 - 4.30.20 $293.09; #6 5.1.20 - 6.30.20 $16,846.27; #7 7.1.20-8.31.20 $1,765.68; #8 FINAL - 9.1.20-10.15.20 $8,894.14</t>
  </si>
  <si>
    <t>Received 21 invoice: #1 for 8.16.18-9.30.18 $4,073.25; #2 for 10.1.18-1.31.19 $9,657.58; #3 for 2.1.19-2.28.19 $5,241.13; #4 for 3.1.19-3.31.19 $6,559.50; #5 for 4.1.19-4.30.19 $1,868.23; #6 for 5.1.19-7.31.19 $2,620.05; #7 for 8.1.19-8.31.19 $6,471.39; #8 for 9.1.19 - 9:30/19 $778.98; #9 10.1.19 - 10.31.19 $1,261.28; #10 11.1.19 - 11.30.19 $11,592.32; #11 12.1.19-12.31.19 $25,176.46; #12 1.1.20-1.31.20 $20,733.61; #13 2.1.20-2.29.20 $7,095.64; #14 3.1.20-3.31.20 $17,489.40; #15 4.1.20-4.30.20 $6,605.35; #16 5.1.20 -5.31.20 $5,766.06; #17 6.1.20-6.30.20 $15,418.99; #18 7.1.20 - 7.31.20 $9,238.20; #19 8.1.20-8.31.20 $3,654.87; #20 9.1.20-9.30.20 $3,435.38; #21-FINAL 10.1.20-10.15.20 $4,075.33</t>
  </si>
  <si>
    <t>Received 26 invoices: #1 for 7.1.18-7.31.18 $10,560; #2 for 9.1.18-9.30.18 $3,639.01; #3 for 10.1.18-10.31.18 $3,369.01; #4 for 11.1.18-11.30.18 $3,639.01; #5 for 12.1.18-12.31.18 $3,639.01; #6 for 1.1.19-1.31.19 $2,816.86; #7 for 2.1.19-2.28.19 $3,639.01; #8 for 3.1.19-3.31.19 $3,639.01; #9 for 4.1.19-4.30.19 $3,639.01; #10 for 5.1.19-5.31.19 $3,639.03; #11 for 6.1.19-6.30.19 $13,376.86; #12 for 7.1.19-7.31.19 $2,976.48; #13 for 8.1.19-8.31.19 $2,976.48; #14 for 9.1.19-9.30.19 $4,442.38; #15 for 10.1.19 - 10.31.19 $2221.19; #16 11.1.19-11.30.19 $2,709; #17 12.1.19-12.31.19 $2,318.03; #18 1.1.20-1.31.20 $2,210.60; #19 2.1.20-2.29.20 $2,403.17; #20 3.1.20-3.31.20 $2,221.19; #21 4.1.20 - 4.30.20 $2,312.99; #22 5.1.20 - 5.31.20 $2,404.79; #23 6.1.20-6.30.20 $2,294.84; #24 7.1.20-7.31.20 $12,615.02; #25 8.1.20-8.31.20 $2,205.02; #26-FINAL 9.1.20-12.15.20 $3012.00</t>
  </si>
  <si>
    <t>087795-18231</t>
  </si>
  <si>
    <t>D5378</t>
  </si>
  <si>
    <t>087795-17990</t>
  </si>
  <si>
    <t>Received 21 invoices: #1 for 9.15.17-2.28.18 $13,996.93; #2 for 3.1.18-3.31.18 $8,707.67; #3 for 4.1.18-4.30.18 $6,521.18; #4 for 5.1.18-5.31.18 $7,937.83; #5 for 6.1.18-6.30.18 $11,804.63; 7.1.18-7.31.18 $7,228.22; #7 for 8.1.18-10.31.18 $17,285.74; #9 for 12.1.18-12.31.18; #10 for 1.1.19-1.31.19 $6,059.63; #11 for 2.1.19-2.28.19 $2,250; #12 for 3.1.19-3.31.19 $2,250: #13 for 4.1.19-4.30.19 $2,250; #14 for 5.1.19-5.31.19 $2,250; #15 for 6.1.19-6.30.19 $3,784.29; #16 for 7.1.19-7.31.19 $16,191.86; #17 8.1.19-11.30.19 $3,786.02; #18 12.1.19-12.31.19 $1,883.30; 3.17.20 #19 1.1.20-2.29.20 $787.50; #20 3.1.20 - 6.30.20 $15,139.17; #21 (final) 7.1.20 - 12.15.20 $28,102.47</t>
  </si>
  <si>
    <t>J. Macedo</t>
  </si>
  <si>
    <t>Received 15 invoices: #1 for 8.16.18-10.31.18 $21,816.62; #2 for 11.1.18-2.28.19 $22,748; #3 for 3.1.19-5.31.19 $134.10; #4 for 6.1.19-9.30.19 $3,120.72; #5 10.1.19-10.31.19 $29.707.68; #6 11.1.19-11.30.19 $8,513.61; #7 12.1.19-12.31.19 $5,874.89; #8 1.1.20-1.31.20 $3,034.50; #9 2.1.20-2.29.20 $5,070.94; #10 3.1.20-3.31.20 $4,768.50; #11 4.1.20 - 5.31.20 $7,844.25; #12 6.1.20-8.31.20 $110.34 #13 9.1.20-9.30.20 &amp;7,347.06; #14 10.1.20 - 12.31.20 $4,763.98; #15 1.1.21 - 2.15.21 $6,394.13</t>
  </si>
  <si>
    <t>Received 17 invoice: #1 for 7.6.17-2.28.18 $3,600; #2 for 3.1.18-7.31.18 $1,940.48; #3 for 8.1.18-9.30.18 $1,570.77; #4 for 10.1.18-11.30.18 $9,324.58; #5 for 12.1.18-2.28.19 $2,215.79; #7 for 3.1.19-4.30.19 $18,946.77; #7 for 5.1.19-7.31.19 $41,427.42; #8 8.1.19 - 9.30.19 $6,014.92; #9 10.1.19 - 10.31.19 $3,847.73; #10 11.1.19-11.30.19 $729.17; #11 12.1.19-12.31.19 $438.47; #12 1.1.20-2.29.20 $11,045.43; #13 3.1.20-3.31.20 $5,928.41; #14 4.1.20 - 4.30.20 $576.84; #15 5.1.20 - 6.30.20 $15,819.36; #16 7.1.20 - 7.31.20 $10,488.43; #17 8.1.20 - 12.15.20 $21,637.43;</t>
  </si>
  <si>
    <t>R27-228B</t>
  </si>
  <si>
    <t>R27-228C</t>
  </si>
  <si>
    <t>Illinois, a Leader in Mobility 4.0 and Beyond</t>
  </si>
  <si>
    <t>ILAVA</t>
  </si>
  <si>
    <t>H. Mahmassani</t>
  </si>
  <si>
    <t>J. Quandt</t>
  </si>
  <si>
    <t xml:space="preserve">Received 4 invoice: #1 for 2.1.18-7.31.18 $8,273; #2 for 8.1.18-1.31.19 $8,383.40; #3 2.1.19-2.29.20 $176.15; #4 3.1.20 - 2.28.21 $174.45; </t>
  </si>
  <si>
    <t>087795-18408</t>
  </si>
  <si>
    <t>R27-232B</t>
  </si>
  <si>
    <t>Utilizing a Particle Packing Approach for an Illinois-specific, Nonproprietary, Low-Shrinkage UHPC</t>
  </si>
  <si>
    <t>M.Gombeda</t>
  </si>
  <si>
    <t>Received 18 invoice: #1 for 10.1.17-2.28.18 $6,310; #2 for 3.1.18-5.31.18 $57,652.30; #3 for 6.1.18-6.30.18 $12,663.70; #4 for 7.1.18-12.31.18 $69,787.10; #5 for 1.1.19-7.31.19 $21,286.16; #6 for 8.1.19-9.30.19 $6,662.11; #7 for 10.1.19-10.31.19 $5,871.56; #8 for 11.1.19-11.30.19 $22,731.31; #9 12.1.19-12.31.19 $8,198.84; #10 1.1.20-1.31.20 $7,211.77; #11 2.1.20 - 7.31.20 $10,978.49; #12 8.1.20-8.31.20 $4,717.09; #13 9.1.20 - 9.30.20 $3,106; #14 10.1.20 - 11.30.20 $4,687.24; #15 12.1.20 - 12.31.20 $7,421.58; #16 1.1.21 - 1.31.21 $11,706.99; #17 2.1.21 - 2.28.21 $10,519.04; #18 3.1.21 - 6.30.21 $5,985.45;</t>
  </si>
  <si>
    <t>R27-238</t>
  </si>
  <si>
    <t>D5380</t>
  </si>
  <si>
    <t>D5255</t>
  </si>
  <si>
    <t>Developing Deterioration Curves for Bridge Elements</t>
  </si>
  <si>
    <t>Texas A&amp;M University</t>
  </si>
  <si>
    <t>Kerth</t>
  </si>
  <si>
    <t>Lesli</t>
  </si>
  <si>
    <t>400 Harvey Mitchell Parkway South, Suite 300</t>
  </si>
  <si>
    <t>College Station</t>
  </si>
  <si>
    <t>77845-4375</t>
  </si>
  <si>
    <t>979-845-4782</t>
  </si>
  <si>
    <t>lkerth@tamu.edu</t>
  </si>
  <si>
    <t>979-862-3250</t>
  </si>
  <si>
    <t>R27-208</t>
  </si>
  <si>
    <t>Associate Director</t>
  </si>
  <si>
    <t>Sponsored Research Officer</t>
  </si>
  <si>
    <t>Logaras</t>
  </si>
  <si>
    <t>Stephanie</t>
  </si>
  <si>
    <t>s-logaras@northwestern.edu</t>
  </si>
  <si>
    <t>312-503-7852</t>
  </si>
  <si>
    <t>R27-228</t>
  </si>
  <si>
    <t>Improved Geotechnical Site Characterization Using Measurement While Drilling</t>
  </si>
  <si>
    <t>University of Florida</t>
  </si>
  <si>
    <t>M. Rodgers</t>
  </si>
  <si>
    <t>R27-244B</t>
  </si>
  <si>
    <t>D5216</t>
  </si>
  <si>
    <t>R27-240</t>
  </si>
  <si>
    <t>D5219</t>
  </si>
  <si>
    <t>INFRAME</t>
  </si>
  <si>
    <t>A. Rajagopal</t>
  </si>
  <si>
    <t>R27-239</t>
  </si>
  <si>
    <t>J. Lin (UIC)</t>
  </si>
  <si>
    <t>FY24
IDOT Share</t>
  </si>
  <si>
    <t>FY24
Sub Admin Cost</t>
  </si>
  <si>
    <t>FY24
Cost Share</t>
  </si>
  <si>
    <t>FY24 Total</t>
  </si>
  <si>
    <t>Development of Potential Strategies for Maintaining Unmarked and Low Traffic Volume Roadways in Illinois</t>
  </si>
  <si>
    <t>Received 5 invoice: #1 8.16.19-1.31.20 $12,823.12; #2 2.1.20 - 6.30.20 $7,176.88; #3 7.1.20 - 9.30.20 $9,520.50; #4 10.1.20 - 1.31.21 $9,100.78; #5 2/1/21 - 7/31/21 $1,378.72;</t>
  </si>
  <si>
    <t>R27-241</t>
  </si>
  <si>
    <t>Advancing Air Mobility</t>
  </si>
  <si>
    <t>D5220</t>
  </si>
  <si>
    <t xml:space="preserve">Received 28 invoices: #1 for 9.16.18-12.31.18 $6,602.75; #2 for 1.1.19-1.31.19 $3,419.73; #3 for 2.1.19-2.28.19 $5,132.81; #4 for 3.1.19-3.31.19 $4,358.13; #5 for 4.1.19-4.30.19 ; $5,196.62; #6 for 5.1.19-5.31.19 $4,953.08; #7 for 6.1.19-6.30.19 $2,329.52; #8 for 7.1.19-7.31.19 $12,562.97; #9 for 8.1.19-8.31.19 $9,020.18; #10 for 9.1.19-9.30.19 $8,886.23; #11 10.1.19-10.31.19 $13,866.66; #12 11.1.19-11.30.19 $19,302.84; #13 12.1.19-12.31.19 $12,597.80; #14 1.1.20-1.31.20 $19,051.08; #15 2.1.20-2.29.20 $27,552.62; #16 3.1.20-3.31.20 $14,943.29; #17 4.1.20 - 4.30.20 $7,668.04; #18 5.1.20 - 5.31.20 $9,889.70; #19 6.1.20-6.30.20 $6,195.80; #20 7.1.20-7.31.20 $2,135.84; #21 8.1.20-8.31.20 $4,383.81; #22 9.1.20-9.30.20 $16,077.50; #23 10.1.20-10.31.20 $32,817.54; #24 11.1.20 - 11.30.20 R34,606.64; #25 12.1.20 - 12.31.20 $8,259.03' #26 1.1.21 - 1.31.21 $741.41; #27 2.1.21 - 3.31.21 $2,241.76; #28 4.1.21 - 7/31/21 $119.32; </t>
  </si>
  <si>
    <t>087795-18539</t>
  </si>
  <si>
    <t>Received 29 invoice: #1 for 2.1.18-5.31.18 $6,692.75; #2 for 6.1.18-6.31.18 $13,031.61; #3 for 7.1.18-7.31.18 $6,167.21; #4 for 8.1.18-9.30.18 $7,672.43; #5 for 10.1.18-10.31.18 $4,400.50; #6 for 11.1.18-11.30.18 $4,055.49; #7 for 12.1.18-12.31.18 $4,430.49; #8 for 1.1.19-1.31.19 $4,809.31; #9 for 2.1.19-2.28.19 $7,196.13; #10 for 3.1.19-3.31.19 $4,650.22; #11 for 4.1.19-4.30.19 $7,085.81; #12 for 5.1.19-5.31.19 $8,978.98; #13 for 6.1.19-6.30.19 $30,492.30; #14 for 7.1.19-7.31.19 $10,986; #15 for 8.1.19-8.31.19 $20,934.09; #16 for 9.1.19-9.31.19 $5,447.21; #17 10.1.19-10.31.19 $7,855.98; #18 11.1.19-11.30.19 $6,793.74; #19 12.1.19-12.31.19 $5,733.63; #20 1.1.20-1.31.20 $5,078.92; #21 2.1.20-2.29.20 $5,022.10; #22 3.1.20-3.31.20 $6,051.90; #23 4.1.20 - 4.30.20 $7,062.93; #24 5.1.20-5.31.20 $16,827.42; #25 6.1.20 - 6.30.20 $18,740.44; #26 7.1.20 - 7.31.20 $14,887.42; #27 8.1.20 - 11.30.20 $24,200.55; #28 12.1.20 - 4.30.21 $32,296.02; #29 5.1.21 - 6.30.21 $76,605.38;</t>
  </si>
  <si>
    <t>Received 1 invoice: #1 1.1.21 - 9.30.21 $26,999.85</t>
  </si>
  <si>
    <t>087795-18407</t>
  </si>
  <si>
    <t>R27-SP49</t>
  </si>
  <si>
    <t>Optimal Approach for Addressing Reinforcement Corrosion for Concrete Bridge Decks in Illinois</t>
  </si>
  <si>
    <t>087795-18563</t>
  </si>
  <si>
    <t>D5218</t>
  </si>
  <si>
    <t>087795-18577</t>
  </si>
  <si>
    <t>R27-SP52</t>
  </si>
  <si>
    <t>Optimal Approach for Addressing Reinforcement Corrosion for Concrete Bridge Decks in Illinois - Phase II</t>
  </si>
  <si>
    <t>M. Gombead</t>
  </si>
  <si>
    <t>D5221</t>
  </si>
  <si>
    <t xml:space="preserve">Received 4 invoice: #1 8.16.21 - 11.30.21 $1792.50; #2 12/1/21 - 12/31/21 $172.50; #3 1/1/22 - 1/31/22 $225.00;  #4 2.1.22 - 5.15.22 $24,810; </t>
  </si>
  <si>
    <t>R27-252B</t>
  </si>
  <si>
    <t>Impact of Commercial Electric Vehicles on Flexible Pavement Performance</t>
  </si>
  <si>
    <t>Marquette University</t>
  </si>
  <si>
    <t>J. Hernandez</t>
  </si>
  <si>
    <t>FY2025*</t>
  </si>
  <si>
    <t>R27-251</t>
  </si>
  <si>
    <t>Optimum Traffic Signal Condition Assessment and Strategic Maintenance Planning</t>
  </si>
  <si>
    <t>R. Fries</t>
  </si>
  <si>
    <t>R27-254</t>
  </si>
  <si>
    <t>Development of Equipment Rental Schedule for Illinois</t>
  </si>
  <si>
    <t>University of Houston</t>
  </si>
  <si>
    <t>Z. Bian</t>
  </si>
  <si>
    <t>087795-18586</t>
  </si>
  <si>
    <t>087795-18964</t>
  </si>
  <si>
    <t xml:space="preserve">Received 2 Invoices: #1 8.16.20 - 12.16.21 $13,735.38; #2 3.19.22 - 8.15.22 $21,959.29; </t>
  </si>
  <si>
    <t>Received 2 Invoices: #1 8.16.20 - 7.31.21 $5,360.10; #2 8.1.21 - 7.31.22 $5,542.90</t>
  </si>
  <si>
    <t>Received 8 invoices #1 8.16.20 - 12.31.20 $6,306.27; #2 1.1.21 - 3.31.21 $5,538.96; #3 4.1.21 - 6.30.21 $2,984.89; #4 7.1.21 - 9.30.21 $5,945.36; #5 10.1.21 - 12.31.21 $2,806.26; #6 1.1.22 - 3.31.22 $14,084.44; #7 4.1.22 - 6.30.22 $12,118.25; #8 7.1.22 - 8.15.22 $7,488.56;</t>
  </si>
  <si>
    <t>087795-19095</t>
  </si>
  <si>
    <t>087795-19094</t>
  </si>
  <si>
    <t>D5222</t>
  </si>
  <si>
    <t>D5062</t>
  </si>
  <si>
    <t>D5054</t>
  </si>
  <si>
    <t>087795-18578</t>
  </si>
  <si>
    <t>FY2026*</t>
  </si>
  <si>
    <t>R27-SP57</t>
  </si>
  <si>
    <t>Investigating Statewide Alternative Fuel Technician Needs</t>
  </si>
  <si>
    <t>GSU</t>
  </si>
  <si>
    <t>R. Greenwood</t>
  </si>
  <si>
    <t>R27-259C</t>
  </si>
  <si>
    <t>State Department of Transportation Support for Operationalizing Transit Signal Priority</t>
  </si>
  <si>
    <t>S.Miralinaghi</t>
  </si>
  <si>
    <t>FY25
IDOT Share</t>
  </si>
  <si>
    <t>FY25
Sub Admin Cost</t>
  </si>
  <si>
    <t>FY25
Cost Share</t>
  </si>
  <si>
    <t>FY25 Total</t>
  </si>
  <si>
    <t>FY26
IDOT Share</t>
  </si>
  <si>
    <t>FY26
Sub Admin Cost</t>
  </si>
  <si>
    <t>FY26
Cost Share</t>
  </si>
  <si>
    <t>FY26 Total</t>
  </si>
  <si>
    <t>R27-259A</t>
  </si>
  <si>
    <t>R27-SP62</t>
  </si>
  <si>
    <t>Received 2 Invoice: #1 8.16.22 - 9.30.22 $15,939.00; #2 10/1/22 - 5/15/23 $11,061</t>
  </si>
  <si>
    <t>D5055</t>
  </si>
  <si>
    <t>087795-19533</t>
  </si>
  <si>
    <t>FY2027*</t>
  </si>
  <si>
    <t>FY25-FY27 Subaward Total</t>
  </si>
  <si>
    <t>FY18-FY24
Subaward Total</t>
  </si>
  <si>
    <t>Total
(FY18-FY24)</t>
  </si>
  <si>
    <t>FY27
IDOT Share</t>
  </si>
  <si>
    <t>FY27
Sub Admin Cost</t>
  </si>
  <si>
    <t>FY27
Cost Share</t>
  </si>
  <si>
    <t>FY27 Total</t>
  </si>
  <si>
    <t>Total Outsourcing, FY18-FY24 w/o Cost Share</t>
  </si>
  <si>
    <t>Total Outsourcing, FY18-FY24 w Cost Share</t>
  </si>
  <si>
    <t>Received 2 Invoices: #1 4.16.21 - 6.30.22 $48,395.00; #2 7.1.22 - 6.15.23 $26,605.00;</t>
  </si>
  <si>
    <t xml:space="preserve">Received 9 Invoices: #1 8.16.20 - 4.30.21 $30,258.27; #2 5.1.21 - 6.30.21 $57,130.12; #3 7.1.21 - 9.30.21 $17,538.77; #4 10.1.21 - 12.31.21 $9,522.38; #5 1.1.22 - 3.31.22 $5,417.01; #6 4.1.22 - 6.30.22 $14,273.15 #7 7.1.22 - 9.30.22 $22,441.71; #8 10.1.22 - 12.31.22 $19,616.56; #9 1.1.23 - 6.30.23 $11,300.02; </t>
  </si>
  <si>
    <t>R27-262</t>
  </si>
  <si>
    <t>Developing a Framework for Establishing a Risk-Based Geotechnical Asset Management Program in Illinois</t>
  </si>
  <si>
    <t>Alhasan</t>
  </si>
  <si>
    <t>087795-19604</t>
  </si>
  <si>
    <t>D5056</t>
  </si>
  <si>
    <t>R27-264B</t>
  </si>
  <si>
    <t>Development of a Pavement Friction Management Program</t>
  </si>
  <si>
    <t>Rutgers</t>
  </si>
  <si>
    <t>Wang</t>
  </si>
  <si>
    <t>087795-19614</t>
  </si>
  <si>
    <t>Received 15 invoices: #1 12.1.20 - 12.31.20 $10,900.50; #2 1.1.21 - 1.31.21 $10,597.83; #3 2.1.21 - 2.28.21 $8,468.67; #4 3.1.21 - 3.31.21 $9,948.86; #5 4.1.21 - 4.30.21 $8915.99; #6 5.1.21 - 5.31.21 $3,875.87; #7 6.1.21 - 6.30.21 $75,596.03;; #8 7.1.21 - 9.30.21 $8,764.43; #9 10.1.21 - 10.31.21 $8,341.97; #10 11.1.21 - 11.30.21 $18,442.19; #11 12.1.21 - 12.31.21 $2,513.49; #12 1.1.22 - 1.31.22 $294.89; #13 3.1.22 - 3.31.22 $420.93;; #14 5.1.22 - 5.31.22 $661.47; #15 7.1.22 - 6.30.23 $737.88</t>
  </si>
  <si>
    <t>D4897</t>
  </si>
  <si>
    <t>087795-19652</t>
  </si>
  <si>
    <t>Received 21 invoice: #1 8.16.19-2.29.20 $2,389.05; #2 3.1.20-3.31.20 $1,592.70; #3 4.1.20-4.30.20 $1,592.70; #4 5.1.20 - 5.31.20 $1,592.70; #5 6.1.20-6.30.20 $10,034.45; #6 7.1.20-8.31.20 $13,322.79; #7 9.1.20-9.30.20 $3,455.15 #8 10.1.20-10.31.20 $4.048.33; #9 11.1.20-11.30.20 $4,048.30; #10 12.1.20-12.31.20 $6,072.48; #11 1.1.21 - 1.31.21 1,570.69; #12 2.1.21 - 2.28.21 1,570.69; #13 3.1.21 - 3.31.21 $1,570.69; #14 4.1.21 - 4.30.21 $1570.69; #15 5.1.21 - 5.31.21 $1,570.66; #16 6.1.21 - 6.30.21 $2,591.52;  #17 7.1.21 - 7.31.21 $1,347.31; #18 8.1.21 - 8.31.21 $1,584.97; #19 9.1.21 - 9.30.21 $1,584.94; #20 10.1.21 - 10.31.21 $6,102.11 #21 11/1/21 - 5/31/23 $991.08;</t>
  </si>
  <si>
    <t>R27-SP66</t>
  </si>
  <si>
    <t>Anti-Graffiti Protection Systems</t>
  </si>
  <si>
    <t>Y. Khodair</t>
  </si>
  <si>
    <t>D5057</t>
  </si>
  <si>
    <t>R27-265</t>
  </si>
  <si>
    <t>D5058</t>
  </si>
  <si>
    <t>087795-19746</t>
  </si>
  <si>
    <t>Received 37 invoices: #1 8.16.19-12.31.19 $3,421.35; #2 1.1.20-1.31.20 $3,987.77; #3 2.1.20-2.29.20 $2,658.47; #4 3.1.20 - 3.31.20; #5 4.1.20 - 4.30.20 $20,041.98; #6 5.1.20-5.31.20 $15,379.16; #7 6.1.20 - 6.30.20 $6,242.07; #8 7.1.20-7.31.20 $14,259.33; #9 8.1.20-8.31.20 $9,010.29; #10 9.1.20-9.30.20 $3,174.48; #11 10.1.20-10.31.20 $475.89; #12 11.1.20 - 11.30.20 $5,198.21; #13 12.1.20-12.31.20 $680.96; #14 1.1.21 - 2.28.21 $2,334.47; #15 3.1.21 - 3.31.21 $49,622.73; #16 4.1.21 - 4.30.21 $6709.02: #17 5.1.21 - 6.30.21 $340.44: #17 7.1.21 - 7.31.21 $1,049.70; #18 8.1.21 - 8.31.21 $2,466.35; #19 9.1.21 - 9.30.21 $11,487.65; #20 10.1.21 - 10.31.21 $7,382.03 #21 11.1.21 - 11.30.21 $3,856.14; #22 12.1.21 - 2.28.22 $4,172.51; #23 3.1.22 - 3.31.22 $1,574.06; #24 4.1.22 - 4.30.22 $2466.35; #25 5.1.22 - 5.31.22 $45,016.37; #26 6.1.22 - 6.30.22 $1,680.18; #27 7.1.22 - 7.31.22 $5,442.50; #28 8.1.22 - 8.31.22 $1,857.98; #29 9.1.22 - 9.30.22 $1,745.55; #30 10.1.22 - 10.31.22 $7,563.39; #31 11.1.22 - 12.31.22 $9,914.69; #32 1.1.23 - 2.28.23 $9,773.63; #33 3.1.23 - 3.31.23 $8,432.48; #34 4.1.23 - 4.30.23 $18,716.48; #35 5.1.23 - 5.31.23 $17,161.20; #36 6.1.23 - 6.30.23 $5,334.92; #37 7.1.23 - 10.31.23 $5,894.21;</t>
  </si>
  <si>
    <t>Received 22 invoices: #1 for 10.1.17-12.31.17 $51,230; #2 for 1.1.18-3.31.18 $51,230; #3 for 4.1.18-6.30.18 $51,230; #4 for 7.1.18-9.30.18 $19,485; #5 for 10.1.18-12.31.18 $19,: #6 for 1.1.19-3.31.19 $19,485; #7 for 4.1.19-6.30.19 $560.42; #8 for 7.1.19-9.30.19 $560.42; #9 10.1.19-12.31.19 $18,328.54; #10 1.1.20-3.31.20 $18,328.54; #11 4.1.20-6.30.20 $16,051.18; #12 7.1.30-9.3020 $16,051.18; #13 10.1.20-12.31.20 $11,051.18; #14 1.1.21 - 3/31/21 $11,051.18; #15 4.1.21 - 6.30.21 $2,051.18; #16 7.1.21 - 9.30.21 $2,051.18; #17 10.1.21 - 12.31.21 $6,830.00; 1.1.22 - 9.30.22 No work on project; #18 10.1.22 - 12.31.22 $7,440.00; #19 1.1.23 - 3.31.23 $7440.00; #20 4.1.23 - 6.30.23 $7,440.00; #21 7.1.23 - 9.30.23 $36,000; #22 10.1.23 - 12.31.23 $17,000.00</t>
  </si>
  <si>
    <t>Received 35 invoices: #1 8.16.19-3.31.20 $464.45; #2 4.1.20 - 4.30.20 $1,447.02; #3 5.1.20-5.31.20 $17,212.76; #4 6.1.20 - 6.30.20 $29,055.21; #5 7.1.20 - 7.31.20 $9,844.57; #6 8.1.20 - 8.31.20 $5,830.67; #7 9.1.20-9.30.20 $2,648.52; #8 for 10.1.20-10.31.20 $12,115.93 #9 12.1.20-12.31.20 $7,786.40; #10 11.1.20-2.28.21 $27,723.30 #11 3.1.21 - 4.30.21 $20,949.40; #12 5.1.21 - 5.31.21 $13,517.36; #13 6.1.21 - 6.30.21 $15,754.87; #14 7.1.21 - 9.4.21 $42,615.53; #15 9.5.21 - 9.30.21 $5692.02; #16 10.1.21 - 10.31.21 $340.62; #17 11.1.21 - 11.30.21 $340.62; #18 12.1.21 - 12.31.21 $340.62; #19 1.1.22 - 1.31.22 $340.62; #20 2.1.22 - 3.31.22 $4,773.63; #21 4.1.22 - 4.30.22 $179.03; #22 5.1.22 - 5.31.22 $11,823.50; #23 6.1.22 - 6.31.22 $7,447.58; #24 7.1.22 - 9.30.22 $5,017.29; #25 10.1.22 - 10.31.22 $5,275.39; #26 11.1.22 - 11.30.22 $1230.23; #27 12.1.22 - 1.31.23 $5,124.38; #28 2.1.23 - 3.31.23 $5,756.98; #29 4.1.23 - 4.30.23 $1,352.93; #31 5.1.23 - 5.31.23 $22,866.13; #32 6.1.23 - 6.30.23 $34,002.19; #33 7.1.23 - 8.31.23 $52,997.66; #34 9.1.23 - 9.30.23 $754.83; #35 10.1.23 - 12.31.23 $2,377.76;</t>
  </si>
  <si>
    <t>Received 19 invoices: #1 8.16.20 - 11.30.20 $8,601.70; #2 12.1.20 - 2.28.21 $5,370.17; #3 3.1.21 - 5.31.21 $2,054.95; #4 6.1.21 - 6.30.21 $4,420.71; #5 7.1.21 - 7.31.21 $42,523.91; #6 8.1.21 - 11.30.21 $12,452.60; #7 12.1.21 - 12.31.21 $2,947.79; #8 1.1.22 - 2.28.22 $19,827.41; #9 3.1.22 - 3.31.22 $2,040.12; #10 4.1.22 - 6.30.22 $4,165.68; #11 7.1.22 - 7.31.22 $22,828.59; #12 8.1.22 - 8.31.22 $32,990.97; #13 9.1.22 - 9.30.22 $14,378.16 #14 10.1.22 - 10.31.22 $5681.02; #15 11.1.22 - 12.31.22 $31,957.15; #16 1.1.23 - 1.31.23 $16,271.73; #17 2.1.23-2.28.23  $23,670.96; #18 3.1.23 - 3.31.23 $3,765.93: #19 4.1.23 - 6.30.23 $18572.71; #20 7.1.23 - 12.22.23 $50,179.74;</t>
  </si>
  <si>
    <t>Received 2 Invoices: #1 4.20.21 - 12.10.21 $83,750.25; #2 12.11.21 - 6.30.22 $5,118.75</t>
  </si>
  <si>
    <t>Received 2 Invoices: #1 9.1.21 - 10.31.22 $100,912.78; #2 11.1.22 - 8.31.23 $85,919.22;</t>
  </si>
  <si>
    <t>087795-19682</t>
  </si>
  <si>
    <t>Received 8 invoice: #1 8.1.21 - 10.31.21 $16,872.29; #2 11/1/21 - 10/31/22 $34,689.76; #3 11.1.22 - 3.31.23 $22,245.13; #4 4.1.23 - 6.30.23 $1,500.00; #5 7.1.23 - 7.31.23 $1,000.79: #6 8/1/23 - 8/31/23 $32689.45; #7 9.1.23 - 9.30.23 $1,715.64; #8 10.1.23 - 2.29.24 $39,196.09;</t>
  </si>
  <si>
    <t>087795-19034</t>
  </si>
  <si>
    <t>Received 7 Invoices: #1 9.1.21 - 12.31.22 $11,463.53; #2 1.1.23 - 6.30.23 $64,067.83; #3 7.1.23 - 8.31.23 $27,815.00; #4 9.1.23 - 9.30.23 $68,152.67; #5 10.1.23 - 10.31.23 $45.391.88; #6 11.1.23 - 11.31.23 $72,704.23; 12.1.23 - 2.29.24 $47,904.86;</t>
  </si>
  <si>
    <t xml:space="preserve">Difference in rec to date and total </t>
  </si>
  <si>
    <t>Received 34 invoices #1 10.1.20 - 12.31.20 $5,053.79; #2 1.1.21 - 2.28.21  $15,510.43; #3 3.1.21 - 3.31.21 $3772.46; #4 4.1.21 - 6.30.21 $65,478.14; #5 7.1.21 - 9.30.21 $37,896.01; #6 10.1.21 - 10.31.21 $4,193.36l; #7 11.1.21 - 12.31.21 $5,016.88; #8 1.1.22 - 2.28.22 $5,859.51; #9 3.1.22 - 3.31.22 $3,373.54; #10 4.1.22 - 4.30.22 $5,301.05; #11 5.1.22 - 5.31.22 $2,237.15; #12 6/1/22 - 6/30/22 $10,888.63;  #13 7.1.22 - 7.31.22 $1,734.00; #14 8.1.22 - 8.31.22 $884.69; #15 9.1.22 - 9.30.22 $4,900.26; #16 10.1.22 - 10.31.22 $$4,501.77; #17 11.1.22 - 11.30.22 $4,087.73; #18 12.1.22 - 12.31.23 $3,236.31; #19 1.1.23 - 1.31.23 $1,878.50; #20 2.1.23 - 2.28.23 $2,133.14; #21 3.1.23 - 3.31.23 $2,189.35; #22 4.1.23 - 4.30.23 $14,353.84; #23 5.1.23 - 5.31.23 $26,091.75 #24 6.1.23 - 6.30.23 $4,299.32; #25 7.1.23 - 9.30.23 $19,659.70; #26 10.1.23 - 10.31.23 $26,013.49; #27 11.1.23 - 11.31.23 $15,914.55; #28 12.1.23 - 12.31.23 $12,754.38; #29 1.1.24 - 1.31.24 $7017.34; #30 2.1.24 - 2.29.24 $15,431.17; #31 3.1.24 - 3.31.24 $15,231.74; #32 4.1.24 - 4.30.24 $9,410.03; #33 5.1.24 - 5.31.24 $5,376.94; #34 6.1.24 - 6.30.24 $6,394.25;</t>
  </si>
  <si>
    <t>Received 4 Invoices: #1 8.7.23 - 11.30.23 $9,425.10; #2 12.1.23 - 2.29.24 $2,859.40; #3 3.1.24 - 4.30.24 $3,574.25; #4 5/1/24 - 6/30-24 $15,734.67;</t>
  </si>
  <si>
    <t>Received 2 Invoices: #1 1.16.24 - 3.31.24 $10,059.17; #2 4.1.24 - 6.30.24 $21,137.40</t>
  </si>
  <si>
    <t>Received 3 Invoices: #1 7.1.23 - 2.29.24 $318.45; #2 3.1.24 - 4.30.24 $5,400.07; #3 5/1/24 - 6/30/24 $12,352.64;</t>
  </si>
  <si>
    <t>x</t>
  </si>
  <si>
    <t xml:space="preserve">Received 8 Invoices:#1 6/1/23 - 10/31/23 $1,666.64; #2 11/1/23 - 11/30/23 $3,333.34;#3 12.1.23 - 12.31.23 $4,528.24; #4 1.1.24 - 1.31.24 $3,333.34; #5 2.1.24 - 2.29.24 $3,405.85; #6 3.1.24 - 3.31.24 $328.52; #7 4.1.24 - 5.31.24 $2,359.24; #8 6.1.24 - 6.30-24 $3,344.00; </t>
  </si>
  <si>
    <t>Received 15 invoices: #1 8.16.22 - 1.31.23 $8,272.77; #2 2.1.23 - 2.28.23 $1,812.82; #3 3.1.23 - 3.31.23 $1,950.75; #4 4.1.23 - 4.30.23 $2,006.31; #6 5.1.23 - 5.31.23 $5,575.56; #7 6.1.23 - 6.30.23 $8,271.19; #8 7.1.23 - 10.31.23 $12,368.72; #9 11.1.23 - 11.30.23 $3,468.31; #10 12.1.23 - 12.31.23 $1,066.44; #11 1.1.24 - 1.31.24 $1,000.79; #12 2.1.24 - 2.29.24 $1,082.07; #13 3.1.24 - 3.31.24 $12,873.28; #14 4.1.24 - 4.30.24 $3,085.29; #15 5.1.24 - 5.31.24 $579.54; 61.24-6.30.24 $0.00</t>
  </si>
  <si>
    <t>Per Hao Wang, no expenses incurred prior to 6.30.24</t>
  </si>
  <si>
    <t>Received 5 Invoices: #1 8.16.23 - 1.19.24 $25,609.94; #2 1.20.24 - 2.16.24 $9,467.26; #3 2.17.24 - 3.29.24 $40,568.52; #4 3/30/24 - 6/21/24 $20,330.38; #5 6.22.24 - 6.30.24 $4,521.43</t>
  </si>
  <si>
    <t>Received 12 invoices: #1 5.1.22 - 5.31.22 $6,165.13; #2 6.1.22 - 6.30.22 $6,335.00; #3 7.1.22 - 2.28.23 $4,745.99; #4 3.1.23 - 3.31.23 $1,078.53; #5 4.1.23 - 4.30.23 $719.02; #6 5.1.23 - 5.31.23 $719.02; #7 6/1/23 - 6/30/23 $934.74; #8 7.1.23 - 2.29.24 $11,397.11; #9 3.1.24 - 3.31.24 $1396.18; #10 4.1.24 - 4.30.24 $1,396.17; #11 5.1.24 - 5.31.24 $1,396.16; #12 6.1.24 - 6.30.24 $2,931.86;</t>
  </si>
  <si>
    <t>Received 3 Invoices: #1 8.16/22 - 5.31.23 $10,971.68; #2 6/1/23 - 6/30/23 $16,483.04; #3 7.1.23 - 12.31.23 $52,818.58; #4 1.1.24-6.30.24 $597.29</t>
  </si>
  <si>
    <t>Received 4 invoices: #1 8.16.22 - 6.30.23 $36,542.21; #2 7.1.23 - 9.30.23 $21,671.05; #3 10.1.23-1.31.24; #4 2.1.24-2.29.24 $423.26 #5 3.1.24-6.30.24 $40,677.53</t>
  </si>
  <si>
    <t>FY2021</t>
  </si>
  <si>
    <t>FY2022</t>
  </si>
  <si>
    <t>FY2023</t>
  </si>
  <si>
    <t>FY2024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</si>
</sst>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FF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FF00"/>
        <bgColor theme="1"/>
      </patternFill>
    </fill>
    <fill>
      <patternFill patternType="solid">
        <fgColor rgb="FF00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1" fillId="0" borderId="0"/>
    <xf numFmtId="44" fontId="15" fillId="0" borderId="0" applyFont="0" applyFill="0" applyBorder="0" applyAlignment="0" applyProtection="0"/>
    <xf numFmtId="0" fontId="7" fillId="0" borderId="0"/>
    <xf numFmtId="0" fontId="6" fillId="0" borderId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</cellStyleXfs>
  <cellXfs count="183">
    <xf numFmtId="0" fontId="0" fillId="0" borderId="0" xfId="0"/>
    <xf numFmtId="49" fontId="9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11" fillId="0" borderId="4" xfId="0" applyNumberFormat="1" applyFont="1" applyBorder="1" applyAlignment="1">
      <alignment horizontal="center" vertical="center" wrapText="1"/>
    </xf>
    <xf numFmtId="43" fontId="11" fillId="0" borderId="4" xfId="0" applyNumberFormat="1" applyFont="1" applyBorder="1" applyAlignment="1">
      <alignment horizontal="right" vertical="center"/>
    </xf>
    <xf numFmtId="49" fontId="9" fillId="0" borderId="4" xfId="0" applyNumberFormat="1" applyFont="1" applyBorder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42" fontId="0" fillId="0" borderId="0" xfId="0" applyNumberFormat="1" applyAlignment="1">
      <alignment horizontal="right" vertical="center"/>
    </xf>
    <xf numFmtId="43" fontId="0" fillId="0" borderId="0" xfId="0" applyNumberFormat="1" applyAlignment="1">
      <alignment horizontal="right"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vertical="center"/>
    </xf>
    <xf numFmtId="49" fontId="9" fillId="0" borderId="4" xfId="1" applyNumberFormat="1" applyFont="1" applyBorder="1" applyAlignment="1">
      <alignment vertical="center" wrapText="1"/>
    </xf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right" vertical="center"/>
    </xf>
    <xf numFmtId="43" fontId="9" fillId="0" borderId="4" xfId="0" applyNumberFormat="1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top"/>
    </xf>
    <xf numFmtId="0" fontId="11" fillId="0" borderId="6" xfId="0" applyFont="1" applyBorder="1" applyAlignment="1">
      <alignment horizontal="left" vertical="center" wrapText="1"/>
    </xf>
    <xf numFmtId="43" fontId="14" fillId="0" borderId="4" xfId="0" applyNumberFormat="1" applyFont="1" applyBorder="1" applyAlignment="1">
      <alignment horizontal="right" vertical="center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1" fontId="0" fillId="0" borderId="9" xfId="0" applyNumberForma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 wrapText="1"/>
    </xf>
    <xf numFmtId="0" fontId="0" fillId="0" borderId="15" xfId="0" applyBorder="1"/>
    <xf numFmtId="49" fontId="11" fillId="0" borderId="16" xfId="0" applyNumberFormat="1" applyFont="1" applyBorder="1" applyAlignment="1">
      <alignment horizontal="center" vertical="center" wrapText="1"/>
    </xf>
    <xf numFmtId="0" fontId="9" fillId="0" borderId="0" xfId="0" applyFont="1"/>
    <xf numFmtId="164" fontId="9" fillId="0" borderId="0" xfId="2" applyNumberFormat="1" applyFont="1"/>
    <xf numFmtId="49" fontId="11" fillId="0" borderId="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49" fontId="9" fillId="4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16" fillId="0" borderId="0" xfId="0" applyFont="1"/>
    <xf numFmtId="0" fontId="9" fillId="0" borderId="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41" fontId="9" fillId="0" borderId="18" xfId="0" applyNumberFormat="1" applyFont="1" applyBorder="1" applyAlignment="1">
      <alignment horizontal="right" vertical="center"/>
    </xf>
    <xf numFmtId="41" fontId="9" fillId="0" borderId="10" xfId="0" applyNumberFormat="1" applyFont="1" applyBorder="1" applyAlignment="1">
      <alignment horizontal="center" vertical="center"/>
    </xf>
    <xf numFmtId="41" fontId="9" fillId="0" borderId="21" xfId="0" applyNumberFormat="1" applyFont="1" applyBorder="1" applyAlignment="1">
      <alignment horizontal="center" vertical="center"/>
    </xf>
    <xf numFmtId="41" fontId="9" fillId="0" borderId="22" xfId="0" applyNumberFormat="1" applyFont="1" applyBorder="1" applyAlignment="1">
      <alignment horizontal="center" vertical="center"/>
    </xf>
    <xf numFmtId="41" fontId="9" fillId="0" borderId="17" xfId="0" applyNumberFormat="1" applyFont="1" applyBorder="1" applyAlignment="1">
      <alignment horizontal="center" vertical="center"/>
    </xf>
    <xf numFmtId="41" fontId="9" fillId="4" borderId="17" xfId="0" applyNumberFormat="1" applyFont="1" applyFill="1" applyBorder="1" applyAlignment="1">
      <alignment horizontal="center" vertical="center"/>
    </xf>
    <xf numFmtId="41" fontId="9" fillId="4" borderId="12" xfId="0" applyNumberFormat="1" applyFont="1" applyFill="1" applyBorder="1" applyAlignment="1">
      <alignment horizontal="center" vertical="center"/>
    </xf>
    <xf numFmtId="41" fontId="9" fillId="0" borderId="24" xfId="0" applyNumberFormat="1" applyFont="1" applyBorder="1" applyAlignment="1">
      <alignment horizontal="center" vertical="center"/>
    </xf>
    <xf numFmtId="41" fontId="9" fillId="0" borderId="25" xfId="0" applyNumberFormat="1" applyFont="1" applyBorder="1" applyAlignment="1">
      <alignment horizontal="center" vertical="center"/>
    </xf>
    <xf numFmtId="41" fontId="9" fillId="4" borderId="25" xfId="0" applyNumberFormat="1" applyFont="1" applyFill="1" applyBorder="1" applyAlignment="1">
      <alignment horizontal="center" vertical="center"/>
    </xf>
    <xf numFmtId="41" fontId="9" fillId="4" borderId="26" xfId="0" applyNumberFormat="1" applyFont="1" applyFill="1" applyBorder="1" applyAlignment="1">
      <alignment horizontal="right" vertical="center"/>
    </xf>
    <xf numFmtId="41" fontId="9" fillId="0" borderId="26" xfId="0" applyNumberFormat="1" applyFont="1" applyBorder="1" applyAlignment="1">
      <alignment horizontal="right" vertical="center"/>
    </xf>
    <xf numFmtId="41" fontId="8" fillId="4" borderId="3" xfId="0" applyNumberFormat="1" applyFont="1" applyFill="1" applyBorder="1" applyAlignment="1">
      <alignment horizontal="center" vertical="center"/>
    </xf>
    <xf numFmtId="41" fontId="8" fillId="4" borderId="4" xfId="0" applyNumberFormat="1" applyFont="1" applyFill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right" vertical="center"/>
    </xf>
    <xf numFmtId="165" fontId="0" fillId="2" borderId="4" xfId="0" applyNumberFormat="1" applyFill="1" applyBorder="1" applyAlignment="1">
      <alignment horizontal="right" vertical="center"/>
    </xf>
    <xf numFmtId="165" fontId="0" fillId="2" borderId="9" xfId="0" applyNumberFormat="1" applyFill="1" applyBorder="1" applyAlignment="1">
      <alignment horizontal="center" vertical="center"/>
    </xf>
    <xf numFmtId="164" fontId="9" fillId="4" borderId="5" xfId="2" applyNumberFormat="1" applyFont="1" applyFill="1" applyBorder="1" applyAlignment="1">
      <alignment horizontal="center" vertical="center"/>
    </xf>
    <xf numFmtId="164" fontId="9" fillId="4" borderId="4" xfId="2" applyNumberFormat="1" applyFont="1" applyFill="1" applyBorder="1" applyAlignment="1">
      <alignment horizontal="right" vertical="center"/>
    </xf>
    <xf numFmtId="0" fontId="0" fillId="0" borderId="18" xfId="0" applyBorder="1"/>
    <xf numFmtId="49" fontId="9" fillId="0" borderId="19" xfId="0" applyNumberFormat="1" applyFont="1" applyBorder="1" applyAlignment="1">
      <alignment horizontal="left" vertical="center" wrapText="1"/>
    </xf>
    <xf numFmtId="164" fontId="9" fillId="3" borderId="20" xfId="2" applyNumberFormat="1" applyFont="1" applyFill="1" applyBorder="1" applyAlignment="1">
      <alignment horizontal="right" vertical="center"/>
    </xf>
    <xf numFmtId="14" fontId="8" fillId="0" borderId="4" xfId="0" applyNumberFormat="1" applyFont="1" applyBorder="1" applyAlignment="1">
      <alignment horizontal="center" vertical="center" wrapText="1"/>
    </xf>
    <xf numFmtId="49" fontId="11" fillId="0" borderId="4" xfId="1" applyNumberFormat="1" applyBorder="1" applyAlignment="1">
      <alignment vertical="center" wrapText="1"/>
    </xf>
    <xf numFmtId="43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9" fillId="0" borderId="27" xfId="0" applyNumberFormat="1" applyFont="1" applyBorder="1" applyAlignment="1">
      <alignment horizontal="center" vertical="center"/>
    </xf>
    <xf numFmtId="165" fontId="9" fillId="3" borderId="23" xfId="0" applyNumberFormat="1" applyFont="1" applyFill="1" applyBorder="1" applyAlignment="1">
      <alignment horizontal="right" vertical="center"/>
    </xf>
    <xf numFmtId="165" fontId="9" fillId="0" borderId="24" xfId="0" applyNumberFormat="1" applyFont="1" applyBorder="1" applyAlignment="1">
      <alignment horizontal="center" vertical="center"/>
    </xf>
    <xf numFmtId="165" fontId="9" fillId="4" borderId="30" xfId="0" applyNumberFormat="1" applyFont="1" applyFill="1" applyBorder="1" applyAlignment="1">
      <alignment horizontal="center" vertical="center"/>
    </xf>
    <xf numFmtId="49" fontId="9" fillId="6" borderId="4" xfId="0" applyNumberFormat="1" applyFont="1" applyFill="1" applyBorder="1" applyAlignment="1">
      <alignment horizontal="center" vertical="center" wrapText="1"/>
    </xf>
    <xf numFmtId="49" fontId="11" fillId="6" borderId="4" xfId="1" applyNumberFormat="1" applyFill="1" applyBorder="1" applyAlignment="1">
      <alignment vertical="center" wrapText="1"/>
    </xf>
    <xf numFmtId="49" fontId="11" fillId="6" borderId="4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center" vertical="center" wrapText="1"/>
    </xf>
    <xf numFmtId="165" fontId="0" fillId="6" borderId="9" xfId="0" applyNumberFormat="1" applyFill="1" applyBorder="1" applyAlignment="1">
      <alignment horizontal="center" vertical="center"/>
    </xf>
    <xf numFmtId="164" fontId="9" fillId="6" borderId="5" xfId="2" applyNumberFormat="1" applyFon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right" vertical="center"/>
    </xf>
    <xf numFmtId="164" fontId="9" fillId="6" borderId="4" xfId="2" applyNumberFormat="1" applyFont="1" applyFill="1" applyBorder="1" applyAlignment="1">
      <alignment horizontal="right" vertical="center"/>
    </xf>
    <xf numFmtId="43" fontId="9" fillId="6" borderId="4" xfId="0" applyNumberFormat="1" applyFont="1" applyFill="1" applyBorder="1" applyAlignment="1">
      <alignment horizontal="right" vertical="center"/>
    </xf>
    <xf numFmtId="43" fontId="14" fillId="6" borderId="4" xfId="0" applyNumberFormat="1" applyFont="1" applyFill="1" applyBorder="1" applyAlignment="1">
      <alignment horizontal="right" vertical="center"/>
    </xf>
    <xf numFmtId="0" fontId="11" fillId="6" borderId="4" xfId="0" applyFont="1" applyFill="1" applyBorder="1" applyAlignment="1">
      <alignment horizontal="center" vertical="center" wrapText="1"/>
    </xf>
    <xf numFmtId="14" fontId="8" fillId="6" borderId="4" xfId="0" applyNumberFormat="1" applyFont="1" applyFill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horizontal="center" vertical="center" wrapText="1"/>
    </xf>
    <xf numFmtId="0" fontId="18" fillId="7" borderId="31" xfId="4" applyFont="1" applyFill="1" applyBorder="1"/>
    <xf numFmtId="0" fontId="6" fillId="0" borderId="0" xfId="4"/>
    <xf numFmtId="0" fontId="6" fillId="0" borderId="0" xfId="4" applyAlignment="1">
      <alignment horizontal="left" vertical="top" wrapText="1"/>
    </xf>
    <xf numFmtId="0" fontId="20" fillId="0" borderId="0" xfId="5" applyAlignment="1">
      <alignment wrapText="1"/>
    </xf>
    <xf numFmtId="0" fontId="6" fillId="0" borderId="0" xfId="4" applyAlignment="1">
      <alignment wrapText="1"/>
    </xf>
    <xf numFmtId="0" fontId="6" fillId="5" borderId="0" xfId="4" applyFill="1" applyAlignment="1">
      <alignment horizontal="left" vertical="top" wrapText="1"/>
    </xf>
    <xf numFmtId="0" fontId="20" fillId="5" borderId="0" xfId="5" applyFill="1" applyAlignment="1">
      <alignment horizontal="left" vertical="top" wrapText="1"/>
    </xf>
    <xf numFmtId="0" fontId="20" fillId="0" borderId="0" xfId="5" applyAlignment="1">
      <alignment vertical="top" wrapText="1"/>
    </xf>
    <xf numFmtId="0" fontId="20" fillId="0" borderId="0" xfId="5" applyAlignment="1">
      <alignment horizontal="left" vertical="top" wrapText="1"/>
    </xf>
    <xf numFmtId="0" fontId="19" fillId="0" borderId="0" xfId="4" applyFont="1"/>
    <xf numFmtId="49" fontId="11" fillId="0" borderId="19" xfId="1" applyNumberFormat="1" applyBorder="1" applyAlignment="1">
      <alignment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9" fillId="0" borderId="19" xfId="0" applyNumberFormat="1" applyFont="1" applyBorder="1" applyAlignment="1">
      <alignment horizontal="center" vertical="center" wrapText="1"/>
    </xf>
    <xf numFmtId="49" fontId="11" fillId="0" borderId="27" xfId="0" applyNumberFormat="1" applyFont="1" applyBorder="1" applyAlignment="1">
      <alignment horizontal="center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49" fontId="10" fillId="4" borderId="5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0" fillId="4" borderId="4" xfId="0" applyNumberFormat="1" applyFont="1" applyFill="1" applyBorder="1" applyAlignment="1">
      <alignment horizontal="center" vertical="center" wrapText="1"/>
    </xf>
    <xf numFmtId="43" fontId="10" fillId="2" borderId="4" xfId="0" applyNumberFormat="1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0" fontId="6" fillId="9" borderId="0" xfId="4" applyFill="1"/>
    <xf numFmtId="0" fontId="21" fillId="8" borderId="0" xfId="4" applyFont="1" applyFill="1"/>
    <xf numFmtId="49" fontId="18" fillId="0" borderId="2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top" wrapText="1"/>
    </xf>
    <xf numFmtId="49" fontId="11" fillId="0" borderId="4" xfId="1" applyNumberFormat="1" applyBorder="1" applyAlignment="1">
      <alignment horizontal="left" vertical="top" wrapText="1"/>
    </xf>
    <xf numFmtId="49" fontId="9" fillId="0" borderId="4" xfId="0" applyNumberFormat="1" applyFont="1" applyBorder="1" applyAlignment="1">
      <alignment horizontal="center" vertical="top" wrapText="1"/>
    </xf>
    <xf numFmtId="0" fontId="20" fillId="0" borderId="0" xfId="5" applyFill="1" applyAlignment="1">
      <alignment horizontal="left"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1" fillId="0" borderId="27" xfId="0" applyNumberFormat="1" applyFont="1" applyBorder="1" applyAlignment="1">
      <alignment horizontal="left" vertical="top" wrapText="1"/>
    </xf>
    <xf numFmtId="0" fontId="6" fillId="9" borderId="0" xfId="4" applyFill="1" applyAlignment="1">
      <alignment horizontal="left" vertical="top" wrapText="1"/>
    </xf>
    <xf numFmtId="49" fontId="22" fillId="0" borderId="2" xfId="0" applyNumberFormat="1" applyFont="1" applyBorder="1" applyAlignment="1">
      <alignment horizontal="center" vertical="center" wrapText="1"/>
    </xf>
    <xf numFmtId="14" fontId="17" fillId="6" borderId="4" xfId="0" applyNumberFormat="1" applyFont="1" applyFill="1" applyBorder="1" applyAlignment="1">
      <alignment horizontal="center" vertical="center" wrapText="1"/>
    </xf>
    <xf numFmtId="49" fontId="9" fillId="6" borderId="19" xfId="0" applyNumberFormat="1" applyFont="1" applyFill="1" applyBorder="1" applyAlignment="1">
      <alignment horizontal="center" vertical="center" wrapText="1"/>
    </xf>
    <xf numFmtId="49" fontId="11" fillId="6" borderId="19" xfId="1" applyNumberFormat="1" applyFill="1" applyBorder="1" applyAlignment="1">
      <alignment vertical="center" wrapText="1"/>
    </xf>
    <xf numFmtId="49" fontId="11" fillId="6" borderId="27" xfId="0" applyNumberFormat="1" applyFont="1" applyFill="1" applyBorder="1" applyAlignment="1">
      <alignment horizontal="center" vertical="center" wrapText="1"/>
    </xf>
    <xf numFmtId="49" fontId="11" fillId="6" borderId="28" xfId="0" applyNumberFormat="1" applyFont="1" applyFill="1" applyBorder="1" applyAlignment="1">
      <alignment horizontal="center" vertical="center" wrapText="1"/>
    </xf>
    <xf numFmtId="164" fontId="9" fillId="6" borderId="20" xfId="2" applyNumberFormat="1" applyFont="1" applyFill="1" applyBorder="1" applyAlignment="1">
      <alignment horizontal="right" vertical="center"/>
    </xf>
    <xf numFmtId="165" fontId="0" fillId="6" borderId="29" xfId="0" applyNumberFormat="1" applyFill="1" applyBorder="1" applyAlignment="1">
      <alignment horizontal="center" vertical="center"/>
    </xf>
    <xf numFmtId="164" fontId="9" fillId="6" borderId="27" xfId="2" applyNumberFormat="1" applyFont="1" applyFill="1" applyBorder="1" applyAlignment="1">
      <alignment horizontal="center" vertical="center"/>
    </xf>
    <xf numFmtId="165" fontId="0" fillId="6" borderId="19" xfId="0" applyNumberFormat="1" applyFill="1" applyBorder="1" applyAlignment="1">
      <alignment horizontal="right" vertical="center"/>
    </xf>
    <xf numFmtId="164" fontId="9" fillId="6" borderId="19" xfId="2" applyNumberFormat="1" applyFont="1" applyFill="1" applyBorder="1" applyAlignment="1">
      <alignment horizontal="right" vertical="center"/>
    </xf>
    <xf numFmtId="43" fontId="9" fillId="6" borderId="19" xfId="0" applyNumberFormat="1" applyFont="1" applyFill="1" applyBorder="1" applyAlignment="1">
      <alignment horizontal="right" vertical="center"/>
    </xf>
    <xf numFmtId="43" fontId="11" fillId="6" borderId="19" xfId="0" applyNumberFormat="1" applyFont="1" applyFill="1" applyBorder="1" applyAlignment="1">
      <alignment horizontal="right" vertical="center"/>
    </xf>
    <xf numFmtId="43" fontId="14" fillId="6" borderId="19" xfId="0" applyNumberFormat="1" applyFont="1" applyFill="1" applyBorder="1" applyAlignment="1">
      <alignment horizontal="right" vertical="center"/>
    </xf>
    <xf numFmtId="14" fontId="17" fillId="6" borderId="19" xfId="0" applyNumberFormat="1" applyFont="1" applyFill="1" applyBorder="1" applyAlignment="1">
      <alignment horizontal="center" vertical="center" wrapText="1"/>
    </xf>
    <xf numFmtId="0" fontId="5" fillId="0" borderId="0" xfId="4" applyFont="1" applyAlignment="1">
      <alignment horizontal="left" vertical="top" wrapText="1"/>
    </xf>
    <xf numFmtId="49" fontId="9" fillId="4" borderId="0" xfId="0" applyNumberFormat="1" applyFont="1" applyFill="1" applyAlignment="1">
      <alignment horizontal="center" vertical="center" wrapText="1"/>
    </xf>
    <xf numFmtId="41" fontId="8" fillId="4" borderId="0" xfId="0" applyNumberFormat="1" applyFont="1" applyFill="1" applyAlignment="1">
      <alignment horizontal="center" vertical="center"/>
    </xf>
    <xf numFmtId="0" fontId="4" fillId="0" borderId="0" xfId="4" applyFont="1" applyAlignment="1">
      <alignment horizontal="left" vertical="top" wrapText="1"/>
    </xf>
    <xf numFmtId="0" fontId="20" fillId="0" borderId="0" xfId="5"/>
    <xf numFmtId="0" fontId="3" fillId="0" borderId="0" xfId="4" applyFont="1" applyAlignment="1">
      <alignment horizontal="left" vertical="top" wrapText="1"/>
    </xf>
    <xf numFmtId="43" fontId="11" fillId="0" borderId="19" xfId="0" applyNumberFormat="1" applyFont="1" applyBorder="1" applyAlignment="1">
      <alignment horizontal="right" vertical="center"/>
    </xf>
    <xf numFmtId="165" fontId="17" fillId="6" borderId="9" xfId="0" applyNumberFormat="1" applyFont="1" applyFill="1" applyBorder="1" applyAlignment="1">
      <alignment horizontal="center" vertical="center"/>
    </xf>
    <xf numFmtId="165" fontId="17" fillId="6" borderId="4" xfId="0" applyNumberFormat="1" applyFont="1" applyFill="1" applyBorder="1" applyAlignment="1">
      <alignment horizontal="right" vertical="center"/>
    </xf>
    <xf numFmtId="0" fontId="2" fillId="0" borderId="0" xfId="4" applyFont="1" applyAlignment="1">
      <alignment horizontal="left" vertical="top" wrapText="1"/>
    </xf>
    <xf numFmtId="43" fontId="10" fillId="0" borderId="4" xfId="0" applyNumberFormat="1" applyFont="1" applyBorder="1" applyAlignment="1">
      <alignment horizontal="center" vertical="center" wrapText="1"/>
    </xf>
    <xf numFmtId="14" fontId="17" fillId="5" borderId="4" xfId="0" applyNumberFormat="1" applyFont="1" applyFill="1" applyBorder="1" applyAlignment="1">
      <alignment horizontal="center" vertical="center" wrapText="1"/>
    </xf>
    <xf numFmtId="0" fontId="1" fillId="0" borderId="0" xfId="4" applyFont="1" applyAlignment="1">
      <alignment horizontal="left" vertical="top" wrapText="1"/>
    </xf>
    <xf numFmtId="165" fontId="9" fillId="0" borderId="4" xfId="0" applyNumberFormat="1" applyFont="1" applyBorder="1" applyAlignment="1">
      <alignment horizontal="right" vertical="center"/>
    </xf>
    <xf numFmtId="165" fontId="17" fillId="5" borderId="4" xfId="0" applyNumberFormat="1" applyFont="1" applyFill="1" applyBorder="1" applyAlignment="1">
      <alignment horizontal="right" vertical="center"/>
    </xf>
    <xf numFmtId="14" fontId="11" fillId="0" borderId="6" xfId="0" applyNumberFormat="1" applyFont="1" applyBorder="1" applyAlignment="1">
      <alignment horizontal="left" vertical="center" wrapText="1"/>
    </xf>
    <xf numFmtId="49" fontId="11" fillId="0" borderId="0" xfId="1" applyNumberFormat="1" applyAlignment="1">
      <alignment horizontal="center" vertical="center" wrapText="1"/>
    </xf>
    <xf numFmtId="164" fontId="9" fillId="4" borderId="20" xfId="2" applyNumberFormat="1" applyFont="1" applyFill="1" applyBorder="1" applyAlignment="1">
      <alignment horizontal="right" vertical="center"/>
    </xf>
    <xf numFmtId="41" fontId="9" fillId="6" borderId="14" xfId="0" applyNumberFormat="1" applyFont="1" applyFill="1" applyBorder="1" applyAlignment="1">
      <alignment horizontal="right" vertical="center"/>
    </xf>
    <xf numFmtId="41" fontId="9" fillId="3" borderId="14" xfId="0" applyNumberFormat="1" applyFont="1" applyFill="1" applyBorder="1" applyAlignment="1">
      <alignment horizontal="right" vertical="center"/>
    </xf>
    <xf numFmtId="41" fontId="9" fillId="3" borderId="23" xfId="0" applyNumberFormat="1" applyFont="1" applyFill="1" applyBorder="1" applyAlignment="1">
      <alignment horizontal="right" vertical="center"/>
    </xf>
    <xf numFmtId="43" fontId="9" fillId="0" borderId="4" xfId="0" applyNumberFormat="1" applyFont="1" applyBorder="1" applyAlignment="1">
      <alignment horizontal="center" vertical="center" wrapText="1"/>
    </xf>
    <xf numFmtId="43" fontId="9" fillId="0" borderId="19" xfId="0" applyNumberFormat="1" applyFont="1" applyBorder="1" applyAlignment="1">
      <alignment horizontal="right" vertical="center"/>
    </xf>
    <xf numFmtId="43" fontId="9" fillId="0" borderId="0" xfId="0" applyNumberFormat="1" applyFont="1" applyAlignment="1">
      <alignment horizontal="right" vertical="center"/>
    </xf>
    <xf numFmtId="49" fontId="9" fillId="0" borderId="0" xfId="0" applyNumberFormat="1" applyFont="1" applyAlignment="1">
      <alignment horizontal="center" vertical="center" wrapText="1"/>
    </xf>
    <xf numFmtId="41" fontId="8" fillId="0" borderId="0" xfId="0" applyNumberFormat="1" applyFont="1" applyAlignment="1">
      <alignment horizontal="right" vertical="center"/>
    </xf>
    <xf numFmtId="41" fontId="0" fillId="0" borderId="0" xfId="0" applyNumberFormat="1" applyAlignment="1">
      <alignment horizontal="right" vertical="center"/>
    </xf>
    <xf numFmtId="165" fontId="11" fillId="6" borderId="9" xfId="0" applyNumberFormat="1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 wrapText="1"/>
    </xf>
    <xf numFmtId="14" fontId="17" fillId="0" borderId="4" xfId="0" applyNumberFormat="1" applyFont="1" applyBorder="1" applyAlignment="1">
      <alignment horizontal="center" vertical="center" wrapText="1"/>
    </xf>
    <xf numFmtId="165" fontId="17" fillId="0" borderId="4" xfId="0" applyNumberFormat="1" applyFont="1" applyBorder="1" applyAlignment="1">
      <alignment horizontal="right" vertical="center"/>
    </xf>
    <xf numFmtId="165" fontId="17" fillId="2" borderId="4" xfId="0" applyNumberFormat="1" applyFont="1" applyFill="1" applyBorder="1" applyAlignment="1">
      <alignment horizontal="right" vertical="center"/>
    </xf>
    <xf numFmtId="9" fontId="9" fillId="0" borderId="19" xfId="6" applyFont="1" applyBorder="1" applyAlignment="1">
      <alignment horizontal="right" vertical="center"/>
    </xf>
    <xf numFmtId="43" fontId="0" fillId="0" borderId="0" xfId="0" applyNumberFormat="1"/>
    <xf numFmtId="43" fontId="11" fillId="0" borderId="6" xfId="0" applyNumberFormat="1" applyFont="1" applyBorder="1" applyAlignment="1">
      <alignment horizontal="left" vertical="center" wrapText="1"/>
    </xf>
    <xf numFmtId="43" fontId="11" fillId="0" borderId="0" xfId="0" applyNumberFormat="1" applyFont="1" applyAlignment="1">
      <alignment vertical="center" wrapText="1"/>
    </xf>
    <xf numFmtId="2" fontId="11" fillId="0" borderId="0" xfId="0" applyNumberFormat="1" applyFont="1" applyAlignment="1">
      <alignment vertical="center" wrapText="1"/>
    </xf>
    <xf numFmtId="9" fontId="9" fillId="6" borderId="19" xfId="6" applyFont="1" applyFill="1" applyBorder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49" fontId="9" fillId="0" borderId="21" xfId="0" applyNumberFormat="1" applyFont="1" applyBorder="1" applyAlignment="1">
      <alignment horizontal="center" vertical="center" wrapText="1"/>
    </xf>
    <xf numFmtId="49" fontId="9" fillId="3" borderId="36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49" fontId="9" fillId="0" borderId="35" xfId="0" applyNumberFormat="1" applyFont="1" applyBorder="1" applyAlignment="1">
      <alignment horizontal="center" vertical="center" wrapText="1"/>
    </xf>
    <xf numFmtId="49" fontId="9" fillId="0" borderId="22" xfId="0" applyNumberFormat="1" applyFont="1" applyBorder="1" applyAlignment="1">
      <alignment horizontal="center" vertical="center" wrapText="1"/>
    </xf>
    <xf numFmtId="49" fontId="9" fillId="0" borderId="36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49" fontId="9" fillId="0" borderId="34" xfId="0" applyNumberFormat="1" applyFont="1" applyBorder="1" applyAlignment="1">
      <alignment horizontal="center" vertical="center" wrapText="1"/>
    </xf>
  </cellXfs>
  <cellStyles count="7">
    <cellStyle name="Currency" xfId="2" builtinId="4"/>
    <cellStyle name="Hyperlink" xfId="5" builtinId="8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Percent" xfId="6" builtinId="5"/>
  </cellStyles>
  <dxfs count="36"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FF0000"/>
      </font>
    </dxf>
    <dxf>
      <font>
        <color rgb="FFFF0000"/>
      </font>
    </dxf>
    <dxf>
      <font>
        <strike val="0"/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numFmt numFmtId="30" formatCode="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</dxfs>
  <tableStyles count="0" defaultTableStyle="TableStyleMedium9" defaultPivotStyle="PivotStyleLight16"/>
  <colors>
    <mruColors>
      <color rgb="FF0000FF"/>
      <color rgb="FFFFCC99"/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noho, Audrey Rae" id="{13DC2097-8199-4A17-8C20-2C1113442066}" userId="S::awelborn@illinois.edu::6fa6c619-d511-4c9b-bf60-1bacc8d7397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S28" totalsRowShown="0" headerRowDxfId="35" dataDxfId="34">
  <autoFilter ref="A2:S28" xr:uid="{00000000-0009-0000-0100-000001000000}"/>
  <sortState xmlns:xlrd2="http://schemas.microsoft.com/office/spreadsheetml/2017/richdata2" ref="A3:L34">
    <sortCondition ref="A2:A34"/>
  </sortState>
  <tableColumns count="19">
    <tableColumn id="1" xr3:uid="{00000000-0010-0000-0000-000001000000}" name="Organization" dataDxfId="33"/>
    <tableColumn id="13" xr3:uid="{00000000-0010-0000-0000-00000D000000}" name="Official Signee" dataDxfId="32"/>
    <tableColumn id="2" xr3:uid="{00000000-0010-0000-0000-000002000000}" name="Title" dataDxfId="31"/>
    <tableColumn id="3" xr3:uid="{00000000-0010-0000-0000-000003000000}" name="Last Name" dataDxfId="30"/>
    <tableColumn id="4" xr3:uid="{00000000-0010-0000-0000-000004000000}" name="First Name" dataDxfId="29"/>
    <tableColumn id="6" xr3:uid="{00000000-0010-0000-0000-000006000000}" name="Address" dataDxfId="28"/>
    <tableColumn id="7" xr3:uid="{00000000-0010-0000-0000-000007000000}" name="City" dataDxfId="27"/>
    <tableColumn id="8" xr3:uid="{00000000-0010-0000-0000-000008000000}" name="State" dataDxfId="26"/>
    <tableColumn id="9" xr3:uid="{00000000-0010-0000-0000-000009000000}" name="Zip" dataDxfId="25"/>
    <tableColumn id="10" xr3:uid="{00000000-0010-0000-0000-00000A000000}" name="Phone" dataDxfId="24"/>
    <tableColumn id="11" xr3:uid="{00000000-0010-0000-0000-00000B000000}" name="Email" dataDxfId="23" dataCellStyle="Hyperlink"/>
    <tableColumn id="12" xr3:uid="{00000000-0010-0000-0000-00000C000000}" name="Fax" dataDxfId="22"/>
    <tableColumn id="5" xr3:uid="{00000000-0010-0000-0000-000005000000}" name="Date Modified" dataDxfId="21"/>
    <tableColumn id="14" xr3:uid="{00000000-0010-0000-0000-00000E000000}" name="Project Number:" dataDxfId="20"/>
    <tableColumn id="15" xr3:uid="{00000000-0010-0000-0000-00000F000000}" name="Project Title:" dataDxfId="19"/>
    <tableColumn id="16" xr3:uid="{00000000-0010-0000-0000-000010000000}" name="Subaward #" dataDxfId="18"/>
    <tableColumn id="17" xr3:uid="{00000000-0010-0000-0000-000011000000}" name="Grant Code" dataDxfId="17"/>
    <tableColumn id="18" xr3:uid="{00000000-0010-0000-0000-000012000000}" name="FY18 Subaward Letter Sent " dataDxfId="16"/>
    <tableColumn id="19" xr3:uid="{00000000-0010-0000-0000-000013000000}" name="FY18 Subaward Letter Rcvd" dataDxfId="15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26" dT="2022-03-02T15:59:49.78" personId="{13DC2097-8199-4A17-8C20-2C1113442066}" id="{E90918B4-29CA-4434-88F7-CCD46F69D2AA}">
    <text>final cost share of $412 added with transit recap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hornbe@siue.edu" TargetMode="External"/><Relationship Id="rId13" Type="http://schemas.openxmlformats.org/officeDocument/2006/relationships/hyperlink" Target="mailto:zeluri@ezengsolutions.com" TargetMode="External"/><Relationship Id="rId18" Type="http://schemas.openxmlformats.org/officeDocument/2006/relationships/hyperlink" Target="mailto:orso@wsu.edu" TargetMode="External"/><Relationship Id="rId3" Type="http://schemas.openxmlformats.org/officeDocument/2006/relationships/hyperlink" Target="mailto:tkenny@fsmail.bradley.edu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jathomas@iastate.edu" TargetMode="External"/><Relationship Id="rId12" Type="http://schemas.openxmlformats.org/officeDocument/2006/relationships/hyperlink" Target="mailto:mitzi.riggs@okstate.edu" TargetMode="External"/><Relationship Id="rId17" Type="http://schemas.openxmlformats.org/officeDocument/2006/relationships/hyperlink" Target="mailto:orso@wsu.edu" TargetMode="External"/><Relationship Id="rId2" Type="http://schemas.openxmlformats.org/officeDocument/2006/relationships/hyperlink" Target="mailto:cdwyer@ara.com" TargetMode="External"/><Relationship Id="rId16" Type="http://schemas.openxmlformats.org/officeDocument/2006/relationships/hyperlink" Target="mailto:orso@wsu.edu" TargetMode="External"/><Relationship Id="rId20" Type="http://schemas.openxmlformats.org/officeDocument/2006/relationships/hyperlink" Target="mailto:s-logaras@northwestern.edu" TargetMode="External"/><Relationship Id="rId1" Type="http://schemas.openxmlformats.org/officeDocument/2006/relationships/hyperlink" Target="mailto:thornbe@siue.edu" TargetMode="External"/><Relationship Id="rId6" Type="http://schemas.openxmlformats.org/officeDocument/2006/relationships/hyperlink" Target="mailto:lapointe@iit.edu" TargetMode="External"/><Relationship Id="rId11" Type="http://schemas.openxmlformats.org/officeDocument/2006/relationships/hyperlink" Target="mailto:mwanas3@vt.edu" TargetMode="External"/><Relationship Id="rId5" Type="http://schemas.openxmlformats.org/officeDocument/2006/relationships/hyperlink" Target="mailto:tkenny@fsmail.bradley.edu" TargetMode="External"/><Relationship Id="rId15" Type="http://schemas.openxmlformats.org/officeDocument/2006/relationships/hyperlink" Target="mailto:pamela.ware@osp.gatechn.edu" TargetMode="External"/><Relationship Id="rId10" Type="http://schemas.openxmlformats.org/officeDocument/2006/relationships/hyperlink" Target="mailto:kwelborn@usgs.gov" TargetMode="External"/><Relationship Id="rId19" Type="http://schemas.openxmlformats.org/officeDocument/2006/relationships/hyperlink" Target="mailto:lkerth@tamu.edu" TargetMode="External"/><Relationship Id="rId4" Type="http://schemas.openxmlformats.org/officeDocument/2006/relationships/hyperlink" Target="mailto:brownkt@udel.edu" TargetMode="External"/><Relationship Id="rId9" Type="http://schemas.openxmlformats.org/officeDocument/2006/relationships/hyperlink" Target="mailto:thornbe@siue.edu" TargetMode="External"/><Relationship Id="rId14" Type="http://schemas.openxmlformats.org/officeDocument/2006/relationships/hyperlink" Target="mailto:kitka@asu.edu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6"/>
  <sheetViews>
    <sheetView tabSelected="1" zoomScale="80" zoomScaleNormal="80" zoomScaleSheetLayoutView="85" workbookViewId="0">
      <pane xSplit="7" ySplit="2" topLeftCell="X3" activePane="bottomRight" state="frozen"/>
      <selection pane="topRight" activeCell="H1" sqref="H1"/>
      <selection pane="bottomLeft" activeCell="A3" sqref="A3"/>
      <selection pane="bottomRight" activeCell="AH3" sqref="AH3"/>
    </sheetView>
  </sheetViews>
  <sheetFormatPr defaultColWidth="9" defaultRowHeight="12.75" x14ac:dyDescent="0.2"/>
  <cols>
    <col min="1" max="1" width="11.85546875" customWidth="1"/>
    <col min="2" max="2" width="43.85546875" customWidth="1"/>
    <col min="3" max="3" width="13.7109375" customWidth="1"/>
    <col min="4" max="4" width="8.28515625" customWidth="1"/>
    <col min="5" max="5" width="29.85546875" bestFit="1" customWidth="1"/>
    <col min="6" max="6" width="20.42578125" customWidth="1"/>
    <col min="7" max="7" width="14.28515625" bestFit="1" customWidth="1"/>
    <col min="8" max="8" width="13.85546875" bestFit="1" customWidth="1"/>
    <col min="9" max="9" width="12.85546875" bestFit="1" customWidth="1"/>
    <col min="10" max="10" width="12.28515625" bestFit="1" customWidth="1"/>
    <col min="11" max="12" width="13.85546875" bestFit="1" customWidth="1"/>
    <col min="13" max="13" width="12.85546875" bestFit="1" customWidth="1"/>
    <col min="14" max="14" width="12.28515625" bestFit="1" customWidth="1"/>
    <col min="15" max="16" width="13.85546875" bestFit="1" customWidth="1"/>
    <col min="17" max="17" width="12.85546875" bestFit="1" customWidth="1"/>
    <col min="18" max="18" width="12.28515625" bestFit="1" customWidth="1"/>
    <col min="19" max="20" width="13.85546875" bestFit="1" customWidth="1"/>
    <col min="21" max="22" width="12.7109375" customWidth="1"/>
    <col min="23" max="24" width="13.85546875" bestFit="1" customWidth="1"/>
    <col min="25" max="26" width="12.7109375" customWidth="1"/>
    <col min="27" max="27" width="13.85546875" bestFit="1" customWidth="1"/>
    <col min="28" max="48" width="12.7109375" customWidth="1"/>
    <col min="49" max="49" width="14.7109375" customWidth="1"/>
    <col min="50" max="52" width="13.85546875" customWidth="1"/>
    <col min="53" max="53" width="72" customWidth="1"/>
    <col min="54" max="54" width="14.28515625" customWidth="1"/>
    <col min="55" max="55" width="52" customWidth="1"/>
    <col min="56" max="57" width="12.42578125" bestFit="1" customWidth="1"/>
    <col min="58" max="58" width="9" customWidth="1"/>
    <col min="60" max="60" width="9.7109375" customWidth="1"/>
  </cols>
  <sheetData>
    <row r="1" spans="1:60" ht="41.25" customHeight="1" thickBot="1" x14ac:dyDescent="0.25">
      <c r="A1" s="173" t="s">
        <v>61</v>
      </c>
      <c r="B1" s="181" t="s">
        <v>0</v>
      </c>
      <c r="C1" s="177" t="s">
        <v>2</v>
      </c>
      <c r="D1" s="177" t="s">
        <v>80</v>
      </c>
      <c r="E1" s="177" t="s">
        <v>62</v>
      </c>
      <c r="F1" s="173" t="s">
        <v>1</v>
      </c>
      <c r="G1" s="175" t="s">
        <v>690</v>
      </c>
      <c r="H1" s="166" t="s">
        <v>63</v>
      </c>
      <c r="I1" s="166"/>
      <c r="J1" s="166"/>
      <c r="K1" s="166"/>
      <c r="L1" s="167" t="s">
        <v>64</v>
      </c>
      <c r="M1" s="168"/>
      <c r="N1" s="168"/>
      <c r="O1" s="169"/>
      <c r="P1" s="167" t="s">
        <v>65</v>
      </c>
      <c r="Q1" s="168"/>
      <c r="R1" s="168"/>
      <c r="S1" s="169"/>
      <c r="T1" s="167" t="s">
        <v>744</v>
      </c>
      <c r="U1" s="168"/>
      <c r="V1" s="168"/>
      <c r="W1" s="169"/>
      <c r="X1" s="167" t="s">
        <v>745</v>
      </c>
      <c r="Y1" s="168"/>
      <c r="Z1" s="168"/>
      <c r="AA1" s="169"/>
      <c r="AB1" s="167" t="s">
        <v>746</v>
      </c>
      <c r="AC1" s="168"/>
      <c r="AD1" s="168"/>
      <c r="AE1" s="169"/>
      <c r="AF1" s="167" t="s">
        <v>747</v>
      </c>
      <c r="AG1" s="168"/>
      <c r="AH1" s="168"/>
      <c r="AI1" s="169"/>
      <c r="AJ1" s="170" t="s">
        <v>648</v>
      </c>
      <c r="AK1" s="171"/>
      <c r="AL1" s="171"/>
      <c r="AM1" s="172"/>
      <c r="AN1" s="170" t="s">
        <v>667</v>
      </c>
      <c r="AO1" s="171"/>
      <c r="AP1" s="171"/>
      <c r="AQ1" s="172"/>
      <c r="AR1" s="170" t="s">
        <v>688</v>
      </c>
      <c r="AS1" s="171"/>
      <c r="AT1" s="171"/>
      <c r="AU1" s="172"/>
      <c r="AV1" s="175" t="s">
        <v>689</v>
      </c>
      <c r="AW1" s="23" t="s">
        <v>731</v>
      </c>
      <c r="AX1" s="177" t="s">
        <v>3</v>
      </c>
      <c r="AY1" s="177" t="s">
        <v>19</v>
      </c>
      <c r="AZ1" s="177" t="s">
        <v>18</v>
      </c>
      <c r="BA1" s="173" t="s">
        <v>66</v>
      </c>
      <c r="BB1" s="179" t="s">
        <v>4</v>
      </c>
    </row>
    <row r="2" spans="1:60" ht="36" customHeight="1" x14ac:dyDescent="0.2">
      <c r="A2" s="174"/>
      <c r="B2" s="182"/>
      <c r="C2" s="178"/>
      <c r="D2" s="178"/>
      <c r="E2" s="178"/>
      <c r="F2" s="174"/>
      <c r="G2" s="176"/>
      <c r="H2" s="95" t="s">
        <v>30</v>
      </c>
      <c r="I2" s="95" t="s">
        <v>83</v>
      </c>
      <c r="J2" s="95" t="s">
        <v>31</v>
      </c>
      <c r="K2" s="96" t="s">
        <v>32</v>
      </c>
      <c r="L2" s="97" t="s">
        <v>30</v>
      </c>
      <c r="M2" s="95" t="s">
        <v>83</v>
      </c>
      <c r="N2" s="97" t="s">
        <v>31</v>
      </c>
      <c r="O2" s="98" t="s">
        <v>32</v>
      </c>
      <c r="P2" s="97" t="s">
        <v>30</v>
      </c>
      <c r="Q2" s="95" t="s">
        <v>83</v>
      </c>
      <c r="R2" s="97" t="s">
        <v>31</v>
      </c>
      <c r="S2" s="98" t="s">
        <v>32</v>
      </c>
      <c r="T2" s="137" t="s">
        <v>30</v>
      </c>
      <c r="U2" s="95" t="s">
        <v>83</v>
      </c>
      <c r="V2" s="137" t="s">
        <v>31</v>
      </c>
      <c r="W2" s="97" t="s">
        <v>32</v>
      </c>
      <c r="X2" s="137" t="s">
        <v>30</v>
      </c>
      <c r="Y2" s="95" t="s">
        <v>83</v>
      </c>
      <c r="Z2" s="137" t="s">
        <v>31</v>
      </c>
      <c r="AA2" s="98" t="s">
        <v>32</v>
      </c>
      <c r="AB2" s="137" t="s">
        <v>30</v>
      </c>
      <c r="AC2" s="95" t="s">
        <v>83</v>
      </c>
      <c r="AD2" s="137" t="s">
        <v>31</v>
      </c>
      <c r="AE2" s="98" t="s">
        <v>32</v>
      </c>
      <c r="AF2" s="137" t="s">
        <v>30</v>
      </c>
      <c r="AG2" s="95" t="s">
        <v>83</v>
      </c>
      <c r="AH2" s="137" t="s">
        <v>31</v>
      </c>
      <c r="AI2" s="98" t="s">
        <v>32</v>
      </c>
      <c r="AJ2" s="99" t="s">
        <v>30</v>
      </c>
      <c r="AK2" s="100" t="s">
        <v>83</v>
      </c>
      <c r="AL2" s="99" t="s">
        <v>31</v>
      </c>
      <c r="AM2" s="98" t="s">
        <v>32</v>
      </c>
      <c r="AN2" s="99" t="s">
        <v>30</v>
      </c>
      <c r="AO2" s="100" t="s">
        <v>83</v>
      </c>
      <c r="AP2" s="99" t="s">
        <v>31</v>
      </c>
      <c r="AQ2" s="98" t="s">
        <v>32</v>
      </c>
      <c r="AR2" s="99" t="s">
        <v>30</v>
      </c>
      <c r="AS2" s="100" t="s">
        <v>83</v>
      </c>
      <c r="AT2" s="99" t="s">
        <v>31</v>
      </c>
      <c r="AU2" s="98" t="s">
        <v>32</v>
      </c>
      <c r="AV2" s="176"/>
      <c r="AW2" s="148"/>
      <c r="AX2" s="178"/>
      <c r="AY2" s="178"/>
      <c r="AZ2" s="178"/>
      <c r="BA2" s="174"/>
      <c r="BB2" s="180"/>
      <c r="BC2" s="20"/>
      <c r="BD2" s="18"/>
      <c r="BE2" s="18"/>
      <c r="BF2" s="18"/>
      <c r="BG2" s="18"/>
      <c r="BH2" s="13"/>
    </row>
    <row r="3" spans="1:60" ht="76.5" x14ac:dyDescent="0.2">
      <c r="A3" s="114" t="s">
        <v>11</v>
      </c>
      <c r="B3" s="115" t="s">
        <v>12</v>
      </c>
      <c r="C3" s="114" t="s">
        <v>431</v>
      </c>
      <c r="D3" s="116" t="s">
        <v>81</v>
      </c>
      <c r="E3" s="116" t="s">
        <v>82</v>
      </c>
      <c r="F3" s="117" t="s">
        <v>13</v>
      </c>
      <c r="G3" s="118">
        <f>K3+O3+S3+W3+AA3+AE3+AI3</f>
        <v>168534</v>
      </c>
      <c r="H3" s="119">
        <v>49707</v>
      </c>
      <c r="I3" s="119">
        <v>12500</v>
      </c>
      <c r="J3" s="119">
        <v>15004</v>
      </c>
      <c r="K3" s="120">
        <f t="shared" ref="K3:K60" si="0">SUM(H3:J3)</f>
        <v>77211</v>
      </c>
      <c r="L3" s="121">
        <v>67319</v>
      </c>
      <c r="M3" s="119">
        <v>0</v>
      </c>
      <c r="N3" s="121">
        <v>24004</v>
      </c>
      <c r="O3" s="122">
        <f t="shared" ref="O3:O60" si="1">SUM(L3:N3)</f>
        <v>91323</v>
      </c>
      <c r="P3" s="121"/>
      <c r="Q3" s="119"/>
      <c r="R3" s="121"/>
      <c r="S3" s="122">
        <f t="shared" ref="S3:S60" si="2">SUM(P3:R3)</f>
        <v>0</v>
      </c>
      <c r="T3" s="121"/>
      <c r="U3" s="119"/>
      <c r="V3" s="121"/>
      <c r="W3" s="122">
        <f>SUM(T3:V3)</f>
        <v>0</v>
      </c>
      <c r="X3" s="121"/>
      <c r="Y3" s="119"/>
      <c r="Z3" s="121"/>
      <c r="AA3" s="122">
        <f>SUM(X3:Z3)</f>
        <v>0</v>
      </c>
      <c r="AB3" s="121"/>
      <c r="AC3" s="119"/>
      <c r="AD3" s="121"/>
      <c r="AE3" s="122">
        <f>SUM(AB3:AD3)</f>
        <v>0</v>
      </c>
      <c r="AF3" s="121"/>
      <c r="AG3" s="119"/>
      <c r="AH3" s="121"/>
      <c r="AI3" s="122">
        <f>SUM(AF3:AH3)</f>
        <v>0</v>
      </c>
      <c r="AJ3" s="121"/>
      <c r="AK3" s="119"/>
      <c r="AL3" s="121"/>
      <c r="AM3" s="122">
        <f>SUM(AJ3:AL3)</f>
        <v>0</v>
      </c>
      <c r="AN3" s="121"/>
      <c r="AO3" s="119"/>
      <c r="AP3" s="121"/>
      <c r="AQ3" s="122">
        <f>SUM(AN3:AP3)</f>
        <v>0</v>
      </c>
      <c r="AR3" s="121"/>
      <c r="AS3" s="119"/>
      <c r="AT3" s="121"/>
      <c r="AU3" s="122">
        <f>SUM(AR3:AT3)</f>
        <v>0</v>
      </c>
      <c r="AV3" s="118">
        <f t="shared" ref="AV3:AV49" si="3">+AM3+AU3+AQ3</f>
        <v>0</v>
      </c>
      <c r="AW3" s="123"/>
      <c r="AX3" s="124">
        <f>14097.55+2973.02+536.66+3847.22+11403.95+5894.99+12956.24+5895+1008.75+3065.54+11990.63+13829.07+21126.93</f>
        <v>108625.54999999999</v>
      </c>
      <c r="AY3" s="125">
        <f>AX3/3-0.62</f>
        <v>36207.89666666666</v>
      </c>
      <c r="AZ3" s="123">
        <f>16610.45+7963.33+11634.12</f>
        <v>36207.9</v>
      </c>
      <c r="BA3" s="78" t="s">
        <v>471</v>
      </c>
      <c r="BB3" s="126">
        <v>43646</v>
      </c>
      <c r="BC3" s="20"/>
      <c r="BD3" s="18"/>
      <c r="BE3" s="18"/>
      <c r="BF3" s="18"/>
      <c r="BG3" s="18"/>
      <c r="BH3" s="13"/>
    </row>
    <row r="4" spans="1:60" ht="59.25" customHeight="1" x14ac:dyDescent="0.2">
      <c r="A4" s="68" t="s">
        <v>21</v>
      </c>
      <c r="B4" s="69" t="s">
        <v>20</v>
      </c>
      <c r="C4" s="68" t="s">
        <v>88</v>
      </c>
      <c r="D4" s="70" t="s">
        <v>89</v>
      </c>
      <c r="E4" s="70" t="s">
        <v>5</v>
      </c>
      <c r="F4" s="71" t="s">
        <v>6</v>
      </c>
      <c r="G4" s="118">
        <f t="shared" ref="G4:G28" si="4">K4+O4+S4+W4+AA4+AE4+AI4</f>
        <v>266358</v>
      </c>
      <c r="H4" s="134">
        <f>35702+14102</f>
        <v>49804</v>
      </c>
      <c r="I4" s="72">
        <v>12500</v>
      </c>
      <c r="J4" s="72">
        <f>11901+4701</f>
        <v>16602</v>
      </c>
      <c r="K4" s="73">
        <f t="shared" si="0"/>
        <v>78906</v>
      </c>
      <c r="L4" s="135">
        <f>57783+33216</f>
        <v>90999</v>
      </c>
      <c r="M4" s="72">
        <v>0</v>
      </c>
      <c r="N4" s="74">
        <f>19261+11072</f>
        <v>30333</v>
      </c>
      <c r="O4" s="75">
        <f t="shared" si="1"/>
        <v>121332</v>
      </c>
      <c r="P4" s="135">
        <v>49590</v>
      </c>
      <c r="Q4" s="72">
        <v>0</v>
      </c>
      <c r="R4" s="74">
        <v>16530</v>
      </c>
      <c r="S4" s="75">
        <f t="shared" si="2"/>
        <v>66120</v>
      </c>
      <c r="T4" s="74"/>
      <c r="U4" s="72"/>
      <c r="V4" s="74"/>
      <c r="W4" s="75">
        <f>SUM(T4:V4)</f>
        <v>0</v>
      </c>
      <c r="X4" s="74"/>
      <c r="Y4" s="72"/>
      <c r="Z4" s="74"/>
      <c r="AA4" s="75">
        <f>SUM(X4:Z4)</f>
        <v>0</v>
      </c>
      <c r="AB4" s="74"/>
      <c r="AC4" s="72"/>
      <c r="AD4" s="74"/>
      <c r="AE4" s="75">
        <f>SUM(AB4:AD4)</f>
        <v>0</v>
      </c>
      <c r="AF4" s="74"/>
      <c r="AG4" s="72"/>
      <c r="AH4" s="74"/>
      <c r="AI4" s="75">
        <f>SUM(AF4:AH4)</f>
        <v>0</v>
      </c>
      <c r="AJ4" s="74"/>
      <c r="AK4" s="72"/>
      <c r="AL4" s="74"/>
      <c r="AM4" s="75">
        <f>SUM(AJ4:AL4)</f>
        <v>0</v>
      </c>
      <c r="AN4" s="74"/>
      <c r="AO4" s="72"/>
      <c r="AP4" s="74"/>
      <c r="AQ4" s="75">
        <f>SUM(AN4:AP4)</f>
        <v>0</v>
      </c>
      <c r="AR4" s="74"/>
      <c r="AS4" s="72"/>
      <c r="AT4" s="74"/>
      <c r="AU4" s="75">
        <f>SUM(AR4:AT4)</f>
        <v>0</v>
      </c>
      <c r="AV4" s="118">
        <f t="shared" si="3"/>
        <v>0</v>
      </c>
      <c r="AW4" s="123"/>
      <c r="AX4" s="124">
        <f>34645.92+4426+6663.6+5243.37+7927.96+7130.24+3500.92+5728.02+6205.83+22790.9+11141.58+6440.25+8397.73+7593.81+17323.02+11726.49+22976.86</f>
        <v>189862.5</v>
      </c>
      <c r="AY4" s="77">
        <f t="shared" ref="AY4:AY53" si="5">AX4/3</f>
        <v>63287.5</v>
      </c>
      <c r="AZ4" s="76">
        <f>7934+5900+2767+7583.25+2527.75+5055.5+2527.75+2527.75+2527.75+2527.75+2527.75+2527.75+3306.2+3306.2+3306.2+3306.2+3306.2</f>
        <v>63464.999999999985</v>
      </c>
      <c r="BA4" s="78" t="s">
        <v>516</v>
      </c>
      <c r="BB4" s="113">
        <v>43799</v>
      </c>
      <c r="BC4" s="20"/>
      <c r="BD4" s="18"/>
      <c r="BE4" s="18"/>
      <c r="BF4" s="18"/>
      <c r="BG4" s="18"/>
      <c r="BH4" s="13"/>
    </row>
    <row r="5" spans="1:60" ht="36" customHeight="1" x14ac:dyDescent="0.2">
      <c r="A5" s="68" t="s">
        <v>28</v>
      </c>
      <c r="B5" s="69" t="s">
        <v>27</v>
      </c>
      <c r="C5" s="68" t="s">
        <v>91</v>
      </c>
      <c r="D5" s="70" t="s">
        <v>90</v>
      </c>
      <c r="E5" s="70" t="s">
        <v>29</v>
      </c>
      <c r="F5" s="71" t="s">
        <v>17</v>
      </c>
      <c r="G5" s="118">
        <f t="shared" si="4"/>
        <v>71843</v>
      </c>
      <c r="H5" s="72">
        <v>44507</v>
      </c>
      <c r="I5" s="72">
        <v>12500</v>
      </c>
      <c r="J5" s="72">
        <v>14836</v>
      </c>
      <c r="K5" s="73">
        <f t="shared" si="0"/>
        <v>71843</v>
      </c>
      <c r="L5" s="74">
        <v>0</v>
      </c>
      <c r="M5" s="72"/>
      <c r="N5" s="74"/>
      <c r="O5" s="75">
        <f t="shared" si="1"/>
        <v>0</v>
      </c>
      <c r="P5" s="74">
        <v>0</v>
      </c>
      <c r="Q5" s="72"/>
      <c r="R5" s="74"/>
      <c r="S5" s="75">
        <f t="shared" si="2"/>
        <v>0</v>
      </c>
      <c r="T5" s="74"/>
      <c r="U5" s="72"/>
      <c r="V5" s="74"/>
      <c r="W5" s="75">
        <f>SUM(T5:V5)</f>
        <v>0</v>
      </c>
      <c r="X5" s="74"/>
      <c r="Y5" s="72"/>
      <c r="Z5" s="74"/>
      <c r="AA5" s="75">
        <f>SUM(X5:Z5)</f>
        <v>0</v>
      </c>
      <c r="AB5" s="74"/>
      <c r="AC5" s="72"/>
      <c r="AD5" s="74"/>
      <c r="AE5" s="75">
        <f>SUM(AB5:AD5)</f>
        <v>0</v>
      </c>
      <c r="AF5" s="74"/>
      <c r="AG5" s="72"/>
      <c r="AH5" s="74"/>
      <c r="AI5" s="75">
        <f>SUM(AF5:AH5)</f>
        <v>0</v>
      </c>
      <c r="AJ5" s="74"/>
      <c r="AK5" s="72"/>
      <c r="AL5" s="74"/>
      <c r="AM5" s="75">
        <f>SUM(AJ5:AL5)</f>
        <v>0</v>
      </c>
      <c r="AN5" s="74"/>
      <c r="AO5" s="72"/>
      <c r="AP5" s="74"/>
      <c r="AQ5" s="75">
        <f>SUM(AN5:AP5)</f>
        <v>0</v>
      </c>
      <c r="AR5" s="74"/>
      <c r="AS5" s="72"/>
      <c r="AT5" s="74"/>
      <c r="AU5" s="75">
        <f>SUM(AR5:AT5)</f>
        <v>0</v>
      </c>
      <c r="AV5" s="118">
        <f t="shared" si="3"/>
        <v>0</v>
      </c>
      <c r="AW5" s="123"/>
      <c r="AX5" s="124">
        <f>13986.37+14012.63+7937.08+7702.01+578+290.91</f>
        <v>44507.000000000007</v>
      </c>
      <c r="AY5" s="77">
        <f t="shared" si="5"/>
        <v>14835.66666666667</v>
      </c>
      <c r="AZ5" s="76">
        <f>14836+0+0+0</f>
        <v>14836</v>
      </c>
      <c r="BA5" s="78" t="s">
        <v>460</v>
      </c>
      <c r="BB5" s="79">
        <v>43373</v>
      </c>
      <c r="BC5" s="20"/>
      <c r="BD5" s="18"/>
      <c r="BE5" s="18"/>
      <c r="BF5" s="18"/>
      <c r="BG5" s="18"/>
      <c r="BH5" s="13"/>
    </row>
    <row r="6" spans="1:60" ht="36" customHeight="1" x14ac:dyDescent="0.2">
      <c r="A6" s="68" t="s">
        <v>23</v>
      </c>
      <c r="B6" s="69" t="s">
        <v>22</v>
      </c>
      <c r="C6" s="68" t="s">
        <v>92</v>
      </c>
      <c r="D6" s="70" t="s">
        <v>93</v>
      </c>
      <c r="E6" s="70" t="s">
        <v>15</v>
      </c>
      <c r="F6" s="71" t="s">
        <v>16</v>
      </c>
      <c r="G6" s="118">
        <f t="shared" si="4"/>
        <v>26400</v>
      </c>
      <c r="H6" s="72">
        <v>14400</v>
      </c>
      <c r="I6" s="72">
        <v>7200</v>
      </c>
      <c r="J6" s="72">
        <v>4800</v>
      </c>
      <c r="K6" s="73">
        <f t="shared" si="0"/>
        <v>26400</v>
      </c>
      <c r="L6" s="74">
        <v>0</v>
      </c>
      <c r="M6" s="72"/>
      <c r="N6" s="74"/>
      <c r="O6" s="75">
        <f t="shared" si="1"/>
        <v>0</v>
      </c>
      <c r="P6" s="74">
        <v>0</v>
      </c>
      <c r="Q6" s="72"/>
      <c r="R6" s="74"/>
      <c r="S6" s="75">
        <f t="shared" si="2"/>
        <v>0</v>
      </c>
      <c r="T6" s="74"/>
      <c r="U6" s="72"/>
      <c r="V6" s="74"/>
      <c r="W6" s="75">
        <f>SUM(T6:V6)</f>
        <v>0</v>
      </c>
      <c r="X6" s="74"/>
      <c r="Y6" s="72"/>
      <c r="Z6" s="74"/>
      <c r="AA6" s="75">
        <f>SUM(X6:Z6)</f>
        <v>0</v>
      </c>
      <c r="AB6" s="74"/>
      <c r="AC6" s="72"/>
      <c r="AD6" s="74"/>
      <c r="AE6" s="75">
        <f>SUM(AB6:AD6)</f>
        <v>0</v>
      </c>
      <c r="AF6" s="74"/>
      <c r="AG6" s="72"/>
      <c r="AH6" s="74"/>
      <c r="AI6" s="75">
        <f>SUM(AF6:AH6)</f>
        <v>0</v>
      </c>
      <c r="AJ6" s="74"/>
      <c r="AK6" s="72"/>
      <c r="AL6" s="74"/>
      <c r="AM6" s="75">
        <f>SUM(AJ6:AL6)</f>
        <v>0</v>
      </c>
      <c r="AN6" s="74"/>
      <c r="AO6" s="72"/>
      <c r="AP6" s="74"/>
      <c r="AQ6" s="75">
        <f>SUM(AN6:AP6)</f>
        <v>0</v>
      </c>
      <c r="AR6" s="74"/>
      <c r="AS6" s="72"/>
      <c r="AT6" s="74"/>
      <c r="AU6" s="75">
        <f>SUM(AR6:AT6)</f>
        <v>0</v>
      </c>
      <c r="AV6" s="118">
        <f t="shared" si="3"/>
        <v>0</v>
      </c>
      <c r="AW6" s="123"/>
      <c r="AX6" s="124">
        <v>1920</v>
      </c>
      <c r="AY6" s="77">
        <f t="shared" si="5"/>
        <v>640</v>
      </c>
      <c r="AZ6" s="76">
        <v>640</v>
      </c>
      <c r="BA6" s="78" t="s">
        <v>153</v>
      </c>
      <c r="BB6" s="79">
        <v>43100</v>
      </c>
      <c r="BC6" s="20"/>
      <c r="BD6" s="18"/>
      <c r="BE6" s="18"/>
      <c r="BF6" s="18"/>
      <c r="BG6" s="18"/>
      <c r="BH6" s="13"/>
    </row>
    <row r="7" spans="1:60" ht="108.75" customHeight="1" x14ac:dyDescent="0.2">
      <c r="A7" s="68" t="s">
        <v>41</v>
      </c>
      <c r="B7" s="69" t="s">
        <v>40</v>
      </c>
      <c r="C7" s="68" t="s">
        <v>94</v>
      </c>
      <c r="D7" s="70" t="s">
        <v>95</v>
      </c>
      <c r="E7" s="70" t="s">
        <v>42</v>
      </c>
      <c r="F7" s="71" t="s">
        <v>43</v>
      </c>
      <c r="G7" s="118">
        <f t="shared" si="4"/>
        <v>219902</v>
      </c>
      <c r="H7" s="72">
        <v>102601</v>
      </c>
      <c r="I7" s="72">
        <v>12500</v>
      </c>
      <c r="J7" s="72">
        <v>34200</v>
      </c>
      <c r="K7" s="73">
        <f t="shared" si="0"/>
        <v>149301</v>
      </c>
      <c r="L7" s="135">
        <f>8205+44746</f>
        <v>52951</v>
      </c>
      <c r="M7" s="72">
        <v>0</v>
      </c>
      <c r="N7" s="74">
        <f>2735+14915</f>
        <v>17650</v>
      </c>
      <c r="O7" s="75">
        <f t="shared" si="1"/>
        <v>70601</v>
      </c>
      <c r="P7" s="74">
        <v>0</v>
      </c>
      <c r="Q7" s="72"/>
      <c r="R7" s="74"/>
      <c r="S7" s="75">
        <f t="shared" si="2"/>
        <v>0</v>
      </c>
      <c r="T7" s="74"/>
      <c r="U7" s="72"/>
      <c r="V7" s="74"/>
      <c r="W7" s="75">
        <f>SUM(T7:V7)</f>
        <v>0</v>
      </c>
      <c r="X7" s="74"/>
      <c r="Y7" s="72"/>
      <c r="Z7" s="74"/>
      <c r="AA7" s="75">
        <f>SUM(X7:Z7)</f>
        <v>0</v>
      </c>
      <c r="AB7" s="74"/>
      <c r="AC7" s="72"/>
      <c r="AD7" s="74"/>
      <c r="AE7" s="75">
        <f>SUM(AB7:AD7)</f>
        <v>0</v>
      </c>
      <c r="AF7" s="74"/>
      <c r="AG7" s="72"/>
      <c r="AH7" s="74"/>
      <c r="AI7" s="75">
        <f>SUM(AF7:AH7)</f>
        <v>0</v>
      </c>
      <c r="AJ7" s="74"/>
      <c r="AK7" s="72"/>
      <c r="AL7" s="74"/>
      <c r="AM7" s="75">
        <f>SUM(AJ7:AL7)</f>
        <v>0</v>
      </c>
      <c r="AN7" s="74"/>
      <c r="AO7" s="72"/>
      <c r="AP7" s="74"/>
      <c r="AQ7" s="75">
        <f>SUM(AN7:AP7)</f>
        <v>0</v>
      </c>
      <c r="AR7" s="74"/>
      <c r="AS7" s="72"/>
      <c r="AT7" s="74"/>
      <c r="AU7" s="75">
        <f>SUM(AR7:AT7)</f>
        <v>0</v>
      </c>
      <c r="AV7" s="118">
        <f t="shared" si="3"/>
        <v>0</v>
      </c>
      <c r="AW7" s="123"/>
      <c r="AX7" s="124">
        <f>3600+1940.48+1570.77+9324.58+2215.79+18946.77+41427.42+6014.92+3847.73+729.17+438.47+11045.43+5928.41+576.84+15819.36+10488.43+21637.43</f>
        <v>155552</v>
      </c>
      <c r="AY7" s="77">
        <f t="shared" si="5"/>
        <v>51850.666666666664</v>
      </c>
      <c r="AZ7" s="76">
        <f>12375-12375+51853</f>
        <v>51853</v>
      </c>
      <c r="BA7" s="78" t="s">
        <v>575</v>
      </c>
      <c r="BB7" s="113">
        <v>44180</v>
      </c>
      <c r="BC7" s="20"/>
      <c r="BD7" s="18"/>
      <c r="BE7" s="18"/>
      <c r="BF7" s="18"/>
      <c r="BG7" s="18"/>
      <c r="BH7" s="13"/>
    </row>
    <row r="8" spans="1:60" ht="36" customHeight="1" x14ac:dyDescent="0.2">
      <c r="A8" s="68" t="s">
        <v>37</v>
      </c>
      <c r="B8" s="69" t="s">
        <v>36</v>
      </c>
      <c r="C8" s="68" t="s">
        <v>158</v>
      </c>
      <c r="D8" s="70" t="s">
        <v>103</v>
      </c>
      <c r="E8" s="70" t="s">
        <v>38</v>
      </c>
      <c r="F8" s="71" t="s">
        <v>39</v>
      </c>
      <c r="G8" s="118">
        <f t="shared" si="4"/>
        <v>3152</v>
      </c>
      <c r="H8" s="72">
        <v>1719</v>
      </c>
      <c r="I8" s="72">
        <v>860</v>
      </c>
      <c r="J8" s="72">
        <v>573</v>
      </c>
      <c r="K8" s="73">
        <f t="shared" si="0"/>
        <v>3152</v>
      </c>
      <c r="L8" s="74">
        <v>0</v>
      </c>
      <c r="M8" s="72"/>
      <c r="N8" s="74"/>
      <c r="O8" s="75">
        <f t="shared" si="1"/>
        <v>0</v>
      </c>
      <c r="P8" s="74">
        <v>0</v>
      </c>
      <c r="Q8" s="72"/>
      <c r="R8" s="74"/>
      <c r="S8" s="75">
        <f t="shared" si="2"/>
        <v>0</v>
      </c>
      <c r="T8" s="74"/>
      <c r="U8" s="72"/>
      <c r="V8" s="74"/>
      <c r="W8" s="75"/>
      <c r="X8" s="74"/>
      <c r="Y8" s="72"/>
      <c r="Z8" s="74"/>
      <c r="AA8" s="75"/>
      <c r="AB8" s="74"/>
      <c r="AC8" s="72"/>
      <c r="AD8" s="74"/>
      <c r="AE8" s="75"/>
      <c r="AF8" s="74"/>
      <c r="AG8" s="72"/>
      <c r="AH8" s="74"/>
      <c r="AI8" s="75"/>
      <c r="AJ8" s="74"/>
      <c r="AK8" s="72"/>
      <c r="AL8" s="74"/>
      <c r="AM8" s="75"/>
      <c r="AN8" s="74"/>
      <c r="AO8" s="72"/>
      <c r="AP8" s="74"/>
      <c r="AQ8" s="75"/>
      <c r="AR8" s="74"/>
      <c r="AS8" s="72"/>
      <c r="AT8" s="74"/>
      <c r="AU8" s="75"/>
      <c r="AV8" s="118">
        <f t="shared" si="3"/>
        <v>0</v>
      </c>
      <c r="AW8" s="123"/>
      <c r="AX8" s="124">
        <v>1719</v>
      </c>
      <c r="AY8" s="77">
        <f t="shared" si="5"/>
        <v>573</v>
      </c>
      <c r="AZ8" s="76">
        <v>3017.12</v>
      </c>
      <c r="BA8" s="78" t="s">
        <v>442</v>
      </c>
      <c r="BB8" s="79">
        <v>42962</v>
      </c>
      <c r="BC8" s="20"/>
      <c r="BD8" s="18"/>
      <c r="BE8" s="18"/>
      <c r="BF8" s="18"/>
      <c r="BG8" s="18"/>
      <c r="BH8" s="13"/>
    </row>
    <row r="9" spans="1:60" ht="36" customHeight="1" x14ac:dyDescent="0.2">
      <c r="A9" s="68" t="s">
        <v>48</v>
      </c>
      <c r="B9" s="69" t="s">
        <v>47</v>
      </c>
      <c r="C9" s="68" t="s">
        <v>98</v>
      </c>
      <c r="D9" s="70" t="s">
        <v>97</v>
      </c>
      <c r="E9" s="70" t="s">
        <v>24</v>
      </c>
      <c r="F9" s="71" t="s">
        <v>49</v>
      </c>
      <c r="G9" s="118">
        <f t="shared" si="4"/>
        <v>16500</v>
      </c>
      <c r="H9" s="72">
        <v>9000</v>
      </c>
      <c r="I9" s="72">
        <v>4500</v>
      </c>
      <c r="J9" s="72">
        <v>3000</v>
      </c>
      <c r="K9" s="73">
        <f t="shared" si="0"/>
        <v>16500</v>
      </c>
      <c r="L9" s="74">
        <v>0</v>
      </c>
      <c r="M9" s="72"/>
      <c r="N9" s="74"/>
      <c r="O9" s="75">
        <f t="shared" si="1"/>
        <v>0</v>
      </c>
      <c r="P9" s="74">
        <v>0</v>
      </c>
      <c r="Q9" s="72"/>
      <c r="R9" s="74"/>
      <c r="S9" s="75">
        <f t="shared" si="2"/>
        <v>0</v>
      </c>
      <c r="T9" s="74"/>
      <c r="U9" s="72"/>
      <c r="V9" s="74"/>
      <c r="W9" s="75">
        <f t="shared" ref="W9:W18" si="6">SUM(T9:V9)</f>
        <v>0</v>
      </c>
      <c r="X9" s="74"/>
      <c r="Y9" s="72"/>
      <c r="Z9" s="74"/>
      <c r="AA9" s="75">
        <f t="shared" ref="AA9:AA18" si="7">SUM(X9:Z9)</f>
        <v>0</v>
      </c>
      <c r="AB9" s="74"/>
      <c r="AC9" s="72"/>
      <c r="AD9" s="74"/>
      <c r="AE9" s="75">
        <f t="shared" ref="AE9:AE18" si="8">SUM(AB9:AD9)</f>
        <v>0</v>
      </c>
      <c r="AF9" s="74"/>
      <c r="AG9" s="72"/>
      <c r="AH9" s="74"/>
      <c r="AI9" s="75">
        <f t="shared" ref="AI9:AI18" si="9">SUM(AF9:AH9)</f>
        <v>0</v>
      </c>
      <c r="AJ9" s="74"/>
      <c r="AK9" s="72"/>
      <c r="AL9" s="74"/>
      <c r="AM9" s="75">
        <f t="shared" ref="AM9:AM18" si="10">SUM(AJ9:AL9)</f>
        <v>0</v>
      </c>
      <c r="AN9" s="74"/>
      <c r="AO9" s="72"/>
      <c r="AP9" s="74"/>
      <c r="AQ9" s="75">
        <f t="shared" ref="AQ9:AQ18" si="11">SUM(AN9:AP9)</f>
        <v>0</v>
      </c>
      <c r="AR9" s="74"/>
      <c r="AS9" s="72"/>
      <c r="AT9" s="74"/>
      <c r="AU9" s="75">
        <f t="shared" ref="AU9:AU60" si="12">SUM(AR9:AT9)</f>
        <v>0</v>
      </c>
      <c r="AV9" s="118">
        <f t="shared" si="3"/>
        <v>0</v>
      </c>
      <c r="AW9" s="123"/>
      <c r="AX9" s="124">
        <v>9000</v>
      </c>
      <c r="AY9" s="77">
        <f t="shared" si="5"/>
        <v>3000</v>
      </c>
      <c r="AZ9" s="76">
        <v>3000</v>
      </c>
      <c r="BA9" s="78" t="s">
        <v>154</v>
      </c>
      <c r="BB9" s="113">
        <v>43555</v>
      </c>
      <c r="BC9" s="20"/>
      <c r="BD9" s="18"/>
      <c r="BE9" s="18"/>
      <c r="BF9" s="18"/>
      <c r="BG9" s="18"/>
      <c r="BH9" s="13"/>
    </row>
    <row r="10" spans="1:60" ht="36" customHeight="1" x14ac:dyDescent="0.2">
      <c r="A10" s="68" t="s">
        <v>50</v>
      </c>
      <c r="B10" s="69" t="s">
        <v>47</v>
      </c>
      <c r="C10" s="68" t="s">
        <v>99</v>
      </c>
      <c r="D10" s="70" t="s">
        <v>97</v>
      </c>
      <c r="E10" s="70" t="s">
        <v>15</v>
      </c>
      <c r="F10" s="71" t="s">
        <v>51</v>
      </c>
      <c r="G10" s="118">
        <f t="shared" si="4"/>
        <v>25575</v>
      </c>
      <c r="H10" s="72">
        <v>13950</v>
      </c>
      <c r="I10" s="72">
        <v>6975</v>
      </c>
      <c r="J10" s="72">
        <v>4650</v>
      </c>
      <c r="K10" s="73">
        <f t="shared" si="0"/>
        <v>25575</v>
      </c>
      <c r="L10" s="74">
        <v>0</v>
      </c>
      <c r="M10" s="72"/>
      <c r="N10" s="74"/>
      <c r="O10" s="75">
        <f t="shared" si="1"/>
        <v>0</v>
      </c>
      <c r="P10" s="74">
        <v>0</v>
      </c>
      <c r="Q10" s="72"/>
      <c r="R10" s="74"/>
      <c r="S10" s="75">
        <f t="shared" si="2"/>
        <v>0</v>
      </c>
      <c r="T10" s="74"/>
      <c r="U10" s="72"/>
      <c r="V10" s="74"/>
      <c r="W10" s="75">
        <f t="shared" si="6"/>
        <v>0</v>
      </c>
      <c r="X10" s="74"/>
      <c r="Y10" s="72"/>
      <c r="Z10" s="74"/>
      <c r="AA10" s="75">
        <f t="shared" si="7"/>
        <v>0</v>
      </c>
      <c r="AB10" s="74"/>
      <c r="AC10" s="72"/>
      <c r="AD10" s="74"/>
      <c r="AE10" s="75">
        <f t="shared" si="8"/>
        <v>0</v>
      </c>
      <c r="AF10" s="74"/>
      <c r="AG10" s="72"/>
      <c r="AH10" s="74"/>
      <c r="AI10" s="75">
        <f t="shared" si="9"/>
        <v>0</v>
      </c>
      <c r="AJ10" s="74"/>
      <c r="AK10" s="72"/>
      <c r="AL10" s="74"/>
      <c r="AM10" s="75">
        <f t="shared" si="10"/>
        <v>0</v>
      </c>
      <c r="AN10" s="74"/>
      <c r="AO10" s="72"/>
      <c r="AP10" s="74"/>
      <c r="AQ10" s="75">
        <f t="shared" si="11"/>
        <v>0</v>
      </c>
      <c r="AR10" s="74"/>
      <c r="AS10" s="72"/>
      <c r="AT10" s="74"/>
      <c r="AU10" s="75">
        <f t="shared" si="12"/>
        <v>0</v>
      </c>
      <c r="AV10" s="118">
        <f t="shared" si="3"/>
        <v>0</v>
      </c>
      <c r="AW10" s="123"/>
      <c r="AX10" s="124">
        <f>2880+3840</f>
        <v>6720</v>
      </c>
      <c r="AY10" s="77">
        <f t="shared" si="5"/>
        <v>2240</v>
      </c>
      <c r="AZ10" s="76">
        <f>960+1280</f>
        <v>2240</v>
      </c>
      <c r="BA10" s="78" t="s">
        <v>463</v>
      </c>
      <c r="BB10" s="113">
        <v>43465</v>
      </c>
      <c r="BC10" s="20"/>
      <c r="BD10" s="18"/>
      <c r="BE10" s="18"/>
      <c r="BF10" s="18"/>
      <c r="BG10" s="18"/>
      <c r="BH10" s="13"/>
    </row>
    <row r="11" spans="1:60" ht="36" customHeight="1" x14ac:dyDescent="0.2">
      <c r="A11" s="68" t="s">
        <v>53</v>
      </c>
      <c r="B11" s="69" t="s">
        <v>52</v>
      </c>
      <c r="C11" s="68" t="s">
        <v>100</v>
      </c>
      <c r="D11" s="70" t="s">
        <v>101</v>
      </c>
      <c r="E11" s="70" t="s">
        <v>54</v>
      </c>
      <c r="F11" s="71" t="s">
        <v>55</v>
      </c>
      <c r="G11" s="118">
        <f t="shared" si="4"/>
        <v>216700</v>
      </c>
      <c r="H11" s="72">
        <v>81554</v>
      </c>
      <c r="I11" s="72">
        <v>12500</v>
      </c>
      <c r="J11" s="72">
        <v>27185</v>
      </c>
      <c r="K11" s="73">
        <f t="shared" si="0"/>
        <v>121239</v>
      </c>
      <c r="L11" s="74">
        <v>71596</v>
      </c>
      <c r="M11" s="72">
        <v>0</v>
      </c>
      <c r="N11" s="74">
        <v>23865</v>
      </c>
      <c r="O11" s="75">
        <f t="shared" si="1"/>
        <v>95461</v>
      </c>
      <c r="P11" s="74">
        <v>0</v>
      </c>
      <c r="Q11" s="72"/>
      <c r="R11" s="74"/>
      <c r="S11" s="75">
        <f t="shared" si="2"/>
        <v>0</v>
      </c>
      <c r="T11" s="74"/>
      <c r="U11" s="72"/>
      <c r="V11" s="74"/>
      <c r="W11" s="75">
        <f t="shared" si="6"/>
        <v>0</v>
      </c>
      <c r="X11" s="74"/>
      <c r="Y11" s="72"/>
      <c r="Z11" s="74"/>
      <c r="AA11" s="75">
        <f t="shared" si="7"/>
        <v>0</v>
      </c>
      <c r="AB11" s="74"/>
      <c r="AC11" s="72"/>
      <c r="AD11" s="74"/>
      <c r="AE11" s="75">
        <f t="shared" si="8"/>
        <v>0</v>
      </c>
      <c r="AF11" s="74"/>
      <c r="AG11" s="72"/>
      <c r="AH11" s="74"/>
      <c r="AI11" s="75">
        <f t="shared" si="9"/>
        <v>0</v>
      </c>
      <c r="AJ11" s="74"/>
      <c r="AK11" s="72"/>
      <c r="AL11" s="74"/>
      <c r="AM11" s="75">
        <f t="shared" si="10"/>
        <v>0</v>
      </c>
      <c r="AN11" s="74"/>
      <c r="AO11" s="72"/>
      <c r="AP11" s="74"/>
      <c r="AQ11" s="75">
        <f t="shared" si="11"/>
        <v>0</v>
      </c>
      <c r="AR11" s="74"/>
      <c r="AS11" s="72"/>
      <c r="AT11" s="74"/>
      <c r="AU11" s="75">
        <f t="shared" si="12"/>
        <v>0</v>
      </c>
      <c r="AV11" s="118">
        <f t="shared" si="3"/>
        <v>0</v>
      </c>
      <c r="AW11" s="123"/>
      <c r="AX11" s="124">
        <f>38490.2+289.23+16204.34+71141.77+27024.46</f>
        <v>153150</v>
      </c>
      <c r="AY11" s="77">
        <f t="shared" si="5"/>
        <v>51050</v>
      </c>
      <c r="AZ11" s="76">
        <v>51583.98</v>
      </c>
      <c r="BA11" s="78" t="s">
        <v>465</v>
      </c>
      <c r="BB11" s="113">
        <v>43524</v>
      </c>
      <c r="BC11" s="20"/>
      <c r="BD11" s="18"/>
      <c r="BE11" s="18"/>
      <c r="BF11" s="18"/>
      <c r="BG11" s="18"/>
      <c r="BH11" s="13"/>
    </row>
    <row r="12" spans="1:60" ht="36" customHeight="1" x14ac:dyDescent="0.2">
      <c r="A12" s="68" t="s">
        <v>57</v>
      </c>
      <c r="B12" s="69" t="s">
        <v>56</v>
      </c>
      <c r="C12" s="68" t="s">
        <v>102</v>
      </c>
      <c r="D12" s="70" t="s">
        <v>96</v>
      </c>
      <c r="E12" s="70" t="s">
        <v>58</v>
      </c>
      <c r="F12" s="71" t="s">
        <v>59</v>
      </c>
      <c r="G12" s="118">
        <f t="shared" si="4"/>
        <v>36195</v>
      </c>
      <c r="H12" s="72">
        <v>19715</v>
      </c>
      <c r="I12" s="72">
        <v>9857</v>
      </c>
      <c r="J12" s="72">
        <v>6623</v>
      </c>
      <c r="K12" s="73">
        <f t="shared" si="0"/>
        <v>36195</v>
      </c>
      <c r="L12" s="74"/>
      <c r="M12" s="72"/>
      <c r="N12" s="74"/>
      <c r="O12" s="75">
        <f t="shared" si="1"/>
        <v>0</v>
      </c>
      <c r="P12" s="74"/>
      <c r="Q12" s="72"/>
      <c r="R12" s="74"/>
      <c r="S12" s="75">
        <f t="shared" si="2"/>
        <v>0</v>
      </c>
      <c r="T12" s="74"/>
      <c r="U12" s="72"/>
      <c r="V12" s="74"/>
      <c r="W12" s="75">
        <f t="shared" si="6"/>
        <v>0</v>
      </c>
      <c r="X12" s="74"/>
      <c r="Y12" s="72"/>
      <c r="Z12" s="74"/>
      <c r="AA12" s="75">
        <f t="shared" si="7"/>
        <v>0</v>
      </c>
      <c r="AB12" s="74"/>
      <c r="AC12" s="72"/>
      <c r="AD12" s="74"/>
      <c r="AE12" s="75">
        <f t="shared" si="8"/>
        <v>0</v>
      </c>
      <c r="AF12" s="74"/>
      <c r="AG12" s="72"/>
      <c r="AH12" s="74"/>
      <c r="AI12" s="75">
        <f t="shared" si="9"/>
        <v>0</v>
      </c>
      <c r="AJ12" s="74"/>
      <c r="AK12" s="72"/>
      <c r="AL12" s="74"/>
      <c r="AM12" s="75">
        <f t="shared" si="10"/>
        <v>0</v>
      </c>
      <c r="AN12" s="74"/>
      <c r="AO12" s="72"/>
      <c r="AP12" s="74"/>
      <c r="AQ12" s="75">
        <f t="shared" si="11"/>
        <v>0</v>
      </c>
      <c r="AR12" s="74"/>
      <c r="AS12" s="72"/>
      <c r="AT12" s="74"/>
      <c r="AU12" s="75">
        <f t="shared" si="12"/>
        <v>0</v>
      </c>
      <c r="AV12" s="118">
        <f t="shared" si="3"/>
        <v>0</v>
      </c>
      <c r="AW12" s="123"/>
      <c r="AX12" s="124">
        <f>18030.23+685.21+950.86</f>
        <v>19666.3</v>
      </c>
      <c r="AY12" s="77">
        <f t="shared" si="5"/>
        <v>6555.4333333333334</v>
      </c>
      <c r="AZ12" s="76">
        <f>1329.46+1329.46+1329.48+1329.44+1329.46</f>
        <v>6647.3</v>
      </c>
      <c r="BA12" s="78" t="s">
        <v>441</v>
      </c>
      <c r="BB12" s="113">
        <v>43281</v>
      </c>
      <c r="BC12" s="20"/>
      <c r="BD12" s="18"/>
      <c r="BE12" s="18"/>
      <c r="BF12" s="18"/>
      <c r="BG12" s="18"/>
      <c r="BH12" s="13"/>
    </row>
    <row r="13" spans="1:60" ht="36" customHeight="1" x14ac:dyDescent="0.2">
      <c r="A13" s="68" t="s">
        <v>45</v>
      </c>
      <c r="B13" s="69" t="s">
        <v>44</v>
      </c>
      <c r="C13" s="68" t="s">
        <v>104</v>
      </c>
      <c r="D13" s="70" t="s">
        <v>105</v>
      </c>
      <c r="E13" s="70" t="s">
        <v>7</v>
      </c>
      <c r="F13" s="71" t="s">
        <v>46</v>
      </c>
      <c r="G13" s="118">
        <f t="shared" si="4"/>
        <v>121824</v>
      </c>
      <c r="H13" s="72">
        <v>53497</v>
      </c>
      <c r="I13" s="72">
        <v>12500</v>
      </c>
      <c r="J13" s="72">
        <v>16542</v>
      </c>
      <c r="K13" s="73">
        <f t="shared" si="0"/>
        <v>82539</v>
      </c>
      <c r="L13" s="74">
        <v>28496</v>
      </c>
      <c r="M13" s="72">
        <v>0</v>
      </c>
      <c r="N13" s="74">
        <v>10789</v>
      </c>
      <c r="O13" s="75">
        <f t="shared" si="1"/>
        <v>39285</v>
      </c>
      <c r="P13" s="74">
        <v>0</v>
      </c>
      <c r="Q13" s="72"/>
      <c r="R13" s="74"/>
      <c r="S13" s="75">
        <f t="shared" si="2"/>
        <v>0</v>
      </c>
      <c r="T13" s="74"/>
      <c r="U13" s="72"/>
      <c r="V13" s="74"/>
      <c r="W13" s="75">
        <f t="shared" si="6"/>
        <v>0</v>
      </c>
      <c r="X13" s="74"/>
      <c r="Y13" s="72"/>
      <c r="Z13" s="74"/>
      <c r="AA13" s="75">
        <f t="shared" si="7"/>
        <v>0</v>
      </c>
      <c r="AB13" s="74"/>
      <c r="AC13" s="72"/>
      <c r="AD13" s="74"/>
      <c r="AE13" s="75">
        <f t="shared" si="8"/>
        <v>0</v>
      </c>
      <c r="AF13" s="74"/>
      <c r="AG13" s="72"/>
      <c r="AH13" s="74"/>
      <c r="AI13" s="75">
        <f t="shared" si="9"/>
        <v>0</v>
      </c>
      <c r="AJ13" s="74"/>
      <c r="AK13" s="72"/>
      <c r="AL13" s="74"/>
      <c r="AM13" s="75">
        <f t="shared" si="10"/>
        <v>0</v>
      </c>
      <c r="AN13" s="74"/>
      <c r="AO13" s="72"/>
      <c r="AP13" s="74"/>
      <c r="AQ13" s="75">
        <f t="shared" si="11"/>
        <v>0</v>
      </c>
      <c r="AR13" s="74"/>
      <c r="AS13" s="72"/>
      <c r="AT13" s="74"/>
      <c r="AU13" s="75">
        <f t="shared" si="12"/>
        <v>0</v>
      </c>
      <c r="AV13" s="118">
        <f t="shared" si="3"/>
        <v>0</v>
      </c>
      <c r="AW13" s="123"/>
      <c r="AX13" s="124">
        <f>16643.97+8549.4+8296.48+13347.3+5585.3+9528.74+12021.2</f>
        <v>73972.390000000014</v>
      </c>
      <c r="AY13" s="77">
        <f t="shared" si="5"/>
        <v>24657.463333333337</v>
      </c>
      <c r="AZ13" s="76">
        <f>4491.45+4227.75+542.55+4218.78+2846.4+4480.28+9675.55</f>
        <v>30482.76</v>
      </c>
      <c r="BA13" s="78" t="s">
        <v>472</v>
      </c>
      <c r="BB13" s="113">
        <v>43646</v>
      </c>
      <c r="BC13" s="20"/>
      <c r="BD13" s="18"/>
      <c r="BE13" s="18"/>
      <c r="BF13" s="18"/>
      <c r="BG13" s="18"/>
      <c r="BH13" s="13"/>
    </row>
    <row r="14" spans="1:60" ht="153" customHeight="1" x14ac:dyDescent="0.2">
      <c r="A14" s="68" t="s">
        <v>132</v>
      </c>
      <c r="B14" s="69" t="s">
        <v>130</v>
      </c>
      <c r="C14" s="68" t="s">
        <v>439</v>
      </c>
      <c r="D14" s="70" t="s">
        <v>112</v>
      </c>
      <c r="E14" s="70" t="s">
        <v>120</v>
      </c>
      <c r="F14" s="71" t="s">
        <v>131</v>
      </c>
      <c r="G14" s="118">
        <f t="shared" si="4"/>
        <v>164564</v>
      </c>
      <c r="H14" s="72">
        <v>13230</v>
      </c>
      <c r="I14" s="72">
        <v>6615</v>
      </c>
      <c r="J14" s="72">
        <v>16222</v>
      </c>
      <c r="K14" s="73">
        <f t="shared" si="0"/>
        <v>36067</v>
      </c>
      <c r="L14" s="74">
        <v>46146</v>
      </c>
      <c r="M14" s="72">
        <v>5885</v>
      </c>
      <c r="N14" s="74">
        <v>15382</v>
      </c>
      <c r="O14" s="75">
        <f t="shared" si="1"/>
        <v>67413</v>
      </c>
      <c r="P14" s="74">
        <v>45813</v>
      </c>
      <c r="Q14" s="72">
        <v>0</v>
      </c>
      <c r="R14" s="74">
        <v>15271</v>
      </c>
      <c r="S14" s="75">
        <f t="shared" si="2"/>
        <v>61084</v>
      </c>
      <c r="T14" s="74"/>
      <c r="U14" s="72"/>
      <c r="V14" s="74"/>
      <c r="W14" s="75">
        <f t="shared" si="6"/>
        <v>0</v>
      </c>
      <c r="X14" s="74"/>
      <c r="Y14" s="72"/>
      <c r="Z14" s="74"/>
      <c r="AA14" s="75">
        <f t="shared" si="7"/>
        <v>0</v>
      </c>
      <c r="AB14" s="74"/>
      <c r="AC14" s="72"/>
      <c r="AD14" s="74"/>
      <c r="AE14" s="75">
        <f t="shared" si="8"/>
        <v>0</v>
      </c>
      <c r="AF14" s="74"/>
      <c r="AG14" s="72"/>
      <c r="AH14" s="74"/>
      <c r="AI14" s="75">
        <f t="shared" si="9"/>
        <v>0</v>
      </c>
      <c r="AJ14" s="74"/>
      <c r="AK14" s="72"/>
      <c r="AL14" s="74"/>
      <c r="AM14" s="75">
        <f t="shared" si="10"/>
        <v>0</v>
      </c>
      <c r="AN14" s="74"/>
      <c r="AO14" s="72"/>
      <c r="AP14" s="74"/>
      <c r="AQ14" s="75">
        <f t="shared" si="11"/>
        <v>0</v>
      </c>
      <c r="AR14" s="74"/>
      <c r="AS14" s="72"/>
      <c r="AT14" s="74"/>
      <c r="AU14" s="75">
        <f t="shared" si="12"/>
        <v>0</v>
      </c>
      <c r="AV14" s="118">
        <f t="shared" si="3"/>
        <v>0</v>
      </c>
      <c r="AW14" s="123"/>
      <c r="AX14" s="124">
        <f>10560+3639.01+3639.01+3639.01+3639.01+2816.86+3639.01+3639.01+3639.01+3639.03+13376.86+2976.48+2976.48+4442.38+2221.19+2709+2318.03+2210.6+2403.17+2221.19+2312+2404.79+2294.84+12615.02+2205.02+3012</f>
        <v>105188.01000000002</v>
      </c>
      <c r="AY14" s="77">
        <f>AX14/3</f>
        <v>35062.670000000006</v>
      </c>
      <c r="AZ14" s="76">
        <f>16992+741.56+1483.12+741.56+741.56+741.56+741.56+24692.08</f>
        <v>46875.000000000007</v>
      </c>
      <c r="BA14" s="78" t="s">
        <v>568</v>
      </c>
      <c r="BB14" s="113">
        <v>44180</v>
      </c>
      <c r="BC14" s="20"/>
      <c r="BD14" s="18"/>
      <c r="BE14" s="18"/>
      <c r="BF14" s="18"/>
      <c r="BG14" s="18"/>
      <c r="BH14" s="13"/>
    </row>
    <row r="15" spans="1:60" ht="114.75" x14ac:dyDescent="0.2">
      <c r="A15" s="68" t="s">
        <v>106</v>
      </c>
      <c r="B15" s="69" t="s">
        <v>130</v>
      </c>
      <c r="C15" s="68" t="s">
        <v>125</v>
      </c>
      <c r="D15" s="70" t="s">
        <v>113</v>
      </c>
      <c r="E15" s="70" t="s">
        <v>121</v>
      </c>
      <c r="F15" s="71" t="s">
        <v>134</v>
      </c>
      <c r="G15" s="118">
        <f t="shared" si="4"/>
        <v>233700</v>
      </c>
      <c r="H15" s="72">
        <v>58464</v>
      </c>
      <c r="I15" s="72">
        <v>12500</v>
      </c>
      <c r="J15" s="72">
        <v>19488</v>
      </c>
      <c r="K15" s="73">
        <f t="shared" si="0"/>
        <v>90452</v>
      </c>
      <c r="L15" s="74">
        <v>59678</v>
      </c>
      <c r="M15" s="72">
        <v>0</v>
      </c>
      <c r="N15" s="74">
        <v>19893</v>
      </c>
      <c r="O15" s="75">
        <f t="shared" si="1"/>
        <v>79571</v>
      </c>
      <c r="P15" s="74">
        <f>22483+25275</f>
        <v>47758</v>
      </c>
      <c r="Q15" s="72">
        <v>0</v>
      </c>
      <c r="R15" s="74">
        <v>15919</v>
      </c>
      <c r="S15" s="75">
        <f t="shared" si="2"/>
        <v>63677</v>
      </c>
      <c r="T15" s="74"/>
      <c r="U15" s="72"/>
      <c r="V15" s="74"/>
      <c r="W15" s="75">
        <f t="shared" si="6"/>
        <v>0</v>
      </c>
      <c r="X15" s="74"/>
      <c r="Y15" s="72"/>
      <c r="Z15" s="74"/>
      <c r="AA15" s="75">
        <f t="shared" si="7"/>
        <v>0</v>
      </c>
      <c r="AB15" s="74"/>
      <c r="AC15" s="72"/>
      <c r="AD15" s="74"/>
      <c r="AE15" s="75">
        <f t="shared" si="8"/>
        <v>0</v>
      </c>
      <c r="AF15" s="74"/>
      <c r="AG15" s="72"/>
      <c r="AH15" s="74"/>
      <c r="AI15" s="75">
        <f t="shared" si="9"/>
        <v>0</v>
      </c>
      <c r="AJ15" s="74"/>
      <c r="AK15" s="72"/>
      <c r="AL15" s="74"/>
      <c r="AM15" s="75">
        <f t="shared" si="10"/>
        <v>0</v>
      </c>
      <c r="AN15" s="74"/>
      <c r="AO15" s="72"/>
      <c r="AP15" s="74"/>
      <c r="AQ15" s="75">
        <f t="shared" si="11"/>
        <v>0</v>
      </c>
      <c r="AR15" s="74"/>
      <c r="AS15" s="72"/>
      <c r="AT15" s="74"/>
      <c r="AU15" s="75">
        <f t="shared" si="12"/>
        <v>0</v>
      </c>
      <c r="AV15" s="118">
        <f t="shared" si="3"/>
        <v>0</v>
      </c>
      <c r="AW15" s="123"/>
      <c r="AX15" s="124">
        <f>13996.93+8707.67+6521.18+7937.83+11804.63+7228.22+17285.74+3049.97+2313.79+6059.63+2250+2250+2250+2250+3784.29+16191.86+3786.02+1883.3+787.5+15139.17+28102.47</f>
        <v>163580.20000000001</v>
      </c>
      <c r="AY15" s="77">
        <f t="shared" si="5"/>
        <v>54526.733333333337</v>
      </c>
      <c r="AZ15" s="76">
        <f>933.24+933.24+616+1622.13+1051.3+72.29+172.86+3420.49+23.14+60.59+22.5+22.5+22.5+22.5+37.84+161.91+5435.47+1155.05+2433.97+5003.57+31480.1</f>
        <v>54703.19</v>
      </c>
      <c r="BA15" s="78" t="s">
        <v>572</v>
      </c>
      <c r="BB15" s="79">
        <v>44180</v>
      </c>
      <c r="BC15" s="20"/>
      <c r="BD15" s="18"/>
      <c r="BE15" s="18"/>
      <c r="BF15" s="18"/>
      <c r="BG15" s="18"/>
      <c r="BH15" s="13"/>
    </row>
    <row r="16" spans="1:60" ht="114.75" x14ac:dyDescent="0.2">
      <c r="A16" s="68" t="s">
        <v>107</v>
      </c>
      <c r="B16" s="69" t="s">
        <v>133</v>
      </c>
      <c r="C16" s="68" t="s">
        <v>126</v>
      </c>
      <c r="D16" s="70" t="s">
        <v>114</v>
      </c>
      <c r="E16" s="70" t="s">
        <v>121</v>
      </c>
      <c r="F16" s="71" t="s">
        <v>134</v>
      </c>
      <c r="G16" s="118">
        <f t="shared" si="4"/>
        <v>262500</v>
      </c>
      <c r="H16" s="72">
        <v>85047</v>
      </c>
      <c r="I16" s="72">
        <v>12500</v>
      </c>
      <c r="J16" s="72">
        <v>28349</v>
      </c>
      <c r="K16" s="73">
        <f t="shared" si="0"/>
        <v>125896</v>
      </c>
      <c r="L16" s="74">
        <v>94113</v>
      </c>
      <c r="M16" s="72">
        <v>0</v>
      </c>
      <c r="N16" s="74">
        <v>31371</v>
      </c>
      <c r="O16" s="75">
        <f t="shared" si="1"/>
        <v>125484</v>
      </c>
      <c r="P16" s="74">
        <v>8340</v>
      </c>
      <c r="Q16" s="72">
        <v>0</v>
      </c>
      <c r="R16" s="74">
        <v>2780</v>
      </c>
      <c r="S16" s="75">
        <f t="shared" si="2"/>
        <v>11120</v>
      </c>
      <c r="T16" s="74"/>
      <c r="U16" s="72"/>
      <c r="V16" s="74"/>
      <c r="W16" s="75">
        <f t="shared" si="6"/>
        <v>0</v>
      </c>
      <c r="X16" s="74"/>
      <c r="Y16" s="72"/>
      <c r="Z16" s="74"/>
      <c r="AA16" s="75">
        <f t="shared" si="7"/>
        <v>0</v>
      </c>
      <c r="AB16" s="74"/>
      <c r="AC16" s="72"/>
      <c r="AD16" s="74"/>
      <c r="AE16" s="75">
        <f t="shared" si="8"/>
        <v>0</v>
      </c>
      <c r="AF16" s="74"/>
      <c r="AG16" s="72"/>
      <c r="AH16" s="74"/>
      <c r="AI16" s="75">
        <f t="shared" si="9"/>
        <v>0</v>
      </c>
      <c r="AJ16" s="74"/>
      <c r="AK16" s="72"/>
      <c r="AL16" s="74"/>
      <c r="AM16" s="75">
        <f t="shared" si="10"/>
        <v>0</v>
      </c>
      <c r="AN16" s="74"/>
      <c r="AO16" s="72"/>
      <c r="AP16" s="74"/>
      <c r="AQ16" s="75">
        <f t="shared" si="11"/>
        <v>0</v>
      </c>
      <c r="AR16" s="74"/>
      <c r="AS16" s="72"/>
      <c r="AT16" s="74"/>
      <c r="AU16" s="75">
        <f t="shared" si="12"/>
        <v>0</v>
      </c>
      <c r="AV16" s="118">
        <f t="shared" si="3"/>
        <v>0</v>
      </c>
      <c r="AW16" s="123"/>
      <c r="AX16" s="124">
        <f>11265.37+6889.67+2400+8861.23+10188.16+11781.11+14811.83+4057.35+4631.24+3108.35+3088.85+4902+2400+2400+2400+2400+4442.43+19780.58+9983.51+21882.93</f>
        <v>151674.61000000002</v>
      </c>
      <c r="AY16" s="77">
        <f t="shared" si="5"/>
        <v>50558.203333333338</v>
      </c>
      <c r="AZ16" s="76">
        <f>933.24+933.24+1138.78+1021.87+1035.13+117.81+148.1+40.57+46.31+3421.09+30.88+49.02+24+24+24+24+44.42+197.8+849.81+40461.55</f>
        <v>50565.62</v>
      </c>
      <c r="BA16" s="78" t="s">
        <v>514</v>
      </c>
      <c r="BB16" s="79">
        <v>43723</v>
      </c>
      <c r="BC16" s="20"/>
      <c r="BD16" s="18"/>
      <c r="BE16" s="18"/>
      <c r="BF16" s="18"/>
      <c r="BG16" s="18"/>
      <c r="BH16" s="13"/>
    </row>
    <row r="17" spans="1:60" ht="111.75" customHeight="1" x14ac:dyDescent="0.2">
      <c r="A17" s="68" t="s">
        <v>136</v>
      </c>
      <c r="B17" s="69" t="s">
        <v>135</v>
      </c>
      <c r="C17" s="68" t="s">
        <v>127</v>
      </c>
      <c r="D17" s="70" t="s">
        <v>115</v>
      </c>
      <c r="E17" s="70" t="s">
        <v>122</v>
      </c>
      <c r="F17" s="71" t="s">
        <v>138</v>
      </c>
      <c r="G17" s="118">
        <f t="shared" si="4"/>
        <v>382500</v>
      </c>
      <c r="H17" s="72">
        <v>76626</v>
      </c>
      <c r="I17" s="72">
        <v>12500</v>
      </c>
      <c r="J17" s="72">
        <v>23125</v>
      </c>
      <c r="K17" s="73">
        <f t="shared" si="0"/>
        <v>112251</v>
      </c>
      <c r="L17" s="74">
        <v>74974</v>
      </c>
      <c r="M17" s="72">
        <v>0</v>
      </c>
      <c r="N17" s="74">
        <v>23125</v>
      </c>
      <c r="O17" s="75">
        <f t="shared" si="1"/>
        <v>98099</v>
      </c>
      <c r="P17" s="74">
        <v>69738</v>
      </c>
      <c r="Q17" s="72">
        <v>0</v>
      </c>
      <c r="R17" s="74">
        <v>23125</v>
      </c>
      <c r="S17" s="75">
        <f t="shared" si="2"/>
        <v>92863</v>
      </c>
      <c r="T17" s="74">
        <v>56162</v>
      </c>
      <c r="U17" s="72">
        <v>0</v>
      </c>
      <c r="V17" s="74">
        <v>23125</v>
      </c>
      <c r="W17" s="75">
        <f t="shared" si="6"/>
        <v>79287</v>
      </c>
      <c r="X17" s="74"/>
      <c r="Y17" s="72"/>
      <c r="Z17" s="74"/>
      <c r="AA17" s="75">
        <f t="shared" si="7"/>
        <v>0</v>
      </c>
      <c r="AB17" s="74"/>
      <c r="AC17" s="72"/>
      <c r="AD17" s="74"/>
      <c r="AE17" s="75">
        <f t="shared" si="8"/>
        <v>0</v>
      </c>
      <c r="AF17" s="74"/>
      <c r="AG17" s="72"/>
      <c r="AH17" s="74"/>
      <c r="AI17" s="75">
        <f t="shared" si="9"/>
        <v>0</v>
      </c>
      <c r="AJ17" s="74"/>
      <c r="AK17" s="72"/>
      <c r="AL17" s="74"/>
      <c r="AM17" s="75">
        <f t="shared" si="10"/>
        <v>0</v>
      </c>
      <c r="AN17" s="74"/>
      <c r="AO17" s="72"/>
      <c r="AP17" s="74"/>
      <c r="AQ17" s="75">
        <f t="shared" si="11"/>
        <v>0</v>
      </c>
      <c r="AR17" s="74"/>
      <c r="AS17" s="72"/>
      <c r="AT17" s="74"/>
      <c r="AU17" s="75">
        <f t="shared" si="12"/>
        <v>0</v>
      </c>
      <c r="AV17" s="118">
        <f t="shared" si="3"/>
        <v>0</v>
      </c>
      <c r="AW17" s="123"/>
      <c r="AX17" s="124">
        <f>6310+57652.3+12663.7+69787.1+21286.16+6662.11+5871.56+22731.31+8198.84+7211.77+10978.49+4717.09+3106+4687.24+7421.58+11706.99+10519.04+5985.45</f>
        <v>277496.72999999992</v>
      </c>
      <c r="AY17" s="77">
        <f>AX17/3</f>
        <v>92498.909999999974</v>
      </c>
      <c r="AZ17" s="76">
        <f>23137.5-22308.71+1839+2570.32+56544.61-97.46+7710.97+2891.63+5783.27+2891.65+2891.65+2891.63+5783.27</f>
        <v>92529.33</v>
      </c>
      <c r="BA17" s="78" t="s">
        <v>587</v>
      </c>
      <c r="BB17" s="113">
        <v>44469</v>
      </c>
      <c r="BC17" s="20"/>
      <c r="BD17" s="18"/>
      <c r="BE17" s="18"/>
      <c r="BF17" s="18"/>
      <c r="BG17" s="18"/>
      <c r="BH17" s="13"/>
    </row>
    <row r="18" spans="1:60" ht="147.75" customHeight="1" x14ac:dyDescent="0.2">
      <c r="A18" s="68" t="s">
        <v>108</v>
      </c>
      <c r="B18" s="69" t="s">
        <v>137</v>
      </c>
      <c r="C18" s="68" t="s">
        <v>128</v>
      </c>
      <c r="D18" s="70" t="s">
        <v>116</v>
      </c>
      <c r="E18" s="70" t="s">
        <v>123</v>
      </c>
      <c r="F18" s="71" t="s">
        <v>139</v>
      </c>
      <c r="G18" s="118">
        <f>K18+O18+S18+W18+AA18+AE18+AI18</f>
        <v>596300</v>
      </c>
      <c r="H18" s="72">
        <v>153690</v>
      </c>
      <c r="I18" s="72">
        <v>12500</v>
      </c>
      <c r="J18" s="72">
        <v>54570</v>
      </c>
      <c r="K18" s="73">
        <f t="shared" si="0"/>
        <v>220760</v>
      </c>
      <c r="L18" s="74">
        <v>77940</v>
      </c>
      <c r="M18" s="72">
        <v>0</v>
      </c>
      <c r="N18" s="74">
        <v>27670</v>
      </c>
      <c r="O18" s="75">
        <f t="shared" si="1"/>
        <v>105610</v>
      </c>
      <c r="P18" s="74">
        <v>73750</v>
      </c>
      <c r="Q18" s="72">
        <v>0</v>
      </c>
      <c r="R18" s="74">
        <v>65430</v>
      </c>
      <c r="S18" s="75">
        <f t="shared" si="2"/>
        <v>139180</v>
      </c>
      <c r="T18" s="135">
        <v>40850</v>
      </c>
      <c r="U18" s="72"/>
      <c r="V18" s="74">
        <v>15750</v>
      </c>
      <c r="W18" s="75">
        <f t="shared" si="6"/>
        <v>56600</v>
      </c>
      <c r="X18" s="135">
        <v>14150</v>
      </c>
      <c r="Y18" s="72"/>
      <c r="Z18" s="74"/>
      <c r="AA18" s="75">
        <f t="shared" si="7"/>
        <v>14150</v>
      </c>
      <c r="AB18" s="135">
        <v>13000</v>
      </c>
      <c r="AC18" s="72"/>
      <c r="AD18" s="74">
        <v>30000</v>
      </c>
      <c r="AE18" s="75">
        <f t="shared" si="8"/>
        <v>43000</v>
      </c>
      <c r="AF18" s="74">
        <v>17000</v>
      </c>
      <c r="AG18" s="72"/>
      <c r="AH18" s="74"/>
      <c r="AI18" s="75">
        <f t="shared" si="9"/>
        <v>17000</v>
      </c>
      <c r="AJ18" s="74"/>
      <c r="AK18" s="72"/>
      <c r="AL18" s="74"/>
      <c r="AM18" s="75">
        <f t="shared" si="10"/>
        <v>0</v>
      </c>
      <c r="AN18" s="74"/>
      <c r="AO18" s="72"/>
      <c r="AP18" s="74"/>
      <c r="AQ18" s="75">
        <f t="shared" si="11"/>
        <v>0</v>
      </c>
      <c r="AR18" s="74"/>
      <c r="AS18" s="72"/>
      <c r="AT18" s="74"/>
      <c r="AU18" s="75">
        <f t="shared" si="12"/>
        <v>0</v>
      </c>
      <c r="AV18" s="118">
        <f t="shared" si="3"/>
        <v>0</v>
      </c>
      <c r="AW18" s="123"/>
      <c r="AX18" s="124">
        <f>51230+51230+51230+19485+19485+19485+560.42+560.42+18328.54+18328.54+16051.18+16051.18+11051.18+11051.18+2051.18+2051.18+6830+7440+7440+7440+36000+17000</f>
        <v>390380</v>
      </c>
      <c r="AY18" s="77">
        <f t="shared" si="5"/>
        <v>130126.66666666667</v>
      </c>
      <c r="AZ18" s="76">
        <f>18190+18190+18190+6918+6918+6918+6917+6544+4908.75+4908.75+32408.75+32408.75</f>
        <v>163420</v>
      </c>
      <c r="BA18" s="78" t="s">
        <v>722</v>
      </c>
      <c r="BB18" s="113">
        <v>45291</v>
      </c>
      <c r="BC18" s="20"/>
      <c r="BD18" s="18"/>
      <c r="BE18" s="18"/>
      <c r="BF18" s="18"/>
      <c r="BG18" s="18"/>
      <c r="BH18" s="13"/>
    </row>
    <row r="19" spans="1:60" ht="174.75" customHeight="1" x14ac:dyDescent="0.2">
      <c r="A19" s="68" t="s">
        <v>454</v>
      </c>
      <c r="B19" s="69" t="s">
        <v>140</v>
      </c>
      <c r="C19" s="68" t="s">
        <v>155</v>
      </c>
      <c r="D19" s="70" t="s">
        <v>117</v>
      </c>
      <c r="E19" s="70" t="s">
        <v>42</v>
      </c>
      <c r="F19" s="71" t="s">
        <v>141</v>
      </c>
      <c r="G19" s="118">
        <f t="shared" si="4"/>
        <v>512500</v>
      </c>
      <c r="H19" s="72">
        <v>80206</v>
      </c>
      <c r="I19" s="72">
        <v>12500</v>
      </c>
      <c r="J19" s="72">
        <v>32509</v>
      </c>
      <c r="K19" s="73">
        <f t="shared" si="0"/>
        <v>125215</v>
      </c>
      <c r="L19" s="74">
        <v>117613</v>
      </c>
      <c r="M19" s="72">
        <v>0</v>
      </c>
      <c r="N19" s="74">
        <v>28409</v>
      </c>
      <c r="O19" s="75">
        <f t="shared" si="1"/>
        <v>146022</v>
      </c>
      <c r="P19" s="74">
        <v>139897</v>
      </c>
      <c r="Q19" s="72">
        <v>0</v>
      </c>
      <c r="R19" s="74">
        <v>39347</v>
      </c>
      <c r="S19" s="75">
        <f t="shared" si="2"/>
        <v>179244</v>
      </c>
      <c r="T19" s="74">
        <v>37062</v>
      </c>
      <c r="U19" s="72">
        <v>0</v>
      </c>
      <c r="V19" s="74">
        <v>24957</v>
      </c>
      <c r="W19" s="75">
        <f>SUM(T19:V19)</f>
        <v>62019</v>
      </c>
      <c r="X19" s="74"/>
      <c r="Y19" s="72"/>
      <c r="Z19" s="74"/>
      <c r="AA19" s="75">
        <f>SUM(X19:Z19)</f>
        <v>0</v>
      </c>
      <c r="AB19" s="74"/>
      <c r="AC19" s="72"/>
      <c r="AD19" s="74"/>
      <c r="AE19" s="75">
        <f>SUM(AB19:AD19)</f>
        <v>0</v>
      </c>
      <c r="AF19" s="74"/>
      <c r="AG19" s="72"/>
      <c r="AH19" s="74"/>
      <c r="AI19" s="75">
        <f>SUM(AF19:AH19)</f>
        <v>0</v>
      </c>
      <c r="AJ19" s="74"/>
      <c r="AK19" s="72"/>
      <c r="AL19" s="74"/>
      <c r="AM19" s="75">
        <f>SUM(AJ19:AL19)</f>
        <v>0</v>
      </c>
      <c r="AN19" s="74"/>
      <c r="AO19" s="72"/>
      <c r="AP19" s="74"/>
      <c r="AQ19" s="75">
        <f>SUM(AN19:AP19)</f>
        <v>0</v>
      </c>
      <c r="AR19" s="74"/>
      <c r="AS19" s="72"/>
      <c r="AT19" s="74"/>
      <c r="AU19" s="75">
        <f>SUM(AR19:AT19)</f>
        <v>0</v>
      </c>
      <c r="AV19" s="118">
        <f t="shared" si="3"/>
        <v>0</v>
      </c>
      <c r="AW19" s="123"/>
      <c r="AX19" s="124">
        <f>6692.75+13031.61+6167.21+7672.43+4400.5+4055.49+4430.49+4809.31+7196.13+4650.22+7085.81+8978.98+30492.3+10986+20934.09+5447.21+7855.98+6793.74+5733.63+5078.92+5022.1+6051.9+7062.93+16827.42+18740.44+14887.43+24200.55+32296.02+76605.38</f>
        <v>374186.97000000003</v>
      </c>
      <c r="AY19" s="77">
        <f t="shared" si="5"/>
        <v>124728.99</v>
      </c>
      <c r="AZ19" s="76">
        <f>47311.43+64631.71+13279.86</f>
        <v>125223</v>
      </c>
      <c r="BA19" s="78" t="s">
        <v>631</v>
      </c>
      <c r="BB19" s="113">
        <v>44377</v>
      </c>
      <c r="BC19" s="20"/>
      <c r="BD19" s="18"/>
      <c r="BE19" s="18"/>
      <c r="BF19" s="18"/>
      <c r="BG19" s="18"/>
      <c r="BH19" s="13"/>
    </row>
    <row r="20" spans="1:60" ht="51" x14ac:dyDescent="0.2">
      <c r="A20" s="68" t="s">
        <v>145</v>
      </c>
      <c r="B20" s="69" t="s">
        <v>146</v>
      </c>
      <c r="C20" s="68" t="s">
        <v>148</v>
      </c>
      <c r="D20" s="70" t="s">
        <v>147</v>
      </c>
      <c r="E20" s="70" t="s">
        <v>7</v>
      </c>
      <c r="F20" s="71" t="s">
        <v>149</v>
      </c>
      <c r="G20" s="118">
        <f t="shared" si="4"/>
        <v>262500</v>
      </c>
      <c r="H20" s="72">
        <v>42780</v>
      </c>
      <c r="I20" s="72">
        <v>12500</v>
      </c>
      <c r="J20" s="72">
        <v>14913</v>
      </c>
      <c r="K20" s="73">
        <f t="shared" si="0"/>
        <v>70193</v>
      </c>
      <c r="L20" s="74">
        <v>104178</v>
      </c>
      <c r="M20" s="72">
        <v>0</v>
      </c>
      <c r="N20" s="74">
        <v>35255</v>
      </c>
      <c r="O20" s="75">
        <f t="shared" si="1"/>
        <v>139433</v>
      </c>
      <c r="P20" s="74">
        <v>39021</v>
      </c>
      <c r="Q20" s="72">
        <v>0</v>
      </c>
      <c r="R20" s="74">
        <v>13853</v>
      </c>
      <c r="S20" s="75">
        <f t="shared" si="2"/>
        <v>52874</v>
      </c>
      <c r="T20" s="74"/>
      <c r="U20" s="72"/>
      <c r="V20" s="74"/>
      <c r="W20" s="75">
        <f t="shared" ref="W20:W25" si="13">SUM(T20:V20)</f>
        <v>0</v>
      </c>
      <c r="X20" s="74"/>
      <c r="Y20" s="72"/>
      <c r="Z20" s="74"/>
      <c r="AA20" s="75">
        <f t="shared" ref="AA20:AA25" si="14">SUM(X20:Z20)</f>
        <v>0</v>
      </c>
      <c r="AB20" s="74"/>
      <c r="AC20" s="72"/>
      <c r="AD20" s="74"/>
      <c r="AE20" s="75">
        <f t="shared" ref="AE20:AE25" si="15">SUM(AB20:AD20)</f>
        <v>0</v>
      </c>
      <c r="AF20" s="74"/>
      <c r="AG20" s="72"/>
      <c r="AH20" s="74"/>
      <c r="AI20" s="75">
        <f t="shared" ref="AI20:AI25" si="16">SUM(AF20:AH20)</f>
        <v>0</v>
      </c>
      <c r="AJ20" s="74"/>
      <c r="AK20" s="72"/>
      <c r="AL20" s="74"/>
      <c r="AM20" s="75">
        <f t="shared" ref="AM20:AM25" si="17">SUM(AJ20:AL20)</f>
        <v>0</v>
      </c>
      <c r="AN20" s="74"/>
      <c r="AO20" s="72"/>
      <c r="AP20" s="74"/>
      <c r="AQ20" s="75">
        <f t="shared" ref="AQ20:AQ25" si="18">SUM(AN20:AP20)</f>
        <v>0</v>
      </c>
      <c r="AR20" s="74"/>
      <c r="AS20" s="72"/>
      <c r="AT20" s="74"/>
      <c r="AU20" s="75">
        <f t="shared" ref="AU20:AU25" si="19">SUM(AR20:AT20)</f>
        <v>0</v>
      </c>
      <c r="AV20" s="118">
        <f t="shared" si="3"/>
        <v>0</v>
      </c>
      <c r="AW20" s="123"/>
      <c r="AX20" s="124">
        <f>4820.25+11729.99+33984.56+8747.99+34532.7+25542.36+44553.09+15231.22+6741.7</f>
        <v>185883.86000000002</v>
      </c>
      <c r="AY20" s="77">
        <f t="shared" si="5"/>
        <v>61961.286666666674</v>
      </c>
      <c r="AZ20" s="76">
        <f>8780.99+3185.28+8613.78+5988.99+16624.23+5783.17+3365.47+8048.06+3032.15</f>
        <v>63422.12</v>
      </c>
      <c r="BA20" s="78" t="s">
        <v>520</v>
      </c>
      <c r="BB20" s="79">
        <v>43861</v>
      </c>
      <c r="BC20" s="20"/>
      <c r="BD20" s="18"/>
      <c r="BE20" s="18"/>
      <c r="BF20" s="18"/>
      <c r="BG20" s="18"/>
      <c r="BH20" s="13"/>
    </row>
    <row r="21" spans="1:60" ht="36" customHeight="1" x14ac:dyDescent="0.2">
      <c r="A21" s="68" t="s">
        <v>110</v>
      </c>
      <c r="B21" s="69" t="s">
        <v>142</v>
      </c>
      <c r="C21" s="68" t="s">
        <v>157</v>
      </c>
      <c r="D21" s="70" t="s">
        <v>118</v>
      </c>
      <c r="E21" s="70" t="s">
        <v>42</v>
      </c>
      <c r="F21" s="71" t="s">
        <v>43</v>
      </c>
      <c r="G21" s="118">
        <f t="shared" si="4"/>
        <v>209845</v>
      </c>
      <c r="H21" s="72">
        <v>59338</v>
      </c>
      <c r="I21" s="72">
        <v>12500</v>
      </c>
      <c r="J21" s="72">
        <v>39259</v>
      </c>
      <c r="K21" s="73">
        <f t="shared" si="0"/>
        <v>111097</v>
      </c>
      <c r="L21" s="74">
        <v>87330</v>
      </c>
      <c r="M21" s="72">
        <v>0</v>
      </c>
      <c r="N21" s="74">
        <v>11418</v>
      </c>
      <c r="O21" s="75">
        <f t="shared" si="1"/>
        <v>98748</v>
      </c>
      <c r="P21" s="74">
        <f>38947-38947</f>
        <v>0</v>
      </c>
      <c r="Q21" s="72">
        <v>0</v>
      </c>
      <c r="R21" s="74">
        <f>11875-11875</f>
        <v>0</v>
      </c>
      <c r="S21" s="75">
        <f t="shared" si="2"/>
        <v>0</v>
      </c>
      <c r="T21" s="74"/>
      <c r="U21" s="72"/>
      <c r="V21" s="74"/>
      <c r="W21" s="75">
        <f t="shared" si="13"/>
        <v>0</v>
      </c>
      <c r="X21" s="74"/>
      <c r="Y21" s="72"/>
      <c r="Z21" s="74"/>
      <c r="AA21" s="75">
        <f t="shared" si="14"/>
        <v>0</v>
      </c>
      <c r="AB21" s="74"/>
      <c r="AC21" s="72"/>
      <c r="AD21" s="74"/>
      <c r="AE21" s="75">
        <f t="shared" si="15"/>
        <v>0</v>
      </c>
      <c r="AF21" s="74"/>
      <c r="AG21" s="72"/>
      <c r="AH21" s="74"/>
      <c r="AI21" s="75">
        <f t="shared" si="16"/>
        <v>0</v>
      </c>
      <c r="AJ21" s="74"/>
      <c r="AK21" s="72"/>
      <c r="AL21" s="74"/>
      <c r="AM21" s="75">
        <f t="shared" si="17"/>
        <v>0</v>
      </c>
      <c r="AN21" s="74"/>
      <c r="AO21" s="72"/>
      <c r="AP21" s="74"/>
      <c r="AQ21" s="75">
        <f t="shared" si="18"/>
        <v>0</v>
      </c>
      <c r="AR21" s="74"/>
      <c r="AS21" s="72"/>
      <c r="AT21" s="74"/>
      <c r="AU21" s="75">
        <f t="shared" si="19"/>
        <v>0</v>
      </c>
      <c r="AV21" s="118">
        <f t="shared" si="3"/>
        <v>0</v>
      </c>
      <c r="AW21" s="123"/>
      <c r="AX21" s="124">
        <f>49.44+170.21+1675.01+6733.04+4049.65+7546.57+9830.38+3968.65</f>
        <v>34022.949999999997</v>
      </c>
      <c r="AY21" s="77">
        <f t="shared" si="5"/>
        <v>11340.983333333332</v>
      </c>
      <c r="AZ21" s="76">
        <f>259.6+163.03+208.71+11207.13</f>
        <v>11838.47</v>
      </c>
      <c r="BA21" s="78" t="s">
        <v>464</v>
      </c>
      <c r="BB21" s="113">
        <v>43465</v>
      </c>
      <c r="BC21" s="20"/>
      <c r="BD21" s="18"/>
      <c r="BE21" s="18"/>
      <c r="BF21" s="18"/>
      <c r="BG21" s="18"/>
      <c r="BH21" s="13"/>
    </row>
    <row r="22" spans="1:60" ht="36" customHeight="1" x14ac:dyDescent="0.2">
      <c r="A22" s="68" t="s">
        <v>150</v>
      </c>
      <c r="B22" s="69" t="s">
        <v>151</v>
      </c>
      <c r="C22" s="68" t="s">
        <v>438</v>
      </c>
      <c r="D22" s="70" t="s">
        <v>156</v>
      </c>
      <c r="E22" s="70" t="s">
        <v>38</v>
      </c>
      <c r="F22" s="71" t="s">
        <v>152</v>
      </c>
      <c r="G22" s="118">
        <f>K22+O22+S22+W22+AA22+AE22+AI22</f>
        <v>31179</v>
      </c>
      <c r="H22" s="72">
        <v>8273</v>
      </c>
      <c r="I22" s="72">
        <v>4136</v>
      </c>
      <c r="J22" s="72">
        <v>2758</v>
      </c>
      <c r="K22" s="73">
        <f t="shared" si="0"/>
        <v>15167</v>
      </c>
      <c r="L22" s="74">
        <v>8589</v>
      </c>
      <c r="M22" s="72">
        <v>4295</v>
      </c>
      <c r="N22" s="74">
        <v>2863</v>
      </c>
      <c r="O22" s="75">
        <f t="shared" si="1"/>
        <v>15747</v>
      </c>
      <c r="P22" s="74">
        <v>145</v>
      </c>
      <c r="Q22" s="72">
        <v>72</v>
      </c>
      <c r="R22" s="74">
        <v>48</v>
      </c>
      <c r="S22" s="75">
        <f t="shared" si="2"/>
        <v>265</v>
      </c>
      <c r="T22" s="74"/>
      <c r="U22" s="72"/>
      <c r="V22" s="74"/>
      <c r="W22" s="75">
        <f t="shared" si="13"/>
        <v>0</v>
      </c>
      <c r="X22" s="74"/>
      <c r="Y22" s="72"/>
      <c r="Z22" s="74"/>
      <c r="AA22" s="75">
        <f t="shared" si="14"/>
        <v>0</v>
      </c>
      <c r="AB22" s="74"/>
      <c r="AC22" s="72"/>
      <c r="AD22" s="74"/>
      <c r="AE22" s="75">
        <f t="shared" si="15"/>
        <v>0</v>
      </c>
      <c r="AF22" s="74"/>
      <c r="AG22" s="72"/>
      <c r="AH22" s="74"/>
      <c r="AI22" s="75">
        <f t="shared" si="16"/>
        <v>0</v>
      </c>
      <c r="AJ22" s="74"/>
      <c r="AK22" s="72"/>
      <c r="AL22" s="74"/>
      <c r="AM22" s="75">
        <f t="shared" si="17"/>
        <v>0</v>
      </c>
      <c r="AN22" s="74"/>
      <c r="AO22" s="72"/>
      <c r="AP22" s="74"/>
      <c r="AQ22" s="75">
        <f t="shared" si="18"/>
        <v>0</v>
      </c>
      <c r="AR22" s="74"/>
      <c r="AS22" s="72"/>
      <c r="AT22" s="74"/>
      <c r="AU22" s="75">
        <f t="shared" si="19"/>
        <v>0</v>
      </c>
      <c r="AV22" s="118">
        <f t="shared" si="3"/>
        <v>0</v>
      </c>
      <c r="AW22" s="123"/>
      <c r="AX22" s="124">
        <f>8273+8383.4+176.15+174.45</f>
        <v>17007.000000000004</v>
      </c>
      <c r="AY22" s="77">
        <f t="shared" si="5"/>
        <v>5669.0000000000009</v>
      </c>
      <c r="AZ22" s="76">
        <f>2758+2911</f>
        <v>5669</v>
      </c>
      <c r="BA22" s="78" t="s">
        <v>582</v>
      </c>
      <c r="BB22" s="113">
        <v>44408</v>
      </c>
      <c r="BC22" s="20"/>
      <c r="BD22" s="18"/>
      <c r="BE22" s="18"/>
      <c r="BF22" s="18"/>
      <c r="BG22" s="18"/>
      <c r="BH22" s="13"/>
    </row>
    <row r="23" spans="1:60" ht="89.25" x14ac:dyDescent="0.2">
      <c r="A23" s="68" t="s">
        <v>434</v>
      </c>
      <c r="B23" s="69" t="s">
        <v>435</v>
      </c>
      <c r="C23" s="68" t="s">
        <v>443</v>
      </c>
      <c r="D23" s="70" t="s">
        <v>437</v>
      </c>
      <c r="E23" s="70" t="s">
        <v>38</v>
      </c>
      <c r="F23" s="71" t="s">
        <v>436</v>
      </c>
      <c r="G23" s="118">
        <f t="shared" si="4"/>
        <v>187500</v>
      </c>
      <c r="H23" s="72">
        <v>0</v>
      </c>
      <c r="I23" s="72">
        <v>0</v>
      </c>
      <c r="J23" s="72">
        <v>0</v>
      </c>
      <c r="K23" s="73">
        <f t="shared" si="0"/>
        <v>0</v>
      </c>
      <c r="L23" s="74">
        <v>62278</v>
      </c>
      <c r="M23" s="72">
        <v>12500</v>
      </c>
      <c r="N23" s="74">
        <v>20759</v>
      </c>
      <c r="O23" s="75">
        <f t="shared" si="1"/>
        <v>95537</v>
      </c>
      <c r="P23" s="74">
        <v>68972</v>
      </c>
      <c r="Q23" s="72">
        <v>0</v>
      </c>
      <c r="R23" s="74">
        <v>22991</v>
      </c>
      <c r="S23" s="75">
        <f t="shared" si="2"/>
        <v>91963</v>
      </c>
      <c r="T23" s="74"/>
      <c r="U23" s="72"/>
      <c r="V23" s="74"/>
      <c r="W23" s="75">
        <f t="shared" si="13"/>
        <v>0</v>
      </c>
      <c r="X23" s="74"/>
      <c r="Y23" s="72"/>
      <c r="Z23" s="74"/>
      <c r="AA23" s="75">
        <f t="shared" si="14"/>
        <v>0</v>
      </c>
      <c r="AB23" s="74"/>
      <c r="AC23" s="72"/>
      <c r="AD23" s="74"/>
      <c r="AE23" s="75">
        <f t="shared" si="15"/>
        <v>0</v>
      </c>
      <c r="AF23" s="74"/>
      <c r="AG23" s="72"/>
      <c r="AH23" s="74"/>
      <c r="AI23" s="75">
        <f t="shared" si="16"/>
        <v>0</v>
      </c>
      <c r="AJ23" s="74"/>
      <c r="AK23" s="72"/>
      <c r="AL23" s="74"/>
      <c r="AM23" s="75">
        <f t="shared" si="17"/>
        <v>0</v>
      </c>
      <c r="AN23" s="74"/>
      <c r="AO23" s="72"/>
      <c r="AP23" s="74"/>
      <c r="AQ23" s="75">
        <f t="shared" si="18"/>
        <v>0</v>
      </c>
      <c r="AR23" s="74"/>
      <c r="AS23" s="72"/>
      <c r="AT23" s="74"/>
      <c r="AU23" s="75">
        <f t="shared" si="19"/>
        <v>0</v>
      </c>
      <c r="AV23" s="118">
        <f t="shared" si="3"/>
        <v>0</v>
      </c>
      <c r="AW23" s="123"/>
      <c r="AX23" s="124">
        <f>21816.62+22748+134.1+3120.72+29707.68+8513.61+5874.89+3034.5+5070.94+4768.55+7844.25+110.34+7347.06+4763.98+6394.13</f>
        <v>131249.37</v>
      </c>
      <c r="AY23" s="77">
        <f t="shared" si="5"/>
        <v>43749.79</v>
      </c>
      <c r="AZ23" s="76">
        <f>22937+3860.98+718.88+16233.14</f>
        <v>43750</v>
      </c>
      <c r="BA23" s="78" t="s">
        <v>574</v>
      </c>
      <c r="BB23" s="113">
        <v>44242</v>
      </c>
      <c r="BC23" s="20"/>
      <c r="BD23" s="18"/>
      <c r="BE23" s="18"/>
      <c r="BF23" s="18"/>
      <c r="BG23" s="18"/>
      <c r="BH23" s="13"/>
    </row>
    <row r="24" spans="1:60" ht="121.5" customHeight="1" x14ac:dyDescent="0.2">
      <c r="A24" s="68" t="s">
        <v>448</v>
      </c>
      <c r="B24" s="69" t="s">
        <v>449</v>
      </c>
      <c r="C24" s="68" t="s">
        <v>450</v>
      </c>
      <c r="D24" s="70" t="s">
        <v>451</v>
      </c>
      <c r="E24" s="70" t="s">
        <v>452</v>
      </c>
      <c r="F24" s="71" t="s">
        <v>453</v>
      </c>
      <c r="G24" s="118">
        <f t="shared" si="4"/>
        <v>237500</v>
      </c>
      <c r="H24" s="72">
        <v>0</v>
      </c>
      <c r="I24" s="72">
        <v>0</v>
      </c>
      <c r="J24" s="72">
        <v>0</v>
      </c>
      <c r="K24" s="73">
        <f t="shared" si="0"/>
        <v>0</v>
      </c>
      <c r="L24" s="74">
        <v>78599</v>
      </c>
      <c r="M24" s="72">
        <v>12500</v>
      </c>
      <c r="N24" s="74">
        <v>26200</v>
      </c>
      <c r="O24" s="75">
        <f t="shared" si="1"/>
        <v>117299</v>
      </c>
      <c r="P24" s="74">
        <v>90151</v>
      </c>
      <c r="Q24" s="72">
        <v>0</v>
      </c>
      <c r="R24" s="74">
        <v>30050</v>
      </c>
      <c r="S24" s="75">
        <f t="shared" si="2"/>
        <v>120201</v>
      </c>
      <c r="T24" s="74"/>
      <c r="U24" s="72"/>
      <c r="V24" s="74"/>
      <c r="W24" s="75">
        <f t="shared" si="13"/>
        <v>0</v>
      </c>
      <c r="X24" s="74"/>
      <c r="Y24" s="72"/>
      <c r="Z24" s="74"/>
      <c r="AA24" s="75">
        <f t="shared" si="14"/>
        <v>0</v>
      </c>
      <c r="AB24" s="74"/>
      <c r="AC24" s="72"/>
      <c r="AD24" s="74"/>
      <c r="AE24" s="75">
        <f t="shared" si="15"/>
        <v>0</v>
      </c>
      <c r="AF24" s="74"/>
      <c r="AG24" s="72"/>
      <c r="AH24" s="74"/>
      <c r="AI24" s="75">
        <f t="shared" si="16"/>
        <v>0</v>
      </c>
      <c r="AJ24" s="74"/>
      <c r="AK24" s="72"/>
      <c r="AL24" s="74"/>
      <c r="AM24" s="75">
        <f t="shared" si="17"/>
        <v>0</v>
      </c>
      <c r="AN24" s="74"/>
      <c r="AO24" s="72"/>
      <c r="AP24" s="74"/>
      <c r="AQ24" s="75">
        <f t="shared" si="18"/>
        <v>0</v>
      </c>
      <c r="AR24" s="74"/>
      <c r="AS24" s="72"/>
      <c r="AT24" s="74"/>
      <c r="AU24" s="75">
        <f t="shared" si="19"/>
        <v>0</v>
      </c>
      <c r="AV24" s="118">
        <f t="shared" si="3"/>
        <v>0</v>
      </c>
      <c r="AW24" s="123"/>
      <c r="AX24" s="124">
        <f>4073.25+9657.58+5241.13+6559.5+1868.23+2620.05+6471.39+778.98+1261.28+11529.32+25176.46+20733.61+7095.64+17489.4+6605.35+5766.06+15418.99+9238.2+3654.87+3435.38+4075.33</f>
        <v>168750</v>
      </c>
      <c r="AY24" s="77">
        <f t="shared" si="5"/>
        <v>56250</v>
      </c>
      <c r="AZ24" s="76">
        <f>8510+620+880+2150+260+420+3850+8390+6910+2370+5830+2200+1920+5140+3080+1220+1140+1360</f>
        <v>56250</v>
      </c>
      <c r="BA24" s="78" t="s">
        <v>567</v>
      </c>
      <c r="BB24" s="113">
        <v>44119</v>
      </c>
      <c r="BC24" s="20"/>
      <c r="BD24" s="18"/>
      <c r="BE24" s="18"/>
      <c r="BF24" s="18"/>
      <c r="BG24" s="18"/>
      <c r="BH24" s="13"/>
    </row>
    <row r="25" spans="1:60" ht="36" customHeight="1" x14ac:dyDescent="0.2">
      <c r="A25" s="68" t="s">
        <v>444</v>
      </c>
      <c r="B25" s="69" t="s">
        <v>445</v>
      </c>
      <c r="C25" s="68" t="s">
        <v>459</v>
      </c>
      <c r="D25" s="70" t="s">
        <v>447</v>
      </c>
      <c r="E25" s="70" t="s">
        <v>38</v>
      </c>
      <c r="F25" s="71" t="s">
        <v>446</v>
      </c>
      <c r="G25" s="118">
        <f t="shared" si="4"/>
        <v>112500</v>
      </c>
      <c r="H25" s="72"/>
      <c r="I25" s="72"/>
      <c r="J25" s="72"/>
      <c r="K25" s="73">
        <f t="shared" si="0"/>
        <v>0</v>
      </c>
      <c r="L25" s="74">
        <v>41458</v>
      </c>
      <c r="M25" s="72">
        <v>12500</v>
      </c>
      <c r="N25" s="74">
        <v>13819</v>
      </c>
      <c r="O25" s="75">
        <f t="shared" si="1"/>
        <v>67777</v>
      </c>
      <c r="P25" s="74">
        <v>33542</v>
      </c>
      <c r="Q25" s="72">
        <v>0</v>
      </c>
      <c r="R25" s="74">
        <v>11181</v>
      </c>
      <c r="S25" s="75">
        <f t="shared" si="2"/>
        <v>44723</v>
      </c>
      <c r="T25" s="74"/>
      <c r="U25" s="72"/>
      <c r="V25" s="74"/>
      <c r="W25" s="75">
        <f t="shared" si="13"/>
        <v>0</v>
      </c>
      <c r="X25" s="74"/>
      <c r="Y25" s="72"/>
      <c r="Z25" s="74"/>
      <c r="AA25" s="75">
        <f t="shared" si="14"/>
        <v>0</v>
      </c>
      <c r="AB25" s="74"/>
      <c r="AC25" s="72"/>
      <c r="AD25" s="74"/>
      <c r="AE25" s="75">
        <f t="shared" si="15"/>
        <v>0</v>
      </c>
      <c r="AF25" s="74"/>
      <c r="AG25" s="72"/>
      <c r="AH25" s="74"/>
      <c r="AI25" s="75">
        <f t="shared" si="16"/>
        <v>0</v>
      </c>
      <c r="AJ25" s="74"/>
      <c r="AK25" s="72"/>
      <c r="AL25" s="74"/>
      <c r="AM25" s="75">
        <f t="shared" si="17"/>
        <v>0</v>
      </c>
      <c r="AN25" s="74"/>
      <c r="AO25" s="72"/>
      <c r="AP25" s="74"/>
      <c r="AQ25" s="75">
        <f t="shared" si="18"/>
        <v>0</v>
      </c>
      <c r="AR25" s="74"/>
      <c r="AS25" s="72"/>
      <c r="AT25" s="74"/>
      <c r="AU25" s="75">
        <f t="shared" si="19"/>
        <v>0</v>
      </c>
      <c r="AV25" s="118">
        <f t="shared" si="3"/>
        <v>0</v>
      </c>
      <c r="AW25" s="123"/>
      <c r="AX25" s="124">
        <f>19047.54+1376.22+19744.49+2585.64+293.09+16846.27+1768.68+8894.14</f>
        <v>70556.070000000007</v>
      </c>
      <c r="AY25" s="77">
        <f t="shared" si="5"/>
        <v>23518.690000000002</v>
      </c>
      <c r="AZ25" s="76">
        <f>13819+1783.95+9397.05</f>
        <v>25000</v>
      </c>
      <c r="BA25" s="78" t="s">
        <v>566</v>
      </c>
      <c r="BB25" s="113">
        <v>44119</v>
      </c>
      <c r="BC25" s="20"/>
      <c r="BD25" s="18"/>
      <c r="BE25" s="18"/>
      <c r="BF25" s="18"/>
      <c r="BG25" s="18"/>
      <c r="BH25" s="13"/>
    </row>
    <row r="26" spans="1:60" ht="159.75" customHeight="1" x14ac:dyDescent="0.2">
      <c r="A26" s="68" t="s">
        <v>455</v>
      </c>
      <c r="B26" s="69" t="s">
        <v>456</v>
      </c>
      <c r="C26" s="68" t="s">
        <v>462</v>
      </c>
      <c r="D26" s="70" t="s">
        <v>458</v>
      </c>
      <c r="E26" s="70" t="s">
        <v>58</v>
      </c>
      <c r="F26" s="71" t="s">
        <v>457</v>
      </c>
      <c r="G26" s="118">
        <f t="shared" si="4"/>
        <v>406082</v>
      </c>
      <c r="H26" s="72"/>
      <c r="I26" s="72"/>
      <c r="J26" s="72"/>
      <c r="K26" s="73">
        <f t="shared" si="0"/>
        <v>0</v>
      </c>
      <c r="L26" s="74">
        <v>67503</v>
      </c>
      <c r="M26" s="72">
        <v>12500</v>
      </c>
      <c r="N26" s="74">
        <v>22501</v>
      </c>
      <c r="O26" s="75">
        <f>SUM(L26:N26)</f>
        <v>102504</v>
      </c>
      <c r="P26" s="135">
        <f>160802+14558</f>
        <v>175360</v>
      </c>
      <c r="Q26" s="72"/>
      <c r="R26" s="135">
        <f>53601+4853</f>
        <v>58454</v>
      </c>
      <c r="S26" s="75">
        <f t="shared" si="2"/>
        <v>233814</v>
      </c>
      <c r="T26" s="135">
        <f>51000+1323</f>
        <v>52323</v>
      </c>
      <c r="U26" s="72"/>
      <c r="V26" s="135">
        <f>17000+441</f>
        <v>17441</v>
      </c>
      <c r="W26" s="75">
        <f>SUM(T26:V26)</f>
        <v>69764</v>
      </c>
      <c r="X26" s="74"/>
      <c r="Y26" s="72"/>
      <c r="Z26" s="74"/>
      <c r="AA26" s="75">
        <f>SUM(X26:Z26)</f>
        <v>0</v>
      </c>
      <c r="AB26" s="74"/>
      <c r="AC26" s="72"/>
      <c r="AD26" s="74"/>
      <c r="AE26" s="75">
        <f>SUM(AB26:AD26)</f>
        <v>0</v>
      </c>
      <c r="AF26" s="74"/>
      <c r="AG26" s="72"/>
      <c r="AH26" s="74"/>
      <c r="AI26" s="75">
        <f>SUM(AF26:AH26)</f>
        <v>0</v>
      </c>
      <c r="AJ26" s="74"/>
      <c r="AK26" s="72"/>
      <c r="AL26" s="74"/>
      <c r="AM26" s="75">
        <f>SUM(AJ26:AL26)</f>
        <v>0</v>
      </c>
      <c r="AN26" s="74"/>
      <c r="AO26" s="72"/>
      <c r="AP26" s="74"/>
      <c r="AQ26" s="75">
        <f>SUM(AN26:AP26)</f>
        <v>0</v>
      </c>
      <c r="AR26" s="74"/>
      <c r="AS26" s="72"/>
      <c r="AT26" s="74"/>
      <c r="AU26" s="75">
        <f>SUM(AR26:AT26)</f>
        <v>0</v>
      </c>
      <c r="AV26" s="118">
        <f t="shared" si="3"/>
        <v>0</v>
      </c>
      <c r="AW26" s="123"/>
      <c r="AX26" s="124">
        <f>6602.75+3419.73+5132.81+4358.13+5196.62+4953.08+2329.52+12562.97+9020.18+8886.23+13866.66+19302.84+12597.8+19051.08+27552.62+14943.29+7668.04+9889.7+6195.8+2135.84+4383.81+16077.5+32817.54+34606.64+8259.03+741.41+2241.76+119.32</f>
        <v>294912.70000000007</v>
      </c>
      <c r="AY26" s="77">
        <f>AX26/3</f>
        <v>98304.233333333352</v>
      </c>
      <c r="AZ26" s="76">
        <f>2842.41+2842.42+1421.21+4325.35+2883.57+2883.57+2843.28+2874.62+2874.62+15881.82+4673.12+3985.63+5767.68+2874.62+1437.31+4375.87+2917.22+2917.27+2917.27+2917.25+23173.81-16249.55+9907.5+5108+411.68</f>
        <v>98807.549999999988</v>
      </c>
      <c r="BA26" s="78" t="s">
        <v>629</v>
      </c>
      <c r="BB26" s="113">
        <v>44454</v>
      </c>
      <c r="BC26" s="20"/>
      <c r="BD26" s="18"/>
      <c r="BE26" s="18"/>
      <c r="BF26" s="18"/>
      <c r="BG26" s="18"/>
      <c r="BH26" s="13"/>
    </row>
    <row r="27" spans="1:60" ht="121.5" customHeight="1" x14ac:dyDescent="0.2">
      <c r="A27" s="68" t="s">
        <v>483</v>
      </c>
      <c r="B27" s="69" t="s">
        <v>478</v>
      </c>
      <c r="C27" s="68" t="s">
        <v>518</v>
      </c>
      <c r="D27" s="70" t="s">
        <v>494</v>
      </c>
      <c r="E27" s="70" t="s">
        <v>492</v>
      </c>
      <c r="F27" s="71" t="s">
        <v>493</v>
      </c>
      <c r="G27" s="118">
        <f t="shared" si="4"/>
        <v>106106</v>
      </c>
      <c r="H27" s="72"/>
      <c r="I27" s="72"/>
      <c r="J27" s="72"/>
      <c r="K27" s="73">
        <f t="shared" si="0"/>
        <v>0</v>
      </c>
      <c r="L27" s="74"/>
      <c r="M27" s="72"/>
      <c r="N27" s="74"/>
      <c r="O27" s="75">
        <f t="shared" ref="O27:O30" si="20">SUM(L27:N27)</f>
        <v>0</v>
      </c>
      <c r="P27" s="74">
        <v>20390</v>
      </c>
      <c r="Q27" s="72">
        <v>10195</v>
      </c>
      <c r="R27" s="74">
        <v>10070</v>
      </c>
      <c r="S27" s="75">
        <f t="shared" si="2"/>
        <v>40655</v>
      </c>
      <c r="T27" s="74">
        <v>43829</v>
      </c>
      <c r="U27" s="72">
        <v>2305</v>
      </c>
      <c r="V27" s="74">
        <v>9630</v>
      </c>
      <c r="W27" s="75">
        <f t="shared" ref="W27:W29" si="21">SUM(T27:V27)</f>
        <v>55764</v>
      </c>
      <c r="X27" s="74">
        <v>5985</v>
      </c>
      <c r="Y27" s="72"/>
      <c r="Z27" s="74">
        <v>3702</v>
      </c>
      <c r="AA27" s="75">
        <f t="shared" ref="AA27:AA29" si="22">SUM(X27:Z27)</f>
        <v>9687</v>
      </c>
      <c r="AB27" s="74"/>
      <c r="AC27" s="72"/>
      <c r="AD27" s="74"/>
      <c r="AE27" s="75">
        <f t="shared" ref="AE27:AE34" si="23">SUM(AB27:AD27)</f>
        <v>0</v>
      </c>
      <c r="AF27" s="74"/>
      <c r="AG27" s="72"/>
      <c r="AH27" s="74"/>
      <c r="AI27" s="75">
        <f t="shared" ref="AI27:AI33" si="24">SUM(AF27:AH27)</f>
        <v>0</v>
      </c>
      <c r="AJ27" s="74"/>
      <c r="AK27" s="72"/>
      <c r="AL27" s="74"/>
      <c r="AM27" s="75">
        <f t="shared" ref="AM27:AM45" si="25">SUM(AJ27:AL27)</f>
        <v>0</v>
      </c>
      <c r="AN27" s="74"/>
      <c r="AO27" s="72"/>
      <c r="AP27" s="74"/>
      <c r="AQ27" s="75">
        <f t="shared" ref="AQ27:AQ45" si="26">SUM(AN27:AP27)</f>
        <v>0</v>
      </c>
      <c r="AR27" s="74"/>
      <c r="AS27" s="72"/>
      <c r="AT27" s="74"/>
      <c r="AU27" s="75">
        <f t="shared" ref="AU27:AU29" si="27">SUM(AR27:AT27)</f>
        <v>0</v>
      </c>
      <c r="AV27" s="118">
        <f t="shared" si="3"/>
        <v>0</v>
      </c>
      <c r="AW27" s="123"/>
      <c r="AX27" s="124">
        <f>2389.05+1592.7+1592.7+1592.7+10034.45+13322.79+3455.15 + 4048.33+4048.3+6072.48+1570.69+1570.69+1570.69+1570.69+1570.66+2591.52+1347.31+1584.97+1584.94+6102.11+991.08</f>
        <v>70204.000000000015</v>
      </c>
      <c r="AY27" s="77">
        <f t="shared" si="5"/>
        <v>23401.333333333339</v>
      </c>
      <c r="AZ27" s="76">
        <f>1438.58+2877.15+2877.15+2877.15+1427.28+2854.56 + 1825.12+497.34+746.01+497.34+497.34+497.34+497.34+497.34+3632.32</f>
        <v>23539.359999999997</v>
      </c>
      <c r="BA27" s="78" t="s">
        <v>713</v>
      </c>
      <c r="BB27" s="113">
        <v>45077</v>
      </c>
      <c r="BC27" s="20"/>
      <c r="BD27" s="18"/>
      <c r="BE27" s="18"/>
      <c r="BF27" s="18"/>
      <c r="BG27" s="18"/>
      <c r="BH27" s="13"/>
    </row>
    <row r="28" spans="1:60" ht="227.25" customHeight="1" x14ac:dyDescent="0.2">
      <c r="A28" s="68" t="s">
        <v>479</v>
      </c>
      <c r="B28" s="69" t="s">
        <v>481</v>
      </c>
      <c r="C28" s="68" t="s">
        <v>515</v>
      </c>
      <c r="D28" s="70" t="s">
        <v>480</v>
      </c>
      <c r="E28" s="70" t="s">
        <v>58</v>
      </c>
      <c r="F28" s="71" t="s">
        <v>59</v>
      </c>
      <c r="G28" s="118">
        <f t="shared" si="4"/>
        <v>447766</v>
      </c>
      <c r="H28" s="72"/>
      <c r="I28" s="72"/>
      <c r="J28" s="72"/>
      <c r="K28" s="73">
        <f t="shared" si="0"/>
        <v>0</v>
      </c>
      <c r="L28" s="74"/>
      <c r="M28" s="72"/>
      <c r="N28" s="74"/>
      <c r="O28" s="75">
        <f t="shared" si="20"/>
        <v>0</v>
      </c>
      <c r="P28" s="74">
        <v>122520</v>
      </c>
      <c r="Q28" s="72">
        <v>12500</v>
      </c>
      <c r="R28" s="74">
        <v>40840</v>
      </c>
      <c r="S28" s="75">
        <f t="shared" si="2"/>
        <v>175860</v>
      </c>
      <c r="T28" s="135">
        <f>66044+63950</f>
        <v>129994</v>
      </c>
      <c r="U28" s="72"/>
      <c r="V28" s="135">
        <f>22015+21316</f>
        <v>43331</v>
      </c>
      <c r="W28" s="75">
        <f t="shared" si="21"/>
        <v>173325</v>
      </c>
      <c r="X28" s="74">
        <v>64486</v>
      </c>
      <c r="Y28" s="72"/>
      <c r="Z28" s="74">
        <v>21495</v>
      </c>
      <c r="AA28" s="75">
        <f t="shared" si="22"/>
        <v>85981</v>
      </c>
      <c r="AB28" s="74">
        <v>9450</v>
      </c>
      <c r="AC28" s="72"/>
      <c r="AD28" s="74">
        <v>3150</v>
      </c>
      <c r="AE28" s="75">
        <f t="shared" si="23"/>
        <v>12600</v>
      </c>
      <c r="AF28" s="74"/>
      <c r="AG28" s="72"/>
      <c r="AH28" s="74"/>
      <c r="AI28" s="75">
        <f t="shared" si="24"/>
        <v>0</v>
      </c>
      <c r="AJ28" s="74"/>
      <c r="AK28" s="72"/>
      <c r="AL28" s="74"/>
      <c r="AM28" s="75">
        <f t="shared" si="25"/>
        <v>0</v>
      </c>
      <c r="AN28" s="74"/>
      <c r="AO28" s="72"/>
      <c r="AP28" s="74"/>
      <c r="AQ28" s="75">
        <f t="shared" si="26"/>
        <v>0</v>
      </c>
      <c r="AR28" s="74"/>
      <c r="AS28" s="72"/>
      <c r="AT28" s="74"/>
      <c r="AU28" s="75">
        <f t="shared" si="27"/>
        <v>0</v>
      </c>
      <c r="AV28" s="118">
        <f t="shared" si="3"/>
        <v>0</v>
      </c>
      <c r="AW28" s="123"/>
      <c r="AX28" s="124">
        <f>3421.35+3987.77+2658.47+9552.8+20041.98+15379.16+6242.07+14259.33+9010.29+3174.48+475.89+5198.21+680.96+2334.47+49622.73+6709.02+340.44+1049.7+2466.35+11487.65+7382.03+3856.14+4172.51+1574.06+2466.35+45016.37+1680.18+5442.5+1857.98+1745.55+7563.39+9773.63+9914.69+8432.48+18716.48+17161.2+5334.92+5894.21</f>
        <v>326077.79000000004</v>
      </c>
      <c r="AY28" s="77">
        <f t="shared" si="5"/>
        <v>108692.59666666668</v>
      </c>
      <c r="AZ28" s="76">
        <f>2874.62+2874.62+2874.62+2874.59+2155.95+6563.84+4375.91+4375.91 + 4375.91+4375.9+4375.9+8751.8+4375.9+4375.88+4375.9+2187.94+6801.63+4534.43+4534.43+4534.43+4534.43+13603.25+4534.43+4534.43+3022.95+7693.52+4702.22+4000.64+321.47</f>
        <v>133517.44999999998</v>
      </c>
      <c r="BA28" s="78" t="s">
        <v>721</v>
      </c>
      <c r="BB28" s="113">
        <v>45230</v>
      </c>
      <c r="BC28" s="20"/>
      <c r="BD28" s="18"/>
      <c r="BE28" s="18"/>
      <c r="BF28" s="18"/>
      <c r="BG28" s="18"/>
      <c r="BH28" s="13"/>
    </row>
    <row r="29" spans="1:60" ht="36" customHeight="1" x14ac:dyDescent="0.2">
      <c r="A29" s="68" t="s">
        <v>482</v>
      </c>
      <c r="B29" s="69" t="s">
        <v>484</v>
      </c>
      <c r="C29" s="68" t="s">
        <v>513</v>
      </c>
      <c r="D29" s="70" t="s">
        <v>491</v>
      </c>
      <c r="E29" s="70" t="s">
        <v>485</v>
      </c>
      <c r="F29" s="71" t="s">
        <v>486</v>
      </c>
      <c r="G29" s="118">
        <f t="shared" ref="G29:G35" si="28">K29+O29+S29+W29+AA29+AE29+AI29</f>
        <v>65834</v>
      </c>
      <c r="H29" s="72"/>
      <c r="I29" s="72"/>
      <c r="J29" s="72"/>
      <c r="K29" s="73">
        <f t="shared" si="0"/>
        <v>0</v>
      </c>
      <c r="L29" s="74"/>
      <c r="M29" s="72"/>
      <c r="N29" s="74"/>
      <c r="O29" s="75">
        <f t="shared" si="20"/>
        <v>0</v>
      </c>
      <c r="P29" s="135">
        <v>20000</v>
      </c>
      <c r="Q29" s="72">
        <v>10000</v>
      </c>
      <c r="R29" s="74">
        <v>6667</v>
      </c>
      <c r="S29" s="75">
        <f t="shared" si="2"/>
        <v>36667</v>
      </c>
      <c r="T29" s="74">
        <v>20000</v>
      </c>
      <c r="U29" s="72">
        <v>2500</v>
      </c>
      <c r="V29" s="74">
        <v>6667</v>
      </c>
      <c r="W29" s="75">
        <f t="shared" si="21"/>
        <v>29167</v>
      </c>
      <c r="X29" s="74"/>
      <c r="Y29" s="72"/>
      <c r="Z29" s="74"/>
      <c r="AA29" s="75">
        <f t="shared" si="22"/>
        <v>0</v>
      </c>
      <c r="AB29" s="74"/>
      <c r="AC29" s="72"/>
      <c r="AD29" s="74"/>
      <c r="AE29" s="75">
        <f t="shared" si="23"/>
        <v>0</v>
      </c>
      <c r="AF29" s="74"/>
      <c r="AG29" s="72"/>
      <c r="AH29" s="74"/>
      <c r="AI29" s="75">
        <f t="shared" si="24"/>
        <v>0</v>
      </c>
      <c r="AJ29" s="74"/>
      <c r="AK29" s="72"/>
      <c r="AL29" s="74"/>
      <c r="AM29" s="75">
        <f t="shared" si="25"/>
        <v>0</v>
      </c>
      <c r="AN29" s="74"/>
      <c r="AO29" s="72"/>
      <c r="AP29" s="74"/>
      <c r="AQ29" s="75">
        <f t="shared" si="26"/>
        <v>0</v>
      </c>
      <c r="AR29" s="74"/>
      <c r="AS29" s="72"/>
      <c r="AT29" s="74"/>
      <c r="AU29" s="75">
        <f t="shared" si="27"/>
        <v>0</v>
      </c>
      <c r="AV29" s="118">
        <f t="shared" si="3"/>
        <v>0</v>
      </c>
      <c r="AW29" s="123"/>
      <c r="AX29" s="124">
        <f>12823.12+7176.88+9520.5+9100.78+1378.72</f>
        <v>40000</v>
      </c>
      <c r="AY29" s="77">
        <f t="shared" si="5"/>
        <v>13333.333333333334</v>
      </c>
      <c r="AZ29" s="76">
        <f>4274.38+2392.62+3173.5+3033.6+458.9</f>
        <v>13333</v>
      </c>
      <c r="BA29" s="78" t="s">
        <v>625</v>
      </c>
      <c r="BB29" s="113">
        <v>44423</v>
      </c>
      <c r="BC29" s="20"/>
      <c r="BD29" s="18"/>
      <c r="BE29" s="18"/>
      <c r="BF29" s="18"/>
      <c r="BG29" s="18"/>
      <c r="BH29" s="13"/>
    </row>
    <row r="30" spans="1:60" ht="36" customHeight="1" x14ac:dyDescent="0.2">
      <c r="A30" s="68" t="s">
        <v>529</v>
      </c>
      <c r="B30" s="69" t="s">
        <v>473</v>
      </c>
      <c r="C30" s="68" t="s">
        <v>508</v>
      </c>
      <c r="D30" s="70" t="s">
        <v>474</v>
      </c>
      <c r="E30" s="70" t="s">
        <v>122</v>
      </c>
      <c r="F30" s="71" t="s">
        <v>475</v>
      </c>
      <c r="G30" s="118">
        <f t="shared" si="28"/>
        <v>81135</v>
      </c>
      <c r="H30" s="72"/>
      <c r="I30" s="72"/>
      <c r="J30" s="72"/>
      <c r="K30" s="73">
        <f t="shared" si="0"/>
        <v>0</v>
      </c>
      <c r="L30" s="74"/>
      <c r="M30" s="72"/>
      <c r="N30" s="74"/>
      <c r="O30" s="75">
        <f t="shared" si="20"/>
        <v>0</v>
      </c>
      <c r="P30" s="135">
        <f>129270-77794</f>
        <v>51476</v>
      </c>
      <c r="Q30" s="72">
        <v>12500</v>
      </c>
      <c r="R30" s="74">
        <v>17159</v>
      </c>
      <c r="S30" s="75">
        <f>SUM(P30:R30)</f>
        <v>81135</v>
      </c>
      <c r="T30" s="74">
        <v>0</v>
      </c>
      <c r="U30" s="72"/>
      <c r="V30" s="74">
        <v>0</v>
      </c>
      <c r="W30" s="75">
        <f t="shared" ref="W30:W54" si="29">SUM(T30:V30)</f>
        <v>0</v>
      </c>
      <c r="X30" s="74"/>
      <c r="Y30" s="72"/>
      <c r="Z30" s="74"/>
      <c r="AA30" s="75">
        <f t="shared" ref="AA30:AA54" si="30">SUM(X30:Z30)</f>
        <v>0</v>
      </c>
      <c r="AB30" s="74"/>
      <c r="AC30" s="72"/>
      <c r="AD30" s="74"/>
      <c r="AE30" s="75">
        <f t="shared" si="23"/>
        <v>0</v>
      </c>
      <c r="AF30" s="74"/>
      <c r="AG30" s="72"/>
      <c r="AH30" s="74"/>
      <c r="AI30" s="75">
        <f t="shared" si="24"/>
        <v>0</v>
      </c>
      <c r="AJ30" s="74"/>
      <c r="AK30" s="72"/>
      <c r="AL30" s="74"/>
      <c r="AM30" s="75">
        <f t="shared" si="25"/>
        <v>0</v>
      </c>
      <c r="AN30" s="74"/>
      <c r="AO30" s="72"/>
      <c r="AP30" s="74"/>
      <c r="AQ30" s="75">
        <f t="shared" si="26"/>
        <v>0</v>
      </c>
      <c r="AR30" s="74"/>
      <c r="AS30" s="72"/>
      <c r="AT30" s="74"/>
      <c r="AU30" s="75">
        <f t="shared" ref="AU30:AU54" si="31">SUM(AR30:AT30)</f>
        <v>0</v>
      </c>
      <c r="AV30" s="118">
        <f t="shared" si="3"/>
        <v>0</v>
      </c>
      <c r="AW30" s="123"/>
      <c r="AX30" s="124">
        <f>1631.82+4486.34+7098.53+38259.07</f>
        <v>51475.759999999995</v>
      </c>
      <c r="AY30" s="77">
        <f t="shared" ref="AY30:AY36" si="32">AX30/3</f>
        <v>17158.586666666666</v>
      </c>
      <c r="AZ30" s="76">
        <f>20776.43+4155.32+6777.62+2777.62</f>
        <v>34486.99</v>
      </c>
      <c r="BA30" s="78" t="s">
        <v>528</v>
      </c>
      <c r="BB30" s="113">
        <v>44012</v>
      </c>
      <c r="BC30" s="20"/>
      <c r="BD30" s="18"/>
      <c r="BE30" s="18"/>
      <c r="BF30" s="18"/>
      <c r="BG30" s="18"/>
      <c r="BH30" s="13"/>
    </row>
    <row r="31" spans="1:60" ht="89.25" customHeight="1" x14ac:dyDescent="0.2">
      <c r="A31" s="68" t="s">
        <v>530</v>
      </c>
      <c r="B31" s="69" t="s">
        <v>473</v>
      </c>
      <c r="C31" s="68" t="s">
        <v>563</v>
      </c>
      <c r="D31" s="70" t="s">
        <v>531</v>
      </c>
      <c r="E31" s="70" t="s">
        <v>532</v>
      </c>
      <c r="F31" s="71" t="s">
        <v>475</v>
      </c>
      <c r="G31" s="118">
        <f t="shared" si="28"/>
        <v>237140</v>
      </c>
      <c r="H31" s="72"/>
      <c r="I31" s="72"/>
      <c r="J31" s="72"/>
      <c r="K31" s="73">
        <f t="shared" ref="K31" si="33">SUM(H31:J31)</f>
        <v>0</v>
      </c>
      <c r="L31" s="74"/>
      <c r="M31" s="72"/>
      <c r="N31" s="74"/>
      <c r="O31" s="75">
        <f t="shared" ref="O31" si="34">SUM(L31:N31)</f>
        <v>0</v>
      </c>
      <c r="P31" s="74"/>
      <c r="Q31" s="154">
        <v>0</v>
      </c>
      <c r="R31" s="74">
        <v>0</v>
      </c>
      <c r="S31" s="75">
        <f t="shared" ref="S31" si="35">SUM(P31:R31)</f>
        <v>0</v>
      </c>
      <c r="T31" s="74">
        <v>129823</v>
      </c>
      <c r="U31" s="72">
        <v>12500</v>
      </c>
      <c r="V31" s="74">
        <v>43274</v>
      </c>
      <c r="W31" s="75">
        <f t="shared" si="29"/>
        <v>185597</v>
      </c>
      <c r="X31" s="74">
        <v>38658</v>
      </c>
      <c r="Y31" s="72"/>
      <c r="Z31" s="74">
        <v>12885</v>
      </c>
      <c r="AA31" s="75">
        <f t="shared" si="30"/>
        <v>51543</v>
      </c>
      <c r="AB31" s="74"/>
      <c r="AC31" s="72"/>
      <c r="AD31" s="74"/>
      <c r="AE31" s="75">
        <f t="shared" si="23"/>
        <v>0</v>
      </c>
      <c r="AF31" s="74"/>
      <c r="AG31" s="72"/>
      <c r="AH31" s="74"/>
      <c r="AI31" s="75">
        <f t="shared" si="24"/>
        <v>0</v>
      </c>
      <c r="AJ31" s="74"/>
      <c r="AK31" s="72"/>
      <c r="AL31" s="74"/>
      <c r="AM31" s="75">
        <f t="shared" si="25"/>
        <v>0</v>
      </c>
      <c r="AN31" s="74"/>
      <c r="AO31" s="72"/>
      <c r="AP31" s="74"/>
      <c r="AQ31" s="75">
        <f t="shared" si="26"/>
        <v>0</v>
      </c>
      <c r="AR31" s="74"/>
      <c r="AS31" s="72"/>
      <c r="AT31" s="74"/>
      <c r="AU31" s="75">
        <f t="shared" si="31"/>
        <v>0</v>
      </c>
      <c r="AV31" s="118">
        <f t="shared" si="3"/>
        <v>0</v>
      </c>
      <c r="AW31" s="123"/>
      <c r="AX31" s="124">
        <f>10900.5+10597.83+8468.67+9948.86+8915.99+3875.87+75596.03+8764.43+8341.97+18442.19+2513.49+294.89+420.93+661.47+737.88</f>
        <v>168481</v>
      </c>
      <c r="AY31" s="77">
        <f t="shared" ref="AY31" si="36">AX31/3</f>
        <v>56160.333333333336</v>
      </c>
      <c r="AZ31" s="76">
        <f>17789+28910.84+249.6+3225.03+3226.42+3441.26+3226.42+3226.42</f>
        <v>63294.989999999991</v>
      </c>
      <c r="BA31" s="78" t="s">
        <v>710</v>
      </c>
      <c r="BB31" s="113">
        <v>45153</v>
      </c>
      <c r="BC31" s="20"/>
      <c r="BD31" s="18"/>
      <c r="BE31" s="18"/>
      <c r="BF31" s="18"/>
      <c r="BG31" s="18"/>
      <c r="BH31" s="13"/>
    </row>
    <row r="32" spans="1:60" ht="183" customHeight="1" x14ac:dyDescent="0.2">
      <c r="A32" s="68" t="s">
        <v>488</v>
      </c>
      <c r="B32" s="69" t="s">
        <v>489</v>
      </c>
      <c r="C32" s="68" t="s">
        <v>517</v>
      </c>
      <c r="D32" s="70" t="s">
        <v>490</v>
      </c>
      <c r="E32" s="70" t="s">
        <v>487</v>
      </c>
      <c r="F32" s="71" t="s">
        <v>573</v>
      </c>
      <c r="G32" s="118">
        <f t="shared" si="28"/>
        <v>512500</v>
      </c>
      <c r="H32" s="72"/>
      <c r="I32" s="72"/>
      <c r="J32" s="72"/>
      <c r="K32" s="73">
        <f t="shared" ref="K32:K36" si="37">SUM(H32:J32)</f>
        <v>0</v>
      </c>
      <c r="L32" s="74"/>
      <c r="M32" s="72"/>
      <c r="N32" s="74"/>
      <c r="O32" s="75">
        <f t="shared" ref="O32:O36" si="38">SUM(L32:N32)</f>
        <v>0</v>
      </c>
      <c r="P32" s="74">
        <v>157278</v>
      </c>
      <c r="Q32" s="72">
        <v>12500</v>
      </c>
      <c r="R32" s="74">
        <v>52426</v>
      </c>
      <c r="S32" s="75">
        <f t="shared" ref="S32:S36" si="39">SUM(P32:R32)</f>
        <v>222204</v>
      </c>
      <c r="T32" s="74">
        <v>130245</v>
      </c>
      <c r="U32" s="72"/>
      <c r="V32" s="74">
        <v>43415</v>
      </c>
      <c r="W32" s="75">
        <f t="shared" si="29"/>
        <v>173660</v>
      </c>
      <c r="X32" s="74">
        <v>87477</v>
      </c>
      <c r="Y32" s="72"/>
      <c r="Z32" s="74">
        <v>29159</v>
      </c>
      <c r="AA32" s="75">
        <f t="shared" si="30"/>
        <v>116636</v>
      </c>
      <c r="AB32" s="74"/>
      <c r="AC32" s="72"/>
      <c r="AD32" s="74"/>
      <c r="AE32" s="75">
        <f t="shared" si="23"/>
        <v>0</v>
      </c>
      <c r="AF32" s="74"/>
      <c r="AG32" s="72"/>
      <c r="AH32" s="74"/>
      <c r="AI32" s="75">
        <f t="shared" si="24"/>
        <v>0</v>
      </c>
      <c r="AJ32" s="74"/>
      <c r="AK32" s="72"/>
      <c r="AL32" s="74"/>
      <c r="AM32" s="75">
        <f t="shared" si="25"/>
        <v>0</v>
      </c>
      <c r="AN32" s="74"/>
      <c r="AO32" s="72"/>
      <c r="AP32" s="74"/>
      <c r="AQ32" s="75">
        <f t="shared" si="26"/>
        <v>0</v>
      </c>
      <c r="AR32" s="74"/>
      <c r="AS32" s="72"/>
      <c r="AT32" s="74"/>
      <c r="AU32" s="75">
        <f t="shared" si="31"/>
        <v>0</v>
      </c>
      <c r="AV32" s="118">
        <f t="shared" si="3"/>
        <v>0</v>
      </c>
      <c r="AW32" s="123"/>
      <c r="AX32" s="124">
        <f>464.45+1447.02+17212.76+29055.21+9844.57+5830.67+2648.52+12115.93+7786.4+27723.3+20949.4+13517.36+15754.87+42615.53+5692.02+340.62+340.62+340.62+340.62+4773.63+179.03+11823.5+7447.58+5017.29+5275.39+1230.23+5124.38+5756.98+1352.93+22866.13+34002.19+52997.66+754.83+2377.76</f>
        <v>375000.00000000006</v>
      </c>
      <c r="AY32" s="77">
        <f t="shared" si="32"/>
        <v>125000.00000000001</v>
      </c>
      <c r="AZ32" s="76">
        <f>2969.94+31.03+124.12+19926.55+3549.08+13074.77+39435.55+7254.64+25000+12272.29+5893.66+3725.33-3963.08</f>
        <v>129293.87999999999</v>
      </c>
      <c r="BA32" s="78" t="s">
        <v>723</v>
      </c>
      <c r="BB32" s="113">
        <v>45443</v>
      </c>
      <c r="BC32" s="20"/>
      <c r="BD32" s="18"/>
      <c r="BE32" s="18"/>
      <c r="BF32" s="18"/>
      <c r="BG32" s="18"/>
      <c r="BH32" s="13"/>
    </row>
    <row r="33" spans="1:60" ht="59.25" customHeight="1" x14ac:dyDescent="0.2">
      <c r="A33" s="68" t="s">
        <v>539</v>
      </c>
      <c r="B33" s="69" t="s">
        <v>541</v>
      </c>
      <c r="C33" s="68" t="s">
        <v>559</v>
      </c>
      <c r="D33" s="70" t="s">
        <v>547</v>
      </c>
      <c r="E33" s="70" t="s">
        <v>549</v>
      </c>
      <c r="F33" s="71" t="s">
        <v>552</v>
      </c>
      <c r="G33" s="118">
        <f t="shared" si="28"/>
        <v>262497</v>
      </c>
      <c r="H33" s="72"/>
      <c r="I33" s="72"/>
      <c r="J33" s="72"/>
      <c r="K33" s="73">
        <f t="shared" si="37"/>
        <v>0</v>
      </c>
      <c r="L33" s="74"/>
      <c r="M33" s="72"/>
      <c r="N33" s="74"/>
      <c r="O33" s="75">
        <f t="shared" si="38"/>
        <v>0</v>
      </c>
      <c r="P33" s="74"/>
      <c r="Q33" s="72"/>
      <c r="R33" s="74"/>
      <c r="S33" s="75">
        <f t="shared" si="39"/>
        <v>0</v>
      </c>
      <c r="T33" s="74">
        <v>109496</v>
      </c>
      <c r="U33" s="72">
        <v>12500</v>
      </c>
      <c r="V33" s="74">
        <v>36499</v>
      </c>
      <c r="W33" s="75">
        <f t="shared" si="29"/>
        <v>158495</v>
      </c>
      <c r="X33" s="74">
        <v>50674</v>
      </c>
      <c r="Y33" s="72"/>
      <c r="Z33" s="74">
        <v>16891</v>
      </c>
      <c r="AA33" s="75">
        <f t="shared" si="30"/>
        <v>67565</v>
      </c>
      <c r="AB33" s="74">
        <v>27328</v>
      </c>
      <c r="AC33" s="72"/>
      <c r="AD33" s="74">
        <v>9109</v>
      </c>
      <c r="AE33" s="75">
        <f t="shared" si="23"/>
        <v>36437</v>
      </c>
      <c r="AF33" s="74"/>
      <c r="AG33" s="72"/>
      <c r="AH33" s="74"/>
      <c r="AI33" s="75">
        <f t="shared" si="24"/>
        <v>0</v>
      </c>
      <c r="AJ33" s="74"/>
      <c r="AK33" s="72"/>
      <c r="AL33" s="74"/>
      <c r="AM33" s="75">
        <f t="shared" si="25"/>
        <v>0</v>
      </c>
      <c r="AN33" s="74"/>
      <c r="AO33" s="72"/>
      <c r="AP33" s="74"/>
      <c r="AQ33" s="75">
        <f t="shared" si="26"/>
        <v>0</v>
      </c>
      <c r="AR33" s="74"/>
      <c r="AS33" s="72"/>
      <c r="AT33" s="74"/>
      <c r="AU33" s="75">
        <f t="shared" si="31"/>
        <v>0</v>
      </c>
      <c r="AV33" s="118">
        <f t="shared" si="3"/>
        <v>0</v>
      </c>
      <c r="AW33" s="123"/>
      <c r="AX33" s="124">
        <f>30258.27+57130.12+17538.77+9522.38+5417.01+14273.15+22441.71+19616.56+11300.02</f>
        <v>187497.99</v>
      </c>
      <c r="AY33" s="77">
        <f t="shared" si="32"/>
        <v>62499.329999999994</v>
      </c>
      <c r="AZ33" s="76">
        <f>28572.77+1670.07+3656.3+7312.59+7802.72+4378.73+2463.31+4926.62+2463.31</f>
        <v>63246.419999999991</v>
      </c>
      <c r="BA33" s="155" t="s">
        <v>699</v>
      </c>
      <c r="BB33" s="113">
        <v>45245</v>
      </c>
      <c r="BC33" s="142"/>
      <c r="BD33" s="18"/>
      <c r="BE33" s="18"/>
      <c r="BF33" s="18"/>
      <c r="BG33" s="18"/>
      <c r="BH33" s="13"/>
    </row>
    <row r="34" spans="1:60" ht="204.75" customHeight="1" x14ac:dyDescent="0.2">
      <c r="A34" s="1" t="s">
        <v>556</v>
      </c>
      <c r="B34" s="61" t="s">
        <v>557</v>
      </c>
      <c r="C34" s="1" t="s">
        <v>562</v>
      </c>
      <c r="D34" s="4" t="s">
        <v>558</v>
      </c>
      <c r="E34" s="4" t="s">
        <v>29</v>
      </c>
      <c r="F34" s="30" t="s">
        <v>152</v>
      </c>
      <c r="G34" s="59">
        <f t="shared" si="28"/>
        <v>626067</v>
      </c>
      <c r="H34" s="51"/>
      <c r="I34" s="51"/>
      <c r="J34" s="51"/>
      <c r="K34" s="55"/>
      <c r="L34" s="52"/>
      <c r="M34" s="51"/>
      <c r="N34" s="52"/>
      <c r="O34" s="56"/>
      <c r="P34" s="52"/>
      <c r="Q34" s="51"/>
      <c r="R34" s="52"/>
      <c r="S34" s="56"/>
      <c r="T34" s="52">
        <v>169404</v>
      </c>
      <c r="U34" s="51">
        <v>12500</v>
      </c>
      <c r="V34" s="52">
        <v>56468</v>
      </c>
      <c r="W34" s="56">
        <f t="shared" si="29"/>
        <v>238372</v>
      </c>
      <c r="X34" s="52">
        <v>103470</v>
      </c>
      <c r="Y34" s="51"/>
      <c r="Z34" s="52">
        <v>34490</v>
      </c>
      <c r="AA34" s="56">
        <f t="shared" si="30"/>
        <v>137960</v>
      </c>
      <c r="AB34" s="52">
        <v>62745</v>
      </c>
      <c r="AC34" s="51"/>
      <c r="AD34" s="52">
        <v>20915</v>
      </c>
      <c r="AE34" s="56">
        <f t="shared" si="23"/>
        <v>83660</v>
      </c>
      <c r="AF34" s="141">
        <f>1881+122675</f>
        <v>124556</v>
      </c>
      <c r="AG34" s="51"/>
      <c r="AH34" s="141">
        <f>627+40892</f>
        <v>41519</v>
      </c>
      <c r="AI34" s="56">
        <f t="shared" ref="AI34" si="40">SUM(AF34:AH34)</f>
        <v>166075</v>
      </c>
      <c r="AJ34" s="141">
        <v>89610</v>
      </c>
      <c r="AK34" s="54"/>
      <c r="AL34" s="141">
        <v>29870</v>
      </c>
      <c r="AM34" s="56">
        <f t="shared" si="25"/>
        <v>119480</v>
      </c>
      <c r="AN34" s="141">
        <v>6827</v>
      </c>
      <c r="AO34" s="54"/>
      <c r="AP34" s="141">
        <v>2276</v>
      </c>
      <c r="AQ34" s="56">
        <f t="shared" si="26"/>
        <v>9103</v>
      </c>
      <c r="AR34" s="53"/>
      <c r="AS34" s="54"/>
      <c r="AT34" s="53"/>
      <c r="AU34" s="56">
        <f t="shared" ref="AU34" si="41">SUM(AR34:AT34)</f>
        <v>0</v>
      </c>
      <c r="AV34" s="144">
        <f t="shared" si="3"/>
        <v>128583</v>
      </c>
      <c r="AW34" s="149"/>
      <c r="AX34" s="133">
        <f>5053.79+15510.43+3772.46+65748.14+37896.01+4193.36+5016.88+5859.51+3373.54+5301.05+2237.15+10888.63+1734+884.69+4900.26+4501.77+4087.73+3236.31+1878.5+2133.14+2189.35+14353.84+26091.75+4299.32+19659.7+26013.49+15914.55+12754.38+7017.34+15431.17+15231.74+9410.03+5376.94+6394.25</f>
        <v>368345.20000000007</v>
      </c>
      <c r="AY34" s="21">
        <f t="shared" si="32"/>
        <v>122781.73333333335</v>
      </c>
      <c r="AZ34" s="17">
        <f>2336.94+2474.69+2474.69+13434.06+20622.46+13513.17+4421.14+560.7+1260+47861.37+26893.63+136.49+75.1+87.94+30071.54+100.7+57.54+68.43</f>
        <v>166450.59000000003</v>
      </c>
      <c r="BA34" s="2" t="s">
        <v>732</v>
      </c>
      <c r="BB34" s="156">
        <v>45930</v>
      </c>
      <c r="BC34" s="20" t="s">
        <v>736</v>
      </c>
      <c r="BD34" s="18"/>
      <c r="BE34" s="18"/>
      <c r="BF34" s="18"/>
      <c r="BG34" s="18"/>
      <c r="BH34" s="13"/>
    </row>
    <row r="35" spans="1:60" ht="120.75" customHeight="1" x14ac:dyDescent="0.2">
      <c r="A35" s="68" t="s">
        <v>540</v>
      </c>
      <c r="B35" s="69" t="s">
        <v>542</v>
      </c>
      <c r="C35" s="68" t="s">
        <v>561</v>
      </c>
      <c r="D35" s="70" t="s">
        <v>548</v>
      </c>
      <c r="E35" s="70" t="s">
        <v>452</v>
      </c>
      <c r="F35" s="71" t="s">
        <v>553</v>
      </c>
      <c r="G35" s="118">
        <f t="shared" si="28"/>
        <v>445437</v>
      </c>
      <c r="H35" s="72"/>
      <c r="I35" s="72"/>
      <c r="J35" s="72"/>
      <c r="K35" s="73">
        <f t="shared" si="37"/>
        <v>0</v>
      </c>
      <c r="L35" s="74"/>
      <c r="M35" s="72"/>
      <c r="N35" s="74"/>
      <c r="O35" s="75">
        <f t="shared" si="38"/>
        <v>0</v>
      </c>
      <c r="P35" s="74"/>
      <c r="Q35" s="72"/>
      <c r="R35" s="74"/>
      <c r="S35" s="75">
        <f t="shared" si="39"/>
        <v>0</v>
      </c>
      <c r="T35" s="74">
        <v>89981</v>
      </c>
      <c r="U35" s="72">
        <v>12500</v>
      </c>
      <c r="V35" s="74">
        <v>29994</v>
      </c>
      <c r="W35" s="75">
        <f t="shared" si="29"/>
        <v>132475</v>
      </c>
      <c r="X35" s="74">
        <v>128203</v>
      </c>
      <c r="Y35" s="72">
        <v>0</v>
      </c>
      <c r="Z35" s="74">
        <v>42734</v>
      </c>
      <c r="AA35" s="75">
        <f t="shared" si="30"/>
        <v>170937</v>
      </c>
      <c r="AB35" s="135">
        <f>6817+85416</f>
        <v>92233</v>
      </c>
      <c r="AC35" s="72"/>
      <c r="AD35" s="135">
        <f>2272+28472</f>
        <v>30744</v>
      </c>
      <c r="AE35" s="75">
        <f t="shared" ref="AE35:AE36" si="42">SUM(AB35:AD35)</f>
        <v>122977</v>
      </c>
      <c r="AF35" s="135">
        <v>14286</v>
      </c>
      <c r="AG35" s="72"/>
      <c r="AH35" s="135">
        <v>4762</v>
      </c>
      <c r="AI35" s="75">
        <f t="shared" ref="AI35:AI36" si="43">SUM(AF35:AH35)</f>
        <v>19048</v>
      </c>
      <c r="AJ35" s="74"/>
      <c r="AK35" s="72"/>
      <c r="AL35" s="74"/>
      <c r="AM35" s="75">
        <f t="shared" si="25"/>
        <v>0</v>
      </c>
      <c r="AN35" s="74"/>
      <c r="AO35" s="72"/>
      <c r="AP35" s="74"/>
      <c r="AQ35" s="75">
        <f t="shared" si="26"/>
        <v>0</v>
      </c>
      <c r="AR35" s="74"/>
      <c r="AS35" s="72"/>
      <c r="AT35" s="74"/>
      <c r="AU35" s="75">
        <f t="shared" si="31"/>
        <v>0</v>
      </c>
      <c r="AV35" s="118">
        <f t="shared" si="3"/>
        <v>0</v>
      </c>
      <c r="AW35" s="123"/>
      <c r="AX35" s="124">
        <f>8601.7+5370.17+2054.95+4420.71+42523.91+12452.6+2947.79+19827.41+2040.12+4165.68+22828.59+32990.97+14378.16+5681.02+31957.15+16271.73+23670.96+3765.93+18572.71+50179.74</f>
        <v>324702</v>
      </c>
      <c r="AY35" s="77">
        <f t="shared" si="32"/>
        <v>108234</v>
      </c>
      <c r="AZ35" s="76">
        <f>2867+1790+685+1474+14175+4151+983+6609+680+1389+7609+10997+4793+1894+10532+5544+7890+1255+6191+16726</f>
        <v>108234</v>
      </c>
      <c r="BA35" s="78" t="s">
        <v>724</v>
      </c>
      <c r="BB35" s="113">
        <v>45291</v>
      </c>
      <c r="BC35" s="20"/>
      <c r="BD35" s="18"/>
      <c r="BE35" s="18"/>
      <c r="BF35" s="18"/>
      <c r="BG35" s="18"/>
      <c r="BH35" s="13"/>
    </row>
    <row r="36" spans="1:60" ht="45.75" customHeight="1" x14ac:dyDescent="0.2">
      <c r="A36" s="68" t="s">
        <v>544</v>
      </c>
      <c r="B36" s="69" t="s">
        <v>543</v>
      </c>
      <c r="C36" s="68" t="s">
        <v>571</v>
      </c>
      <c r="D36" s="70" t="s">
        <v>546</v>
      </c>
      <c r="E36" s="70" t="s">
        <v>550</v>
      </c>
      <c r="F36" s="71" t="s">
        <v>554</v>
      </c>
      <c r="G36" s="118">
        <f t="shared" ref="G36:G51" si="44">K36+O36+S36+W36+AA36+AE36+AI36</f>
        <v>19993</v>
      </c>
      <c r="H36" s="72"/>
      <c r="I36" s="72"/>
      <c r="J36" s="72"/>
      <c r="K36" s="73">
        <f t="shared" si="37"/>
        <v>0</v>
      </c>
      <c r="L36" s="74"/>
      <c r="M36" s="72"/>
      <c r="N36" s="74"/>
      <c r="O36" s="75">
        <f t="shared" si="38"/>
        <v>0</v>
      </c>
      <c r="P36" s="74"/>
      <c r="Q36" s="72"/>
      <c r="R36" s="74"/>
      <c r="S36" s="75">
        <f t="shared" si="39"/>
        <v>0</v>
      </c>
      <c r="T36" s="74">
        <v>5346</v>
      </c>
      <c r="U36" s="72">
        <v>2673</v>
      </c>
      <c r="V36" s="74">
        <v>1782</v>
      </c>
      <c r="W36" s="75">
        <f t="shared" si="29"/>
        <v>9801</v>
      </c>
      <c r="X36" s="74">
        <v>5559</v>
      </c>
      <c r="Y36" s="72">
        <v>2780</v>
      </c>
      <c r="Z36" s="74">
        <v>1853</v>
      </c>
      <c r="AA36" s="75">
        <f t="shared" si="30"/>
        <v>10192</v>
      </c>
      <c r="AB36" s="74"/>
      <c r="AC36" s="72"/>
      <c r="AD36" s="74"/>
      <c r="AE36" s="75">
        <f t="shared" si="42"/>
        <v>0</v>
      </c>
      <c r="AF36" s="74"/>
      <c r="AG36" s="72"/>
      <c r="AH36" s="74"/>
      <c r="AI36" s="75">
        <f t="shared" si="43"/>
        <v>0</v>
      </c>
      <c r="AJ36" s="74"/>
      <c r="AK36" s="72"/>
      <c r="AL36" s="74"/>
      <c r="AM36" s="75">
        <f t="shared" si="25"/>
        <v>0</v>
      </c>
      <c r="AN36" s="74"/>
      <c r="AO36" s="72"/>
      <c r="AP36" s="74"/>
      <c r="AQ36" s="75">
        <f t="shared" si="26"/>
        <v>0</v>
      </c>
      <c r="AR36" s="74"/>
      <c r="AS36" s="72"/>
      <c r="AT36" s="74"/>
      <c r="AU36" s="75">
        <f t="shared" si="31"/>
        <v>0</v>
      </c>
      <c r="AV36" s="118">
        <f t="shared" si="3"/>
        <v>0</v>
      </c>
      <c r="AW36" s="123"/>
      <c r="AX36" s="124">
        <f>5360.1+5542.9</f>
        <v>10903</v>
      </c>
      <c r="AY36" s="77">
        <f t="shared" si="32"/>
        <v>3634.3333333333335</v>
      </c>
      <c r="AZ36" s="76">
        <v>0</v>
      </c>
      <c r="BA36" s="78" t="s">
        <v>659</v>
      </c>
      <c r="BB36" s="113">
        <v>44788</v>
      </c>
      <c r="BC36" s="20"/>
      <c r="BD36" s="18"/>
      <c r="BE36" s="18"/>
      <c r="BF36" s="18"/>
      <c r="BG36" s="18"/>
      <c r="BH36" s="13"/>
    </row>
    <row r="37" spans="1:60" ht="51" customHeight="1" x14ac:dyDescent="0.2">
      <c r="A37" s="68" t="s">
        <v>545</v>
      </c>
      <c r="B37" s="69" t="s">
        <v>543</v>
      </c>
      <c r="C37" s="68" t="s">
        <v>560</v>
      </c>
      <c r="D37" s="70" t="s">
        <v>546</v>
      </c>
      <c r="E37" s="70" t="s">
        <v>551</v>
      </c>
      <c r="F37" s="71" t="s">
        <v>555</v>
      </c>
      <c r="G37" s="118">
        <f t="shared" si="44"/>
        <v>88864</v>
      </c>
      <c r="H37" s="72"/>
      <c r="I37" s="72"/>
      <c r="J37" s="72"/>
      <c r="K37" s="73">
        <f t="shared" ref="K37" si="45">SUM(H37:J37)</f>
        <v>0</v>
      </c>
      <c r="L37" s="74"/>
      <c r="M37" s="72"/>
      <c r="N37" s="74"/>
      <c r="O37" s="75">
        <f t="shared" ref="O37" si="46">SUM(L37:N37)</f>
        <v>0</v>
      </c>
      <c r="P37" s="74"/>
      <c r="Q37" s="72"/>
      <c r="R37" s="74"/>
      <c r="S37" s="75">
        <f t="shared" ref="S37" si="47">SUM(P37:R37)</f>
        <v>0</v>
      </c>
      <c r="T37" s="74">
        <v>28075</v>
      </c>
      <c r="U37" s="72">
        <v>12500</v>
      </c>
      <c r="V37" s="74">
        <v>9358</v>
      </c>
      <c r="W37" s="75">
        <f t="shared" ref="W37" si="48">SUM(T37:V37)</f>
        <v>49933</v>
      </c>
      <c r="X37" s="74">
        <v>29198</v>
      </c>
      <c r="Y37" s="72">
        <v>0</v>
      </c>
      <c r="Z37" s="74">
        <v>9733</v>
      </c>
      <c r="AA37" s="75">
        <f t="shared" ref="AA37" si="49">SUM(X37:Z37)</f>
        <v>38931</v>
      </c>
      <c r="AB37" s="74"/>
      <c r="AC37" s="72"/>
      <c r="AD37" s="74"/>
      <c r="AE37" s="75">
        <f t="shared" ref="AE37:AE38" si="50">SUM(AB37:AD37)</f>
        <v>0</v>
      </c>
      <c r="AF37" s="74"/>
      <c r="AG37" s="72"/>
      <c r="AH37" s="74"/>
      <c r="AI37" s="75">
        <f t="shared" ref="AI37" si="51">SUM(AF37:AH37)</f>
        <v>0</v>
      </c>
      <c r="AJ37" s="74"/>
      <c r="AK37" s="72"/>
      <c r="AL37" s="74"/>
      <c r="AM37" s="75">
        <f t="shared" si="25"/>
        <v>0</v>
      </c>
      <c r="AN37" s="74"/>
      <c r="AO37" s="72"/>
      <c r="AP37" s="74"/>
      <c r="AQ37" s="75">
        <f t="shared" si="26"/>
        <v>0</v>
      </c>
      <c r="AR37" s="74"/>
      <c r="AS37" s="72"/>
      <c r="AT37" s="74"/>
      <c r="AU37" s="75">
        <f t="shared" ref="AU37" si="52">SUM(AR37:AT37)</f>
        <v>0</v>
      </c>
      <c r="AV37" s="118">
        <f t="shared" si="3"/>
        <v>0</v>
      </c>
      <c r="AW37" s="123"/>
      <c r="AX37" s="124">
        <f>6306.27+5538.96+2984.89+5945.36+2806.26+14084.44+12118.25+7488.56</f>
        <v>57272.99</v>
      </c>
      <c r="AY37" s="77">
        <f t="shared" ref="AY37" si="53">AX37/3</f>
        <v>19090.996666666666</v>
      </c>
      <c r="AZ37" s="76">
        <f>4562.45+8378.72+2594.23+3901.67+1094.19</f>
        <v>20531.259999999998</v>
      </c>
      <c r="BA37" s="78" t="s">
        <v>660</v>
      </c>
      <c r="BB37" s="113">
        <v>44788</v>
      </c>
      <c r="BC37" s="20"/>
      <c r="BD37" s="18"/>
      <c r="BE37" s="18"/>
      <c r="BF37" s="18"/>
      <c r="BG37" s="18"/>
      <c r="BH37" s="13"/>
    </row>
    <row r="38" spans="1:60" ht="36" customHeight="1" x14ac:dyDescent="0.2">
      <c r="A38" s="68" t="s">
        <v>533</v>
      </c>
      <c r="B38" s="69" t="s">
        <v>534</v>
      </c>
      <c r="C38" s="68" t="s">
        <v>535</v>
      </c>
      <c r="D38" s="70" t="s">
        <v>536</v>
      </c>
      <c r="E38" s="70" t="s">
        <v>537</v>
      </c>
      <c r="F38" s="71" t="s">
        <v>538</v>
      </c>
      <c r="G38" s="118">
        <f t="shared" si="44"/>
        <v>91988</v>
      </c>
      <c r="H38" s="72"/>
      <c r="I38" s="72"/>
      <c r="J38" s="72"/>
      <c r="K38" s="73">
        <f t="shared" ref="K38:K40" si="54">SUM(H38:J38)</f>
        <v>0</v>
      </c>
      <c r="L38" s="74"/>
      <c r="M38" s="72"/>
      <c r="N38" s="74"/>
      <c r="O38" s="75">
        <f t="shared" ref="O38:O40" si="55">SUM(L38:N38)</f>
        <v>0</v>
      </c>
      <c r="P38" s="74"/>
      <c r="Q38" s="72"/>
      <c r="R38" s="74"/>
      <c r="S38" s="75">
        <f t="shared" ref="S38:S40" si="56">SUM(P38:R38)</f>
        <v>0</v>
      </c>
      <c r="T38" s="74">
        <v>24445</v>
      </c>
      <c r="U38" s="72">
        <v>12223</v>
      </c>
      <c r="V38" s="74">
        <v>14991</v>
      </c>
      <c r="W38" s="75">
        <f t="shared" ref="W38:W40" si="57">SUM(T38:V38)</f>
        <v>51659</v>
      </c>
      <c r="X38" s="74">
        <v>25060</v>
      </c>
      <c r="Y38" s="72">
        <v>278</v>
      </c>
      <c r="Z38" s="74">
        <v>14991</v>
      </c>
      <c r="AA38" s="75">
        <f t="shared" ref="AA38:AA40" si="58">SUM(X38:Z38)</f>
        <v>40329</v>
      </c>
      <c r="AB38" s="74"/>
      <c r="AC38" s="72"/>
      <c r="AD38" s="74"/>
      <c r="AE38" s="75">
        <f t="shared" si="50"/>
        <v>0</v>
      </c>
      <c r="AF38" s="74"/>
      <c r="AG38" s="72"/>
      <c r="AH38" s="74"/>
      <c r="AI38" s="75">
        <f t="shared" ref="AI38:AI56" si="59">SUM(AF38:AH38)</f>
        <v>0</v>
      </c>
      <c r="AJ38" s="74"/>
      <c r="AK38" s="72"/>
      <c r="AL38" s="74"/>
      <c r="AM38" s="75">
        <f t="shared" si="25"/>
        <v>0</v>
      </c>
      <c r="AN38" s="74"/>
      <c r="AO38" s="72"/>
      <c r="AP38" s="74"/>
      <c r="AQ38" s="75">
        <f t="shared" si="26"/>
        <v>0</v>
      </c>
      <c r="AR38" s="74"/>
      <c r="AS38" s="72"/>
      <c r="AT38" s="74"/>
      <c r="AU38" s="75">
        <f t="shared" ref="AU38:AU40" si="60">SUM(AR38:AT38)</f>
        <v>0</v>
      </c>
      <c r="AV38" s="118">
        <f t="shared" si="3"/>
        <v>0</v>
      </c>
      <c r="AW38" s="123"/>
      <c r="AX38" s="124">
        <f>13735.38-368.6+21959.29</f>
        <v>35326.07</v>
      </c>
      <c r="AY38" s="77">
        <f t="shared" ref="AY38:AY40" si="61">AX38/3</f>
        <v>11775.356666666667</v>
      </c>
      <c r="AZ38" s="76">
        <f>16385.73+0</f>
        <v>16385.73</v>
      </c>
      <c r="BA38" s="78" t="s">
        <v>658</v>
      </c>
      <c r="BB38" s="79">
        <v>44788</v>
      </c>
      <c r="BC38" s="20"/>
      <c r="BD38" s="18"/>
      <c r="BE38" s="18"/>
      <c r="BF38" s="18"/>
      <c r="BG38" s="18"/>
      <c r="BH38" s="13"/>
    </row>
    <row r="39" spans="1:60" ht="36" customHeight="1" x14ac:dyDescent="0.2">
      <c r="A39" s="68" t="s">
        <v>576</v>
      </c>
      <c r="B39" s="69" t="s">
        <v>578</v>
      </c>
      <c r="C39" s="68" t="s">
        <v>583</v>
      </c>
      <c r="D39" s="70" t="s">
        <v>570</v>
      </c>
      <c r="E39" s="70" t="s">
        <v>265</v>
      </c>
      <c r="F39" s="71" t="s">
        <v>580</v>
      </c>
      <c r="G39" s="118">
        <f t="shared" si="44"/>
        <v>112500</v>
      </c>
      <c r="H39" s="72"/>
      <c r="I39" s="72"/>
      <c r="J39" s="72"/>
      <c r="K39" s="73">
        <f t="shared" si="54"/>
        <v>0</v>
      </c>
      <c r="L39" s="74"/>
      <c r="M39" s="72"/>
      <c r="N39" s="74"/>
      <c r="O39" s="75">
        <f t="shared" si="55"/>
        <v>0</v>
      </c>
      <c r="P39" s="74"/>
      <c r="Q39" s="72"/>
      <c r="R39" s="74"/>
      <c r="S39" s="75">
        <f t="shared" si="56"/>
        <v>0</v>
      </c>
      <c r="T39" s="74">
        <v>11293</v>
      </c>
      <c r="U39" s="72">
        <v>5646</v>
      </c>
      <c r="V39" s="74">
        <v>3764</v>
      </c>
      <c r="W39" s="75">
        <f t="shared" si="57"/>
        <v>20703</v>
      </c>
      <c r="X39" s="74">
        <v>37102</v>
      </c>
      <c r="Y39" s="72">
        <v>6854</v>
      </c>
      <c r="Z39" s="74">
        <v>12368</v>
      </c>
      <c r="AA39" s="75">
        <f t="shared" si="58"/>
        <v>56324</v>
      </c>
      <c r="AB39" s="74">
        <v>26605</v>
      </c>
      <c r="AC39" s="72"/>
      <c r="AD39" s="74">
        <v>8868</v>
      </c>
      <c r="AE39" s="75">
        <f t="shared" ref="AE39:AE40" si="62">SUM(AB39:AD39)</f>
        <v>35473</v>
      </c>
      <c r="AF39" s="74"/>
      <c r="AG39" s="72"/>
      <c r="AH39" s="74"/>
      <c r="AI39" s="75">
        <f t="shared" si="59"/>
        <v>0</v>
      </c>
      <c r="AJ39" s="74"/>
      <c r="AK39" s="72"/>
      <c r="AL39" s="74"/>
      <c r="AM39" s="75">
        <f t="shared" si="25"/>
        <v>0</v>
      </c>
      <c r="AN39" s="74"/>
      <c r="AO39" s="72"/>
      <c r="AP39" s="74"/>
      <c r="AQ39" s="75">
        <f t="shared" si="26"/>
        <v>0</v>
      </c>
      <c r="AR39" s="74"/>
      <c r="AS39" s="72"/>
      <c r="AT39" s="74"/>
      <c r="AU39" s="75">
        <f t="shared" si="60"/>
        <v>0</v>
      </c>
      <c r="AV39" s="118">
        <f t="shared" si="3"/>
        <v>0</v>
      </c>
      <c r="AW39" s="123"/>
      <c r="AX39" s="124">
        <f>48395+26605</f>
        <v>75000</v>
      </c>
      <c r="AY39" s="77">
        <f t="shared" si="61"/>
        <v>25000</v>
      </c>
      <c r="AZ39" s="76">
        <f>3465.18+44632.78</f>
        <v>48097.96</v>
      </c>
      <c r="BA39" s="78" t="s">
        <v>698</v>
      </c>
      <c r="BB39" s="113">
        <v>45092</v>
      </c>
      <c r="BC39" s="20"/>
      <c r="BD39" s="18"/>
      <c r="BE39" s="18"/>
      <c r="BF39" s="18"/>
      <c r="BG39" s="18"/>
      <c r="BH39" s="13"/>
    </row>
    <row r="40" spans="1:60" ht="36" customHeight="1" x14ac:dyDescent="0.2">
      <c r="A40" s="68" t="s">
        <v>577</v>
      </c>
      <c r="B40" s="69" t="s">
        <v>578</v>
      </c>
      <c r="C40" s="68" t="s">
        <v>633</v>
      </c>
      <c r="D40" s="70" t="s">
        <v>570</v>
      </c>
      <c r="E40" s="70" t="s">
        <v>579</v>
      </c>
      <c r="F40" s="71" t="s">
        <v>581</v>
      </c>
      <c r="G40" s="118">
        <f t="shared" si="44"/>
        <v>162500</v>
      </c>
      <c r="H40" s="72"/>
      <c r="I40" s="72"/>
      <c r="J40" s="72"/>
      <c r="K40" s="73">
        <f t="shared" si="54"/>
        <v>0</v>
      </c>
      <c r="L40" s="74"/>
      <c r="M40" s="72"/>
      <c r="N40" s="74"/>
      <c r="O40" s="75">
        <f t="shared" si="55"/>
        <v>0</v>
      </c>
      <c r="P40" s="74"/>
      <c r="Q40" s="72"/>
      <c r="R40" s="74"/>
      <c r="S40" s="75">
        <f t="shared" si="56"/>
        <v>0</v>
      </c>
      <c r="T40" s="74">
        <v>28531</v>
      </c>
      <c r="U40" s="72">
        <v>12500</v>
      </c>
      <c r="V40" s="74">
        <v>9510</v>
      </c>
      <c r="W40" s="75">
        <f t="shared" si="57"/>
        <v>50541</v>
      </c>
      <c r="X40" s="74">
        <v>64189</v>
      </c>
      <c r="Y40" s="72">
        <v>0</v>
      </c>
      <c r="Z40" s="74">
        <v>21396</v>
      </c>
      <c r="AA40" s="75">
        <f t="shared" si="58"/>
        <v>85585</v>
      </c>
      <c r="AB40" s="74">
        <v>19780</v>
      </c>
      <c r="AC40" s="72"/>
      <c r="AD40" s="74">
        <v>6594</v>
      </c>
      <c r="AE40" s="75">
        <f t="shared" si="62"/>
        <v>26374</v>
      </c>
      <c r="AF40" s="74"/>
      <c r="AG40" s="72"/>
      <c r="AH40" s="74"/>
      <c r="AI40" s="75">
        <f t="shared" si="59"/>
        <v>0</v>
      </c>
      <c r="AJ40" s="74"/>
      <c r="AK40" s="72"/>
      <c r="AL40" s="74"/>
      <c r="AM40" s="75">
        <f t="shared" si="25"/>
        <v>0</v>
      </c>
      <c r="AN40" s="74"/>
      <c r="AO40" s="72"/>
      <c r="AP40" s="74"/>
      <c r="AQ40" s="75">
        <f t="shared" si="26"/>
        <v>0</v>
      </c>
      <c r="AR40" s="74"/>
      <c r="AS40" s="72"/>
      <c r="AT40" s="74"/>
      <c r="AU40" s="75">
        <f t="shared" si="60"/>
        <v>0</v>
      </c>
      <c r="AV40" s="118">
        <f t="shared" si="3"/>
        <v>0</v>
      </c>
      <c r="AW40" s="123"/>
      <c r="AX40" s="124">
        <f>83750.25+5118.75</f>
        <v>88869</v>
      </c>
      <c r="AY40" s="77">
        <f t="shared" si="61"/>
        <v>29623</v>
      </c>
      <c r="AZ40" s="76">
        <f>21003+9903</f>
        <v>30906</v>
      </c>
      <c r="BA40" s="78" t="s">
        <v>725</v>
      </c>
      <c r="BB40" s="113">
        <v>45092</v>
      </c>
      <c r="BC40" s="20"/>
      <c r="BD40" s="18"/>
      <c r="BE40" s="18"/>
      <c r="BF40" s="18"/>
      <c r="BG40" s="18"/>
      <c r="BH40" s="13"/>
    </row>
    <row r="41" spans="1:60" ht="36" customHeight="1" x14ac:dyDescent="0.2">
      <c r="A41" s="1" t="s">
        <v>584</v>
      </c>
      <c r="B41" s="61" t="s">
        <v>585</v>
      </c>
      <c r="C41" s="1" t="s">
        <v>709</v>
      </c>
      <c r="D41" s="4" t="s">
        <v>590</v>
      </c>
      <c r="E41" s="4" t="s">
        <v>54</v>
      </c>
      <c r="F41" s="30" t="s">
        <v>586</v>
      </c>
      <c r="G41" s="59">
        <f t="shared" si="44"/>
        <v>34375</v>
      </c>
      <c r="H41" s="51"/>
      <c r="I41" s="51"/>
      <c r="J41" s="51"/>
      <c r="K41" s="55">
        <f t="shared" ref="K41" si="63">SUM(H41:J41)</f>
        <v>0</v>
      </c>
      <c r="L41" s="52"/>
      <c r="M41" s="51"/>
      <c r="N41" s="52"/>
      <c r="O41" s="56">
        <f t="shared" ref="O41" si="64">SUM(L41:N41)</f>
        <v>0</v>
      </c>
      <c r="P41" s="52"/>
      <c r="Q41" s="51"/>
      <c r="R41" s="52"/>
      <c r="S41" s="56">
        <f t="shared" ref="S41" si="65">SUM(P41:R41)</f>
        <v>0</v>
      </c>
      <c r="T41" s="52"/>
      <c r="U41" s="51"/>
      <c r="V41" s="52"/>
      <c r="W41" s="56">
        <f t="shared" ref="W41" si="66">SUM(T41:V41)</f>
        <v>0</v>
      </c>
      <c r="X41" s="52"/>
      <c r="Y41" s="51"/>
      <c r="Z41" s="52"/>
      <c r="AA41" s="56">
        <f t="shared" ref="AA41" si="67">SUM(X41:Z41)</f>
        <v>0</v>
      </c>
      <c r="AB41" s="52"/>
      <c r="AC41" s="51"/>
      <c r="AD41" s="52"/>
      <c r="AE41" s="56">
        <f t="shared" ref="AE41" si="68">SUM(AB41:AD41)</f>
        <v>0</v>
      </c>
      <c r="AF41" s="52">
        <v>19498</v>
      </c>
      <c r="AG41" s="51">
        <v>8378</v>
      </c>
      <c r="AH41" s="52">
        <v>6499</v>
      </c>
      <c r="AI41" s="56">
        <f t="shared" si="59"/>
        <v>34375</v>
      </c>
      <c r="AJ41" s="53"/>
      <c r="AK41" s="54"/>
      <c r="AL41" s="53"/>
      <c r="AM41" s="56">
        <f t="shared" si="25"/>
        <v>0</v>
      </c>
      <c r="AN41" s="53"/>
      <c r="AO41" s="54"/>
      <c r="AP41" s="53"/>
      <c r="AQ41" s="56">
        <f t="shared" si="26"/>
        <v>0</v>
      </c>
      <c r="AR41" s="53"/>
      <c r="AS41" s="54"/>
      <c r="AT41" s="53"/>
      <c r="AU41" s="56">
        <f t="shared" ref="AU41" si="69">SUM(AR41:AT41)</f>
        <v>0</v>
      </c>
      <c r="AV41" s="144">
        <f t="shared" si="3"/>
        <v>0</v>
      </c>
      <c r="AW41" s="159">
        <f>AZ41/AX41</f>
        <v>0.32742004387100776</v>
      </c>
      <c r="AX41" s="133">
        <f>318.45+12352.64+5400.07</f>
        <v>18071.16</v>
      </c>
      <c r="AY41" s="21">
        <f t="shared" ref="AY41" si="70">AX41/3</f>
        <v>6023.72</v>
      </c>
      <c r="AZ41" s="17">
        <f>5435.68+481.18</f>
        <v>5916.8600000000006</v>
      </c>
      <c r="BA41" s="2" t="s">
        <v>735</v>
      </c>
      <c r="BB41" s="138">
        <v>45565</v>
      </c>
      <c r="BC41" s="161">
        <f>+X41+AB41+AF41-AX41</f>
        <v>1426.8400000000001</v>
      </c>
      <c r="BD41" s="18"/>
      <c r="BE41" s="18"/>
      <c r="BF41" s="18"/>
      <c r="BG41" s="18"/>
      <c r="BH41" s="13"/>
    </row>
    <row r="42" spans="1:60" ht="54.75" customHeight="1" x14ac:dyDescent="0.2">
      <c r="A42" s="68" t="s">
        <v>588</v>
      </c>
      <c r="B42" s="69" t="s">
        <v>591</v>
      </c>
      <c r="C42" s="68" t="s">
        <v>630</v>
      </c>
      <c r="D42" s="70" t="s">
        <v>589</v>
      </c>
      <c r="E42" s="70" t="s">
        <v>54</v>
      </c>
      <c r="F42" s="71" t="s">
        <v>55</v>
      </c>
      <c r="G42" s="118">
        <f t="shared" si="44"/>
        <v>212498</v>
      </c>
      <c r="H42" s="72"/>
      <c r="I42" s="72"/>
      <c r="J42" s="72"/>
      <c r="K42" s="73">
        <f t="shared" ref="K42" si="71">SUM(H42:J42)</f>
        <v>0</v>
      </c>
      <c r="L42" s="74"/>
      <c r="M42" s="72"/>
      <c r="N42" s="74"/>
      <c r="O42" s="75">
        <f t="shared" ref="O42" si="72">SUM(L42:N42)</f>
        <v>0</v>
      </c>
      <c r="P42" s="74"/>
      <c r="Q42" s="72"/>
      <c r="R42" s="74"/>
      <c r="S42" s="75">
        <f t="shared" ref="S42" si="73">SUM(P42:R42)</f>
        <v>0</v>
      </c>
      <c r="T42" s="74"/>
      <c r="U42" s="72"/>
      <c r="V42" s="74"/>
      <c r="W42" s="75">
        <f t="shared" ref="W42" si="74">SUM(T42:V42)</f>
        <v>0</v>
      </c>
      <c r="X42" s="74">
        <v>107642</v>
      </c>
      <c r="Y42" s="72">
        <v>12500</v>
      </c>
      <c r="Z42" s="74">
        <v>35881</v>
      </c>
      <c r="AA42" s="75">
        <f t="shared" ref="AA42" si="75">SUM(X42:Z42)</f>
        <v>156023</v>
      </c>
      <c r="AB42" s="74">
        <v>42356</v>
      </c>
      <c r="AC42" s="72"/>
      <c r="AD42" s="74">
        <v>14119</v>
      </c>
      <c r="AE42" s="75">
        <f t="shared" ref="AE42" si="76">SUM(AB42:AD42)</f>
        <v>56475</v>
      </c>
      <c r="AF42" s="74"/>
      <c r="AG42" s="72"/>
      <c r="AH42" s="74"/>
      <c r="AI42" s="75">
        <f t="shared" si="59"/>
        <v>0</v>
      </c>
      <c r="AJ42" s="74"/>
      <c r="AK42" s="72"/>
      <c r="AL42" s="74"/>
      <c r="AM42" s="75">
        <f t="shared" si="25"/>
        <v>0</v>
      </c>
      <c r="AN42" s="74"/>
      <c r="AO42" s="72"/>
      <c r="AP42" s="74"/>
      <c r="AQ42" s="75">
        <f t="shared" si="26"/>
        <v>0</v>
      </c>
      <c r="AR42" s="74"/>
      <c r="AS42" s="72"/>
      <c r="AT42" s="74"/>
      <c r="AU42" s="75">
        <f t="shared" ref="AU42" si="77">SUM(AR42:AT42)</f>
        <v>0</v>
      </c>
      <c r="AV42" s="118">
        <f t="shared" si="3"/>
        <v>0</v>
      </c>
      <c r="AW42" s="123"/>
      <c r="AX42" s="124">
        <f>16872.29+34689.76+22245.13+1500+1000.79+32689.45+1715.64+39196.09</f>
        <v>149909.15</v>
      </c>
      <c r="AY42" s="77">
        <f t="shared" ref="AY42:AY43" si="78">AX42/3</f>
        <v>49969.716666666667</v>
      </c>
      <c r="AZ42" s="76">
        <f>1374.99+593.2+40+77.21+436.52+132.36+47339.54</f>
        <v>49993.82</v>
      </c>
      <c r="BA42" s="78" t="s">
        <v>728</v>
      </c>
      <c r="BB42" s="113">
        <v>45351</v>
      </c>
      <c r="BC42" s="20"/>
      <c r="BD42" s="18"/>
      <c r="BE42" s="18"/>
      <c r="BF42" s="18"/>
      <c r="BG42" s="18"/>
      <c r="BH42" s="13"/>
    </row>
    <row r="43" spans="1:60" ht="36" customHeight="1" x14ac:dyDescent="0.2">
      <c r="A43" s="68" t="s">
        <v>614</v>
      </c>
      <c r="B43" s="69" t="s">
        <v>624</v>
      </c>
      <c r="C43" s="68" t="s">
        <v>638</v>
      </c>
      <c r="D43" s="70" t="s">
        <v>615</v>
      </c>
      <c r="E43" s="70" t="s">
        <v>616</v>
      </c>
      <c r="F43" s="71" t="s">
        <v>617</v>
      </c>
      <c r="G43" s="118">
        <f t="shared" si="44"/>
        <v>261610</v>
      </c>
      <c r="H43" s="72"/>
      <c r="I43" s="72"/>
      <c r="J43" s="72"/>
      <c r="K43" s="73">
        <f t="shared" ref="K43" si="79">SUM(H43:J43)</f>
        <v>0</v>
      </c>
      <c r="L43" s="74"/>
      <c r="M43" s="72"/>
      <c r="N43" s="74"/>
      <c r="O43" s="75">
        <f t="shared" ref="O43" si="80">SUM(L43:N43)</f>
        <v>0</v>
      </c>
      <c r="P43" s="74"/>
      <c r="Q43" s="72"/>
      <c r="R43" s="74"/>
      <c r="S43" s="75">
        <f t="shared" ref="S43" si="81">SUM(P43:R43)</f>
        <v>0</v>
      </c>
      <c r="T43" s="74"/>
      <c r="U43" s="72"/>
      <c r="V43" s="74"/>
      <c r="W43" s="75">
        <f t="shared" ref="W43" si="82">SUM(T43:V43)</f>
        <v>0</v>
      </c>
      <c r="X43" s="74">
        <v>57035</v>
      </c>
      <c r="Y43" s="72">
        <v>12500</v>
      </c>
      <c r="Z43" s="74">
        <v>19012</v>
      </c>
      <c r="AA43" s="75">
        <f t="shared" ref="AA43" si="83">SUM(X43:Z43)</f>
        <v>88547</v>
      </c>
      <c r="AB43" s="74">
        <v>81728</v>
      </c>
      <c r="AC43" s="72"/>
      <c r="AD43" s="74">
        <v>27243</v>
      </c>
      <c r="AE43" s="75">
        <f t="shared" ref="AE43" si="84">SUM(AB43:AD43)</f>
        <v>108971</v>
      </c>
      <c r="AF43" s="74">
        <v>48069</v>
      </c>
      <c r="AG43" s="72"/>
      <c r="AH43" s="74">
        <v>16023</v>
      </c>
      <c r="AI43" s="75">
        <f t="shared" si="59"/>
        <v>64092</v>
      </c>
      <c r="AJ43" s="74"/>
      <c r="AK43" s="72"/>
      <c r="AL43" s="74"/>
      <c r="AM43" s="75">
        <f t="shared" si="25"/>
        <v>0</v>
      </c>
      <c r="AN43" s="74"/>
      <c r="AO43" s="72"/>
      <c r="AP43" s="74"/>
      <c r="AQ43" s="75">
        <f t="shared" si="26"/>
        <v>0</v>
      </c>
      <c r="AR43" s="74"/>
      <c r="AS43" s="72"/>
      <c r="AT43" s="74"/>
      <c r="AU43" s="75">
        <f t="shared" ref="AU43" si="85">SUM(AR43:AT43)</f>
        <v>0</v>
      </c>
      <c r="AV43" s="118">
        <f t="shared" si="3"/>
        <v>0</v>
      </c>
      <c r="AW43" s="123"/>
      <c r="AX43" s="124">
        <f>100912.78+85919.22</f>
        <v>186832</v>
      </c>
      <c r="AY43" s="77">
        <f t="shared" si="78"/>
        <v>62277.333333333336</v>
      </c>
      <c r="AZ43" s="76">
        <f>38094+26450</f>
        <v>64544</v>
      </c>
      <c r="BA43" s="78" t="s">
        <v>726</v>
      </c>
      <c r="BB43" s="79">
        <v>45169</v>
      </c>
      <c r="BC43" s="20"/>
      <c r="BD43" s="18"/>
      <c r="BE43" s="18"/>
      <c r="BF43" s="18"/>
      <c r="BG43" s="18"/>
      <c r="BH43" s="13"/>
    </row>
    <row r="44" spans="1:60" ht="59.25" customHeight="1" x14ac:dyDescent="0.2">
      <c r="A44" s="68" t="s">
        <v>626</v>
      </c>
      <c r="B44" s="69" t="s">
        <v>627</v>
      </c>
      <c r="C44" s="68" t="s">
        <v>656</v>
      </c>
      <c r="D44" s="70" t="s">
        <v>628</v>
      </c>
      <c r="E44" s="70" t="s">
        <v>265</v>
      </c>
      <c r="F44" s="71" t="s">
        <v>580</v>
      </c>
      <c r="G44" s="118">
        <f t="shared" si="44"/>
        <v>462500</v>
      </c>
      <c r="H44" s="72"/>
      <c r="I44" s="72"/>
      <c r="J44" s="72"/>
      <c r="K44" s="73">
        <f t="shared" ref="K44" si="86">SUM(H44:J44)</f>
        <v>0</v>
      </c>
      <c r="L44" s="74"/>
      <c r="M44" s="72"/>
      <c r="N44" s="74"/>
      <c r="O44" s="75">
        <f t="shared" ref="O44" si="87">SUM(L44:N44)</f>
        <v>0</v>
      </c>
      <c r="P44" s="74"/>
      <c r="Q44" s="72"/>
      <c r="R44" s="74"/>
      <c r="S44" s="75">
        <f t="shared" ref="S44" si="88">SUM(P44:R44)</f>
        <v>0</v>
      </c>
      <c r="T44" s="74"/>
      <c r="U44" s="72"/>
      <c r="V44" s="74"/>
      <c r="W44" s="75">
        <f t="shared" ref="W44" si="89">SUM(T44:V44)</f>
        <v>0</v>
      </c>
      <c r="X44" s="74">
        <v>166107</v>
      </c>
      <c r="Y44" s="72">
        <v>12500</v>
      </c>
      <c r="Z44" s="74">
        <v>55369</v>
      </c>
      <c r="AA44" s="75">
        <f t="shared" ref="AA44" si="90">SUM(X44:Z44)</f>
        <v>233976</v>
      </c>
      <c r="AB44" s="74">
        <v>171393</v>
      </c>
      <c r="AC44" s="72"/>
      <c r="AD44" s="74">
        <v>57131</v>
      </c>
      <c r="AE44" s="75">
        <f t="shared" ref="AE44" si="91">SUM(AB44:AD44)</f>
        <v>228524</v>
      </c>
      <c r="AF44" s="74"/>
      <c r="AG44" s="72"/>
      <c r="AH44" s="74"/>
      <c r="AI44" s="75">
        <f t="shared" si="59"/>
        <v>0</v>
      </c>
      <c r="AJ44" s="74"/>
      <c r="AK44" s="72"/>
      <c r="AL44" s="74"/>
      <c r="AM44" s="75">
        <f t="shared" si="25"/>
        <v>0</v>
      </c>
      <c r="AN44" s="74"/>
      <c r="AO44" s="72"/>
      <c r="AP44" s="74"/>
      <c r="AQ44" s="75">
        <f t="shared" si="26"/>
        <v>0</v>
      </c>
      <c r="AR44" s="74"/>
      <c r="AS44" s="72"/>
      <c r="AT44" s="74"/>
      <c r="AU44" s="75">
        <f t="shared" ref="AU44" si="92">SUM(AR44:AT44)</f>
        <v>0</v>
      </c>
      <c r="AV44" s="118">
        <f t="shared" si="3"/>
        <v>0</v>
      </c>
      <c r="AW44" s="123"/>
      <c r="AX44" s="124">
        <f>11463.53+64067.83+27815+68152.67+45391.88+72704.23+47904.86</f>
        <v>337500</v>
      </c>
      <c r="AY44" s="77">
        <f t="shared" ref="AY44" si="93">AX44/3</f>
        <v>112500</v>
      </c>
      <c r="AZ44" s="76">
        <f>37986.39+25822.35+51551.6</f>
        <v>115360.34</v>
      </c>
      <c r="BA44" s="78" t="s">
        <v>730</v>
      </c>
      <c r="BB44" s="113">
        <v>45351</v>
      </c>
      <c r="BC44" s="20"/>
      <c r="BD44" s="18"/>
      <c r="BE44" s="18"/>
      <c r="BF44" s="18"/>
      <c r="BG44" s="18"/>
      <c r="BH44" s="13"/>
    </row>
    <row r="45" spans="1:60" ht="72" customHeight="1" x14ac:dyDescent="0.2">
      <c r="A45" s="68" t="s">
        <v>612</v>
      </c>
      <c r="B45" s="69" t="s">
        <v>609</v>
      </c>
      <c r="C45" s="68" t="s">
        <v>666</v>
      </c>
      <c r="D45" s="70" t="s">
        <v>613</v>
      </c>
      <c r="E45" s="70" t="s">
        <v>610</v>
      </c>
      <c r="F45" s="71" t="s">
        <v>611</v>
      </c>
      <c r="G45" s="118">
        <f t="shared" si="44"/>
        <v>64905</v>
      </c>
      <c r="H45" s="72"/>
      <c r="I45" s="72"/>
      <c r="J45" s="72"/>
      <c r="K45" s="73">
        <f t="shared" ref="K45:K47" si="94">SUM(H45:J45)</f>
        <v>0</v>
      </c>
      <c r="L45" s="74"/>
      <c r="M45" s="72"/>
      <c r="N45" s="74"/>
      <c r="O45" s="75">
        <f t="shared" ref="O45:O47" si="95">SUM(L45:N45)</f>
        <v>0</v>
      </c>
      <c r="P45" s="74"/>
      <c r="Q45" s="72"/>
      <c r="R45" s="74"/>
      <c r="S45" s="75">
        <f t="shared" ref="S45:S47" si="96">SUM(P45:R45)</f>
        <v>0</v>
      </c>
      <c r="T45" s="74"/>
      <c r="U45" s="72"/>
      <c r="V45" s="74"/>
      <c r="W45" s="75">
        <f t="shared" ref="W45:W47" si="97">SUM(T45:V45)</f>
        <v>0</v>
      </c>
      <c r="X45" s="74">
        <v>12716</v>
      </c>
      <c r="Y45" s="72">
        <v>6358</v>
      </c>
      <c r="Z45" s="74">
        <v>4239</v>
      </c>
      <c r="AA45" s="75">
        <f t="shared" ref="AA45:AA47" si="98">SUM(X45:Z45)</f>
        <v>23313</v>
      </c>
      <c r="AB45" s="74">
        <v>13097</v>
      </c>
      <c r="AC45" s="72">
        <v>6142</v>
      </c>
      <c r="AD45" s="74">
        <v>4366</v>
      </c>
      <c r="AE45" s="75">
        <f t="shared" ref="AE45:AE47" si="99">SUM(AB45:AD45)</f>
        <v>23605</v>
      </c>
      <c r="AF45" s="74">
        <v>13490</v>
      </c>
      <c r="AG45" s="72"/>
      <c r="AH45" s="74">
        <v>4497</v>
      </c>
      <c r="AI45" s="75">
        <f t="shared" si="59"/>
        <v>17987</v>
      </c>
      <c r="AJ45" s="74"/>
      <c r="AK45" s="72"/>
      <c r="AL45" s="74"/>
      <c r="AM45" s="75">
        <f t="shared" si="25"/>
        <v>0</v>
      </c>
      <c r="AN45" s="74"/>
      <c r="AO45" s="72"/>
      <c r="AP45" s="74"/>
      <c r="AQ45" s="75">
        <f t="shared" si="26"/>
        <v>0</v>
      </c>
      <c r="AR45" s="74"/>
      <c r="AS45" s="72"/>
      <c r="AT45" s="74"/>
      <c r="AU45" s="75">
        <f t="shared" ref="AU45:AU47" si="100">SUM(AR45:AT45)</f>
        <v>0</v>
      </c>
      <c r="AV45" s="118">
        <f t="shared" si="3"/>
        <v>0</v>
      </c>
      <c r="AW45" s="164">
        <f>AZ45/AX45</f>
        <v>0.33410761366021235</v>
      </c>
      <c r="AX45" s="124">
        <f>6165.13+6335+4745.99+1078.53+719.02+719.02+934.74+11397.11+1396.18+1396.17+1396.16+2931.86</f>
        <v>39214.910000000003</v>
      </c>
      <c r="AY45" s="77">
        <f t="shared" ref="AY45:AY47" si="101">AX45/3</f>
        <v>13071.636666666667</v>
      </c>
      <c r="AZ45" s="76">
        <f>953.05+7024.31+5124.64</f>
        <v>13102</v>
      </c>
      <c r="BA45" s="78" t="s">
        <v>741</v>
      </c>
      <c r="BB45" s="113">
        <v>45473</v>
      </c>
      <c r="BC45" s="161"/>
      <c r="BD45" s="163"/>
      <c r="BE45" s="162"/>
      <c r="BF45" s="18"/>
      <c r="BG45" s="18"/>
      <c r="BH45" s="13"/>
    </row>
    <row r="46" spans="1:60" ht="84" customHeight="1" x14ac:dyDescent="0.2">
      <c r="A46" s="1" t="s">
        <v>649</v>
      </c>
      <c r="B46" s="61" t="s">
        <v>650</v>
      </c>
      <c r="C46" s="1" t="s">
        <v>729</v>
      </c>
      <c r="D46" s="4" t="s">
        <v>663</v>
      </c>
      <c r="E46" s="4" t="s">
        <v>38</v>
      </c>
      <c r="F46" s="30" t="s">
        <v>651</v>
      </c>
      <c r="G46" s="59">
        <f>K46+O46+S46+W46+AA46+AE46+AI46</f>
        <v>187500</v>
      </c>
      <c r="H46" s="51"/>
      <c r="I46" s="51"/>
      <c r="J46" s="51"/>
      <c r="K46" s="55">
        <f t="shared" si="94"/>
        <v>0</v>
      </c>
      <c r="L46" s="52"/>
      <c r="M46" s="51"/>
      <c r="N46" s="52"/>
      <c r="O46" s="56">
        <f t="shared" si="95"/>
        <v>0</v>
      </c>
      <c r="P46" s="52"/>
      <c r="Q46" s="51"/>
      <c r="R46" s="52"/>
      <c r="S46" s="56">
        <f t="shared" si="96"/>
        <v>0</v>
      </c>
      <c r="T46" s="52"/>
      <c r="U46" s="51"/>
      <c r="V46" s="52"/>
      <c r="W46" s="56">
        <f t="shared" si="97"/>
        <v>0</v>
      </c>
      <c r="X46" s="52"/>
      <c r="Y46" s="51"/>
      <c r="Z46" s="52"/>
      <c r="AA46" s="56">
        <f t="shared" si="98"/>
        <v>0</v>
      </c>
      <c r="AB46" s="52">
        <v>81280</v>
      </c>
      <c r="AC46" s="51">
        <v>12500</v>
      </c>
      <c r="AD46" s="52">
        <v>27093</v>
      </c>
      <c r="AE46" s="56">
        <f t="shared" si="99"/>
        <v>120873</v>
      </c>
      <c r="AF46" s="52">
        <v>49970</v>
      </c>
      <c r="AG46" s="51"/>
      <c r="AH46" s="52">
        <v>16657</v>
      </c>
      <c r="AI46" s="56">
        <f>SUM(AF46:AH46)</f>
        <v>66627</v>
      </c>
      <c r="AJ46" s="53"/>
      <c r="AK46" s="54"/>
      <c r="AL46" s="53"/>
      <c r="AM46" s="56">
        <f t="shared" ref="AM46" si="102">SUM(AJ46:AL46)</f>
        <v>0</v>
      </c>
      <c r="AN46" s="53"/>
      <c r="AO46" s="54"/>
      <c r="AP46" s="53"/>
      <c r="AQ46" s="56">
        <f t="shared" ref="AQ46" si="103">SUM(AN46:AP46)</f>
        <v>0</v>
      </c>
      <c r="AR46" s="53"/>
      <c r="AS46" s="54"/>
      <c r="AT46" s="53"/>
      <c r="AU46" s="56">
        <f t="shared" ref="AU46" si="104">SUM(AR46:AT46)</f>
        <v>0</v>
      </c>
      <c r="AV46" s="144">
        <f t="shared" si="3"/>
        <v>0</v>
      </c>
      <c r="AW46" s="149"/>
      <c r="AX46" s="133">
        <f>8272.77+1812.82+1950.75+2006.31+5575.56+8271.19+12368.72+3468.31+1066.44+1000.79+1082.07+12873.28+3085.29+579.54</f>
        <v>63413.840000000004</v>
      </c>
      <c r="AY46" s="21">
        <f t="shared" ref="AY46" si="105">AX46/3</f>
        <v>21137.946666666667</v>
      </c>
      <c r="AZ46" s="17">
        <f>6300+3407.8+4676.39+906.8+2307.31+11.58+3888.4+10957.22+6.2</f>
        <v>32461.7</v>
      </c>
      <c r="BA46" s="2" t="s">
        <v>738</v>
      </c>
      <c r="BB46" s="60">
        <v>45519</v>
      </c>
      <c r="BC46" s="161"/>
      <c r="BD46" s="163"/>
      <c r="BE46" s="18"/>
      <c r="BF46" s="18"/>
      <c r="BG46" s="18"/>
      <c r="BH46" s="13"/>
    </row>
    <row r="47" spans="1:60" ht="36" customHeight="1" x14ac:dyDescent="0.2">
      <c r="A47" s="1" t="s">
        <v>644</v>
      </c>
      <c r="B47" s="61" t="s">
        <v>645</v>
      </c>
      <c r="C47" s="1" t="s">
        <v>661</v>
      </c>
      <c r="D47" s="4" t="s">
        <v>664</v>
      </c>
      <c r="E47" s="4" t="s">
        <v>646</v>
      </c>
      <c r="F47" s="30" t="s">
        <v>647</v>
      </c>
      <c r="G47" s="59">
        <f t="shared" si="44"/>
        <v>122410</v>
      </c>
      <c r="H47" s="51"/>
      <c r="I47" s="51"/>
      <c r="J47" s="51"/>
      <c r="K47" s="55">
        <f t="shared" si="94"/>
        <v>0</v>
      </c>
      <c r="L47" s="52"/>
      <c r="M47" s="51"/>
      <c r="N47" s="52"/>
      <c r="O47" s="56">
        <f t="shared" si="95"/>
        <v>0</v>
      </c>
      <c r="P47" s="52"/>
      <c r="Q47" s="51"/>
      <c r="R47" s="52"/>
      <c r="S47" s="56">
        <f t="shared" si="96"/>
        <v>0</v>
      </c>
      <c r="T47" s="52"/>
      <c r="U47" s="51"/>
      <c r="V47" s="52"/>
      <c r="W47" s="56">
        <f t="shared" si="97"/>
        <v>0</v>
      </c>
      <c r="X47" s="52"/>
      <c r="Y47" s="51"/>
      <c r="Z47" s="52"/>
      <c r="AA47" s="56">
        <f t="shared" si="98"/>
        <v>0</v>
      </c>
      <c r="AB47" s="52">
        <v>58794</v>
      </c>
      <c r="AC47" s="51">
        <v>12500</v>
      </c>
      <c r="AD47" s="52">
        <v>23614</v>
      </c>
      <c r="AE47" s="56">
        <f t="shared" si="99"/>
        <v>94908</v>
      </c>
      <c r="AF47" s="52">
        <v>24138</v>
      </c>
      <c r="AG47" s="51"/>
      <c r="AH47" s="52">
        <v>3364</v>
      </c>
      <c r="AI47" s="56">
        <f t="shared" si="59"/>
        <v>27502</v>
      </c>
      <c r="AJ47" s="53">
        <v>7068</v>
      </c>
      <c r="AK47" s="54"/>
      <c r="AL47" s="53">
        <v>3022</v>
      </c>
      <c r="AM47" s="56">
        <f t="shared" ref="AM47" si="106">SUM(AJ47:AL47)</f>
        <v>10090</v>
      </c>
      <c r="AN47" s="53"/>
      <c r="AO47" s="54"/>
      <c r="AP47" s="53"/>
      <c r="AQ47" s="56">
        <f t="shared" ref="AQ47" si="107">SUM(AN47:AP47)</f>
        <v>0</v>
      </c>
      <c r="AR47" s="53"/>
      <c r="AS47" s="54"/>
      <c r="AT47" s="53"/>
      <c r="AU47" s="56">
        <f t="shared" si="100"/>
        <v>0</v>
      </c>
      <c r="AV47" s="144">
        <f t="shared" si="3"/>
        <v>10090</v>
      </c>
      <c r="AW47" s="159">
        <f>AZ47/AX47</f>
        <v>0.490697545300461</v>
      </c>
      <c r="AX47" s="133">
        <f>10971.68+16483.04+52818.58+597.29</f>
        <v>80870.59</v>
      </c>
      <c r="AY47" s="21">
        <f t="shared" si="101"/>
        <v>26956.863333333331</v>
      </c>
      <c r="AZ47" s="17">
        <f>13795.14+28609.38-2721.52</f>
        <v>39683.000000000007</v>
      </c>
      <c r="BA47" s="2" t="s">
        <v>742</v>
      </c>
      <c r="BB47" s="60">
        <v>45703</v>
      </c>
      <c r="BC47" s="161">
        <f>+X47+AB47+AF47-AX47</f>
        <v>2061.4100000000035</v>
      </c>
      <c r="BD47" s="163"/>
      <c r="BE47" s="18"/>
      <c r="BF47" s="18"/>
      <c r="BG47" s="18"/>
      <c r="BH47" s="13"/>
    </row>
    <row r="48" spans="1:60" ht="44.25" customHeight="1" x14ac:dyDescent="0.2">
      <c r="A48" s="1" t="s">
        <v>652</v>
      </c>
      <c r="B48" s="61" t="s">
        <v>653</v>
      </c>
      <c r="C48" s="1" t="s">
        <v>662</v>
      </c>
      <c r="D48" s="4" t="s">
        <v>665</v>
      </c>
      <c r="E48" s="4" t="s">
        <v>654</v>
      </c>
      <c r="F48" s="30" t="s">
        <v>655</v>
      </c>
      <c r="G48" s="59">
        <f t="shared" si="44"/>
        <v>262499</v>
      </c>
      <c r="H48" s="51"/>
      <c r="I48" s="51"/>
      <c r="J48" s="51"/>
      <c r="K48" s="55">
        <f t="shared" ref="K48" si="108">SUM(H48:J48)</f>
        <v>0</v>
      </c>
      <c r="L48" s="52"/>
      <c r="M48" s="51"/>
      <c r="N48" s="52"/>
      <c r="O48" s="56">
        <f t="shared" ref="O48" si="109">SUM(L48:N48)</f>
        <v>0</v>
      </c>
      <c r="P48" s="52"/>
      <c r="Q48" s="51"/>
      <c r="R48" s="52"/>
      <c r="S48" s="56">
        <f t="shared" ref="S48" si="110">SUM(P48:R48)</f>
        <v>0</v>
      </c>
      <c r="T48" s="52"/>
      <c r="U48" s="51"/>
      <c r="V48" s="52"/>
      <c r="W48" s="56">
        <f t="shared" ref="W48" si="111">SUM(T48:V48)</f>
        <v>0</v>
      </c>
      <c r="X48" s="52"/>
      <c r="Y48" s="51"/>
      <c r="Z48" s="52"/>
      <c r="AA48" s="56">
        <f t="shared" ref="AA48" si="112">SUM(X48:Z48)</f>
        <v>0</v>
      </c>
      <c r="AB48" s="52">
        <v>87089</v>
      </c>
      <c r="AC48" s="51">
        <v>12500</v>
      </c>
      <c r="AD48" s="52">
        <v>29030</v>
      </c>
      <c r="AE48" s="56">
        <f t="shared" ref="AE48:AE49" si="113">SUM(AB48:AD48)</f>
        <v>128619</v>
      </c>
      <c r="AF48" s="52">
        <v>100410</v>
      </c>
      <c r="AG48" s="51"/>
      <c r="AH48" s="52">
        <v>33470</v>
      </c>
      <c r="AI48" s="56">
        <f t="shared" ref="AI48:AI51" si="114">SUM(AF48:AH48)</f>
        <v>133880</v>
      </c>
      <c r="AJ48" s="53"/>
      <c r="AK48" s="54"/>
      <c r="AL48" s="53"/>
      <c r="AM48" s="56">
        <f t="shared" ref="AM48:AM51" si="115">SUM(AJ48:AL48)</f>
        <v>0</v>
      </c>
      <c r="AN48" s="53"/>
      <c r="AO48" s="54"/>
      <c r="AP48" s="53"/>
      <c r="AQ48" s="56">
        <f t="shared" ref="AQ48:AQ51" si="116">SUM(AN48:AP48)</f>
        <v>0</v>
      </c>
      <c r="AR48" s="53"/>
      <c r="AS48" s="54"/>
      <c r="AT48" s="53"/>
      <c r="AU48" s="56">
        <f t="shared" ref="AU48" si="117">SUM(AR48:AT48)</f>
        <v>0</v>
      </c>
      <c r="AV48" s="144">
        <f t="shared" si="3"/>
        <v>0</v>
      </c>
      <c r="AW48" s="159">
        <f>AZ48/AX48</f>
        <v>0.69682102458190853</v>
      </c>
      <c r="AX48" s="133">
        <f>36542.21+21671.05+3698.7+423.26+40677.53</f>
        <v>103012.75</v>
      </c>
      <c r="AY48" s="21">
        <f t="shared" ref="AY48:AY51" si="118">AX48/3</f>
        <v>34337.583333333336</v>
      </c>
      <c r="AZ48" s="17">
        <v>71781.45</v>
      </c>
      <c r="BA48" s="2" t="s">
        <v>743</v>
      </c>
      <c r="BB48" s="138">
        <v>45703</v>
      </c>
      <c r="BC48" s="20"/>
      <c r="BD48" s="163"/>
      <c r="BE48" s="18"/>
      <c r="BF48" s="18"/>
      <c r="BG48" s="18"/>
      <c r="BH48" s="13"/>
    </row>
    <row r="49" spans="1:60" ht="36" customHeight="1" x14ac:dyDescent="0.2">
      <c r="A49" s="1" t="s">
        <v>672</v>
      </c>
      <c r="B49" s="61" t="s">
        <v>673</v>
      </c>
      <c r="C49" s="1" t="s">
        <v>703</v>
      </c>
      <c r="D49" s="4" t="s">
        <v>704</v>
      </c>
      <c r="E49" s="4" t="s">
        <v>54</v>
      </c>
      <c r="F49" s="30" t="s">
        <v>674</v>
      </c>
      <c r="G49" s="59">
        <f t="shared" si="44"/>
        <v>60469</v>
      </c>
      <c r="H49" s="51"/>
      <c r="I49" s="51"/>
      <c r="J49" s="51"/>
      <c r="K49" s="55">
        <f t="shared" ref="K49" si="119">SUM(H49:J49)</f>
        <v>0</v>
      </c>
      <c r="L49" s="52"/>
      <c r="M49" s="51"/>
      <c r="N49" s="52"/>
      <c r="O49" s="56">
        <f t="shared" ref="O49" si="120">SUM(L49:N49)</f>
        <v>0</v>
      </c>
      <c r="P49" s="52"/>
      <c r="Q49" s="51"/>
      <c r="R49" s="52"/>
      <c r="S49" s="56">
        <f t="shared" ref="S49" si="121">SUM(P49:R49)</f>
        <v>0</v>
      </c>
      <c r="T49" s="52"/>
      <c r="U49" s="51"/>
      <c r="V49" s="52"/>
      <c r="W49" s="56">
        <f t="shared" ref="W49" si="122">SUM(T49:V49)</f>
        <v>0</v>
      </c>
      <c r="X49" s="52"/>
      <c r="Y49" s="51"/>
      <c r="Z49" s="52"/>
      <c r="AA49" s="56">
        <f t="shared" ref="AA49" si="123">SUM(X49:Z49)</f>
        <v>0</v>
      </c>
      <c r="AB49" s="52"/>
      <c r="AC49" s="51"/>
      <c r="AD49" s="52"/>
      <c r="AE49" s="56">
        <f t="shared" si="113"/>
        <v>0</v>
      </c>
      <c r="AF49" s="52">
        <v>37366</v>
      </c>
      <c r="AG49" s="51">
        <v>10743</v>
      </c>
      <c r="AH49" s="52">
        <v>12360</v>
      </c>
      <c r="AI49" s="56">
        <f t="shared" si="114"/>
        <v>60469</v>
      </c>
      <c r="AJ49" s="53">
        <v>37634</v>
      </c>
      <c r="AK49" s="54"/>
      <c r="AL49" s="53">
        <v>12641</v>
      </c>
      <c r="AM49" s="56">
        <f t="shared" si="115"/>
        <v>50275</v>
      </c>
      <c r="AN49" s="53"/>
      <c r="AO49" s="54"/>
      <c r="AP49" s="53"/>
      <c r="AQ49" s="56">
        <f t="shared" si="116"/>
        <v>0</v>
      </c>
      <c r="AR49" s="53"/>
      <c r="AS49" s="54"/>
      <c r="AT49" s="53"/>
      <c r="AU49" s="56">
        <f>SUM(AR49:AT49)</f>
        <v>0</v>
      </c>
      <c r="AV49" s="144">
        <f t="shared" si="3"/>
        <v>50275</v>
      </c>
      <c r="AW49" s="149"/>
      <c r="AX49" s="133">
        <f>9425.1+2859.4+3574.25+15734.67</f>
        <v>31593.42</v>
      </c>
      <c r="AY49" s="21">
        <f t="shared" si="118"/>
        <v>10531.14</v>
      </c>
      <c r="AZ49" s="17">
        <f>360.9+5376.6+300.75+7403.03</f>
        <v>13441.279999999999</v>
      </c>
      <c r="BA49" s="2" t="s">
        <v>733</v>
      </c>
      <c r="BB49" s="60">
        <v>45838</v>
      </c>
      <c r="BC49" s="161">
        <f>+X49+AB49+AF49-AX49</f>
        <v>5772.5800000000017</v>
      </c>
      <c r="BD49" s="163">
        <f>+BC49/3</f>
        <v>1924.1933333333338</v>
      </c>
      <c r="BE49" s="162">
        <f>+BC49+BD49</f>
        <v>7696.7733333333354</v>
      </c>
      <c r="BF49" s="18"/>
      <c r="BG49" s="18"/>
      <c r="BH49" s="13"/>
    </row>
    <row r="50" spans="1:60" ht="38.25" x14ac:dyDescent="0.2">
      <c r="A50" s="1" t="s">
        <v>700</v>
      </c>
      <c r="B50" s="61" t="s">
        <v>701</v>
      </c>
      <c r="C50" s="1" t="s">
        <v>712</v>
      </c>
      <c r="D50" s="4" t="s">
        <v>717</v>
      </c>
      <c r="E50" s="4" t="s">
        <v>452</v>
      </c>
      <c r="F50" s="30" t="s">
        <v>702</v>
      </c>
      <c r="G50" s="59">
        <f t="shared" si="44"/>
        <v>161134.5</v>
      </c>
      <c r="H50" s="51"/>
      <c r="I50" s="51"/>
      <c r="J50" s="51"/>
      <c r="K50" s="55"/>
      <c r="L50" s="52"/>
      <c r="M50" s="51"/>
      <c r="N50" s="52"/>
      <c r="O50" s="56"/>
      <c r="P50" s="52"/>
      <c r="Q50" s="51"/>
      <c r="R50" s="52"/>
      <c r="S50" s="56"/>
      <c r="T50" s="52"/>
      <c r="U50" s="51"/>
      <c r="V50" s="52"/>
      <c r="W50" s="56"/>
      <c r="X50" s="52"/>
      <c r="Y50" s="51"/>
      <c r="Z50" s="52"/>
      <c r="AA50" s="56"/>
      <c r="AB50" s="52"/>
      <c r="AC50" s="51"/>
      <c r="AD50" s="52"/>
      <c r="AE50" s="56"/>
      <c r="AF50" s="52">
        <v>112794</v>
      </c>
      <c r="AG50" s="51">
        <v>10742.5</v>
      </c>
      <c r="AH50" s="52">
        <v>37598</v>
      </c>
      <c r="AI50" s="56">
        <f t="shared" si="114"/>
        <v>161134.5</v>
      </c>
      <c r="AJ50" s="53">
        <v>139207</v>
      </c>
      <c r="AK50" s="54"/>
      <c r="AL50" s="53">
        <v>46402</v>
      </c>
      <c r="AM50" s="56">
        <f t="shared" si="115"/>
        <v>185609</v>
      </c>
      <c r="AN50" s="53">
        <v>90721</v>
      </c>
      <c r="AO50" s="54"/>
      <c r="AP50" s="53">
        <v>30240</v>
      </c>
      <c r="AQ50" s="56">
        <f t="shared" si="116"/>
        <v>120961</v>
      </c>
      <c r="AR50" s="53">
        <v>32278</v>
      </c>
      <c r="AS50" s="54"/>
      <c r="AT50" s="53">
        <v>10759</v>
      </c>
      <c r="AU50" s="56">
        <f>SUM(AR50:AT50)</f>
        <v>43037</v>
      </c>
      <c r="AV50" s="144">
        <f>+AM50+AU50+AQ50</f>
        <v>349607</v>
      </c>
      <c r="AW50" s="149"/>
      <c r="AX50" s="133">
        <f>25609.94+9467.26+40568.52+20330.38+4521.43</f>
        <v>100497.53</v>
      </c>
      <c r="AY50" s="21">
        <f t="shared" si="118"/>
        <v>33499.176666666666</v>
      </c>
      <c r="AZ50" s="17">
        <f>8537+3156+13523+6777+1507</f>
        <v>33500</v>
      </c>
      <c r="BA50" s="2" t="s">
        <v>740</v>
      </c>
      <c r="BB50" s="60">
        <v>46157</v>
      </c>
      <c r="BC50" s="161">
        <f>112794-AX50</f>
        <v>12296.470000000001</v>
      </c>
      <c r="BD50" s="163">
        <f>+BC50/3</f>
        <v>4098.8233333333337</v>
      </c>
      <c r="BE50" s="162">
        <f>+BC50+BD50</f>
        <v>16395.293333333335</v>
      </c>
      <c r="BF50" s="18"/>
      <c r="BG50" s="18"/>
      <c r="BH50" s="13"/>
    </row>
    <row r="51" spans="1:60" ht="25.5" x14ac:dyDescent="0.2">
      <c r="A51" s="1" t="s">
        <v>705</v>
      </c>
      <c r="B51" s="61" t="s">
        <v>706</v>
      </c>
      <c r="C51" s="1" t="s">
        <v>727</v>
      </c>
      <c r="D51" s="4" t="s">
        <v>711</v>
      </c>
      <c r="E51" s="4" t="s">
        <v>707</v>
      </c>
      <c r="F51" s="143" t="s">
        <v>708</v>
      </c>
      <c r="G51" s="59">
        <f t="shared" si="44"/>
        <v>21010</v>
      </c>
      <c r="H51" s="51"/>
      <c r="I51" s="51"/>
      <c r="J51" s="51"/>
      <c r="K51" s="55"/>
      <c r="L51" s="52"/>
      <c r="M51" s="51"/>
      <c r="N51" s="52"/>
      <c r="O51" s="56"/>
      <c r="P51" s="52"/>
      <c r="Q51" s="51"/>
      <c r="R51" s="52"/>
      <c r="S51" s="56"/>
      <c r="T51" s="52"/>
      <c r="U51" s="51"/>
      <c r="V51" s="52"/>
      <c r="W51" s="56"/>
      <c r="X51" s="52"/>
      <c r="Y51" s="51"/>
      <c r="Z51" s="52"/>
      <c r="AA51" s="56"/>
      <c r="AB51" s="52"/>
      <c r="AC51" s="51"/>
      <c r="AD51" s="52"/>
      <c r="AE51" s="56"/>
      <c r="AF51" s="52">
        <v>12485</v>
      </c>
      <c r="AG51" s="51">
        <v>5365</v>
      </c>
      <c r="AH51" s="52">
        <v>3160</v>
      </c>
      <c r="AI51" s="56">
        <f t="shared" si="114"/>
        <v>21010</v>
      </c>
      <c r="AJ51" s="53">
        <v>14319</v>
      </c>
      <c r="AK51" s="54">
        <v>5378</v>
      </c>
      <c r="AL51" s="53">
        <v>5262</v>
      </c>
      <c r="AM51" s="56">
        <f t="shared" si="115"/>
        <v>24959</v>
      </c>
      <c r="AN51" s="53">
        <v>3196</v>
      </c>
      <c r="AO51" s="54"/>
      <c r="AP51" s="53">
        <v>1578</v>
      </c>
      <c r="AQ51" s="56">
        <f t="shared" si="116"/>
        <v>4774</v>
      </c>
      <c r="AR51" s="53"/>
      <c r="AS51" s="54"/>
      <c r="AT51" s="53"/>
      <c r="AU51" s="56">
        <f>SUM(AR51:AT51)</f>
        <v>0</v>
      </c>
      <c r="AV51" s="144">
        <f>+AM51+AU51+AQ51</f>
        <v>29733</v>
      </c>
      <c r="AW51" s="159"/>
      <c r="AX51" s="133"/>
      <c r="AY51" s="21">
        <f t="shared" si="118"/>
        <v>0</v>
      </c>
      <c r="AZ51" s="17">
        <v>0</v>
      </c>
      <c r="BA51" s="2" t="s">
        <v>739</v>
      </c>
      <c r="BB51" s="60">
        <v>46081</v>
      </c>
      <c r="BC51" s="161">
        <f>+X51+AB51+AF51-AX51</f>
        <v>12485</v>
      </c>
      <c r="BD51" s="18"/>
      <c r="BE51" s="18"/>
      <c r="BF51" s="18"/>
      <c r="BG51" s="18"/>
      <c r="BH51" s="13"/>
    </row>
    <row r="52" spans="1:60" ht="43.5" customHeight="1" x14ac:dyDescent="0.2">
      <c r="A52" s="68" t="s">
        <v>111</v>
      </c>
      <c r="B52" s="69" t="s">
        <v>143</v>
      </c>
      <c r="C52" s="68" t="s">
        <v>129</v>
      </c>
      <c r="D52" s="70" t="s">
        <v>119</v>
      </c>
      <c r="E52" s="70" t="s">
        <v>124</v>
      </c>
      <c r="F52" s="71" t="s">
        <v>144</v>
      </c>
      <c r="G52" s="118">
        <f t="shared" ref="G52:G55" si="124">K52+O52+S52+W52+AA52+AE52+AI52</f>
        <v>36000</v>
      </c>
      <c r="H52" s="72">
        <v>18000</v>
      </c>
      <c r="I52" s="72">
        <v>9000</v>
      </c>
      <c r="J52" s="72">
        <v>9000</v>
      </c>
      <c r="K52" s="73">
        <f t="shared" si="0"/>
        <v>36000</v>
      </c>
      <c r="L52" s="74">
        <v>0</v>
      </c>
      <c r="M52" s="72"/>
      <c r="N52" s="74"/>
      <c r="O52" s="75">
        <f t="shared" si="1"/>
        <v>0</v>
      </c>
      <c r="P52" s="74">
        <v>0</v>
      </c>
      <c r="Q52" s="72"/>
      <c r="R52" s="74"/>
      <c r="S52" s="75">
        <f t="shared" si="2"/>
        <v>0</v>
      </c>
      <c r="T52" s="74"/>
      <c r="U52" s="72"/>
      <c r="V52" s="74"/>
      <c r="W52" s="75">
        <f t="shared" si="29"/>
        <v>0</v>
      </c>
      <c r="X52" s="74"/>
      <c r="Y52" s="72"/>
      <c r="Z52" s="74"/>
      <c r="AA52" s="75">
        <f t="shared" si="30"/>
        <v>0</v>
      </c>
      <c r="AB52" s="74"/>
      <c r="AC52" s="72"/>
      <c r="AD52" s="74"/>
      <c r="AE52" s="75">
        <f t="shared" ref="AE52:AE54" si="125">SUM(AB52:AD52)</f>
        <v>0</v>
      </c>
      <c r="AF52" s="74"/>
      <c r="AG52" s="72"/>
      <c r="AH52" s="74"/>
      <c r="AI52" s="75">
        <f t="shared" si="59"/>
        <v>0</v>
      </c>
      <c r="AJ52" s="74"/>
      <c r="AK52" s="72"/>
      <c r="AL52" s="74"/>
      <c r="AM52" s="75">
        <f t="shared" ref="AM52:AM58" si="126">SUM(AJ52:AL52)</f>
        <v>0</v>
      </c>
      <c r="AN52" s="74"/>
      <c r="AO52" s="72"/>
      <c r="AP52" s="74"/>
      <c r="AQ52" s="75">
        <f t="shared" ref="AQ52:AQ56" si="127">SUM(AN52:AP52)</f>
        <v>0</v>
      </c>
      <c r="AR52" s="74"/>
      <c r="AS52" s="72"/>
      <c r="AT52" s="74"/>
      <c r="AU52" s="75">
        <f t="shared" si="31"/>
        <v>0</v>
      </c>
      <c r="AV52" s="118">
        <f t="shared" ref="AV52:AV57" si="128">+AM52+AU52+AQ52</f>
        <v>0</v>
      </c>
      <c r="AW52" s="123"/>
      <c r="AX52" s="124">
        <f>8040+3040+3040+3200+680</f>
        <v>18000</v>
      </c>
      <c r="AY52" s="77">
        <v>9000</v>
      </c>
      <c r="AZ52" s="76">
        <f>4020+1520+1520+1600+340</f>
        <v>9000</v>
      </c>
      <c r="BA52" s="78" t="s">
        <v>440</v>
      </c>
      <c r="BB52" s="79">
        <v>43251</v>
      </c>
      <c r="BC52" s="20"/>
      <c r="BD52" s="18"/>
      <c r="BE52" s="18"/>
      <c r="BF52" s="18"/>
      <c r="BG52" s="18"/>
      <c r="BH52" s="13"/>
    </row>
    <row r="53" spans="1:60" ht="44.25" customHeight="1" x14ac:dyDescent="0.2">
      <c r="A53" s="68" t="s">
        <v>466</v>
      </c>
      <c r="B53" s="69" t="s">
        <v>467</v>
      </c>
      <c r="C53" s="68" t="s">
        <v>468</v>
      </c>
      <c r="D53" s="70" t="s">
        <v>469</v>
      </c>
      <c r="E53" s="70" t="s">
        <v>38</v>
      </c>
      <c r="F53" s="71" t="s">
        <v>470</v>
      </c>
      <c r="G53" s="118">
        <f t="shared" si="124"/>
        <v>48500</v>
      </c>
      <c r="H53" s="72"/>
      <c r="I53" s="72"/>
      <c r="J53" s="72"/>
      <c r="K53" s="73">
        <f t="shared" ref="K53" si="129">SUM(H53:J53)</f>
        <v>0</v>
      </c>
      <c r="L53" s="74">
        <v>18062</v>
      </c>
      <c r="M53" s="72">
        <v>9031</v>
      </c>
      <c r="N53" s="74">
        <v>6021</v>
      </c>
      <c r="O53" s="75">
        <f t="shared" ref="O53" si="130">SUM(L53:N53)</f>
        <v>33114</v>
      </c>
      <c r="P53" s="74">
        <v>8938</v>
      </c>
      <c r="Q53" s="72">
        <v>3469</v>
      </c>
      <c r="R53" s="74">
        <v>2979</v>
      </c>
      <c r="S53" s="75">
        <f t="shared" ref="S53" si="131">SUM(P53:R53)</f>
        <v>15386</v>
      </c>
      <c r="T53" s="74"/>
      <c r="U53" s="72"/>
      <c r="V53" s="74"/>
      <c r="W53" s="75">
        <f t="shared" si="29"/>
        <v>0</v>
      </c>
      <c r="X53" s="74"/>
      <c r="Y53" s="72"/>
      <c r="Z53" s="74"/>
      <c r="AA53" s="75">
        <f t="shared" si="30"/>
        <v>0</v>
      </c>
      <c r="AB53" s="74"/>
      <c r="AC53" s="72"/>
      <c r="AD53" s="74"/>
      <c r="AE53" s="75">
        <f t="shared" si="125"/>
        <v>0</v>
      </c>
      <c r="AF53" s="74"/>
      <c r="AG53" s="72"/>
      <c r="AH53" s="74"/>
      <c r="AI53" s="75">
        <f t="shared" si="59"/>
        <v>0</v>
      </c>
      <c r="AJ53" s="74"/>
      <c r="AK53" s="72"/>
      <c r="AL53" s="74"/>
      <c r="AM53" s="75">
        <f t="shared" si="126"/>
        <v>0</v>
      </c>
      <c r="AN53" s="74"/>
      <c r="AO53" s="72"/>
      <c r="AP53" s="74"/>
      <c r="AQ53" s="75">
        <f t="shared" si="127"/>
        <v>0</v>
      </c>
      <c r="AR53" s="74"/>
      <c r="AS53" s="72"/>
      <c r="AT53" s="74"/>
      <c r="AU53" s="75">
        <f t="shared" si="31"/>
        <v>0</v>
      </c>
      <c r="AV53" s="118">
        <f t="shared" si="128"/>
        <v>0</v>
      </c>
      <c r="AW53" s="123"/>
      <c r="AX53" s="124">
        <f>626.36+762.14+2775.05+5312.54+2952.4+1804.59+12762.69</f>
        <v>26995.77</v>
      </c>
      <c r="AY53" s="77">
        <f t="shared" si="5"/>
        <v>8998.59</v>
      </c>
      <c r="AZ53" s="76">
        <f>1060.39+6626.1+3781.763</f>
        <v>11468.253000000001</v>
      </c>
      <c r="BA53" s="78" t="s">
        <v>524</v>
      </c>
      <c r="BB53" s="79">
        <v>43951</v>
      </c>
      <c r="BC53" s="20"/>
      <c r="BD53" s="18"/>
      <c r="BE53" s="18"/>
      <c r="BF53" s="18"/>
      <c r="BG53" s="18"/>
      <c r="BH53" s="13"/>
    </row>
    <row r="54" spans="1:60" ht="36" customHeight="1" x14ac:dyDescent="0.2">
      <c r="A54" s="68" t="s">
        <v>495</v>
      </c>
      <c r="B54" s="69" t="s">
        <v>496</v>
      </c>
      <c r="C54" s="68" t="s">
        <v>499</v>
      </c>
      <c r="D54" s="70" t="s">
        <v>497</v>
      </c>
      <c r="E54" s="70" t="s">
        <v>7</v>
      </c>
      <c r="F54" s="71" t="s">
        <v>46</v>
      </c>
      <c r="G54" s="118">
        <f t="shared" si="124"/>
        <v>48500</v>
      </c>
      <c r="H54" s="72"/>
      <c r="I54" s="72"/>
      <c r="J54" s="72"/>
      <c r="K54" s="73">
        <f t="shared" ref="K54" si="132">SUM(H54:J54)</f>
        <v>0</v>
      </c>
      <c r="L54" s="74"/>
      <c r="M54" s="72"/>
      <c r="N54" s="74"/>
      <c r="O54" s="75">
        <f t="shared" ref="O54:O55" si="133">SUM(L54:N54)</f>
        <v>0</v>
      </c>
      <c r="P54" s="74">
        <v>27000</v>
      </c>
      <c r="Q54" s="72">
        <v>9000</v>
      </c>
      <c r="R54" s="74">
        <v>12500</v>
      </c>
      <c r="S54" s="75">
        <f t="shared" ref="S54:S55" si="134">SUM(P54:R54)</f>
        <v>48500</v>
      </c>
      <c r="T54" s="74"/>
      <c r="U54" s="72"/>
      <c r="V54" s="74"/>
      <c r="W54" s="75">
        <f t="shared" si="29"/>
        <v>0</v>
      </c>
      <c r="X54" s="74"/>
      <c r="Y54" s="72"/>
      <c r="Z54" s="74"/>
      <c r="AA54" s="75">
        <f t="shared" si="30"/>
        <v>0</v>
      </c>
      <c r="AB54" s="74"/>
      <c r="AC54" s="72"/>
      <c r="AD54" s="74"/>
      <c r="AE54" s="75">
        <f t="shared" si="125"/>
        <v>0</v>
      </c>
      <c r="AF54" s="74"/>
      <c r="AG54" s="72"/>
      <c r="AH54" s="74"/>
      <c r="AI54" s="75">
        <f t="shared" si="59"/>
        <v>0</v>
      </c>
      <c r="AJ54" s="74"/>
      <c r="AK54" s="72"/>
      <c r="AL54" s="74"/>
      <c r="AM54" s="75">
        <f t="shared" si="126"/>
        <v>0</v>
      </c>
      <c r="AN54" s="74"/>
      <c r="AO54" s="72"/>
      <c r="AP54" s="74"/>
      <c r="AQ54" s="75">
        <f t="shared" si="127"/>
        <v>0</v>
      </c>
      <c r="AR54" s="74"/>
      <c r="AS54" s="72"/>
      <c r="AT54" s="74"/>
      <c r="AU54" s="75">
        <f t="shared" si="31"/>
        <v>0</v>
      </c>
      <c r="AV54" s="118">
        <f t="shared" si="128"/>
        <v>0</v>
      </c>
      <c r="AW54" s="123"/>
      <c r="AX54" s="124">
        <f>819+22503.17+3676.3</f>
        <v>26998.469999999998</v>
      </c>
      <c r="AY54" s="77">
        <f>AX54/3</f>
        <v>8999.49</v>
      </c>
      <c r="AZ54" s="76">
        <f>14.4+5822.13+4940.58</f>
        <v>10777.11</v>
      </c>
      <c r="BA54" s="78" t="s">
        <v>519</v>
      </c>
      <c r="BB54" s="113">
        <v>43861</v>
      </c>
      <c r="BC54" s="20"/>
      <c r="BD54" s="18"/>
      <c r="BE54" s="18"/>
      <c r="BF54" s="18"/>
      <c r="BG54" s="18"/>
      <c r="BH54" s="13"/>
    </row>
    <row r="55" spans="1:60" ht="36" customHeight="1" x14ac:dyDescent="0.2">
      <c r="A55" s="68" t="s">
        <v>564</v>
      </c>
      <c r="B55" s="69" t="s">
        <v>565</v>
      </c>
      <c r="C55" s="68" t="s">
        <v>569</v>
      </c>
      <c r="D55" s="68" t="s">
        <v>570</v>
      </c>
      <c r="E55" s="70" t="s">
        <v>54</v>
      </c>
      <c r="F55" s="71" t="s">
        <v>55</v>
      </c>
      <c r="G55" s="118">
        <f t="shared" si="124"/>
        <v>48500</v>
      </c>
      <c r="H55" s="72"/>
      <c r="I55" s="72"/>
      <c r="J55" s="72"/>
      <c r="K55" s="73">
        <f t="shared" ref="K55" si="135">SUM(H55:J55)</f>
        <v>0</v>
      </c>
      <c r="L55" s="74"/>
      <c r="M55" s="72"/>
      <c r="N55" s="74"/>
      <c r="O55" s="75">
        <f t="shared" si="133"/>
        <v>0</v>
      </c>
      <c r="P55" s="74"/>
      <c r="Q55" s="72"/>
      <c r="R55" s="74"/>
      <c r="S55" s="75">
        <f t="shared" si="134"/>
        <v>0</v>
      </c>
      <c r="T55" s="74">
        <v>27000</v>
      </c>
      <c r="U55" s="72">
        <v>12500</v>
      </c>
      <c r="V55" s="74">
        <v>9000</v>
      </c>
      <c r="W55" s="75">
        <f t="shared" ref="W55" si="136">SUM(T55:V55)</f>
        <v>48500</v>
      </c>
      <c r="X55" s="74"/>
      <c r="Y55" s="72"/>
      <c r="Z55" s="74"/>
      <c r="AA55" s="75">
        <f t="shared" ref="AA55" si="137">SUM(X55:Z55)</f>
        <v>0</v>
      </c>
      <c r="AB55" s="74"/>
      <c r="AC55" s="72"/>
      <c r="AD55" s="74"/>
      <c r="AE55" s="75">
        <f t="shared" ref="AE55" si="138">SUM(AB55:AD55)</f>
        <v>0</v>
      </c>
      <c r="AF55" s="74"/>
      <c r="AG55" s="72"/>
      <c r="AH55" s="74"/>
      <c r="AI55" s="75">
        <f t="shared" si="59"/>
        <v>0</v>
      </c>
      <c r="AJ55" s="74"/>
      <c r="AK55" s="72"/>
      <c r="AL55" s="74"/>
      <c r="AM55" s="75">
        <f t="shared" si="126"/>
        <v>0</v>
      </c>
      <c r="AN55" s="74"/>
      <c r="AO55" s="72"/>
      <c r="AP55" s="74"/>
      <c r="AQ55" s="75">
        <f t="shared" si="127"/>
        <v>0</v>
      </c>
      <c r="AR55" s="74"/>
      <c r="AS55" s="72"/>
      <c r="AT55" s="74"/>
      <c r="AU55" s="75">
        <f t="shared" ref="AU55" si="139">SUM(AR55:AT55)</f>
        <v>0</v>
      </c>
      <c r="AV55" s="118">
        <f t="shared" si="128"/>
        <v>0</v>
      </c>
      <c r="AW55" s="123"/>
      <c r="AX55" s="124">
        <v>26999.85</v>
      </c>
      <c r="AY55" s="77">
        <f t="shared" ref="AY55:AY60" si="140">AX55/3</f>
        <v>8999.9499999999989</v>
      </c>
      <c r="AZ55" s="76">
        <v>9010.35</v>
      </c>
      <c r="BA55" s="78" t="s">
        <v>632</v>
      </c>
      <c r="BB55" s="79">
        <v>44469</v>
      </c>
      <c r="BC55" s="20"/>
      <c r="BD55" s="18"/>
      <c r="BE55" s="18"/>
      <c r="BF55" s="18"/>
      <c r="BG55" s="18"/>
      <c r="BH55" s="13"/>
    </row>
    <row r="56" spans="1:60" ht="36" customHeight="1" x14ac:dyDescent="0.2">
      <c r="A56" s="68" t="s">
        <v>634</v>
      </c>
      <c r="B56" s="69" t="s">
        <v>635</v>
      </c>
      <c r="C56" s="68" t="s">
        <v>636</v>
      </c>
      <c r="D56" s="70" t="s">
        <v>637</v>
      </c>
      <c r="E56" s="70" t="s">
        <v>54</v>
      </c>
      <c r="F56" s="71" t="s">
        <v>586</v>
      </c>
      <c r="G56" s="118">
        <f>K56+O56+S56+W56+AA56+AE56+AI56</f>
        <v>48500</v>
      </c>
      <c r="H56" s="72"/>
      <c r="I56" s="72"/>
      <c r="J56" s="72"/>
      <c r="K56" s="73">
        <f t="shared" ref="K56:K58" si="141">SUM(H56:J56)</f>
        <v>0</v>
      </c>
      <c r="L56" s="74"/>
      <c r="M56" s="72"/>
      <c r="N56" s="74"/>
      <c r="O56" s="75">
        <f t="shared" ref="O56:O58" si="142">SUM(L56:N56)</f>
        <v>0</v>
      </c>
      <c r="P56" s="74"/>
      <c r="Q56" s="72"/>
      <c r="R56" s="74"/>
      <c r="S56" s="75">
        <f t="shared" ref="S56:S58" si="143">SUM(P56:R56)</f>
        <v>0</v>
      </c>
      <c r="T56" s="74"/>
      <c r="U56" s="72"/>
      <c r="V56" s="74"/>
      <c r="W56" s="75">
        <f t="shared" ref="W56:W58" si="144">SUM(T56:V56)</f>
        <v>0</v>
      </c>
      <c r="X56" s="74">
        <v>27000</v>
      </c>
      <c r="Y56" s="72">
        <v>12500</v>
      </c>
      <c r="Z56" s="74">
        <v>9000</v>
      </c>
      <c r="AA56" s="75">
        <f t="shared" ref="AA56:AA58" si="145">SUM(X56:Z56)</f>
        <v>48500</v>
      </c>
      <c r="AB56" s="74"/>
      <c r="AC56" s="72"/>
      <c r="AD56" s="74"/>
      <c r="AE56" s="75">
        <f t="shared" ref="AE56:AE58" si="146">SUM(AB56:AD56)</f>
        <v>0</v>
      </c>
      <c r="AF56" s="74"/>
      <c r="AG56" s="72"/>
      <c r="AH56" s="74"/>
      <c r="AI56" s="75">
        <f t="shared" si="59"/>
        <v>0</v>
      </c>
      <c r="AJ56" s="74"/>
      <c r="AK56" s="72"/>
      <c r="AL56" s="74"/>
      <c r="AM56" s="75">
        <f t="shared" si="126"/>
        <v>0</v>
      </c>
      <c r="AN56" s="74"/>
      <c r="AO56" s="72"/>
      <c r="AP56" s="74"/>
      <c r="AQ56" s="75">
        <f t="shared" si="127"/>
        <v>0</v>
      </c>
      <c r="AR56" s="74"/>
      <c r="AS56" s="72"/>
      <c r="AT56" s="74"/>
      <c r="AU56" s="75">
        <f t="shared" ref="AU56" si="147">SUM(AR56:AT56)</f>
        <v>0</v>
      </c>
      <c r="AV56" s="118">
        <f>+AM56+AU56+AQ56</f>
        <v>0</v>
      </c>
      <c r="AW56" s="123"/>
      <c r="AX56" s="124">
        <f>1792.5+172.5+225+24810</f>
        <v>27000</v>
      </c>
      <c r="AY56" s="77">
        <f t="shared" ref="AY56:AY58" si="148">AX56/3</f>
        <v>9000</v>
      </c>
      <c r="AZ56" s="76">
        <v>9000</v>
      </c>
      <c r="BA56" s="78" t="s">
        <v>643</v>
      </c>
      <c r="BB56" s="79">
        <v>44696</v>
      </c>
      <c r="BC56" s="20"/>
      <c r="BD56" s="18"/>
      <c r="BE56" s="18"/>
      <c r="BF56" s="18"/>
      <c r="BG56" s="18"/>
      <c r="BH56" s="13"/>
    </row>
    <row r="57" spans="1:60" ht="36" customHeight="1" x14ac:dyDescent="0.2">
      <c r="A57" s="68" t="s">
        <v>639</v>
      </c>
      <c r="B57" s="69" t="s">
        <v>640</v>
      </c>
      <c r="C57" s="68" t="s">
        <v>657</v>
      </c>
      <c r="D57" s="68" t="s">
        <v>642</v>
      </c>
      <c r="E57" s="70" t="s">
        <v>54</v>
      </c>
      <c r="F57" s="71" t="s">
        <v>641</v>
      </c>
      <c r="G57" s="118">
        <f t="shared" ref="G57" si="149">K57+O57+S57+W57+AA57+AE57+AI57</f>
        <v>48500</v>
      </c>
      <c r="H57" s="72"/>
      <c r="I57" s="72"/>
      <c r="J57" s="72"/>
      <c r="K57" s="73">
        <f t="shared" si="141"/>
        <v>0</v>
      </c>
      <c r="L57" s="74"/>
      <c r="M57" s="72"/>
      <c r="N57" s="74"/>
      <c r="O57" s="75">
        <f t="shared" si="142"/>
        <v>0</v>
      </c>
      <c r="P57" s="74"/>
      <c r="Q57" s="72"/>
      <c r="R57" s="74"/>
      <c r="S57" s="75">
        <f t="shared" si="143"/>
        <v>0</v>
      </c>
      <c r="T57" s="74"/>
      <c r="U57" s="72"/>
      <c r="V57" s="74"/>
      <c r="W57" s="75">
        <f t="shared" si="144"/>
        <v>0</v>
      </c>
      <c r="X57" s="74"/>
      <c r="Y57" s="72"/>
      <c r="Z57" s="74"/>
      <c r="AA57" s="75">
        <f t="shared" si="145"/>
        <v>0</v>
      </c>
      <c r="AB57" s="74">
        <v>27000</v>
      </c>
      <c r="AC57" s="72">
        <v>12500</v>
      </c>
      <c r="AD57" s="74">
        <v>9000</v>
      </c>
      <c r="AE57" s="75">
        <f t="shared" si="146"/>
        <v>48500</v>
      </c>
      <c r="AF57" s="74"/>
      <c r="AG57" s="72"/>
      <c r="AH57" s="74"/>
      <c r="AI57" s="75">
        <f t="shared" ref="AI57:AI58" si="150">SUM(AF57:AH57)</f>
        <v>0</v>
      </c>
      <c r="AJ57" s="74"/>
      <c r="AK57" s="72"/>
      <c r="AL57" s="74"/>
      <c r="AM57" s="75">
        <f t="shared" si="126"/>
        <v>0</v>
      </c>
      <c r="AN57" s="74"/>
      <c r="AO57" s="72"/>
      <c r="AP57" s="74"/>
      <c r="AQ57" s="75">
        <f t="shared" ref="AQ57:AQ58" si="151">SUM(AN57:AP57)</f>
        <v>0</v>
      </c>
      <c r="AR57" s="74"/>
      <c r="AS57" s="72"/>
      <c r="AT57" s="74"/>
      <c r="AU57" s="75">
        <f t="shared" ref="AU57:AU58" si="152">SUM(AR57:AT57)</f>
        <v>0</v>
      </c>
      <c r="AV57" s="118">
        <f t="shared" si="128"/>
        <v>0</v>
      </c>
      <c r="AW57" s="123"/>
      <c r="AX57" s="124">
        <f>15939+11061</f>
        <v>27000</v>
      </c>
      <c r="AY57" s="77">
        <f t="shared" si="148"/>
        <v>9000</v>
      </c>
      <c r="AZ57" s="76">
        <v>9000</v>
      </c>
      <c r="BA57" s="78" t="s">
        <v>685</v>
      </c>
      <c r="BB57" s="79">
        <v>45061</v>
      </c>
      <c r="BC57" s="20"/>
      <c r="BD57" s="18"/>
      <c r="BE57" s="18"/>
      <c r="BF57" s="18"/>
      <c r="BG57" s="18"/>
      <c r="BH57" s="13"/>
    </row>
    <row r="58" spans="1:60" ht="50.25" customHeight="1" x14ac:dyDescent="0.2">
      <c r="A58" s="68" t="s">
        <v>668</v>
      </c>
      <c r="B58" s="69" t="s">
        <v>669</v>
      </c>
      <c r="C58" s="68" t="s">
        <v>687</v>
      </c>
      <c r="D58" s="70" t="s">
        <v>686</v>
      </c>
      <c r="E58" s="70" t="s">
        <v>670</v>
      </c>
      <c r="F58" s="71" t="s">
        <v>671</v>
      </c>
      <c r="G58" s="118">
        <f>K58+O58+S58+W58+AA58+AE58+AI58</f>
        <v>46814</v>
      </c>
      <c r="H58" s="72"/>
      <c r="I58" s="72"/>
      <c r="J58" s="72"/>
      <c r="K58" s="73">
        <f t="shared" si="141"/>
        <v>0</v>
      </c>
      <c r="L58" s="74"/>
      <c r="M58" s="72"/>
      <c r="N58" s="74"/>
      <c r="O58" s="75">
        <f t="shared" si="142"/>
        <v>0</v>
      </c>
      <c r="P58" s="74"/>
      <c r="Q58" s="72"/>
      <c r="R58" s="74"/>
      <c r="S58" s="75">
        <f t="shared" si="143"/>
        <v>0</v>
      </c>
      <c r="T58" s="74"/>
      <c r="U58" s="72"/>
      <c r="V58" s="74"/>
      <c r="W58" s="75">
        <f t="shared" si="144"/>
        <v>0</v>
      </c>
      <c r="X58" s="74"/>
      <c r="Y58" s="72"/>
      <c r="Z58" s="74"/>
      <c r="AA58" s="75">
        <f t="shared" si="145"/>
        <v>0</v>
      </c>
      <c r="AB58" s="74">
        <v>1908</v>
      </c>
      <c r="AC58" s="72">
        <v>954</v>
      </c>
      <c r="AD58" s="74">
        <v>636</v>
      </c>
      <c r="AE58" s="75">
        <f t="shared" si="146"/>
        <v>3498</v>
      </c>
      <c r="AF58" s="74">
        <v>25092</v>
      </c>
      <c r="AG58" s="72">
        <v>9860</v>
      </c>
      <c r="AH58" s="74">
        <v>8364</v>
      </c>
      <c r="AI58" s="75">
        <f t="shared" si="150"/>
        <v>43316</v>
      </c>
      <c r="AJ58" s="74"/>
      <c r="AK58" s="72"/>
      <c r="AL58" s="74"/>
      <c r="AM58" s="75">
        <f t="shared" si="126"/>
        <v>0</v>
      </c>
      <c r="AN58" s="74"/>
      <c r="AO58" s="72"/>
      <c r="AP58" s="74"/>
      <c r="AQ58" s="75">
        <f t="shared" si="151"/>
        <v>0</v>
      </c>
      <c r="AR58" s="74"/>
      <c r="AS58" s="72"/>
      <c r="AT58" s="74"/>
      <c r="AU58" s="75">
        <f t="shared" si="152"/>
        <v>0</v>
      </c>
      <c r="AV58" s="118">
        <f>+AM58+AU58+AQ58</f>
        <v>0</v>
      </c>
      <c r="AW58" s="123"/>
      <c r="AX58" s="124">
        <f>1666.64+3333.34+4528.24+3333.34+3405.85+328.52+2359.24+3344</f>
        <v>22299.17</v>
      </c>
      <c r="AY58" s="77">
        <f t="shared" si="148"/>
        <v>7433.0566666666664</v>
      </c>
      <c r="AZ58" s="76">
        <f>899.99+1800+1800+1800+1800+162+810</f>
        <v>9071.99</v>
      </c>
      <c r="BA58" s="78" t="s">
        <v>737</v>
      </c>
      <c r="BB58" s="113">
        <v>45473</v>
      </c>
      <c r="BC58" s="20"/>
      <c r="BD58" s="18"/>
      <c r="BE58" s="18"/>
      <c r="BF58" s="18"/>
      <c r="BG58" s="18"/>
      <c r="BH58" s="13"/>
    </row>
    <row r="59" spans="1:60" ht="36" customHeight="1" x14ac:dyDescent="0.2">
      <c r="A59" s="1" t="s">
        <v>714</v>
      </c>
      <c r="B59" s="61" t="s">
        <v>715</v>
      </c>
      <c r="C59" s="1" t="s">
        <v>720</v>
      </c>
      <c r="D59" s="4" t="s">
        <v>719</v>
      </c>
      <c r="E59" s="4" t="s">
        <v>7</v>
      </c>
      <c r="F59" s="30" t="s">
        <v>716</v>
      </c>
      <c r="G59" s="59">
        <f>K59+O59+S59+W59+AA59+AE59+AI59</f>
        <v>52614</v>
      </c>
      <c r="H59" s="51"/>
      <c r="I59" s="51"/>
      <c r="J59" s="51"/>
      <c r="K59" s="55">
        <f t="shared" ref="K59" si="153">SUM(H59:J59)</f>
        <v>0</v>
      </c>
      <c r="L59" s="52"/>
      <c r="M59" s="51"/>
      <c r="N59" s="52"/>
      <c r="O59" s="56">
        <f t="shared" ref="O59" si="154">SUM(L59:N59)</f>
        <v>0</v>
      </c>
      <c r="P59" s="52"/>
      <c r="Q59" s="51"/>
      <c r="R59" s="52"/>
      <c r="S59" s="56">
        <f t="shared" ref="S59" si="155">SUM(P59:R59)</f>
        <v>0</v>
      </c>
      <c r="T59" s="52"/>
      <c r="U59" s="51"/>
      <c r="V59" s="52"/>
      <c r="W59" s="56">
        <f t="shared" ref="W59" si="156">SUM(T59:V59)</f>
        <v>0</v>
      </c>
      <c r="X59" s="52"/>
      <c r="Y59" s="51"/>
      <c r="Z59" s="52"/>
      <c r="AA59" s="56">
        <f t="shared" ref="AA59" si="157">SUM(X59:Z59)</f>
        <v>0</v>
      </c>
      <c r="AB59" s="52"/>
      <c r="AC59" s="51"/>
      <c r="AD59" s="52"/>
      <c r="AE59" s="56">
        <f t="shared" ref="AE59" si="158">SUM(AB59:AD59)</f>
        <v>0</v>
      </c>
      <c r="AF59" s="157">
        <f>17328+14075</f>
        <v>31403</v>
      </c>
      <c r="AG59" s="51">
        <v>10743</v>
      </c>
      <c r="AH59" s="52">
        <v>10468</v>
      </c>
      <c r="AI59" s="56">
        <f t="shared" ref="AI59" si="159">SUM(AF59:AH59)</f>
        <v>52614</v>
      </c>
      <c r="AJ59" s="158">
        <f>9672+7675</f>
        <v>17347</v>
      </c>
      <c r="AK59" s="54">
        <v>0</v>
      </c>
      <c r="AL59" s="53">
        <v>5782</v>
      </c>
      <c r="AM59" s="56">
        <f t="shared" ref="AM59" si="160">SUM(AJ59:AL59)</f>
        <v>23129</v>
      </c>
      <c r="AN59" s="53"/>
      <c r="AO59" s="54"/>
      <c r="AP59" s="53"/>
      <c r="AQ59" s="56">
        <f t="shared" ref="AQ59" si="161">SUM(AN59:AP59)</f>
        <v>0</v>
      </c>
      <c r="AR59" s="53"/>
      <c r="AS59" s="54"/>
      <c r="AT59" s="53"/>
      <c r="AU59" s="56">
        <f t="shared" ref="AU59" si="162">SUM(AR59:AT59)</f>
        <v>0</v>
      </c>
      <c r="AV59" s="144">
        <f>AM59+AU59+AQ59</f>
        <v>23129</v>
      </c>
      <c r="AW59" s="159">
        <f>AZ59/AX59</f>
        <v>0.60103658831724127</v>
      </c>
      <c r="AX59" s="133">
        <f>10059.17+21137.4</f>
        <v>31196.57</v>
      </c>
      <c r="AY59" s="21">
        <f t="shared" ref="AY59" si="163">AX59/3</f>
        <v>10398.856666666667</v>
      </c>
      <c r="AZ59" s="17">
        <f>598.57+18151.71</f>
        <v>18750.28</v>
      </c>
      <c r="BA59" s="2" t="s">
        <v>734</v>
      </c>
      <c r="BB59" s="60">
        <v>45580</v>
      </c>
      <c r="BC59" s="20" t="s">
        <v>736</v>
      </c>
      <c r="BD59" s="18"/>
      <c r="BE59" s="18"/>
      <c r="BF59" s="18"/>
      <c r="BG59" s="18"/>
      <c r="BH59" s="13"/>
    </row>
    <row r="60" spans="1:60" ht="36" customHeight="1" x14ac:dyDescent="0.2">
      <c r="A60" s="1"/>
      <c r="B60" s="14"/>
      <c r="C60" s="1"/>
      <c r="D60" s="1"/>
      <c r="E60" s="4"/>
      <c r="F60" s="30"/>
      <c r="G60" s="59">
        <f>K60+O60+S60+W60+AA60+AE60+AI60</f>
        <v>0</v>
      </c>
      <c r="H60" s="51"/>
      <c r="I60" s="51"/>
      <c r="J60" s="51"/>
      <c r="K60" s="55">
        <f t="shared" si="0"/>
        <v>0</v>
      </c>
      <c r="L60" s="52"/>
      <c r="M60" s="51"/>
      <c r="N60" s="52"/>
      <c r="O60" s="56">
        <f t="shared" si="1"/>
        <v>0</v>
      </c>
      <c r="P60" s="52"/>
      <c r="Q60" s="51"/>
      <c r="R60" s="52"/>
      <c r="S60" s="56">
        <f t="shared" si="2"/>
        <v>0</v>
      </c>
      <c r="T60" s="52"/>
      <c r="U60" s="51"/>
      <c r="V60" s="52"/>
      <c r="W60" s="56">
        <f t="shared" ref="W60" si="164">SUM(T60:V60)</f>
        <v>0</v>
      </c>
      <c r="X60" s="52"/>
      <c r="Y60" s="51"/>
      <c r="Z60" s="52"/>
      <c r="AA60" s="56">
        <f t="shared" ref="AA60" si="165">SUM(X60:Z60)</f>
        <v>0</v>
      </c>
      <c r="AB60" s="52"/>
      <c r="AC60" s="51"/>
      <c r="AD60" s="52"/>
      <c r="AE60" s="56">
        <f t="shared" ref="AE60" si="166">SUM(AB60:AD60)</f>
        <v>0</v>
      </c>
      <c r="AF60" s="52"/>
      <c r="AG60" s="51"/>
      <c r="AH60" s="52"/>
      <c r="AI60" s="56">
        <f t="shared" ref="AI60" si="167">SUM(AF60:AH60)</f>
        <v>0</v>
      </c>
      <c r="AJ60" s="53"/>
      <c r="AK60" s="54"/>
      <c r="AL60" s="53"/>
      <c r="AM60" s="56">
        <f t="shared" ref="AM60" si="168">SUM(AJ60:AL60)</f>
        <v>0</v>
      </c>
      <c r="AN60" s="53"/>
      <c r="AO60" s="54"/>
      <c r="AP60" s="53"/>
      <c r="AQ60" s="56">
        <f t="shared" ref="AQ60" si="169">SUM(AN60:AP60)</f>
        <v>0</v>
      </c>
      <c r="AR60" s="53"/>
      <c r="AS60" s="54"/>
      <c r="AT60" s="53"/>
      <c r="AU60" s="56">
        <f t="shared" si="12"/>
        <v>0</v>
      </c>
      <c r="AV60" s="144">
        <f t="shared" ref="AV60" si="170">+AI60+AM60+AU60+AQ60</f>
        <v>0</v>
      </c>
      <c r="AW60" s="149"/>
      <c r="AX60" s="5"/>
      <c r="AY60" s="21">
        <f t="shared" si="140"/>
        <v>0</v>
      </c>
      <c r="AZ60" s="17">
        <v>0</v>
      </c>
      <c r="BA60" s="2"/>
      <c r="BB60" s="60"/>
      <c r="BC60" s="20"/>
      <c r="BD60" s="18"/>
      <c r="BE60" s="18"/>
      <c r="BF60" s="18"/>
      <c r="BG60" s="18"/>
      <c r="BH60" s="13"/>
    </row>
    <row r="61" spans="1:60" ht="18" customHeight="1" x14ac:dyDescent="0.2">
      <c r="G61" s="57"/>
      <c r="K61" s="64"/>
      <c r="O61" s="64"/>
      <c r="S61" s="64"/>
      <c r="W61" s="64"/>
      <c r="AA61" s="64"/>
      <c r="AE61" s="64"/>
      <c r="AI61" s="64"/>
      <c r="AM61" s="64"/>
      <c r="AQ61" s="64"/>
      <c r="AU61" s="64"/>
      <c r="AV61" s="57"/>
      <c r="AW61" s="150"/>
      <c r="BC61" s="20"/>
      <c r="BD61" s="3"/>
      <c r="BE61" s="3"/>
      <c r="BF61" s="3"/>
    </row>
    <row r="62" spans="1:60" s="28" customFormat="1" ht="24" customHeight="1" thickBot="1" x14ac:dyDescent="0.25">
      <c r="B62" s="6" t="s">
        <v>8</v>
      </c>
      <c r="C62" s="7"/>
      <c r="D62" s="7"/>
      <c r="G62" s="65">
        <f>SUM(G3:G61)</f>
        <v>10261318.5</v>
      </c>
      <c r="H62" s="66">
        <f>SUM(H3:H60)</f>
        <v>1036108</v>
      </c>
      <c r="I62" s="66">
        <f>SUM(I3:I60)</f>
        <v>211643</v>
      </c>
      <c r="J62" s="66">
        <f>SUM(J3:J60)</f>
        <v>384208</v>
      </c>
      <c r="K62" s="67">
        <f>SUM(H62:J62)</f>
        <v>1631959</v>
      </c>
      <c r="L62" s="66">
        <f>SUM(L3:L60)</f>
        <v>1249822</v>
      </c>
      <c r="M62" s="66">
        <f>SUM(M3:M60)</f>
        <v>69211</v>
      </c>
      <c r="N62" s="66">
        <f>SUM(N3:N60)</f>
        <v>391327</v>
      </c>
      <c r="O62" s="67">
        <f>SUM(L62:N62)</f>
        <v>1710360</v>
      </c>
      <c r="P62" s="66">
        <f>SUM(P3:P60)</f>
        <v>1249679</v>
      </c>
      <c r="Q62" s="66">
        <f>SUM(Q3:Q60)</f>
        <v>70236</v>
      </c>
      <c r="R62" s="66">
        <f>SUM(R3:R60)</f>
        <v>457620</v>
      </c>
      <c r="S62" s="67">
        <f>SUM(P62:R62)</f>
        <v>1777535</v>
      </c>
      <c r="T62" s="66">
        <f>SUM(T3:T60)</f>
        <v>1133859</v>
      </c>
      <c r="U62" s="66">
        <f>SUM(U3:U60)</f>
        <v>112847</v>
      </c>
      <c r="V62" s="66">
        <f>SUM(V3:V60)</f>
        <v>398956</v>
      </c>
      <c r="W62" s="67">
        <f>SUM(T62:V62)</f>
        <v>1645662</v>
      </c>
      <c r="X62" s="66">
        <f>SUM(X3:X60)</f>
        <v>1024711</v>
      </c>
      <c r="Y62" s="66">
        <f>SUM(Y3:Y60)</f>
        <v>66270</v>
      </c>
      <c r="Z62" s="66">
        <f>SUM(Z3:Z60)</f>
        <v>345198</v>
      </c>
      <c r="AA62" s="67">
        <f>SUM(X62:Z62)</f>
        <v>1436179</v>
      </c>
      <c r="AB62" s="66">
        <f>SUM(AB3:AB60)</f>
        <v>815786</v>
      </c>
      <c r="AC62" s="66">
        <f>SUM(AC3:AC60)</f>
        <v>57096</v>
      </c>
      <c r="AD62" s="66">
        <f>SUM(AD3:AD60)</f>
        <v>301612</v>
      </c>
      <c r="AE62" s="67">
        <f>SUM(AB62:AD62)</f>
        <v>1174494</v>
      </c>
      <c r="AF62" s="66">
        <f>SUM(AF3:AF60)</f>
        <v>630557</v>
      </c>
      <c r="AG62" s="66">
        <f>SUM(AG3:AG60)</f>
        <v>55831.5</v>
      </c>
      <c r="AH62" s="66">
        <f>SUM(AH3:AH60)</f>
        <v>198741</v>
      </c>
      <c r="AI62" s="67">
        <f>SUM(AF62:AH62)</f>
        <v>885129.5</v>
      </c>
      <c r="AJ62" s="66">
        <f>SUM(AJ3:AJ60)</f>
        <v>305185</v>
      </c>
      <c r="AK62" s="66">
        <f>SUM(AK3:AK60)</f>
        <v>5378</v>
      </c>
      <c r="AL62" s="66">
        <f>SUM(AL3:AL60)</f>
        <v>102979</v>
      </c>
      <c r="AM62" s="67">
        <f>SUM(AJ62:AL62)</f>
        <v>413542</v>
      </c>
      <c r="AN62" s="66">
        <f>SUM(AN3:AN60)</f>
        <v>100744</v>
      </c>
      <c r="AO62" s="66">
        <f>SUM(AO3:AO60)</f>
        <v>0</v>
      </c>
      <c r="AP62" s="66">
        <f>SUM(AP3:AP60)</f>
        <v>34094</v>
      </c>
      <c r="AQ62" s="67">
        <f>SUM(AN62:AP62)</f>
        <v>134838</v>
      </c>
      <c r="AR62" s="66">
        <f>SUM(AR3:AR60)</f>
        <v>32278</v>
      </c>
      <c r="AS62" s="66">
        <f>SUM(AS3:AS60)</f>
        <v>0</v>
      </c>
      <c r="AT62" s="66">
        <f>SUM(AT3:AT60)</f>
        <v>10759</v>
      </c>
      <c r="AU62" s="67">
        <f>SUM(AR62:AT62)</f>
        <v>43037</v>
      </c>
      <c r="AV62" s="65">
        <f>SUM(AV3:AV61)</f>
        <v>591417</v>
      </c>
      <c r="AW62" s="140"/>
      <c r="AX62" s="140">
        <f>SUM(AX3:AX60)</f>
        <v>6626143.1900000004</v>
      </c>
      <c r="AY62" s="62"/>
      <c r="AZ62" s="62"/>
      <c r="BA62" s="28" t="s">
        <v>9</v>
      </c>
      <c r="BC62" s="63"/>
      <c r="BD62" s="63"/>
      <c r="BE62" s="63"/>
      <c r="BF62" s="63"/>
    </row>
    <row r="63" spans="1:60" ht="9" customHeight="1" thickTop="1" x14ac:dyDescent="0.2">
      <c r="B63" s="7"/>
      <c r="C63" s="7"/>
      <c r="D63" s="7"/>
      <c r="G63" s="8"/>
      <c r="H63" s="8"/>
      <c r="I63" s="8"/>
      <c r="J63" s="8"/>
      <c r="K63" s="8"/>
      <c r="L63" s="9"/>
      <c r="M63" s="8"/>
      <c r="N63" s="9"/>
      <c r="O63" s="9"/>
      <c r="P63" s="9"/>
      <c r="Q63" s="8"/>
      <c r="R63" s="9"/>
      <c r="S63" s="9"/>
      <c r="T63" s="9"/>
      <c r="U63" s="8"/>
      <c r="V63" s="9"/>
      <c r="W63" s="9"/>
      <c r="X63" s="9"/>
      <c r="Y63" s="8"/>
      <c r="Z63" s="9"/>
      <c r="AA63" s="9"/>
      <c r="AB63" s="9"/>
      <c r="AC63" s="8"/>
      <c r="AD63" s="9"/>
      <c r="AE63" s="9"/>
      <c r="AF63" s="9"/>
      <c r="AG63" s="8"/>
      <c r="AH63" s="9"/>
      <c r="AI63" s="9"/>
      <c r="AJ63" s="9"/>
      <c r="AK63" s="8"/>
      <c r="AL63" s="9"/>
      <c r="AM63" s="9"/>
      <c r="AN63" s="9"/>
      <c r="AO63" s="8"/>
      <c r="AP63" s="9"/>
      <c r="AQ63" s="9"/>
      <c r="AR63" s="9"/>
      <c r="AS63" s="8"/>
      <c r="AT63" s="9"/>
      <c r="AU63" s="9"/>
      <c r="AV63" s="9"/>
      <c r="AW63" s="9"/>
      <c r="AX63" s="9"/>
      <c r="AY63" s="9"/>
      <c r="AZ63" s="9"/>
      <c r="BC63" s="3"/>
      <c r="BD63" s="3"/>
      <c r="BE63" s="3"/>
      <c r="BF63" s="3"/>
    </row>
    <row r="64" spans="1:60" ht="9.75" customHeight="1" x14ac:dyDescent="0.2">
      <c r="B64" s="10"/>
      <c r="C64" s="10"/>
      <c r="D64" s="10"/>
      <c r="F64" s="11"/>
      <c r="G64" s="8"/>
      <c r="H64" s="8"/>
      <c r="I64" s="8"/>
      <c r="J64" s="8"/>
      <c r="K64" s="8"/>
      <c r="L64" s="9"/>
      <c r="M64" s="8"/>
      <c r="N64" s="9"/>
      <c r="O64" s="9"/>
      <c r="P64" s="9"/>
      <c r="Q64" s="8"/>
      <c r="R64" s="9"/>
      <c r="S64" s="9"/>
      <c r="T64" s="9"/>
      <c r="U64" s="8"/>
      <c r="V64" s="9"/>
      <c r="W64" s="9"/>
      <c r="X64" s="9"/>
      <c r="Y64" s="8"/>
      <c r="Z64" s="9"/>
      <c r="AA64" s="9"/>
      <c r="AB64" s="9"/>
      <c r="AC64" s="8"/>
      <c r="AD64" s="9"/>
      <c r="AE64" s="9"/>
      <c r="AF64" s="9"/>
      <c r="AG64" s="8"/>
      <c r="AH64" s="9"/>
      <c r="AI64" s="9"/>
      <c r="AJ64" s="9"/>
      <c r="AK64" s="8"/>
      <c r="AL64" s="9"/>
      <c r="AM64" s="9"/>
      <c r="AN64" s="9"/>
      <c r="AO64" s="8"/>
      <c r="AP64" s="9"/>
      <c r="AQ64" s="9"/>
      <c r="AR64" s="9"/>
      <c r="AS64" s="8"/>
      <c r="AT64" s="9"/>
      <c r="AU64" s="9"/>
      <c r="AV64" s="9"/>
      <c r="AW64" s="9"/>
      <c r="AX64" s="9"/>
      <c r="AY64" s="9"/>
      <c r="AZ64" s="9"/>
    </row>
    <row r="65" spans="1:53" ht="17.45" customHeight="1" x14ac:dyDescent="0.2">
      <c r="B65" s="12"/>
      <c r="C65" s="12"/>
      <c r="D65" s="12"/>
    </row>
    <row r="66" spans="1:53" ht="16.5" customHeight="1" x14ac:dyDescent="0.2">
      <c r="B66" s="10"/>
      <c r="C66" s="10"/>
      <c r="D66" s="10"/>
      <c r="H66" s="8"/>
      <c r="I66" s="8"/>
      <c r="J66" s="8"/>
      <c r="K66" s="8"/>
      <c r="L66" s="9"/>
      <c r="M66" s="8"/>
      <c r="N66" s="9"/>
      <c r="O66" s="9"/>
      <c r="P66" s="9"/>
      <c r="Q66" s="8"/>
      <c r="R66" s="9"/>
      <c r="S66" s="9"/>
      <c r="T66" s="9"/>
      <c r="U66" s="8"/>
      <c r="V66" s="9"/>
      <c r="W66" s="9"/>
      <c r="X66" s="9"/>
      <c r="Y66" s="8"/>
      <c r="Z66" s="9"/>
      <c r="AA66" s="9"/>
      <c r="AB66" s="9"/>
      <c r="AC66" s="8"/>
      <c r="AD66" s="9"/>
      <c r="AE66" s="9"/>
      <c r="AF66" s="9"/>
      <c r="AG66" s="8"/>
      <c r="AH66" s="9"/>
      <c r="AI66" s="9"/>
      <c r="AJ66" s="9"/>
      <c r="AK66" s="8"/>
      <c r="AL66" s="9"/>
      <c r="AM66" s="9"/>
      <c r="AN66" s="9"/>
      <c r="AO66" s="8"/>
      <c r="AP66" s="9"/>
      <c r="AQ66" s="9"/>
      <c r="AR66" s="9"/>
      <c r="AS66" s="8"/>
      <c r="AT66" s="9"/>
      <c r="AU66" s="9"/>
      <c r="AV66" s="9"/>
      <c r="AW66" s="9"/>
    </row>
    <row r="67" spans="1:53" ht="28.15" customHeight="1" x14ac:dyDescent="0.2"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165"/>
      <c r="AV67" s="165"/>
      <c r="AW67" s="165"/>
      <c r="AX67" s="165"/>
      <c r="AY67" s="165"/>
      <c r="AZ67" s="165"/>
      <c r="BA67" s="165"/>
    </row>
    <row r="68" spans="1:53" x14ac:dyDescent="0.2">
      <c r="B68" s="19"/>
      <c r="C68" s="19"/>
      <c r="D68" s="19"/>
      <c r="AW68" s="160">
        <f>31403-AX59</f>
        <v>206.43000000000029</v>
      </c>
    </row>
    <row r="70" spans="1:53" x14ac:dyDescent="0.2">
      <c r="B70" s="12"/>
      <c r="C70" s="12"/>
      <c r="D70" s="12"/>
    </row>
    <row r="73" spans="1:53" ht="13.5" thickBot="1" x14ac:dyDescent="0.25">
      <c r="B73" s="10"/>
      <c r="C73" s="10"/>
      <c r="D73" s="10"/>
      <c r="J73" s="8"/>
      <c r="K73" s="8"/>
      <c r="L73" s="9"/>
      <c r="N73" s="9"/>
      <c r="O73" s="9"/>
      <c r="P73" s="9"/>
    </row>
    <row r="74" spans="1:53" ht="39" thickBot="1" x14ac:dyDescent="0.3">
      <c r="A74" s="12"/>
      <c r="E74" s="34" t="s">
        <v>10</v>
      </c>
      <c r="F74" s="26"/>
      <c r="G74" s="25" t="s">
        <v>691</v>
      </c>
      <c r="H74" s="23" t="s">
        <v>72</v>
      </c>
      <c r="I74" s="23" t="s">
        <v>84</v>
      </c>
      <c r="J74" s="22" t="s">
        <v>73</v>
      </c>
      <c r="K74" s="32" t="s">
        <v>35</v>
      </c>
      <c r="L74" s="23" t="s">
        <v>74</v>
      </c>
      <c r="M74" s="23" t="s">
        <v>87</v>
      </c>
      <c r="N74" s="22" t="s">
        <v>75</v>
      </c>
      <c r="O74" s="32" t="s">
        <v>34</v>
      </c>
      <c r="P74" s="23" t="s">
        <v>76</v>
      </c>
      <c r="Q74" s="23" t="s">
        <v>86</v>
      </c>
      <c r="R74" s="22" t="s">
        <v>77</v>
      </c>
      <c r="S74" s="32" t="s">
        <v>67</v>
      </c>
      <c r="T74" s="23" t="s">
        <v>78</v>
      </c>
      <c r="U74" s="23" t="s">
        <v>85</v>
      </c>
      <c r="V74" s="22" t="s">
        <v>79</v>
      </c>
      <c r="W74" s="32" t="s">
        <v>68</v>
      </c>
      <c r="X74" s="23" t="s">
        <v>500</v>
      </c>
      <c r="Y74" s="23" t="s">
        <v>501</v>
      </c>
      <c r="Z74" s="22" t="s">
        <v>502</v>
      </c>
      <c r="AA74" s="32" t="s">
        <v>503</v>
      </c>
      <c r="AB74" s="23" t="s">
        <v>504</v>
      </c>
      <c r="AC74" s="23" t="s">
        <v>505</v>
      </c>
      <c r="AD74" s="22" t="s">
        <v>506</v>
      </c>
      <c r="AE74" s="32" t="s">
        <v>507</v>
      </c>
      <c r="AF74" s="23" t="s">
        <v>620</v>
      </c>
      <c r="AG74" s="23" t="s">
        <v>621</v>
      </c>
      <c r="AH74" s="22" t="s">
        <v>622</v>
      </c>
      <c r="AI74" s="32" t="s">
        <v>623</v>
      </c>
      <c r="AJ74" s="23" t="s">
        <v>675</v>
      </c>
      <c r="AK74" s="23" t="s">
        <v>676</v>
      </c>
      <c r="AL74" s="22" t="s">
        <v>677</v>
      </c>
      <c r="AM74" s="32" t="s">
        <v>678</v>
      </c>
      <c r="AN74" s="23" t="s">
        <v>679</v>
      </c>
      <c r="AO74" s="23" t="s">
        <v>680</v>
      </c>
      <c r="AP74" s="22" t="s">
        <v>681</v>
      </c>
      <c r="AQ74" s="32" t="s">
        <v>682</v>
      </c>
      <c r="AR74" s="23" t="s">
        <v>692</v>
      </c>
      <c r="AS74" s="23" t="s">
        <v>693</v>
      </c>
      <c r="AT74" s="22" t="s">
        <v>694</v>
      </c>
      <c r="AU74" s="32" t="s">
        <v>695</v>
      </c>
      <c r="AV74" s="128" t="s">
        <v>523</v>
      </c>
      <c r="AW74" s="151"/>
    </row>
    <row r="75" spans="1:53" ht="21" customHeight="1" x14ac:dyDescent="0.2">
      <c r="E75" s="36" t="s">
        <v>25</v>
      </c>
      <c r="F75" s="27" t="s">
        <v>26</v>
      </c>
      <c r="G75" s="145">
        <f>+K75+O75+S75+W75+AA75+AE75+AI75</f>
        <v>55316</v>
      </c>
      <c r="H75" s="16">
        <v>41487</v>
      </c>
      <c r="I75" s="24"/>
      <c r="J75" s="15">
        <v>13829</v>
      </c>
      <c r="K75" s="49">
        <f>SUM(H75:J75)</f>
        <v>55316</v>
      </c>
      <c r="L75" s="16"/>
      <c r="M75" s="24"/>
      <c r="N75" s="15"/>
      <c r="O75" s="49">
        <f t="shared" ref="O75:O85" si="171">SUM(L75:N75)</f>
        <v>0</v>
      </c>
      <c r="P75" s="16"/>
      <c r="Q75" s="24"/>
      <c r="R75" s="16"/>
      <c r="S75" s="49">
        <f t="shared" ref="S75:S85" si="172">SUM(P75:R75)</f>
        <v>0</v>
      </c>
      <c r="T75" s="16"/>
      <c r="U75" s="24"/>
      <c r="V75" s="16"/>
      <c r="W75" s="50">
        <f>SUM(T75:V75)</f>
        <v>0</v>
      </c>
      <c r="X75" s="16"/>
      <c r="Y75" s="24"/>
      <c r="Z75" s="16"/>
      <c r="AA75" s="50">
        <f>SUM(X75:Z75)</f>
        <v>0</v>
      </c>
      <c r="AB75" s="16"/>
      <c r="AC75" s="24"/>
      <c r="AD75" s="16"/>
      <c r="AE75" s="50">
        <f>SUM(AB75:AD75)</f>
        <v>0</v>
      </c>
      <c r="AF75" s="16"/>
      <c r="AG75" s="24"/>
      <c r="AH75" s="16"/>
      <c r="AI75" s="50">
        <f>SUM(AF75:AH75)</f>
        <v>0</v>
      </c>
      <c r="AJ75" s="16"/>
      <c r="AK75" s="24"/>
      <c r="AL75" s="16"/>
      <c r="AM75" s="50">
        <f>SUM(AJ75:AL75)</f>
        <v>0</v>
      </c>
      <c r="AN75" s="16"/>
      <c r="AO75" s="24"/>
      <c r="AP75" s="16"/>
      <c r="AQ75" s="50">
        <f>SUM(AN75:AP75)</f>
        <v>0</v>
      </c>
      <c r="AR75" s="16"/>
      <c r="AS75" s="24"/>
      <c r="AT75" s="16"/>
      <c r="AU75" s="50">
        <f>SUM(AR75:AT75)</f>
        <v>0</v>
      </c>
      <c r="AV75" s="129">
        <f>K75+O75+S75+W75+AA75+AE75+AU75+AI75+AM75+AQ75</f>
        <v>55316</v>
      </c>
      <c r="AW75" s="152"/>
    </row>
    <row r="76" spans="1:53" ht="21" customHeight="1" x14ac:dyDescent="0.2">
      <c r="E76" s="35" t="s">
        <v>33</v>
      </c>
      <c r="F76" s="27" t="s">
        <v>14</v>
      </c>
      <c r="G76" s="145">
        <f t="shared" ref="G76:G85" si="173">+K76+O76+S76+W76+AA76+AE76+AI76</f>
        <v>85575</v>
      </c>
      <c r="H76" s="16">
        <v>64181</v>
      </c>
      <c r="I76" s="24"/>
      <c r="J76" s="15">
        <v>21394</v>
      </c>
      <c r="K76" s="49">
        <f t="shared" ref="K76:K85" si="174">SUM(H76:J76)</f>
        <v>85575</v>
      </c>
      <c r="L76" s="16"/>
      <c r="M76" s="24"/>
      <c r="N76" s="15"/>
      <c r="O76" s="49">
        <f t="shared" si="171"/>
        <v>0</v>
      </c>
      <c r="P76" s="16"/>
      <c r="Q76" s="24"/>
      <c r="R76" s="16"/>
      <c r="S76" s="49">
        <f t="shared" si="172"/>
        <v>0</v>
      </c>
      <c r="T76" s="16"/>
      <c r="U76" s="24"/>
      <c r="V76" s="16"/>
      <c r="W76" s="50">
        <f t="shared" ref="W76" si="175">SUM(T76:V76)</f>
        <v>0</v>
      </c>
      <c r="X76" s="16"/>
      <c r="Y76" s="24"/>
      <c r="Z76" s="16"/>
      <c r="AA76" s="50">
        <f t="shared" ref="AA76" si="176">SUM(X76:Z76)</f>
        <v>0</v>
      </c>
      <c r="AB76" s="16"/>
      <c r="AC76" s="24"/>
      <c r="AD76" s="16"/>
      <c r="AE76" s="50">
        <f t="shared" ref="AE76:AE80" si="177">SUM(AB76:AD76)</f>
        <v>0</v>
      </c>
      <c r="AF76" s="16"/>
      <c r="AG76" s="24"/>
      <c r="AH76" s="16"/>
      <c r="AI76" s="50">
        <f t="shared" ref="AI76:AI85" si="178">SUM(AF76:AH76)</f>
        <v>0</v>
      </c>
      <c r="AJ76" s="16"/>
      <c r="AK76" s="24"/>
      <c r="AL76" s="16"/>
      <c r="AM76" s="50">
        <f t="shared" ref="AM76:AM85" si="179">SUM(AJ76:AL76)</f>
        <v>0</v>
      </c>
      <c r="AN76" s="16"/>
      <c r="AO76" s="24"/>
      <c r="AP76" s="16"/>
      <c r="AQ76" s="50">
        <f t="shared" ref="AQ76:AQ85" si="180">SUM(AN76:AP76)</f>
        <v>0</v>
      </c>
      <c r="AR76" s="16"/>
      <c r="AS76" s="24"/>
      <c r="AT76" s="16"/>
      <c r="AU76" s="50">
        <f t="shared" ref="AU76:AU85" si="181">SUM(AR76:AT76)</f>
        <v>0</v>
      </c>
      <c r="AV76" s="129">
        <f t="shared" ref="AV76:AV85" si="182">K76+O76+S76+W76+AA76+AE76+AU76+AI76+AM76+AQ76</f>
        <v>85575</v>
      </c>
      <c r="AW76" s="153"/>
    </row>
    <row r="77" spans="1:53" ht="21" customHeight="1" x14ac:dyDescent="0.2">
      <c r="E77" s="35" t="s">
        <v>60</v>
      </c>
      <c r="F77" s="27" t="s">
        <v>69</v>
      </c>
      <c r="G77" s="145">
        <f t="shared" si="173"/>
        <v>258892</v>
      </c>
      <c r="H77" s="16">
        <v>89242</v>
      </c>
      <c r="I77" s="24"/>
      <c r="J77" s="15">
        <v>30359</v>
      </c>
      <c r="K77" s="49">
        <f t="shared" ref="K77" si="183">SUM(H77:J77)</f>
        <v>119601</v>
      </c>
      <c r="L77" s="16">
        <v>79949</v>
      </c>
      <c r="M77" s="24"/>
      <c r="N77" s="15">
        <v>26039</v>
      </c>
      <c r="O77" s="49">
        <f t="shared" ref="O77" si="184">SUM(L77:N77)</f>
        <v>105988</v>
      </c>
      <c r="P77" s="16">
        <v>24979</v>
      </c>
      <c r="Q77" s="24"/>
      <c r="R77" s="16">
        <v>8324</v>
      </c>
      <c r="S77" s="49">
        <f t="shared" ref="S77" si="185">SUM(P77:R77)</f>
        <v>33303</v>
      </c>
      <c r="T77" s="16"/>
      <c r="U77" s="24"/>
      <c r="V77" s="16"/>
      <c r="W77" s="50">
        <f t="shared" ref="W77" si="186">SUM(T77:V77)</f>
        <v>0</v>
      </c>
      <c r="X77" s="16"/>
      <c r="Y77" s="24"/>
      <c r="Z77" s="16"/>
      <c r="AA77" s="50">
        <f t="shared" ref="AA77" si="187">SUM(X77:Z77)</f>
        <v>0</v>
      </c>
      <c r="AB77" s="16"/>
      <c r="AC77" s="24"/>
      <c r="AD77" s="16"/>
      <c r="AE77" s="50">
        <f t="shared" si="177"/>
        <v>0</v>
      </c>
      <c r="AF77" s="16"/>
      <c r="AG77" s="24"/>
      <c r="AH77" s="16"/>
      <c r="AI77" s="50">
        <f t="shared" si="178"/>
        <v>0</v>
      </c>
      <c r="AJ77" s="16"/>
      <c r="AK77" s="24"/>
      <c r="AL77" s="16"/>
      <c r="AM77" s="50">
        <f t="shared" si="179"/>
        <v>0</v>
      </c>
      <c r="AN77" s="16"/>
      <c r="AO77" s="24"/>
      <c r="AP77" s="16"/>
      <c r="AQ77" s="50">
        <f t="shared" si="180"/>
        <v>0</v>
      </c>
      <c r="AR77" s="16"/>
      <c r="AS77" s="24"/>
      <c r="AT77" s="16"/>
      <c r="AU77" s="50">
        <f t="shared" ref="AU77" si="188">SUM(AR77:AT77)</f>
        <v>0</v>
      </c>
      <c r="AV77" s="129">
        <f t="shared" si="182"/>
        <v>258892</v>
      </c>
      <c r="AW77" s="153"/>
    </row>
    <row r="78" spans="1:53" ht="21" customHeight="1" x14ac:dyDescent="0.2">
      <c r="E78" s="35" t="s">
        <v>432</v>
      </c>
      <c r="F78" s="27" t="s">
        <v>433</v>
      </c>
      <c r="G78" s="145">
        <f t="shared" si="173"/>
        <v>374999</v>
      </c>
      <c r="H78" s="16">
        <v>5385</v>
      </c>
      <c r="I78" s="24"/>
      <c r="J78" s="15">
        <v>1795</v>
      </c>
      <c r="K78" s="49">
        <f t="shared" ref="K78" si="189">SUM(H78:J78)</f>
        <v>7180</v>
      </c>
      <c r="L78" s="16">
        <v>153752</v>
      </c>
      <c r="M78" s="24"/>
      <c r="N78" s="15">
        <v>51251</v>
      </c>
      <c r="O78" s="49">
        <f t="shared" ref="O78" si="190">SUM(L78:N78)</f>
        <v>205003</v>
      </c>
      <c r="P78" s="16">
        <v>122112</v>
      </c>
      <c r="Q78" s="24"/>
      <c r="R78" s="16">
        <v>40704</v>
      </c>
      <c r="S78" s="49">
        <f t="shared" ref="S78" si="191">SUM(P78:R78)</f>
        <v>162816</v>
      </c>
      <c r="T78" s="16"/>
      <c r="U78" s="24"/>
      <c r="V78" s="16"/>
      <c r="W78" s="50">
        <f t="shared" ref="W78" si="192">SUM(T78:V78)</f>
        <v>0</v>
      </c>
      <c r="X78" s="16"/>
      <c r="Y78" s="24"/>
      <c r="Z78" s="16"/>
      <c r="AA78" s="50">
        <f t="shared" ref="AA78" si="193">SUM(X78:Z78)</f>
        <v>0</v>
      </c>
      <c r="AB78" s="16"/>
      <c r="AC78" s="24"/>
      <c r="AD78" s="16"/>
      <c r="AE78" s="50">
        <f t="shared" si="177"/>
        <v>0</v>
      </c>
      <c r="AF78" s="16"/>
      <c r="AG78" s="24"/>
      <c r="AH78" s="16"/>
      <c r="AI78" s="50">
        <f t="shared" si="178"/>
        <v>0</v>
      </c>
      <c r="AJ78" s="16"/>
      <c r="AK78" s="24"/>
      <c r="AL78" s="16"/>
      <c r="AM78" s="50">
        <f t="shared" si="179"/>
        <v>0</v>
      </c>
      <c r="AN78" s="16"/>
      <c r="AO78" s="24"/>
      <c r="AP78" s="16"/>
      <c r="AQ78" s="50">
        <f t="shared" si="180"/>
        <v>0</v>
      </c>
      <c r="AR78" s="16"/>
      <c r="AS78" s="24"/>
      <c r="AT78" s="16"/>
      <c r="AU78" s="50">
        <f t="shared" ref="AU78" si="194">SUM(AR78:AT78)</f>
        <v>0</v>
      </c>
      <c r="AV78" s="129">
        <f t="shared" si="182"/>
        <v>374999</v>
      </c>
      <c r="AW78" s="153"/>
    </row>
    <row r="79" spans="1:53" ht="21" customHeight="1" x14ac:dyDescent="0.2">
      <c r="E79" s="35" t="s">
        <v>461</v>
      </c>
      <c r="F79" s="27" t="s">
        <v>69</v>
      </c>
      <c r="G79" s="145">
        <f t="shared" si="173"/>
        <v>260778</v>
      </c>
      <c r="H79" s="16"/>
      <c r="I79" s="24"/>
      <c r="J79" s="15"/>
      <c r="K79" s="49">
        <f t="shared" ref="K79" si="195">SUM(H79:J79)</f>
        <v>0</v>
      </c>
      <c r="L79" s="16">
        <v>79567</v>
      </c>
      <c r="M79" s="24"/>
      <c r="N79" s="15">
        <v>26983</v>
      </c>
      <c r="O79" s="49">
        <f t="shared" ref="O79" si="196">SUM(L79:N79)</f>
        <v>106550</v>
      </c>
      <c r="P79" s="16">
        <v>85433</v>
      </c>
      <c r="Q79" s="24"/>
      <c r="R79" s="16">
        <v>28017</v>
      </c>
      <c r="S79" s="49">
        <f t="shared" ref="S79" si="197">SUM(P79:R79)</f>
        <v>113450</v>
      </c>
      <c r="T79" s="16">
        <v>30581</v>
      </c>
      <c r="U79" s="24"/>
      <c r="V79" s="16">
        <v>10197</v>
      </c>
      <c r="W79" s="50">
        <f t="shared" ref="W79" si="198">SUM(T79:V79)</f>
        <v>40778</v>
      </c>
      <c r="X79" s="16"/>
      <c r="Y79" s="24"/>
      <c r="Z79" s="16"/>
      <c r="AA79" s="50">
        <f t="shared" ref="AA79" si="199">SUM(X79:Z79)</f>
        <v>0</v>
      </c>
      <c r="AB79" s="16"/>
      <c r="AC79" s="24"/>
      <c r="AD79" s="16"/>
      <c r="AE79" s="50">
        <f t="shared" si="177"/>
        <v>0</v>
      </c>
      <c r="AF79" s="16"/>
      <c r="AG79" s="24"/>
      <c r="AH79" s="16"/>
      <c r="AI79" s="50">
        <f t="shared" si="178"/>
        <v>0</v>
      </c>
      <c r="AJ79" s="16"/>
      <c r="AK79" s="24"/>
      <c r="AL79" s="16"/>
      <c r="AM79" s="50">
        <f t="shared" si="179"/>
        <v>0</v>
      </c>
      <c r="AN79" s="16"/>
      <c r="AO79" s="24"/>
      <c r="AP79" s="16"/>
      <c r="AQ79" s="50">
        <f t="shared" si="180"/>
        <v>0</v>
      </c>
      <c r="AR79" s="16"/>
      <c r="AS79" s="24"/>
      <c r="AT79" s="16"/>
      <c r="AU79" s="50">
        <f t="shared" ref="AU79" si="200">SUM(AR79:AT79)</f>
        <v>0</v>
      </c>
      <c r="AV79" s="129">
        <f t="shared" si="182"/>
        <v>260778</v>
      </c>
      <c r="AW79" s="153"/>
    </row>
    <row r="80" spans="1:53" ht="21" customHeight="1" x14ac:dyDescent="0.2">
      <c r="E80" s="35" t="s">
        <v>521</v>
      </c>
      <c r="F80" s="27" t="s">
        <v>69</v>
      </c>
      <c r="G80" s="145">
        <f t="shared" si="173"/>
        <v>200000</v>
      </c>
      <c r="H80" s="16"/>
      <c r="I80" s="24"/>
      <c r="J80" s="15"/>
      <c r="K80" s="49">
        <f t="shared" ref="K80" si="201">SUM(H80:J80)</f>
        <v>0</v>
      </c>
      <c r="L80" s="16"/>
      <c r="M80" s="24"/>
      <c r="N80" s="15"/>
      <c r="O80" s="49">
        <f t="shared" ref="O80" si="202">SUM(L80:N80)</f>
        <v>0</v>
      </c>
      <c r="P80" s="16">
        <v>25157</v>
      </c>
      <c r="Q80" s="24"/>
      <c r="R80" s="16">
        <v>1660</v>
      </c>
      <c r="S80" s="49">
        <f t="shared" ref="S80" si="203">SUM(P80:R80)</f>
        <v>26817</v>
      </c>
      <c r="T80" s="16">
        <v>64486</v>
      </c>
      <c r="U80" s="24"/>
      <c r="V80" s="16">
        <v>24337</v>
      </c>
      <c r="W80" s="50">
        <f t="shared" ref="W80:W81" si="204">SUM(T80:V80)</f>
        <v>88823</v>
      </c>
      <c r="X80" s="16">
        <v>60357</v>
      </c>
      <c r="Y80" s="24"/>
      <c r="Z80" s="16">
        <v>24003</v>
      </c>
      <c r="AA80" s="50">
        <f t="shared" ref="AA80:AA83" si="205">SUM(X80:Z80)</f>
        <v>84360</v>
      </c>
      <c r="AB80" s="16"/>
      <c r="AC80" s="24"/>
      <c r="AD80" s="16"/>
      <c r="AE80" s="50">
        <f t="shared" si="177"/>
        <v>0</v>
      </c>
      <c r="AF80" s="16"/>
      <c r="AG80" s="24"/>
      <c r="AH80" s="16"/>
      <c r="AI80" s="50">
        <f t="shared" si="178"/>
        <v>0</v>
      </c>
      <c r="AJ80" s="16"/>
      <c r="AK80" s="24"/>
      <c r="AL80" s="16"/>
      <c r="AM80" s="50">
        <f t="shared" si="179"/>
        <v>0</v>
      </c>
      <c r="AN80" s="16"/>
      <c r="AO80" s="24"/>
      <c r="AP80" s="16"/>
      <c r="AQ80" s="50">
        <f t="shared" si="180"/>
        <v>0</v>
      </c>
      <c r="AR80" s="16"/>
      <c r="AS80" s="24"/>
      <c r="AT80" s="16"/>
      <c r="AU80" s="50">
        <f t="shared" ref="AU80:AU83" si="206">SUM(AR80:AT80)</f>
        <v>0</v>
      </c>
      <c r="AV80" s="129">
        <f t="shared" si="182"/>
        <v>200000</v>
      </c>
      <c r="AW80" s="153"/>
    </row>
    <row r="81" spans="1:49" ht="21" customHeight="1" x14ac:dyDescent="0.2">
      <c r="E81" s="35" t="s">
        <v>522</v>
      </c>
      <c r="F81" s="27" t="s">
        <v>433</v>
      </c>
      <c r="G81" s="145">
        <f t="shared" si="173"/>
        <v>385000</v>
      </c>
      <c r="H81" s="16"/>
      <c r="I81" s="24"/>
      <c r="J81" s="15"/>
      <c r="K81" s="49">
        <f t="shared" ref="K81" si="207">SUM(H81:J81)</f>
        <v>0</v>
      </c>
      <c r="L81" s="16"/>
      <c r="M81" s="24"/>
      <c r="N81" s="15"/>
      <c r="O81" s="49">
        <f t="shared" ref="O81" si="208">SUM(L81:N81)</f>
        <v>0</v>
      </c>
      <c r="P81" s="16">
        <v>31313</v>
      </c>
      <c r="Q81" s="24"/>
      <c r="R81" s="16">
        <v>10438</v>
      </c>
      <c r="S81" s="49">
        <f t="shared" ref="S81" si="209">SUM(P81:R81)</f>
        <v>41751</v>
      </c>
      <c r="T81" s="16">
        <v>99098</v>
      </c>
      <c r="U81" s="24"/>
      <c r="V81" s="16">
        <v>33033</v>
      </c>
      <c r="W81" s="50">
        <f t="shared" si="204"/>
        <v>132131</v>
      </c>
      <c r="X81" s="16">
        <v>101251</v>
      </c>
      <c r="Y81" s="24"/>
      <c r="Z81" s="16">
        <v>33750</v>
      </c>
      <c r="AA81" s="50">
        <f t="shared" si="205"/>
        <v>135001</v>
      </c>
      <c r="AB81" s="16">
        <v>57088</v>
      </c>
      <c r="AC81" s="24"/>
      <c r="AD81" s="16">
        <v>19029</v>
      </c>
      <c r="AE81" s="50">
        <f t="shared" ref="AE81" si="210">SUM(AB81:AD81)</f>
        <v>76117</v>
      </c>
      <c r="AF81" s="16"/>
      <c r="AG81" s="24"/>
      <c r="AH81" s="16"/>
      <c r="AI81" s="50">
        <f t="shared" si="178"/>
        <v>0</v>
      </c>
      <c r="AJ81" s="16"/>
      <c r="AK81" s="24"/>
      <c r="AL81" s="16"/>
      <c r="AM81" s="50">
        <f t="shared" si="179"/>
        <v>0</v>
      </c>
      <c r="AN81" s="16"/>
      <c r="AO81" s="24"/>
      <c r="AP81" s="16"/>
      <c r="AQ81" s="50">
        <f t="shared" si="180"/>
        <v>0</v>
      </c>
      <c r="AR81" s="16"/>
      <c r="AS81" s="24"/>
      <c r="AT81" s="16"/>
      <c r="AU81" s="50">
        <f t="shared" si="206"/>
        <v>0</v>
      </c>
      <c r="AV81" s="129">
        <f t="shared" si="182"/>
        <v>385000</v>
      </c>
      <c r="AW81" s="153"/>
    </row>
    <row r="82" spans="1:49" ht="21" customHeight="1" x14ac:dyDescent="0.2">
      <c r="E82" s="35" t="s">
        <v>618</v>
      </c>
      <c r="F82" s="27" t="s">
        <v>619</v>
      </c>
      <c r="G82" s="146">
        <f t="shared" si="173"/>
        <v>500000</v>
      </c>
      <c r="H82" s="16"/>
      <c r="I82" s="24"/>
      <c r="J82" s="15"/>
      <c r="K82" s="49">
        <f t="shared" ref="K82:K83" si="211">SUM(H82:J82)</f>
        <v>0</v>
      </c>
      <c r="L82" s="16"/>
      <c r="M82" s="24"/>
      <c r="N82" s="15"/>
      <c r="O82" s="49">
        <f t="shared" ref="O82" si="212">SUM(L82:N82)</f>
        <v>0</v>
      </c>
      <c r="P82" s="16">
        <v>0</v>
      </c>
      <c r="Q82" s="24"/>
      <c r="R82" s="16">
        <v>0</v>
      </c>
      <c r="S82" s="49">
        <f t="shared" ref="S82" si="213">SUM(P82:R82)</f>
        <v>0</v>
      </c>
      <c r="T82" s="16">
        <v>0</v>
      </c>
      <c r="U82" s="24"/>
      <c r="V82" s="16">
        <v>0</v>
      </c>
      <c r="W82" s="50">
        <f t="shared" ref="W82:W83" si="214">SUM(T82:V82)</f>
        <v>0</v>
      </c>
      <c r="X82" s="16">
        <v>185129</v>
      </c>
      <c r="Y82" s="24"/>
      <c r="Z82" s="16">
        <v>61710</v>
      </c>
      <c r="AA82" s="50">
        <f t="shared" si="205"/>
        <v>246839</v>
      </c>
      <c r="AB82" s="16">
        <v>177177</v>
      </c>
      <c r="AC82" s="24"/>
      <c r="AD82" s="16">
        <v>59060</v>
      </c>
      <c r="AE82" s="50">
        <f>SUM(AB82:AD82)</f>
        <v>236237</v>
      </c>
      <c r="AF82" s="16">
        <v>12693</v>
      </c>
      <c r="AG82" s="24"/>
      <c r="AH82" s="16">
        <v>4231</v>
      </c>
      <c r="AI82" s="50">
        <f t="shared" ref="AI82:AI84" si="215">SUM(AF82:AH82)</f>
        <v>16924</v>
      </c>
      <c r="AJ82" s="16"/>
      <c r="AK82" s="24"/>
      <c r="AL82" s="16"/>
      <c r="AM82" s="50">
        <f t="shared" ref="AM82:AM83" si="216">SUM(AJ82:AL82)</f>
        <v>0</v>
      </c>
      <c r="AN82" s="16"/>
      <c r="AO82" s="24"/>
      <c r="AP82" s="16"/>
      <c r="AQ82" s="50">
        <f t="shared" si="180"/>
        <v>0</v>
      </c>
      <c r="AR82" s="16"/>
      <c r="AS82" s="24"/>
      <c r="AT82" s="16"/>
      <c r="AU82" s="50">
        <f t="shared" si="206"/>
        <v>0</v>
      </c>
      <c r="AV82" s="129">
        <f t="shared" si="182"/>
        <v>500000</v>
      </c>
      <c r="AW82" s="153"/>
    </row>
    <row r="83" spans="1:49" ht="21" customHeight="1" x14ac:dyDescent="0.2">
      <c r="E83" s="35" t="s">
        <v>683</v>
      </c>
      <c r="F83" s="27" t="s">
        <v>69</v>
      </c>
      <c r="G83" s="146">
        <f t="shared" si="173"/>
        <v>48983</v>
      </c>
      <c r="H83" s="16"/>
      <c r="I83" s="24"/>
      <c r="J83" s="15"/>
      <c r="K83" s="49">
        <f t="shared" si="211"/>
        <v>0</v>
      </c>
      <c r="L83" s="16"/>
      <c r="M83" s="24"/>
      <c r="N83" s="15"/>
      <c r="O83" s="49">
        <f t="shared" ref="O83" si="217">SUM(L83:N83)</f>
        <v>0</v>
      </c>
      <c r="P83" s="16">
        <v>0</v>
      </c>
      <c r="Q83" s="24"/>
      <c r="R83" s="16">
        <v>0</v>
      </c>
      <c r="S83" s="49">
        <f t="shared" ref="S83" si="218">SUM(P83:R83)</f>
        <v>0</v>
      </c>
      <c r="T83" s="16">
        <v>0</v>
      </c>
      <c r="U83" s="24"/>
      <c r="V83" s="16">
        <v>0</v>
      </c>
      <c r="W83" s="50">
        <f t="shared" si="214"/>
        <v>0</v>
      </c>
      <c r="X83" s="16"/>
      <c r="Y83" s="24"/>
      <c r="Z83" s="16"/>
      <c r="AA83" s="50">
        <f t="shared" si="205"/>
        <v>0</v>
      </c>
      <c r="AB83" s="16"/>
      <c r="AC83" s="24"/>
      <c r="AD83" s="16"/>
      <c r="AE83" s="50">
        <f>SUM(AB83:AD83)</f>
        <v>0</v>
      </c>
      <c r="AF83" s="16">
        <v>36737</v>
      </c>
      <c r="AG83" s="24"/>
      <c r="AH83" s="16">
        <v>12246</v>
      </c>
      <c r="AI83" s="50">
        <f t="shared" si="215"/>
        <v>48983</v>
      </c>
      <c r="AJ83" s="16">
        <v>38263</v>
      </c>
      <c r="AK83" s="24"/>
      <c r="AL83" s="16">
        <v>12754</v>
      </c>
      <c r="AM83" s="50">
        <f t="shared" si="216"/>
        <v>51017</v>
      </c>
      <c r="AN83" s="16"/>
      <c r="AO83" s="24"/>
      <c r="AP83" s="16"/>
      <c r="AQ83" s="50">
        <f t="shared" si="180"/>
        <v>0</v>
      </c>
      <c r="AR83" s="16"/>
      <c r="AS83" s="24"/>
      <c r="AT83" s="16"/>
      <c r="AU83" s="50">
        <f t="shared" si="206"/>
        <v>0</v>
      </c>
      <c r="AV83" s="129">
        <f t="shared" si="182"/>
        <v>100000</v>
      </c>
      <c r="AW83" s="153"/>
    </row>
    <row r="84" spans="1:49" ht="21" customHeight="1" x14ac:dyDescent="0.2">
      <c r="E84" s="35" t="s">
        <v>718</v>
      </c>
      <c r="F84" s="27" t="s">
        <v>26</v>
      </c>
      <c r="G84" s="146">
        <f t="shared" si="173"/>
        <v>113452</v>
      </c>
      <c r="H84" s="16"/>
      <c r="I84" s="24"/>
      <c r="J84" s="15"/>
      <c r="K84" s="49"/>
      <c r="L84" s="16"/>
      <c r="M84" s="24"/>
      <c r="N84" s="15"/>
      <c r="O84" s="49"/>
      <c r="P84" s="16"/>
      <c r="Q84" s="24"/>
      <c r="R84" s="16"/>
      <c r="S84" s="49"/>
      <c r="T84" s="16"/>
      <c r="U84" s="24"/>
      <c r="V84" s="16"/>
      <c r="W84" s="50"/>
      <c r="X84" s="16"/>
      <c r="Y84" s="24"/>
      <c r="Z84" s="16"/>
      <c r="AA84" s="50"/>
      <c r="AB84" s="16"/>
      <c r="AC84" s="24"/>
      <c r="AD84" s="16"/>
      <c r="AE84" s="50"/>
      <c r="AF84" s="16">
        <v>81358</v>
      </c>
      <c r="AG84" s="24"/>
      <c r="AH84" s="16">
        <v>32094</v>
      </c>
      <c r="AI84" s="50">
        <f t="shared" si="215"/>
        <v>113452</v>
      </c>
      <c r="AJ84" s="16">
        <v>132794</v>
      </c>
      <c r="AK84" s="24"/>
      <c r="AL84" s="16">
        <v>33233</v>
      </c>
      <c r="AM84" s="50">
        <f t="shared" ref="AM84" si="219">SUM(AJ84:AL84)</f>
        <v>166027</v>
      </c>
      <c r="AN84" s="16">
        <v>136186</v>
      </c>
      <c r="AO84" s="24"/>
      <c r="AP84" s="16">
        <v>34416</v>
      </c>
      <c r="AQ84" s="50">
        <f t="shared" ref="AQ84" si="220">SUM(AN84:AP84)</f>
        <v>170602</v>
      </c>
      <c r="AR84" s="16">
        <v>55821</v>
      </c>
      <c r="AS84" s="24"/>
      <c r="AT84" s="16">
        <v>35644</v>
      </c>
      <c r="AU84" s="50">
        <f t="shared" ref="AU84" si="221">SUM(AR84:AT84)</f>
        <v>91465</v>
      </c>
      <c r="AV84" s="129">
        <f t="shared" si="182"/>
        <v>541546</v>
      </c>
      <c r="AW84" s="153"/>
    </row>
    <row r="85" spans="1:49" ht="21" customHeight="1" x14ac:dyDescent="0.2">
      <c r="E85" s="35" t="s">
        <v>684</v>
      </c>
      <c r="F85" s="27" t="s">
        <v>26</v>
      </c>
      <c r="G85" s="146">
        <f t="shared" si="173"/>
        <v>36000</v>
      </c>
      <c r="H85" s="16"/>
      <c r="I85" s="24"/>
      <c r="J85" s="15"/>
      <c r="K85" s="49">
        <f t="shared" si="174"/>
        <v>0</v>
      </c>
      <c r="L85" s="16"/>
      <c r="M85" s="24"/>
      <c r="N85" s="15"/>
      <c r="O85" s="49">
        <f t="shared" si="171"/>
        <v>0</v>
      </c>
      <c r="P85" s="16">
        <v>0</v>
      </c>
      <c r="Q85" s="24"/>
      <c r="R85" s="16">
        <v>0</v>
      </c>
      <c r="S85" s="49">
        <f t="shared" si="172"/>
        <v>0</v>
      </c>
      <c r="T85" s="16">
        <v>0</v>
      </c>
      <c r="U85" s="24"/>
      <c r="V85" s="16">
        <v>0</v>
      </c>
      <c r="W85" s="50">
        <f t="shared" ref="W85" si="222">SUM(T85:V85)</f>
        <v>0</v>
      </c>
      <c r="X85" s="16"/>
      <c r="Y85" s="24"/>
      <c r="Z85" s="16"/>
      <c r="AA85" s="50">
        <f t="shared" ref="AA85" si="223">SUM(X85:Z85)</f>
        <v>0</v>
      </c>
      <c r="AB85" s="16"/>
      <c r="AC85" s="24"/>
      <c r="AD85" s="16"/>
      <c r="AE85" s="50">
        <f>SUM(AB85:AD85)</f>
        <v>0</v>
      </c>
      <c r="AF85" s="16">
        <v>27000</v>
      </c>
      <c r="AG85" s="24"/>
      <c r="AH85" s="16">
        <v>9000</v>
      </c>
      <c r="AI85" s="50">
        <f t="shared" si="178"/>
        <v>36000</v>
      </c>
      <c r="AJ85" s="16"/>
      <c r="AK85" s="24"/>
      <c r="AL85" s="16"/>
      <c r="AM85" s="50">
        <f t="shared" si="179"/>
        <v>0</v>
      </c>
      <c r="AN85" s="16"/>
      <c r="AO85" s="24"/>
      <c r="AP85" s="16"/>
      <c r="AQ85" s="50">
        <f t="shared" si="180"/>
        <v>0</v>
      </c>
      <c r="AR85" s="16"/>
      <c r="AS85" s="24"/>
      <c r="AT85" s="16"/>
      <c r="AU85" s="50">
        <f t="shared" si="181"/>
        <v>0</v>
      </c>
      <c r="AV85" s="129">
        <f t="shared" si="182"/>
        <v>36000</v>
      </c>
      <c r="AW85" s="153"/>
    </row>
    <row r="86" spans="1:49" ht="13.5" thickBot="1" x14ac:dyDescent="0.25">
      <c r="F86" s="33" t="s">
        <v>70</v>
      </c>
      <c r="G86" s="146">
        <f>+K86+O86+S86+W86+AA86+AE86+AI86</f>
        <v>2318995</v>
      </c>
      <c r="H86" s="41">
        <f>SUM(H75:H85)</f>
        <v>200295</v>
      </c>
      <c r="I86" s="41">
        <f t="shared" ref="I86:AT86" si="224">SUM(I75:I85)</f>
        <v>0</v>
      </c>
      <c r="J86" s="41">
        <f t="shared" si="224"/>
        <v>67377</v>
      </c>
      <c r="K86" s="42">
        <f>SUM(K75:K85)</f>
        <v>267672</v>
      </c>
      <c r="L86" s="41">
        <f t="shared" si="224"/>
        <v>313268</v>
      </c>
      <c r="M86" s="41">
        <f t="shared" si="224"/>
        <v>0</v>
      </c>
      <c r="N86" s="41">
        <f t="shared" si="224"/>
        <v>104273</v>
      </c>
      <c r="O86" s="42">
        <f t="shared" si="224"/>
        <v>417541</v>
      </c>
      <c r="P86" s="41">
        <f t="shared" si="224"/>
        <v>288994</v>
      </c>
      <c r="Q86" s="41">
        <f t="shared" si="224"/>
        <v>0</v>
      </c>
      <c r="R86" s="41">
        <f t="shared" si="224"/>
        <v>89143</v>
      </c>
      <c r="S86" s="42">
        <f>SUM(S75:S85)</f>
        <v>378137</v>
      </c>
      <c r="T86" s="41">
        <f t="shared" ref="T86:AL86" si="225">SUM(T75:T85)</f>
        <v>194165</v>
      </c>
      <c r="U86" s="41">
        <f t="shared" si="225"/>
        <v>0</v>
      </c>
      <c r="V86" s="41">
        <f t="shared" si="225"/>
        <v>67567</v>
      </c>
      <c r="W86" s="43">
        <f t="shared" si="225"/>
        <v>261732</v>
      </c>
      <c r="X86" s="41">
        <f t="shared" si="225"/>
        <v>346737</v>
      </c>
      <c r="Y86" s="41">
        <f t="shared" si="225"/>
        <v>0</v>
      </c>
      <c r="Z86" s="41">
        <f t="shared" si="225"/>
        <v>119463</v>
      </c>
      <c r="AA86" s="43">
        <f t="shared" si="225"/>
        <v>466200</v>
      </c>
      <c r="AB86" s="41">
        <f t="shared" si="225"/>
        <v>234265</v>
      </c>
      <c r="AC86" s="41">
        <f t="shared" si="225"/>
        <v>0</v>
      </c>
      <c r="AD86" s="41">
        <f t="shared" si="225"/>
        <v>78089</v>
      </c>
      <c r="AE86" s="43">
        <f t="shared" si="225"/>
        <v>312354</v>
      </c>
      <c r="AF86" s="41">
        <f t="shared" si="225"/>
        <v>157788</v>
      </c>
      <c r="AG86" s="41">
        <f t="shared" si="225"/>
        <v>0</v>
      </c>
      <c r="AH86" s="41">
        <f t="shared" si="225"/>
        <v>57571</v>
      </c>
      <c r="AI86" s="43">
        <f>SUM(AI75:AI85)</f>
        <v>215359</v>
      </c>
      <c r="AJ86" s="41">
        <f t="shared" si="225"/>
        <v>171057</v>
      </c>
      <c r="AK86" s="41">
        <f t="shared" si="225"/>
        <v>0</v>
      </c>
      <c r="AL86" s="41">
        <f t="shared" si="225"/>
        <v>45987</v>
      </c>
      <c r="AM86" s="43">
        <f>SUM(AM75:AM85)</f>
        <v>217044</v>
      </c>
      <c r="AN86" s="41">
        <f t="shared" ref="AN86:AP86" si="226">SUM(AN75:AN85)</f>
        <v>136186</v>
      </c>
      <c r="AO86" s="41">
        <f t="shared" si="226"/>
        <v>0</v>
      </c>
      <c r="AP86" s="41">
        <f t="shared" si="226"/>
        <v>34416</v>
      </c>
      <c r="AQ86" s="43">
        <f>SUM(AQ75:AQ85)</f>
        <v>170602</v>
      </c>
      <c r="AR86" s="41">
        <f t="shared" si="224"/>
        <v>55821</v>
      </c>
      <c r="AS86" s="41">
        <f t="shared" si="224"/>
        <v>0</v>
      </c>
      <c r="AT86" s="41">
        <f t="shared" si="224"/>
        <v>35644</v>
      </c>
      <c r="AU86" s="43">
        <f>SUM(AU75:AU85)</f>
        <v>91465</v>
      </c>
      <c r="AV86" s="43">
        <f>K86+O86+S86+W86+AA86+AU86</f>
        <v>1882747</v>
      </c>
      <c r="AW86" s="153"/>
    </row>
    <row r="87" spans="1:49" x14ac:dyDescent="0.2">
      <c r="F87" s="33"/>
      <c r="G87" s="37"/>
      <c r="H87" s="38"/>
      <c r="I87" s="38"/>
      <c r="J87" s="39"/>
      <c r="K87" s="39"/>
      <c r="L87" s="39"/>
      <c r="M87" s="38"/>
      <c r="N87" s="39"/>
      <c r="O87" s="39"/>
      <c r="P87" s="39"/>
      <c r="Q87" s="38"/>
      <c r="R87" s="39"/>
      <c r="S87" s="39"/>
      <c r="T87" s="39"/>
      <c r="U87" s="38"/>
      <c r="V87" s="39"/>
      <c r="W87" s="40"/>
      <c r="X87" s="39"/>
      <c r="Y87" s="38"/>
      <c r="Z87" s="39"/>
      <c r="AA87" s="40"/>
      <c r="AB87" s="39"/>
      <c r="AC87" s="38"/>
      <c r="AD87" s="39"/>
      <c r="AE87" s="40"/>
      <c r="AF87" s="39"/>
      <c r="AG87" s="38"/>
      <c r="AH87" s="39"/>
      <c r="AI87" s="40"/>
      <c r="AJ87" s="39"/>
      <c r="AK87" s="38"/>
      <c r="AL87" s="39"/>
      <c r="AM87" s="40"/>
      <c r="AN87" s="39"/>
      <c r="AO87" s="38"/>
      <c r="AP87" s="39"/>
      <c r="AQ87" s="40"/>
      <c r="AR87" s="39"/>
      <c r="AS87" s="38"/>
      <c r="AT87" s="39"/>
      <c r="AU87" s="40"/>
      <c r="AV87" s="40"/>
      <c r="AW87" s="153"/>
    </row>
    <row r="88" spans="1:49" ht="13.5" thickBot="1" x14ac:dyDescent="0.25">
      <c r="F88" s="33" t="s">
        <v>71</v>
      </c>
      <c r="G88" s="147">
        <f>SUM(K88:AI88)</f>
        <v>12580313.5</v>
      </c>
      <c r="H88" s="44"/>
      <c r="I88" s="44"/>
      <c r="J88" s="45"/>
      <c r="K88" s="46">
        <f>K62+K86</f>
        <v>1899631</v>
      </c>
      <c r="L88" s="45"/>
      <c r="M88" s="44"/>
      <c r="N88" s="45"/>
      <c r="O88" s="47">
        <f>O62+O86</f>
        <v>2127901</v>
      </c>
      <c r="P88" s="48"/>
      <c r="Q88" s="44"/>
      <c r="R88" s="48"/>
      <c r="S88" s="47">
        <f>S62+S86</f>
        <v>2155672</v>
      </c>
      <c r="T88" s="48"/>
      <c r="U88" s="44"/>
      <c r="V88" s="48"/>
      <c r="W88" s="47">
        <f>W62+W86</f>
        <v>1907394</v>
      </c>
      <c r="X88" s="48"/>
      <c r="Y88" s="44"/>
      <c r="Z88" s="48"/>
      <c r="AA88" s="47">
        <f>AA62+AA86</f>
        <v>1902379</v>
      </c>
      <c r="AB88" s="48"/>
      <c r="AC88" s="44"/>
      <c r="AD88" s="48"/>
      <c r="AE88" s="47">
        <f>AE62+AE86</f>
        <v>1486848</v>
      </c>
      <c r="AF88" s="48"/>
      <c r="AG88" s="44"/>
      <c r="AH88" s="48"/>
      <c r="AI88" s="47">
        <f>AI62+AI86</f>
        <v>1100488.5</v>
      </c>
      <c r="AJ88" s="48"/>
      <c r="AK88" s="44"/>
      <c r="AL88" s="48"/>
      <c r="AM88" s="47">
        <f>AM62+AM86</f>
        <v>630586</v>
      </c>
      <c r="AN88" s="48"/>
      <c r="AO88" s="44"/>
      <c r="AP88" s="48"/>
      <c r="AQ88" s="47">
        <f>AQ62+AQ86</f>
        <v>305440</v>
      </c>
      <c r="AR88" s="48"/>
      <c r="AS88" s="44"/>
      <c r="AT88" s="48"/>
      <c r="AU88" s="47">
        <f>AU62+AU86</f>
        <v>134502</v>
      </c>
      <c r="AV88" s="47">
        <f>K88+O88+S88+AE88+W88+AA88+AU88</f>
        <v>11614327</v>
      </c>
      <c r="AW88" s="153"/>
    </row>
    <row r="89" spans="1:49" ht="13.5" thickTop="1" x14ac:dyDescent="0.2"/>
    <row r="90" spans="1:49" x14ac:dyDescent="0.2">
      <c r="E90" s="12"/>
    </row>
    <row r="92" spans="1:49" x14ac:dyDescent="0.2">
      <c r="A92" s="28"/>
      <c r="C92" s="12"/>
      <c r="D92" s="12"/>
      <c r="F92" s="31" t="s">
        <v>696</v>
      </c>
      <c r="G92" s="29">
        <f>+H62+H86+L62+L86+P62+P86+I62+I86+M62+M86+Q62+Q86+T62+U62+X62+Y62+T86+U86+X86+Y86+AB62+AC62+AB86+AC86+AF86+AG86</f>
        <v>8832780</v>
      </c>
    </row>
    <row r="93" spans="1:49" x14ac:dyDescent="0.2">
      <c r="A93" s="28"/>
      <c r="C93" s="12"/>
      <c r="D93" s="12"/>
      <c r="F93" s="31" t="s">
        <v>697</v>
      </c>
      <c r="G93" s="29">
        <f>+K88+O88+S88+W88+AA88+AE88+AI88</f>
        <v>12580313.5</v>
      </c>
    </row>
    <row r="94" spans="1:49" x14ac:dyDescent="0.2">
      <c r="A94" s="28"/>
      <c r="C94" s="12"/>
      <c r="D94" s="12"/>
      <c r="E94" s="28"/>
      <c r="F94" s="28"/>
      <c r="G94" s="29"/>
    </row>
    <row r="95" spans="1:49" x14ac:dyDescent="0.2">
      <c r="C95" s="12"/>
      <c r="D95" s="12"/>
      <c r="E95" s="28"/>
      <c r="F95" s="28"/>
    </row>
    <row r="96" spans="1:49" x14ac:dyDescent="0.2">
      <c r="C96" s="12"/>
      <c r="D96" s="12"/>
      <c r="E96" s="28"/>
      <c r="F96" s="28"/>
    </row>
  </sheetData>
  <autoFilter ref="A1:BC60" xr:uid="{00000000-0009-0000-0000-000000000000}"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43" showButton="0"/>
    <filterColumn colId="44" showButton="0"/>
    <filterColumn colId="45" showButton="0"/>
    <sortState xmlns:xlrd2="http://schemas.microsoft.com/office/spreadsheetml/2017/richdata2" ref="A4:BC24">
      <sortCondition ref="A1"/>
    </sortState>
  </autoFilter>
  <mergeCells count="24">
    <mergeCell ref="BB1:BB2"/>
    <mergeCell ref="A1:A2"/>
    <mergeCell ref="B1:B2"/>
    <mergeCell ref="C1:C2"/>
    <mergeCell ref="D1:D2"/>
    <mergeCell ref="E1:E2"/>
    <mergeCell ref="AB1:AE1"/>
    <mergeCell ref="AF1:AI1"/>
    <mergeCell ref="AJ1:AM1"/>
    <mergeCell ref="B67:BA67"/>
    <mergeCell ref="H1:K1"/>
    <mergeCell ref="L1:O1"/>
    <mergeCell ref="P1:S1"/>
    <mergeCell ref="AR1:AU1"/>
    <mergeCell ref="F1:F2"/>
    <mergeCell ref="G1:G2"/>
    <mergeCell ref="AX1:AX2"/>
    <mergeCell ref="AY1:AY2"/>
    <mergeCell ref="AZ1:AZ2"/>
    <mergeCell ref="BA1:BA2"/>
    <mergeCell ref="T1:W1"/>
    <mergeCell ref="X1:AA1"/>
    <mergeCell ref="AV1:AV2"/>
    <mergeCell ref="AN1:AQ1"/>
  </mergeCells>
  <conditionalFormatting sqref="AX3:AX60">
    <cfRule type="cellIs" dxfId="14" priority="1" operator="greaterThan">
      <formula>$H3+$L3+$P3+$T3+$X3+$AB3+$AF3</formula>
    </cfRule>
    <cfRule type="cellIs" dxfId="13" priority="2" operator="lessThanOrEqual">
      <formula>+$H3+$L3+$P3+$T3+$X3+$AB3+$AF3</formula>
    </cfRule>
    <cfRule type="cellIs" dxfId="12" priority="4" operator="greaterThan">
      <formula>$H3+$L3+$P3+$T3+$X3+$AB3+$AF3</formula>
    </cfRule>
    <cfRule type="cellIs" dxfId="11" priority="7" operator="lessThanOrEqual">
      <formula>+$H3+$L3+$P3+$T3+$X3+$AB3+$AF3</formula>
    </cfRule>
  </conditionalFormatting>
  <conditionalFormatting sqref="AX39:AX60">
    <cfRule type="cellIs" dxfId="10" priority="8" operator="lessThan">
      <formula>$H39+$L39+$P39+$T39+$X39+$AB39+$AF39</formula>
    </cfRule>
    <cfRule type="cellIs" dxfId="9" priority="9" operator="greaterThan">
      <formula>$H39+$L39+$P39+$T39+$X39+$AB39+$AF39</formula>
    </cfRule>
  </conditionalFormatting>
  <conditionalFormatting sqref="AX62">
    <cfRule type="cellIs" dxfId="8" priority="117" operator="greaterThan">
      <formula>$G62+$AV62</formula>
    </cfRule>
  </conditionalFormatting>
  <conditionalFormatting sqref="AZ3:AZ60">
    <cfRule type="cellIs" dxfId="7" priority="10" operator="lessThan">
      <formula>$AY3</formula>
    </cfRule>
    <cfRule type="cellIs" dxfId="6" priority="11" operator="greaterThanOrEqual">
      <formula>$AY3</formula>
    </cfRule>
    <cfRule type="cellIs" dxfId="5" priority="109" operator="lessThan">
      <formula>$AY3</formula>
    </cfRule>
    <cfRule type="cellIs" dxfId="4" priority="110" operator="greaterThanOrEqual">
      <formula>$AY3</formula>
    </cfRule>
  </conditionalFormatting>
  <conditionalFormatting sqref="AZ33:AZ55">
    <cfRule type="cellIs" dxfId="3" priority="94" operator="lessThan">
      <formula>$AY33</formula>
    </cfRule>
    <cfRule type="cellIs" dxfId="2" priority="95" operator="greaterThanOrEqual">
      <formula>$AY33</formula>
    </cfRule>
  </conditionalFormatting>
  <conditionalFormatting sqref="AZ57">
    <cfRule type="cellIs" dxfId="1" priority="5" operator="lessThan">
      <formula>$AY57</formula>
    </cfRule>
    <cfRule type="cellIs" dxfId="0" priority="6" operator="greaterThanOrEqual">
      <formula>$AY57</formula>
    </cfRule>
  </conditionalFormatting>
  <printOptions horizontalCentered="1"/>
  <pageMargins left="0.5" right="0.5" top="0.75" bottom="0.43" header="0.5" footer="0.28000000000000003"/>
  <pageSetup scale="44" orientation="landscape" r:id="rId1"/>
  <headerFooter>
    <oddHeader>&amp;C&amp;"Arial,Bold"&amp;20ICT Outsourcing Under FY12-FY16 Agreement -- ICT PORTION ONLY</oddHeader>
    <oddFooter>&amp;LPage &amp;P of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workbookViewId="0">
      <pane xSplit="1" ySplit="2" topLeftCell="I11" activePane="bottomRight" state="frozen"/>
      <selection pane="topRight" activeCell="B1" sqref="B1"/>
      <selection pane="bottomLeft" activeCell="A3" sqref="A3"/>
      <selection pane="bottomRight" activeCell="P22" sqref="P22"/>
    </sheetView>
  </sheetViews>
  <sheetFormatPr defaultColWidth="9.140625" defaultRowHeight="15" x14ac:dyDescent="0.25"/>
  <cols>
    <col min="1" max="1" width="24.85546875" style="82" customWidth="1"/>
    <col min="2" max="2" width="13" style="82" customWidth="1"/>
    <col min="3" max="3" width="29.140625" style="82" customWidth="1"/>
    <col min="4" max="4" width="11.7109375" style="82" customWidth="1"/>
    <col min="5" max="5" width="11.5703125" style="82" customWidth="1"/>
    <col min="6" max="6" width="18.42578125" style="82" customWidth="1"/>
    <col min="7" max="7" width="13.140625" style="82" customWidth="1"/>
    <col min="8" max="8" width="6.5703125" style="82" customWidth="1"/>
    <col min="9" max="9" width="7.28515625" style="82" customWidth="1"/>
    <col min="10" max="10" width="12.7109375" style="82" customWidth="1"/>
    <col min="11" max="11" width="24.7109375" style="82" customWidth="1"/>
    <col min="12" max="12" width="12.85546875" style="82" customWidth="1"/>
    <col min="13" max="13" width="9.140625" style="82"/>
    <col min="14" max="17" width="30.28515625" style="82" customWidth="1"/>
    <col min="18" max="18" width="13.42578125" style="82" customWidth="1"/>
    <col min="19" max="19" width="11.85546875" style="82" customWidth="1"/>
    <col min="20" max="16384" width="9.140625" style="82"/>
  </cols>
  <sheetData>
    <row r="1" spans="1:19" ht="15.75" thickBot="1" x14ac:dyDescent="0.3">
      <c r="A1" s="81" t="s">
        <v>159</v>
      </c>
    </row>
    <row r="2" spans="1:19" s="90" customFormat="1" ht="48.75" customHeight="1" thickBot="1" x14ac:dyDescent="0.3">
      <c r="A2" s="90" t="s">
        <v>160</v>
      </c>
      <c r="B2" s="90" t="s">
        <v>161</v>
      </c>
      <c r="C2" s="90" t="s">
        <v>162</v>
      </c>
      <c r="D2" s="90" t="s">
        <v>163</v>
      </c>
      <c r="E2" s="90" t="s">
        <v>164</v>
      </c>
      <c r="F2" s="90" t="s">
        <v>165</v>
      </c>
      <c r="G2" s="90" t="s">
        <v>166</v>
      </c>
      <c r="H2" s="90" t="s">
        <v>167</v>
      </c>
      <c r="I2" s="90" t="s">
        <v>168</v>
      </c>
      <c r="J2" s="90" t="s">
        <v>169</v>
      </c>
      <c r="K2" s="90" t="s">
        <v>170</v>
      </c>
      <c r="L2" s="90" t="s">
        <v>171</v>
      </c>
      <c r="M2" s="90" t="s">
        <v>172</v>
      </c>
      <c r="N2" s="103" t="s">
        <v>61</v>
      </c>
      <c r="O2" s="104" t="s">
        <v>0</v>
      </c>
      <c r="P2" s="103" t="s">
        <v>2</v>
      </c>
      <c r="Q2" s="103" t="s">
        <v>80</v>
      </c>
      <c r="R2" s="112" t="s">
        <v>422</v>
      </c>
      <c r="S2" s="112" t="s">
        <v>424</v>
      </c>
    </row>
    <row r="3" spans="1:19" x14ac:dyDescent="0.25">
      <c r="A3" s="102" t="s">
        <v>368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11"/>
      <c r="S3" s="111"/>
    </row>
    <row r="4" spans="1:19" ht="41.25" customHeight="1" x14ac:dyDescent="0.25">
      <c r="A4" s="83" t="s">
        <v>173</v>
      </c>
      <c r="B4" s="83" t="s">
        <v>174</v>
      </c>
      <c r="C4" s="83" t="s">
        <v>367</v>
      </c>
      <c r="D4" s="83" t="s">
        <v>175</v>
      </c>
      <c r="E4" s="83" t="s">
        <v>176</v>
      </c>
      <c r="F4" s="83" t="s">
        <v>177</v>
      </c>
      <c r="G4" s="83" t="s">
        <v>178</v>
      </c>
      <c r="H4" s="83" t="s">
        <v>179</v>
      </c>
      <c r="I4" s="83">
        <v>61820</v>
      </c>
      <c r="J4" s="83" t="s">
        <v>180</v>
      </c>
      <c r="K4" s="84" t="s">
        <v>181</v>
      </c>
      <c r="L4" s="83" t="s">
        <v>182</v>
      </c>
      <c r="M4" s="83"/>
      <c r="N4" s="105" t="s">
        <v>21</v>
      </c>
      <c r="O4" s="106" t="s">
        <v>20</v>
      </c>
      <c r="P4" s="107" t="s">
        <v>88</v>
      </c>
      <c r="Q4" s="4" t="s">
        <v>89</v>
      </c>
      <c r="R4" s="109" t="s">
        <v>423</v>
      </c>
      <c r="S4" s="109" t="s">
        <v>425</v>
      </c>
    </row>
    <row r="5" spans="1:19" ht="41.25" customHeight="1" x14ac:dyDescent="0.25">
      <c r="A5" s="127" t="s">
        <v>476</v>
      </c>
      <c r="B5" s="127" t="s">
        <v>174</v>
      </c>
      <c r="C5" s="83"/>
      <c r="D5" s="132" t="s">
        <v>509</v>
      </c>
      <c r="E5" s="132" t="s">
        <v>510</v>
      </c>
      <c r="F5" s="83"/>
      <c r="G5" s="83"/>
      <c r="H5" s="83"/>
      <c r="I5" s="83"/>
      <c r="J5" s="83"/>
      <c r="K5" s="89" t="s">
        <v>511</v>
      </c>
      <c r="L5" s="132" t="s">
        <v>512</v>
      </c>
      <c r="M5" s="83"/>
      <c r="N5" s="105" t="s">
        <v>477</v>
      </c>
      <c r="O5" s="106" t="s">
        <v>478</v>
      </c>
      <c r="P5" s="105"/>
      <c r="Q5" s="109"/>
      <c r="R5" s="109"/>
      <c r="S5" s="109"/>
    </row>
    <row r="6" spans="1:19" ht="30" x14ac:dyDescent="0.25">
      <c r="A6" s="83" t="s">
        <v>192</v>
      </c>
      <c r="B6" s="83" t="s">
        <v>174</v>
      </c>
      <c r="C6" s="83" t="s">
        <v>371</v>
      </c>
      <c r="D6" s="83" t="s">
        <v>193</v>
      </c>
      <c r="E6" s="83" t="s">
        <v>194</v>
      </c>
      <c r="F6" s="83" t="s">
        <v>195</v>
      </c>
      <c r="G6" s="83" t="s">
        <v>196</v>
      </c>
      <c r="H6" s="83" t="s">
        <v>197</v>
      </c>
      <c r="I6" s="83">
        <v>61625</v>
      </c>
      <c r="J6" s="83" t="s">
        <v>370</v>
      </c>
      <c r="K6" s="84" t="s">
        <v>198</v>
      </c>
      <c r="L6" s="83" t="s">
        <v>199</v>
      </c>
      <c r="M6" s="83"/>
      <c r="N6" s="105" t="s">
        <v>45</v>
      </c>
      <c r="O6" s="61" t="s">
        <v>44</v>
      </c>
      <c r="P6" s="1" t="s">
        <v>104</v>
      </c>
      <c r="Q6" s="4" t="s">
        <v>105</v>
      </c>
      <c r="R6" s="109" t="s">
        <v>423</v>
      </c>
      <c r="S6" s="109" t="s">
        <v>426</v>
      </c>
    </row>
    <row r="7" spans="1:19" ht="38.25" x14ac:dyDescent="0.25">
      <c r="A7" s="83" t="s">
        <v>192</v>
      </c>
      <c r="B7" s="83" t="s">
        <v>174</v>
      </c>
      <c r="C7" s="83" t="s">
        <v>371</v>
      </c>
      <c r="D7" s="83" t="s">
        <v>193</v>
      </c>
      <c r="E7" s="83" t="s">
        <v>194</v>
      </c>
      <c r="F7" s="83" t="s">
        <v>195</v>
      </c>
      <c r="G7" s="83" t="s">
        <v>196</v>
      </c>
      <c r="H7" s="83" t="s">
        <v>197</v>
      </c>
      <c r="I7" s="83">
        <v>61625</v>
      </c>
      <c r="J7" s="83" t="s">
        <v>370</v>
      </c>
      <c r="K7" s="84" t="s">
        <v>198</v>
      </c>
      <c r="L7" s="83" t="s">
        <v>199</v>
      </c>
      <c r="M7" s="83"/>
      <c r="N7" s="105" t="s">
        <v>145</v>
      </c>
      <c r="O7" s="61" t="s">
        <v>146</v>
      </c>
      <c r="P7" s="1" t="s">
        <v>148</v>
      </c>
      <c r="Q7" s="4" t="s">
        <v>147</v>
      </c>
      <c r="R7" s="109" t="s">
        <v>423</v>
      </c>
      <c r="S7" s="109" t="s">
        <v>426</v>
      </c>
    </row>
    <row r="8" spans="1:19" ht="45" x14ac:dyDescent="0.25">
      <c r="A8" s="83" t="s">
        <v>225</v>
      </c>
      <c r="B8" s="83" t="s">
        <v>209</v>
      </c>
      <c r="C8" s="83" t="s">
        <v>226</v>
      </c>
      <c r="D8" s="83" t="s">
        <v>227</v>
      </c>
      <c r="E8" s="83" t="s">
        <v>228</v>
      </c>
      <c r="F8" s="83" t="s">
        <v>229</v>
      </c>
      <c r="G8" s="83" t="s">
        <v>230</v>
      </c>
      <c r="H8" s="83" t="s">
        <v>197</v>
      </c>
      <c r="I8" s="83">
        <v>61874</v>
      </c>
      <c r="J8" s="83" t="s">
        <v>231</v>
      </c>
      <c r="K8" s="85" t="s">
        <v>232</v>
      </c>
      <c r="L8" s="83" t="s">
        <v>233</v>
      </c>
      <c r="M8" s="83"/>
      <c r="N8" s="92" t="s">
        <v>48</v>
      </c>
      <c r="O8" s="61" t="s">
        <v>47</v>
      </c>
      <c r="P8" s="1" t="s">
        <v>98</v>
      </c>
      <c r="Q8" s="4" t="s">
        <v>97</v>
      </c>
      <c r="R8" s="109" t="s">
        <v>386</v>
      </c>
      <c r="S8" s="109" t="s">
        <v>386</v>
      </c>
    </row>
    <row r="9" spans="1:19" ht="38.25" x14ac:dyDescent="0.25">
      <c r="A9" s="83" t="s">
        <v>124</v>
      </c>
      <c r="B9" s="83"/>
      <c r="C9" s="83" t="s">
        <v>417</v>
      </c>
      <c r="D9" s="83" t="s">
        <v>415</v>
      </c>
      <c r="E9" s="83" t="s">
        <v>416</v>
      </c>
      <c r="F9" s="83" t="s">
        <v>418</v>
      </c>
      <c r="G9" s="83" t="s">
        <v>419</v>
      </c>
      <c r="H9" s="83" t="s">
        <v>353</v>
      </c>
      <c r="I9" s="83">
        <v>78613</v>
      </c>
      <c r="J9" s="83" t="s">
        <v>420</v>
      </c>
      <c r="K9" s="89" t="s">
        <v>421</v>
      </c>
      <c r="L9" s="83" t="s">
        <v>386</v>
      </c>
      <c r="M9" s="83"/>
      <c r="N9" s="92" t="s">
        <v>111</v>
      </c>
      <c r="O9" s="61" t="s">
        <v>143</v>
      </c>
      <c r="P9" s="1" t="s">
        <v>129</v>
      </c>
      <c r="Q9" s="4" t="s">
        <v>119</v>
      </c>
      <c r="R9" s="109" t="s">
        <v>386</v>
      </c>
      <c r="S9" s="109" t="s">
        <v>386</v>
      </c>
    </row>
    <row r="10" spans="1:19" ht="51" x14ac:dyDescent="0.25">
      <c r="A10" s="130" t="s">
        <v>487</v>
      </c>
      <c r="B10" s="83"/>
      <c r="C10" s="83"/>
      <c r="D10" s="136" t="s">
        <v>526</v>
      </c>
      <c r="E10" s="136" t="s">
        <v>527</v>
      </c>
      <c r="F10" s="83"/>
      <c r="G10" s="83"/>
      <c r="H10" s="83"/>
      <c r="I10" s="83"/>
      <c r="J10" s="83"/>
      <c r="K10" s="89" t="s">
        <v>525</v>
      </c>
      <c r="L10" s="83" t="s">
        <v>386</v>
      </c>
      <c r="M10" s="83"/>
      <c r="N10" s="105" t="s">
        <v>488</v>
      </c>
      <c r="O10" s="106" t="s">
        <v>489</v>
      </c>
      <c r="P10" s="1" t="s">
        <v>517</v>
      </c>
      <c r="Q10" s="4" t="s">
        <v>490</v>
      </c>
      <c r="R10" s="109"/>
      <c r="S10" s="109"/>
    </row>
    <row r="11" spans="1:19" ht="38.25" x14ac:dyDescent="0.25">
      <c r="A11" s="83" t="s">
        <v>243</v>
      </c>
      <c r="B11" s="83"/>
      <c r="C11" s="83" t="s">
        <v>372</v>
      </c>
      <c r="D11" s="83" t="s">
        <v>373</v>
      </c>
      <c r="E11" s="83" t="s">
        <v>374</v>
      </c>
      <c r="F11" s="83" t="s">
        <v>244</v>
      </c>
      <c r="G11" s="83" t="s">
        <v>245</v>
      </c>
      <c r="H11" s="83" t="s">
        <v>197</v>
      </c>
      <c r="I11" s="83">
        <v>60616</v>
      </c>
      <c r="J11" s="83" t="s">
        <v>375</v>
      </c>
      <c r="K11" s="84" t="s">
        <v>376</v>
      </c>
      <c r="L11" s="83" t="s">
        <v>246</v>
      </c>
      <c r="M11" s="83"/>
      <c r="N11" s="105" t="s">
        <v>53</v>
      </c>
      <c r="O11" s="61" t="s">
        <v>52</v>
      </c>
      <c r="P11" s="1" t="s">
        <v>100</v>
      </c>
      <c r="Q11" s="4" t="s">
        <v>101</v>
      </c>
      <c r="R11" s="109" t="s">
        <v>423</v>
      </c>
      <c r="S11" s="109" t="s">
        <v>427</v>
      </c>
    </row>
    <row r="12" spans="1:19" ht="38.25" x14ac:dyDescent="0.25">
      <c r="A12" s="83" t="s">
        <v>247</v>
      </c>
      <c r="B12" s="83" t="s">
        <v>174</v>
      </c>
      <c r="C12" s="83" t="s">
        <v>377</v>
      </c>
      <c r="D12" s="83" t="s">
        <v>378</v>
      </c>
      <c r="E12" s="83" t="s">
        <v>379</v>
      </c>
      <c r="F12" s="83" t="s">
        <v>380</v>
      </c>
      <c r="G12" s="83" t="s">
        <v>249</v>
      </c>
      <c r="H12" s="83" t="s">
        <v>250</v>
      </c>
      <c r="I12" s="83">
        <v>50010</v>
      </c>
      <c r="J12" s="83" t="s">
        <v>381</v>
      </c>
      <c r="K12" s="84" t="s">
        <v>382</v>
      </c>
      <c r="L12" s="83" t="s">
        <v>199</v>
      </c>
      <c r="M12" s="83"/>
      <c r="N12" s="105" t="s">
        <v>11</v>
      </c>
      <c r="O12" s="61" t="s">
        <v>12</v>
      </c>
      <c r="P12" s="80"/>
      <c r="Q12" s="4" t="s">
        <v>81</v>
      </c>
      <c r="R12" s="109" t="s">
        <v>423</v>
      </c>
      <c r="S12" s="109" t="s">
        <v>430</v>
      </c>
    </row>
    <row r="13" spans="1:19" ht="30" x14ac:dyDescent="0.25">
      <c r="A13" s="83" t="s">
        <v>259</v>
      </c>
      <c r="B13" s="83" t="s">
        <v>209</v>
      </c>
      <c r="C13" s="83" t="s">
        <v>226</v>
      </c>
      <c r="D13" s="83" t="s">
        <v>260</v>
      </c>
      <c r="E13" s="83" t="s">
        <v>261</v>
      </c>
      <c r="F13" s="83" t="s">
        <v>262</v>
      </c>
      <c r="G13" s="83" t="s">
        <v>245</v>
      </c>
      <c r="H13" s="83" t="s">
        <v>197</v>
      </c>
      <c r="I13" s="83">
        <v>60619</v>
      </c>
      <c r="J13" s="83" t="s">
        <v>263</v>
      </c>
      <c r="K13" s="85" t="s">
        <v>264</v>
      </c>
      <c r="L13" s="83" t="s">
        <v>263</v>
      </c>
      <c r="M13" s="83"/>
      <c r="N13" s="92" t="s">
        <v>50</v>
      </c>
      <c r="O13" s="61" t="s">
        <v>47</v>
      </c>
      <c r="P13" s="1" t="s">
        <v>99</v>
      </c>
      <c r="Q13" s="4" t="s">
        <v>97</v>
      </c>
      <c r="R13" s="109" t="s">
        <v>386</v>
      </c>
      <c r="S13" s="109" t="s">
        <v>386</v>
      </c>
    </row>
    <row r="14" spans="1:19" ht="38.25" x14ac:dyDescent="0.25">
      <c r="A14" s="83" t="s">
        <v>259</v>
      </c>
      <c r="B14" s="83" t="s">
        <v>209</v>
      </c>
      <c r="C14" s="83" t="s">
        <v>226</v>
      </c>
      <c r="D14" s="83" t="s">
        <v>260</v>
      </c>
      <c r="E14" s="83" t="s">
        <v>261</v>
      </c>
      <c r="F14" s="83" t="s">
        <v>262</v>
      </c>
      <c r="G14" s="83" t="s">
        <v>245</v>
      </c>
      <c r="H14" s="83" t="s">
        <v>197</v>
      </c>
      <c r="I14" s="83">
        <v>60619</v>
      </c>
      <c r="J14" s="83" t="s">
        <v>263</v>
      </c>
      <c r="K14" s="85" t="s">
        <v>264</v>
      </c>
      <c r="L14" s="83" t="s">
        <v>263</v>
      </c>
      <c r="M14" s="83"/>
      <c r="N14" s="92" t="s">
        <v>23</v>
      </c>
      <c r="O14" s="61" t="s">
        <v>22</v>
      </c>
      <c r="P14" s="1" t="s">
        <v>92</v>
      </c>
      <c r="Q14" s="4" t="s">
        <v>93</v>
      </c>
      <c r="R14" s="109" t="s">
        <v>386</v>
      </c>
      <c r="S14" s="109" t="s">
        <v>386</v>
      </c>
    </row>
    <row r="15" spans="1:19" ht="45" x14ac:dyDescent="0.25">
      <c r="A15" s="139" t="s">
        <v>265</v>
      </c>
      <c r="B15" s="83"/>
      <c r="C15" s="139" t="s">
        <v>603</v>
      </c>
      <c r="D15" s="139" t="s">
        <v>604</v>
      </c>
      <c r="E15" s="139" t="s">
        <v>605</v>
      </c>
      <c r="F15" s="83"/>
      <c r="G15" s="83"/>
      <c r="H15" s="83"/>
      <c r="I15" s="83"/>
      <c r="J15" s="83"/>
      <c r="K15" s="89" t="s">
        <v>606</v>
      </c>
      <c r="L15" s="139" t="s">
        <v>607</v>
      </c>
      <c r="M15" s="83"/>
      <c r="N15" s="105" t="s">
        <v>608</v>
      </c>
      <c r="O15" s="106" t="s">
        <v>578</v>
      </c>
      <c r="P15" s="1" t="s">
        <v>583</v>
      </c>
      <c r="Q15" s="4" t="s">
        <v>570</v>
      </c>
      <c r="R15" s="109"/>
      <c r="S15" s="109"/>
    </row>
    <row r="16" spans="1:19" ht="45" x14ac:dyDescent="0.25">
      <c r="A16" s="83" t="s">
        <v>405</v>
      </c>
      <c r="B16" s="83"/>
      <c r="C16" s="83" t="s">
        <v>406</v>
      </c>
      <c r="D16" s="83" t="s">
        <v>407</v>
      </c>
      <c r="E16" s="83" t="s">
        <v>408</v>
      </c>
      <c r="F16" s="83" t="s">
        <v>409</v>
      </c>
      <c r="G16" s="83" t="s">
        <v>410</v>
      </c>
      <c r="H16" s="83" t="s">
        <v>411</v>
      </c>
      <c r="I16" s="83">
        <v>74078</v>
      </c>
      <c r="J16" s="83" t="s">
        <v>412</v>
      </c>
      <c r="K16" s="89" t="s">
        <v>413</v>
      </c>
      <c r="L16" s="83" t="s">
        <v>414</v>
      </c>
      <c r="M16" s="83"/>
      <c r="N16" s="92" t="s">
        <v>136</v>
      </c>
      <c r="O16" s="61" t="s">
        <v>135</v>
      </c>
      <c r="P16" s="1" t="s">
        <v>127</v>
      </c>
      <c r="Q16" s="4" t="s">
        <v>115</v>
      </c>
      <c r="R16" s="109" t="s">
        <v>423</v>
      </c>
      <c r="S16" s="109" t="s">
        <v>425</v>
      </c>
    </row>
    <row r="17" spans="1:19" ht="51" x14ac:dyDescent="0.25">
      <c r="A17" s="83" t="s">
        <v>283</v>
      </c>
      <c r="B17" s="83" t="s">
        <v>174</v>
      </c>
      <c r="C17" s="83" t="s">
        <v>284</v>
      </c>
      <c r="D17" s="83" t="s">
        <v>285</v>
      </c>
      <c r="E17" s="83" t="s">
        <v>286</v>
      </c>
      <c r="F17" s="83" t="s">
        <v>287</v>
      </c>
      <c r="G17" s="83" t="s">
        <v>288</v>
      </c>
      <c r="H17" s="83" t="s">
        <v>197</v>
      </c>
      <c r="I17" s="83">
        <v>62025</v>
      </c>
      <c r="J17" s="83" t="s">
        <v>289</v>
      </c>
      <c r="K17" s="88" t="s">
        <v>290</v>
      </c>
      <c r="L17" s="83" t="s">
        <v>291</v>
      </c>
      <c r="M17" s="83"/>
      <c r="N17" s="58" t="s">
        <v>37</v>
      </c>
      <c r="O17" s="91" t="s">
        <v>36</v>
      </c>
      <c r="P17" s="93" t="s">
        <v>158</v>
      </c>
      <c r="Q17" s="94" t="s">
        <v>96</v>
      </c>
      <c r="R17" s="110" t="s">
        <v>423</v>
      </c>
      <c r="S17" s="110" t="s">
        <v>429</v>
      </c>
    </row>
    <row r="18" spans="1:19" ht="45" x14ac:dyDescent="0.25">
      <c r="A18" s="83" t="s">
        <v>283</v>
      </c>
      <c r="B18" s="83" t="s">
        <v>174</v>
      </c>
      <c r="C18" s="83" t="s">
        <v>284</v>
      </c>
      <c r="D18" s="83" t="s">
        <v>285</v>
      </c>
      <c r="E18" s="83" t="s">
        <v>286</v>
      </c>
      <c r="F18" s="83" t="s">
        <v>287</v>
      </c>
      <c r="G18" s="83" t="s">
        <v>288</v>
      </c>
      <c r="H18" s="83" t="s">
        <v>197</v>
      </c>
      <c r="I18" s="83">
        <v>62025</v>
      </c>
      <c r="J18" s="83" t="s">
        <v>289</v>
      </c>
      <c r="K18" s="88" t="s">
        <v>290</v>
      </c>
      <c r="L18" s="83" t="s">
        <v>291</v>
      </c>
      <c r="M18" s="83"/>
      <c r="N18" s="92" t="s">
        <v>150</v>
      </c>
      <c r="O18" s="61" t="s">
        <v>151</v>
      </c>
      <c r="P18" s="80"/>
      <c r="Q18" s="4" t="s">
        <v>156</v>
      </c>
      <c r="R18" s="109" t="s">
        <v>423</v>
      </c>
      <c r="S18" s="109" t="s">
        <v>429</v>
      </c>
    </row>
    <row r="19" spans="1:19" ht="45" x14ac:dyDescent="0.25">
      <c r="A19" s="83" t="s">
        <v>283</v>
      </c>
      <c r="B19" s="83" t="s">
        <v>174</v>
      </c>
      <c r="C19" s="83" t="s">
        <v>284</v>
      </c>
      <c r="D19" s="83" t="s">
        <v>285</v>
      </c>
      <c r="E19" s="83" t="s">
        <v>286</v>
      </c>
      <c r="F19" s="83" t="s">
        <v>287</v>
      </c>
      <c r="G19" s="83" t="s">
        <v>288</v>
      </c>
      <c r="H19" s="83" t="s">
        <v>197</v>
      </c>
      <c r="I19" s="83">
        <v>62025</v>
      </c>
      <c r="J19" s="83" t="s">
        <v>289</v>
      </c>
      <c r="K19" s="88" t="s">
        <v>290</v>
      </c>
      <c r="L19" s="83" t="s">
        <v>291</v>
      </c>
      <c r="M19" s="83"/>
      <c r="N19" s="92" t="s">
        <v>28</v>
      </c>
      <c r="O19" s="61" t="s">
        <v>27</v>
      </c>
      <c r="P19" s="1" t="s">
        <v>91</v>
      </c>
      <c r="Q19" s="4" t="s">
        <v>90</v>
      </c>
      <c r="R19" s="109" t="s">
        <v>423</v>
      </c>
      <c r="S19" s="109" t="s">
        <v>429</v>
      </c>
    </row>
    <row r="20" spans="1:19" ht="51" x14ac:dyDescent="0.25">
      <c r="A20" s="83" t="s">
        <v>292</v>
      </c>
      <c r="B20" s="83" t="s">
        <v>174</v>
      </c>
      <c r="C20" s="83" t="s">
        <v>387</v>
      </c>
      <c r="D20" s="83" t="s">
        <v>383</v>
      </c>
      <c r="E20" s="83" t="s">
        <v>384</v>
      </c>
      <c r="F20" s="83" t="s">
        <v>388</v>
      </c>
      <c r="G20" s="83" t="s">
        <v>293</v>
      </c>
      <c r="H20" s="83" t="s">
        <v>256</v>
      </c>
      <c r="I20" s="83">
        <v>63108</v>
      </c>
      <c r="J20" s="83" t="s">
        <v>385</v>
      </c>
      <c r="K20" s="85" t="s">
        <v>294</v>
      </c>
      <c r="L20" s="83" t="s">
        <v>386</v>
      </c>
      <c r="M20" s="83"/>
      <c r="N20" s="92" t="s">
        <v>107</v>
      </c>
      <c r="O20" s="61" t="s">
        <v>133</v>
      </c>
      <c r="P20" s="1" t="s">
        <v>126</v>
      </c>
      <c r="Q20" s="4" t="s">
        <v>114</v>
      </c>
      <c r="R20" s="109" t="s">
        <v>423</v>
      </c>
      <c r="S20" s="109" t="s">
        <v>425</v>
      </c>
    </row>
    <row r="21" spans="1:19" ht="45" x14ac:dyDescent="0.25">
      <c r="A21" s="83" t="s">
        <v>292</v>
      </c>
      <c r="B21" s="83" t="s">
        <v>174</v>
      </c>
      <c r="C21" s="83" t="s">
        <v>387</v>
      </c>
      <c r="D21" s="83" t="s">
        <v>383</v>
      </c>
      <c r="E21" s="83" t="s">
        <v>384</v>
      </c>
      <c r="F21" s="83" t="s">
        <v>388</v>
      </c>
      <c r="G21" s="83" t="s">
        <v>293</v>
      </c>
      <c r="H21" s="83" t="s">
        <v>256</v>
      </c>
      <c r="I21" s="83">
        <v>63108</v>
      </c>
      <c r="J21" s="83" t="s">
        <v>385</v>
      </c>
      <c r="K21" s="85" t="s">
        <v>294</v>
      </c>
      <c r="L21" s="83" t="s">
        <v>199</v>
      </c>
      <c r="M21" s="83"/>
      <c r="N21" s="92" t="s">
        <v>106</v>
      </c>
      <c r="O21" s="61" t="s">
        <v>130</v>
      </c>
      <c r="P21" s="1" t="s">
        <v>125</v>
      </c>
      <c r="Q21" s="4" t="s">
        <v>113</v>
      </c>
      <c r="R21" s="109" t="s">
        <v>423</v>
      </c>
      <c r="S21" s="109" t="s">
        <v>425</v>
      </c>
    </row>
    <row r="22" spans="1:19" ht="45" x14ac:dyDescent="0.25">
      <c r="A22" s="139" t="s">
        <v>592</v>
      </c>
      <c r="B22" s="83"/>
      <c r="C22" s="139" t="s">
        <v>602</v>
      </c>
      <c r="D22" s="139" t="s">
        <v>593</v>
      </c>
      <c r="E22" s="139" t="s">
        <v>594</v>
      </c>
      <c r="F22" s="139" t="s">
        <v>595</v>
      </c>
      <c r="G22" s="139" t="s">
        <v>596</v>
      </c>
      <c r="H22" s="139" t="s">
        <v>353</v>
      </c>
      <c r="I22" s="139" t="s">
        <v>597</v>
      </c>
      <c r="J22" s="139" t="s">
        <v>598</v>
      </c>
      <c r="K22" s="89" t="s">
        <v>599</v>
      </c>
      <c r="L22" s="139" t="s">
        <v>600</v>
      </c>
      <c r="M22" s="83"/>
      <c r="N22" s="105" t="s">
        <v>601</v>
      </c>
      <c r="O22" s="106" t="s">
        <v>473</v>
      </c>
      <c r="P22" s="1" t="s">
        <v>563</v>
      </c>
      <c r="Q22" s="4" t="s">
        <v>531</v>
      </c>
      <c r="R22" s="109"/>
      <c r="S22" s="109"/>
    </row>
    <row r="23" spans="1:19" ht="25.5" x14ac:dyDescent="0.25">
      <c r="A23" s="83" t="s">
        <v>120</v>
      </c>
      <c r="B23" s="83" t="s">
        <v>305</v>
      </c>
      <c r="C23" s="83" t="s">
        <v>317</v>
      </c>
      <c r="D23" s="83" t="s">
        <v>318</v>
      </c>
      <c r="E23" s="83" t="s">
        <v>319</v>
      </c>
      <c r="F23" s="83" t="s">
        <v>320</v>
      </c>
      <c r="G23" s="83" t="s">
        <v>321</v>
      </c>
      <c r="H23" s="83" t="s">
        <v>322</v>
      </c>
      <c r="I23" s="83">
        <v>19716</v>
      </c>
      <c r="J23" s="83" t="s">
        <v>323</v>
      </c>
      <c r="K23" s="89" t="s">
        <v>324</v>
      </c>
      <c r="L23" s="83" t="s">
        <v>325</v>
      </c>
      <c r="M23" s="83"/>
      <c r="N23" s="92" t="s">
        <v>132</v>
      </c>
      <c r="O23" s="61" t="s">
        <v>130</v>
      </c>
      <c r="P23" s="80"/>
      <c r="Q23" s="4" t="s">
        <v>112</v>
      </c>
      <c r="R23" s="109" t="s">
        <v>423</v>
      </c>
      <c r="S23" s="109" t="s">
        <v>426</v>
      </c>
    </row>
    <row r="24" spans="1:19" ht="38.25" x14ac:dyDescent="0.25">
      <c r="A24" s="83" t="s">
        <v>357</v>
      </c>
      <c r="B24" s="83" t="s">
        <v>174</v>
      </c>
      <c r="C24" s="83" t="s">
        <v>389</v>
      </c>
      <c r="D24" s="83" t="s">
        <v>390</v>
      </c>
      <c r="E24" s="83" t="s">
        <v>391</v>
      </c>
      <c r="F24" s="83" t="s">
        <v>392</v>
      </c>
      <c r="G24" s="83" t="s">
        <v>358</v>
      </c>
      <c r="H24" s="83" t="s">
        <v>197</v>
      </c>
      <c r="I24" s="83">
        <v>61801</v>
      </c>
      <c r="J24" s="83" t="s">
        <v>393</v>
      </c>
      <c r="K24" s="84" t="s">
        <v>394</v>
      </c>
      <c r="L24" s="83" t="s">
        <v>359</v>
      </c>
      <c r="M24" s="83"/>
      <c r="N24" s="92" t="s">
        <v>108</v>
      </c>
      <c r="O24" s="61" t="s">
        <v>137</v>
      </c>
      <c r="P24" s="1" t="s">
        <v>128</v>
      </c>
      <c r="Q24" s="4" t="s">
        <v>116</v>
      </c>
      <c r="R24" s="109" t="s">
        <v>386</v>
      </c>
      <c r="S24" s="109" t="s">
        <v>386</v>
      </c>
    </row>
    <row r="25" spans="1:19" ht="45" x14ac:dyDescent="0.25">
      <c r="A25" s="83" t="s">
        <v>360</v>
      </c>
      <c r="B25" s="83"/>
      <c r="C25" s="83" t="s">
        <v>395</v>
      </c>
      <c r="D25" s="83" t="s">
        <v>396</v>
      </c>
      <c r="E25" s="83" t="s">
        <v>397</v>
      </c>
      <c r="F25" s="83" t="s">
        <v>361</v>
      </c>
      <c r="G25" s="83" t="s">
        <v>362</v>
      </c>
      <c r="H25" s="83" t="s">
        <v>363</v>
      </c>
      <c r="I25" s="83">
        <v>24061</v>
      </c>
      <c r="J25" s="83" t="s">
        <v>398</v>
      </c>
      <c r="K25" s="84" t="s">
        <v>399</v>
      </c>
      <c r="L25" s="83" t="s">
        <v>199</v>
      </c>
      <c r="M25" s="83"/>
      <c r="N25" s="92" t="s">
        <v>57</v>
      </c>
      <c r="O25" s="61" t="s">
        <v>56</v>
      </c>
      <c r="P25" s="1" t="s">
        <v>102</v>
      </c>
      <c r="Q25" s="4" t="s">
        <v>103</v>
      </c>
      <c r="R25" s="109" t="s">
        <v>423</v>
      </c>
      <c r="S25" s="109" t="s">
        <v>386</v>
      </c>
    </row>
    <row r="26" spans="1:19" ht="38.25" x14ac:dyDescent="0.25">
      <c r="A26" s="83" t="s">
        <v>366</v>
      </c>
      <c r="B26" s="83"/>
      <c r="C26" s="83" t="s">
        <v>400</v>
      </c>
      <c r="D26" s="83" t="s">
        <v>401</v>
      </c>
      <c r="E26" s="83" t="s">
        <v>402</v>
      </c>
      <c r="F26" s="83" t="s">
        <v>403</v>
      </c>
      <c r="G26" s="83" t="s">
        <v>364</v>
      </c>
      <c r="H26" s="83" t="s">
        <v>365</v>
      </c>
      <c r="I26" s="83">
        <v>99164</v>
      </c>
      <c r="J26" s="83" t="s">
        <v>404</v>
      </c>
      <c r="K26" s="131" t="s">
        <v>498</v>
      </c>
      <c r="L26" s="83" t="s">
        <v>199</v>
      </c>
      <c r="M26" s="83"/>
      <c r="N26" s="92" t="s">
        <v>41</v>
      </c>
      <c r="O26" s="61" t="s">
        <v>40</v>
      </c>
      <c r="P26" s="1" t="s">
        <v>94</v>
      </c>
      <c r="Q26" s="4" t="s">
        <v>95</v>
      </c>
      <c r="R26" s="109" t="s">
        <v>423</v>
      </c>
      <c r="S26" s="109" t="s">
        <v>428</v>
      </c>
    </row>
    <row r="27" spans="1:19" ht="38.25" x14ac:dyDescent="0.25">
      <c r="A27" s="83" t="s">
        <v>366</v>
      </c>
      <c r="B27" s="83"/>
      <c r="C27" s="83" t="s">
        <v>400</v>
      </c>
      <c r="D27" s="83" t="s">
        <v>401</v>
      </c>
      <c r="E27" s="83" t="s">
        <v>402</v>
      </c>
      <c r="F27" s="83" t="s">
        <v>403</v>
      </c>
      <c r="G27" s="83" t="s">
        <v>364</v>
      </c>
      <c r="H27" s="83" t="s">
        <v>365</v>
      </c>
      <c r="I27" s="83">
        <v>99164</v>
      </c>
      <c r="J27" s="83" t="s">
        <v>404</v>
      </c>
      <c r="K27" s="131" t="s">
        <v>498</v>
      </c>
      <c r="L27" s="83" t="s">
        <v>199</v>
      </c>
      <c r="M27" s="83"/>
      <c r="N27" s="92" t="s">
        <v>109</v>
      </c>
      <c r="O27" s="61" t="s">
        <v>140</v>
      </c>
      <c r="P27" s="1" t="s">
        <v>155</v>
      </c>
      <c r="Q27" s="4" t="s">
        <v>117</v>
      </c>
      <c r="R27" s="109" t="s">
        <v>423</v>
      </c>
      <c r="S27" s="109" t="s">
        <v>428</v>
      </c>
    </row>
    <row r="28" spans="1:19" ht="38.25" x14ac:dyDescent="0.25">
      <c r="A28" s="83" t="s">
        <v>366</v>
      </c>
      <c r="B28" s="83"/>
      <c r="C28" s="83" t="s">
        <v>400</v>
      </c>
      <c r="D28" s="83" t="s">
        <v>401</v>
      </c>
      <c r="E28" s="83" t="s">
        <v>402</v>
      </c>
      <c r="F28" s="83" t="s">
        <v>403</v>
      </c>
      <c r="G28" s="83" t="s">
        <v>364</v>
      </c>
      <c r="H28" s="83" t="s">
        <v>365</v>
      </c>
      <c r="I28" s="83">
        <v>99164</v>
      </c>
      <c r="J28" s="83" t="s">
        <v>404</v>
      </c>
      <c r="K28" s="131" t="s">
        <v>498</v>
      </c>
      <c r="L28" s="83" t="s">
        <v>199</v>
      </c>
      <c r="M28" s="83"/>
      <c r="N28" s="92" t="s">
        <v>110</v>
      </c>
      <c r="O28" s="61" t="s">
        <v>142</v>
      </c>
      <c r="P28" s="1" t="s">
        <v>157</v>
      </c>
      <c r="Q28" s="4" t="s">
        <v>118</v>
      </c>
      <c r="R28" s="109" t="s">
        <v>423</v>
      </c>
      <c r="S28" s="109" t="s">
        <v>428</v>
      </c>
    </row>
    <row r="29" spans="1:19" x14ac:dyDescent="0.25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108"/>
      <c r="L29" s="83"/>
      <c r="M29" s="83"/>
      <c r="N29" s="83"/>
      <c r="O29" s="83"/>
      <c r="P29" s="83"/>
      <c r="Q29" s="83"/>
      <c r="R29" s="83"/>
      <c r="S29" s="83"/>
    </row>
    <row r="30" spans="1:19" x14ac:dyDescent="0.25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108"/>
      <c r="L30" s="83"/>
      <c r="M30" s="83"/>
      <c r="N30" s="83"/>
      <c r="O30" s="83"/>
      <c r="P30" s="83"/>
      <c r="Q30" s="83"/>
      <c r="R30" s="83"/>
      <c r="S30" s="83"/>
    </row>
    <row r="33" spans="1:19" x14ac:dyDescent="0.25">
      <c r="A33" s="102" t="s">
        <v>369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1:19" ht="60" x14ac:dyDescent="0.25">
      <c r="A34" s="83" t="s">
        <v>183</v>
      </c>
      <c r="B34" s="83" t="s">
        <v>174</v>
      </c>
      <c r="C34" s="83"/>
      <c r="D34" s="83" t="s">
        <v>184</v>
      </c>
      <c r="E34" s="83" t="s">
        <v>185</v>
      </c>
      <c r="F34" s="83" t="s">
        <v>186</v>
      </c>
      <c r="G34" s="83" t="s">
        <v>187</v>
      </c>
      <c r="H34" s="83" t="s">
        <v>188</v>
      </c>
      <c r="I34" s="83">
        <v>36849</v>
      </c>
      <c r="J34" s="83" t="s">
        <v>189</v>
      </c>
      <c r="K34" s="84" t="s">
        <v>190</v>
      </c>
      <c r="L34" s="83" t="s">
        <v>191</v>
      </c>
      <c r="M34" s="83"/>
    </row>
    <row r="35" spans="1:19" ht="45" x14ac:dyDescent="0.25">
      <c r="A35" s="83" t="s">
        <v>200</v>
      </c>
      <c r="B35" s="83"/>
      <c r="C35" s="83"/>
      <c r="D35" s="83" t="s">
        <v>201</v>
      </c>
      <c r="E35" s="83" t="s">
        <v>202</v>
      </c>
      <c r="F35" s="83" t="s">
        <v>203</v>
      </c>
      <c r="G35" s="83" t="s">
        <v>204</v>
      </c>
      <c r="H35" s="83" t="s">
        <v>205</v>
      </c>
      <c r="I35" s="83">
        <v>84602</v>
      </c>
      <c r="J35" s="83" t="s">
        <v>206</v>
      </c>
      <c r="K35" s="85" t="s">
        <v>207</v>
      </c>
      <c r="L35" s="83" t="s">
        <v>208</v>
      </c>
      <c r="M35" s="83"/>
      <c r="N35" s="83"/>
      <c r="O35" s="83"/>
      <c r="P35" s="83"/>
      <c r="Q35" s="83"/>
      <c r="R35" s="83"/>
      <c r="S35" s="83"/>
    </row>
    <row r="36" spans="1:19" ht="30" x14ac:dyDescent="0.25">
      <c r="A36" s="86" t="s">
        <v>200</v>
      </c>
      <c r="B36" s="86" t="s">
        <v>209</v>
      </c>
      <c r="C36" s="86"/>
      <c r="D36" s="86" t="s">
        <v>210</v>
      </c>
      <c r="E36" s="86" t="s">
        <v>211</v>
      </c>
      <c r="F36" s="86"/>
      <c r="G36" s="86" t="s">
        <v>204</v>
      </c>
      <c r="H36" s="86" t="s">
        <v>205</v>
      </c>
      <c r="I36" s="86">
        <v>84602</v>
      </c>
      <c r="J36" s="86"/>
      <c r="K36" s="87"/>
      <c r="L36" s="86" t="s">
        <v>199</v>
      </c>
      <c r="M36" s="83"/>
      <c r="N36" s="83"/>
      <c r="O36" s="83"/>
      <c r="P36" s="83"/>
      <c r="Q36" s="83"/>
      <c r="R36" s="83"/>
      <c r="S36" s="83"/>
    </row>
    <row r="37" spans="1:19" ht="45" x14ac:dyDescent="0.25">
      <c r="A37" s="83" t="s">
        <v>212</v>
      </c>
      <c r="B37" s="83" t="s">
        <v>209</v>
      </c>
      <c r="C37" s="83" t="s">
        <v>213</v>
      </c>
      <c r="D37" s="83" t="s">
        <v>214</v>
      </c>
      <c r="E37" s="83" t="s">
        <v>215</v>
      </c>
      <c r="F37" s="83" t="s">
        <v>216</v>
      </c>
      <c r="G37" s="83" t="s">
        <v>217</v>
      </c>
      <c r="H37" s="83" t="s">
        <v>218</v>
      </c>
      <c r="I37" s="83">
        <v>90032</v>
      </c>
      <c r="J37" s="83" t="s">
        <v>219</v>
      </c>
      <c r="K37" s="85" t="s">
        <v>220</v>
      </c>
      <c r="L37" s="83" t="s">
        <v>221</v>
      </c>
      <c r="M37" s="83"/>
      <c r="N37" s="83"/>
      <c r="O37" s="83"/>
      <c r="P37" s="83"/>
      <c r="Q37" s="83"/>
      <c r="R37" s="83"/>
      <c r="S37" s="83"/>
    </row>
    <row r="38" spans="1:19" x14ac:dyDescent="0.25">
      <c r="A38" s="86" t="s">
        <v>222</v>
      </c>
      <c r="B38" s="86" t="s">
        <v>209</v>
      </c>
      <c r="C38" s="86"/>
      <c r="D38" s="86" t="s">
        <v>223</v>
      </c>
      <c r="E38" s="86" t="s">
        <v>224</v>
      </c>
      <c r="F38" s="86"/>
      <c r="G38" s="86"/>
      <c r="H38" s="86"/>
      <c r="I38" s="86"/>
      <c r="J38" s="86"/>
      <c r="K38" s="87"/>
      <c r="L38" s="86" t="s">
        <v>199</v>
      </c>
      <c r="M38" s="83"/>
      <c r="N38" s="83"/>
      <c r="O38" s="83"/>
      <c r="P38" s="83"/>
      <c r="Q38" s="83"/>
      <c r="R38" s="83"/>
      <c r="S38" s="83"/>
    </row>
    <row r="39" spans="1:19" ht="30" x14ac:dyDescent="0.25">
      <c r="A39" s="83" t="s">
        <v>234</v>
      </c>
      <c r="B39" s="83" t="s">
        <v>209</v>
      </c>
      <c r="C39" s="83" t="s">
        <v>226</v>
      </c>
      <c r="D39" s="83" t="s">
        <v>235</v>
      </c>
      <c r="E39" s="83" t="s">
        <v>236</v>
      </c>
      <c r="F39" s="83" t="s">
        <v>237</v>
      </c>
      <c r="G39" s="83" t="s">
        <v>238</v>
      </c>
      <c r="H39" s="83" t="s">
        <v>239</v>
      </c>
      <c r="I39" s="83">
        <v>46231</v>
      </c>
      <c r="J39" s="83" t="s">
        <v>240</v>
      </c>
      <c r="K39" s="85" t="s">
        <v>241</v>
      </c>
      <c r="L39" s="83" t="s">
        <v>242</v>
      </c>
      <c r="M39" s="83"/>
      <c r="N39" s="83"/>
      <c r="O39" s="83"/>
      <c r="P39" s="83"/>
      <c r="Q39" s="83"/>
      <c r="R39" s="83"/>
      <c r="S39" s="83"/>
    </row>
    <row r="40" spans="1:19" ht="45" x14ac:dyDescent="0.25">
      <c r="A40" s="83" t="s">
        <v>251</v>
      </c>
      <c r="B40" s="83" t="s">
        <v>174</v>
      </c>
      <c r="C40" s="83"/>
      <c r="D40" s="83" t="s">
        <v>252</v>
      </c>
      <c r="E40" s="83" t="s">
        <v>253</v>
      </c>
      <c r="F40" s="83" t="s">
        <v>254</v>
      </c>
      <c r="G40" s="83" t="s">
        <v>255</v>
      </c>
      <c r="H40" s="83" t="s">
        <v>256</v>
      </c>
      <c r="I40" s="83">
        <v>65897</v>
      </c>
      <c r="J40" s="83" t="s">
        <v>257</v>
      </c>
      <c r="K40" s="82" t="s">
        <v>258</v>
      </c>
      <c r="L40" s="83" t="s">
        <v>199</v>
      </c>
      <c r="M40" s="83"/>
      <c r="N40" s="83"/>
      <c r="O40" s="83"/>
      <c r="P40" s="83"/>
      <c r="Q40" s="83"/>
      <c r="R40" s="83"/>
      <c r="S40" s="83"/>
    </row>
    <row r="41" spans="1:19" ht="45" x14ac:dyDescent="0.25">
      <c r="A41" s="83" t="s">
        <v>265</v>
      </c>
      <c r="B41" s="83" t="s">
        <v>209</v>
      </c>
      <c r="C41" s="83" t="s">
        <v>266</v>
      </c>
      <c r="D41" s="83" t="s">
        <v>267</v>
      </c>
      <c r="E41" s="83" t="s">
        <v>268</v>
      </c>
      <c r="F41" s="83" t="s">
        <v>269</v>
      </c>
      <c r="G41" s="83" t="s">
        <v>270</v>
      </c>
      <c r="H41" s="83" t="s">
        <v>197</v>
      </c>
      <c r="I41" s="83">
        <v>60208</v>
      </c>
      <c r="J41" s="83" t="s">
        <v>271</v>
      </c>
      <c r="K41" s="85" t="s">
        <v>272</v>
      </c>
      <c r="L41" s="83" t="s">
        <v>273</v>
      </c>
      <c r="M41" s="83"/>
      <c r="N41" s="83"/>
      <c r="O41" s="83"/>
      <c r="P41" s="83"/>
      <c r="Q41" s="83"/>
      <c r="R41" s="83"/>
      <c r="S41" s="83"/>
    </row>
    <row r="42" spans="1:19" ht="30" x14ac:dyDescent="0.25">
      <c r="A42" s="83" t="s">
        <v>274</v>
      </c>
      <c r="B42" s="83" t="s">
        <v>174</v>
      </c>
      <c r="C42" s="83"/>
      <c r="D42" s="83" t="s">
        <v>275</v>
      </c>
      <c r="E42" s="83" t="s">
        <v>276</v>
      </c>
      <c r="F42" s="83" t="s">
        <v>277</v>
      </c>
      <c r="G42" s="83" t="s">
        <v>278</v>
      </c>
      <c r="H42" s="83" t="s">
        <v>279</v>
      </c>
      <c r="I42" s="83">
        <v>8901</v>
      </c>
      <c r="J42" s="83" t="s">
        <v>280</v>
      </c>
      <c r="K42" s="85" t="s">
        <v>281</v>
      </c>
      <c r="L42" s="83" t="s">
        <v>282</v>
      </c>
      <c r="M42" s="83"/>
      <c r="N42" s="83"/>
      <c r="O42" s="83"/>
      <c r="P42" s="83"/>
      <c r="Q42" s="83"/>
      <c r="R42" s="83"/>
      <c r="S42" s="83"/>
    </row>
    <row r="43" spans="1:19" ht="30" x14ac:dyDescent="0.25">
      <c r="A43" s="83" t="s">
        <v>295</v>
      </c>
      <c r="B43" s="83" t="s">
        <v>174</v>
      </c>
      <c r="C43" s="83" t="s">
        <v>296</v>
      </c>
      <c r="D43" s="83" t="s">
        <v>297</v>
      </c>
      <c r="E43" s="83" t="s">
        <v>248</v>
      </c>
      <c r="F43" s="83" t="s">
        <v>298</v>
      </c>
      <c r="G43" s="83" t="s">
        <v>299</v>
      </c>
      <c r="H43" s="83" t="s">
        <v>300</v>
      </c>
      <c r="I43" s="83">
        <v>19140</v>
      </c>
      <c r="J43" s="83" t="s">
        <v>301</v>
      </c>
      <c r="K43" s="85" t="s">
        <v>302</v>
      </c>
      <c r="L43" s="83" t="s">
        <v>303</v>
      </c>
      <c r="M43" s="83"/>
      <c r="N43" s="83"/>
      <c r="O43" s="83"/>
      <c r="P43" s="83"/>
      <c r="Q43" s="83"/>
      <c r="R43" s="83"/>
      <c r="S43" s="83"/>
    </row>
    <row r="44" spans="1:19" ht="30" x14ac:dyDescent="0.25">
      <c r="A44" s="83" t="s">
        <v>304</v>
      </c>
      <c r="B44" s="83" t="s">
        <v>305</v>
      </c>
      <c r="C44" s="83"/>
      <c r="D44" s="83" t="s">
        <v>306</v>
      </c>
      <c r="E44" s="83" t="s">
        <v>307</v>
      </c>
      <c r="F44" s="83" t="s">
        <v>308</v>
      </c>
      <c r="G44" s="83" t="s">
        <v>196</v>
      </c>
      <c r="H44" s="83" t="s">
        <v>197</v>
      </c>
      <c r="I44" s="83">
        <v>61602</v>
      </c>
      <c r="J44" s="83" t="s">
        <v>309</v>
      </c>
      <c r="K44" s="85" t="s">
        <v>310</v>
      </c>
      <c r="L44" s="83" t="s">
        <v>199</v>
      </c>
      <c r="M44" s="83"/>
      <c r="N44" s="83"/>
      <c r="O44" s="83"/>
      <c r="P44" s="83"/>
      <c r="Q44" s="83"/>
      <c r="R44" s="83"/>
      <c r="S44" s="83"/>
    </row>
    <row r="45" spans="1:19" ht="30" x14ac:dyDescent="0.25">
      <c r="A45" s="83" t="s">
        <v>304</v>
      </c>
      <c r="B45" s="83" t="s">
        <v>311</v>
      </c>
      <c r="C45" s="83"/>
      <c r="D45" s="83" t="s">
        <v>312</v>
      </c>
      <c r="E45" s="83" t="s">
        <v>313</v>
      </c>
      <c r="F45" s="83" t="s">
        <v>314</v>
      </c>
      <c r="G45" s="83" t="s">
        <v>245</v>
      </c>
      <c r="H45" s="83" t="s">
        <v>197</v>
      </c>
      <c r="I45" s="83">
        <v>60654</v>
      </c>
      <c r="J45" s="83" t="s">
        <v>315</v>
      </c>
      <c r="K45" s="85" t="s">
        <v>316</v>
      </c>
      <c r="L45" s="83" t="s">
        <v>199</v>
      </c>
      <c r="M45" s="83"/>
      <c r="N45" s="83"/>
      <c r="O45" s="83"/>
      <c r="P45" s="83"/>
      <c r="Q45" s="83"/>
      <c r="R45" s="83"/>
      <c r="S45" s="83"/>
    </row>
    <row r="46" spans="1:19" ht="30" x14ac:dyDescent="0.25">
      <c r="A46" s="83" t="s">
        <v>326</v>
      </c>
      <c r="B46" s="83" t="s">
        <v>174</v>
      </c>
      <c r="C46" s="83" t="s">
        <v>327</v>
      </c>
      <c r="D46" s="83" t="s">
        <v>328</v>
      </c>
      <c r="E46" s="83" t="s">
        <v>329</v>
      </c>
      <c r="F46" s="83" t="s">
        <v>330</v>
      </c>
      <c r="G46" s="83" t="s">
        <v>331</v>
      </c>
      <c r="H46" s="83" t="s">
        <v>250</v>
      </c>
      <c r="I46" s="83">
        <v>52242</v>
      </c>
      <c r="J46" s="83" t="s">
        <v>332</v>
      </c>
      <c r="K46" s="82" t="s">
        <v>333</v>
      </c>
      <c r="L46" s="83" t="s">
        <v>334</v>
      </c>
      <c r="M46" s="83"/>
      <c r="N46" s="83"/>
      <c r="O46" s="83"/>
      <c r="P46" s="83"/>
      <c r="Q46" s="83"/>
      <c r="R46" s="83"/>
      <c r="S46" s="83"/>
    </row>
    <row r="47" spans="1:19" ht="30" x14ac:dyDescent="0.25">
      <c r="A47" s="83" t="s">
        <v>335</v>
      </c>
      <c r="B47" s="83" t="s">
        <v>174</v>
      </c>
      <c r="C47" s="83" t="s">
        <v>336</v>
      </c>
      <c r="D47" s="83" t="s">
        <v>337</v>
      </c>
      <c r="E47" s="83" t="s">
        <v>338</v>
      </c>
      <c r="F47" s="83" t="s">
        <v>339</v>
      </c>
      <c r="G47" s="83" t="s">
        <v>340</v>
      </c>
      <c r="H47" s="83" t="s">
        <v>239</v>
      </c>
      <c r="I47" s="83">
        <v>47712</v>
      </c>
      <c r="J47" s="83" t="s">
        <v>341</v>
      </c>
      <c r="K47" s="85" t="s">
        <v>342</v>
      </c>
      <c r="L47" s="83" t="s">
        <v>199</v>
      </c>
      <c r="M47" s="83"/>
      <c r="N47" s="83"/>
      <c r="O47" s="83"/>
      <c r="P47" s="83"/>
      <c r="Q47" s="83"/>
      <c r="R47" s="83"/>
      <c r="S47" s="83"/>
    </row>
    <row r="48" spans="1:19" ht="30" x14ac:dyDescent="0.25">
      <c r="A48" s="86" t="s">
        <v>335</v>
      </c>
      <c r="B48" s="86" t="s">
        <v>209</v>
      </c>
      <c r="C48" s="86" t="s">
        <v>343</v>
      </c>
      <c r="D48" s="86" t="s">
        <v>344</v>
      </c>
      <c r="E48" s="86" t="s">
        <v>345</v>
      </c>
      <c r="F48" s="86" t="s">
        <v>339</v>
      </c>
      <c r="G48" s="86" t="s">
        <v>340</v>
      </c>
      <c r="H48" s="86" t="s">
        <v>239</v>
      </c>
      <c r="I48" s="86">
        <v>47712</v>
      </c>
      <c r="J48" s="86" t="s">
        <v>341</v>
      </c>
      <c r="K48" s="87"/>
      <c r="L48" s="86" t="s">
        <v>346</v>
      </c>
      <c r="M48" s="83"/>
      <c r="N48" s="83"/>
      <c r="O48" s="83"/>
      <c r="P48" s="83"/>
      <c r="Q48" s="83"/>
      <c r="R48" s="83"/>
      <c r="S48" s="83"/>
    </row>
    <row r="49" spans="1:19" ht="60" x14ac:dyDescent="0.25">
      <c r="A49" s="83" t="s">
        <v>347</v>
      </c>
      <c r="B49" s="83" t="s">
        <v>209</v>
      </c>
      <c r="C49" s="83" t="s">
        <v>348</v>
      </c>
      <c r="D49" s="83" t="s">
        <v>349</v>
      </c>
      <c r="E49" s="83" t="s">
        <v>350</v>
      </c>
      <c r="F49" s="83" t="s">
        <v>351</v>
      </c>
      <c r="G49" s="83" t="s">
        <v>352</v>
      </c>
      <c r="H49" s="83" t="s">
        <v>353</v>
      </c>
      <c r="I49" s="83">
        <v>78539</v>
      </c>
      <c r="J49" s="83" t="s">
        <v>354</v>
      </c>
      <c r="K49" s="85" t="s">
        <v>355</v>
      </c>
      <c r="L49" s="83" t="s">
        <v>356</v>
      </c>
      <c r="M49" s="83"/>
      <c r="N49" s="83"/>
      <c r="O49" s="83"/>
      <c r="P49" s="83"/>
      <c r="Q49" s="83"/>
      <c r="R49" s="83"/>
      <c r="S49" s="83"/>
    </row>
  </sheetData>
  <hyperlinks>
    <hyperlink ref="K17" r:id="rId1" xr:uid="{00000000-0004-0000-0100-000000000000}"/>
    <hyperlink ref="K4" r:id="rId2" xr:uid="{00000000-0004-0000-0100-000001000000}"/>
    <hyperlink ref="K6" r:id="rId3" xr:uid="{00000000-0004-0000-0100-000002000000}"/>
    <hyperlink ref="K23" r:id="rId4" xr:uid="{00000000-0004-0000-0100-000003000000}"/>
    <hyperlink ref="K7" r:id="rId5" xr:uid="{00000000-0004-0000-0100-000004000000}"/>
    <hyperlink ref="K11" r:id="rId6" xr:uid="{00000000-0004-0000-0100-000005000000}"/>
    <hyperlink ref="K12" r:id="rId7" xr:uid="{00000000-0004-0000-0100-000006000000}"/>
    <hyperlink ref="K18" r:id="rId8" xr:uid="{00000000-0004-0000-0100-000007000000}"/>
    <hyperlink ref="K19" r:id="rId9" xr:uid="{00000000-0004-0000-0100-000008000000}"/>
    <hyperlink ref="K24" r:id="rId10" xr:uid="{00000000-0004-0000-0100-000009000000}"/>
    <hyperlink ref="K25" r:id="rId11" xr:uid="{00000000-0004-0000-0100-00000A000000}"/>
    <hyperlink ref="K16" r:id="rId12" xr:uid="{00000000-0004-0000-0100-00000B000000}"/>
    <hyperlink ref="K9" r:id="rId13" xr:uid="{00000000-0004-0000-0100-00000C000000}"/>
    <hyperlink ref="K5" r:id="rId14" xr:uid="{00000000-0004-0000-0100-00000D000000}"/>
    <hyperlink ref="K10" r:id="rId15" xr:uid="{00000000-0004-0000-0100-00000E000000}"/>
    <hyperlink ref="K26" r:id="rId16" display="mailto:orso@wsu.edu" xr:uid="{00000000-0004-0000-0100-00000F000000}"/>
    <hyperlink ref="K27" r:id="rId17" display="mailto:orso@wsu.edu" xr:uid="{00000000-0004-0000-0100-000010000000}"/>
    <hyperlink ref="K28" r:id="rId18" display="mailto:orso@wsu.edu" xr:uid="{00000000-0004-0000-0100-000011000000}"/>
    <hyperlink ref="K22" r:id="rId19" xr:uid="{00000000-0004-0000-0100-000012000000}"/>
    <hyperlink ref="K15" r:id="rId20" xr:uid="{00000000-0004-0000-0100-000013000000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FY18-23 Subawards</vt:lpstr>
      <vt:lpstr>Grants Contacts</vt:lpstr>
      <vt:lpstr>'FY18-23 Subawards'!Print_Area</vt:lpstr>
    </vt:vector>
  </TitlesOfParts>
  <Company>UIUC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King</dc:creator>
  <cp:lastModifiedBy>Anderson, Kristi Marie</cp:lastModifiedBy>
  <cp:lastPrinted>2017-05-02T15:07:20Z</cp:lastPrinted>
  <dcterms:created xsi:type="dcterms:W3CDTF">2011-06-30T05:07:33Z</dcterms:created>
  <dcterms:modified xsi:type="dcterms:W3CDTF">2024-08-12T21:11:14Z</dcterms:modified>
</cp:coreProperties>
</file>