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busso\Epec\La_Calera_Nueva\"/>
    </mc:Choice>
  </mc:AlternateContent>
  <bookViews>
    <workbookView xWindow="-120" yWindow="-120" windowWidth="20730" windowHeight="11160"/>
  </bookViews>
  <sheets>
    <sheet name="La Calera Nueva" sheetId="1" r:id="rId1"/>
    <sheet name="DBOSCO" sheetId="2" r:id="rId2"/>
  </sheets>
  <definedNames>
    <definedName name="_xlnm.Print_Area" localSheetId="1">DBOSCO!$C$39:$K$72</definedName>
    <definedName name="_xlnm.Print_Area" localSheetId="0">'La Calera Nueva'!$B$1:$M$58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24" i="1"/>
  <c r="K16" i="1"/>
  <c r="K64" i="2"/>
  <c r="K57" i="2"/>
  <c r="K15" i="1"/>
  <c r="S68" i="1" l="1"/>
  <c r="P68" i="1"/>
  <c r="M6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8" i="1"/>
  <c r="H17" i="1"/>
  <c r="H18" i="1"/>
  <c r="H19" i="1"/>
  <c r="H20" i="1"/>
  <c r="H21" i="1"/>
  <c r="H22" i="1" s="1"/>
  <c r="H23" i="1" s="1"/>
  <c r="H24" i="1" s="1"/>
  <c r="H16" i="1"/>
  <c r="J69" i="1"/>
  <c r="J68" i="1"/>
  <c r="H15" i="1"/>
  <c r="I75" i="1"/>
  <c r="M75" i="1"/>
  <c r="Q75" i="1"/>
  <c r="U75" i="1"/>
  <c r="E75" i="1"/>
  <c r="I63" i="1"/>
  <c r="L63" i="1" s="1"/>
  <c r="O63" i="1" s="1"/>
  <c r="R63" i="1" s="1"/>
  <c r="H71" i="1"/>
  <c r="L71" i="1" s="1"/>
  <c r="P71" i="1" s="1"/>
  <c r="T71" i="1" s="1"/>
  <c r="G226" i="2" l="1"/>
  <c r="E226" i="2"/>
  <c r="D226" i="2"/>
  <c r="E225" i="2"/>
  <c r="F225" i="2" s="1"/>
  <c r="J224" i="2"/>
  <c r="I224" i="2"/>
  <c r="G224" i="2"/>
  <c r="J223" i="2"/>
  <c r="I223" i="2"/>
  <c r="G223" i="2"/>
  <c r="J222" i="2"/>
  <c r="I222" i="2"/>
  <c r="G222" i="2"/>
  <c r="I221" i="2"/>
  <c r="J221" i="2" s="1"/>
  <c r="G221" i="2"/>
  <c r="J220" i="2"/>
  <c r="I220" i="2"/>
  <c r="G220" i="2"/>
  <c r="J219" i="2"/>
  <c r="I219" i="2"/>
  <c r="G219" i="2"/>
  <c r="I218" i="2"/>
  <c r="J218" i="2" s="1"/>
  <c r="G218" i="2"/>
  <c r="I217" i="2"/>
  <c r="J217" i="2" s="1"/>
  <c r="G217" i="2"/>
  <c r="I216" i="2"/>
  <c r="J216" i="2" s="1"/>
  <c r="G216" i="2"/>
  <c r="J215" i="2"/>
  <c r="I215" i="2"/>
  <c r="H215" i="2"/>
  <c r="K215" i="2" s="1"/>
  <c r="G215" i="2"/>
  <c r="K214" i="2"/>
  <c r="J214" i="2"/>
  <c r="I214" i="2"/>
  <c r="H214" i="2"/>
  <c r="G214" i="2"/>
  <c r="G225" i="2" s="1"/>
  <c r="G227" i="2" s="1"/>
  <c r="H227" i="2" s="1"/>
  <c r="F214" i="2"/>
  <c r="I213" i="2"/>
  <c r="K213" i="2" s="1"/>
  <c r="G213" i="2"/>
  <c r="F213" i="2"/>
  <c r="K212" i="2"/>
  <c r="J212" i="2"/>
  <c r="I212" i="2"/>
  <c r="G212" i="2"/>
  <c r="F212" i="2"/>
  <c r="K211" i="2"/>
  <c r="J211" i="2"/>
  <c r="I211" i="2"/>
  <c r="G211" i="2"/>
  <c r="F211" i="2"/>
  <c r="I210" i="2"/>
  <c r="J210" i="2" s="1"/>
  <c r="G210" i="2"/>
  <c r="F210" i="2"/>
  <c r="J209" i="2"/>
  <c r="I209" i="2"/>
  <c r="K209" i="2" s="1"/>
  <c r="G209" i="2"/>
  <c r="F209" i="2"/>
  <c r="K208" i="2"/>
  <c r="J208" i="2"/>
  <c r="I208" i="2"/>
  <c r="G208" i="2"/>
  <c r="F208" i="2"/>
  <c r="I207" i="2"/>
  <c r="K207" i="2" s="1"/>
  <c r="G207" i="2"/>
  <c r="F207" i="2"/>
  <c r="I206" i="2"/>
  <c r="K206" i="2" s="1"/>
  <c r="G206" i="2"/>
  <c r="F206" i="2"/>
  <c r="I205" i="2"/>
  <c r="K205" i="2" s="1"/>
  <c r="G205" i="2"/>
  <c r="F205" i="2"/>
  <c r="K204" i="2"/>
  <c r="J204" i="2"/>
  <c r="I204" i="2"/>
  <c r="G204" i="2"/>
  <c r="F204" i="2"/>
  <c r="K203" i="2"/>
  <c r="J203" i="2"/>
  <c r="I203" i="2"/>
  <c r="G203" i="2"/>
  <c r="F203" i="2"/>
  <c r="I202" i="2"/>
  <c r="J202" i="2" s="1"/>
  <c r="G202" i="2"/>
  <c r="F202" i="2"/>
  <c r="J201" i="2"/>
  <c r="I201" i="2"/>
  <c r="K201" i="2" s="1"/>
  <c r="G201" i="2"/>
  <c r="F201" i="2"/>
  <c r="K200" i="2"/>
  <c r="J200" i="2"/>
  <c r="I200" i="2"/>
  <c r="G200" i="2"/>
  <c r="F200" i="2"/>
  <c r="I199" i="2"/>
  <c r="K199" i="2" s="1"/>
  <c r="G199" i="2"/>
  <c r="F199" i="2"/>
  <c r="K198" i="2"/>
  <c r="I198" i="2"/>
  <c r="J198" i="2" s="1"/>
  <c r="G198" i="2"/>
  <c r="F198" i="2"/>
  <c r="I197" i="2"/>
  <c r="K197" i="2" s="1"/>
  <c r="G197" i="2"/>
  <c r="F197" i="2"/>
  <c r="K196" i="2"/>
  <c r="J196" i="2"/>
  <c r="I196" i="2"/>
  <c r="G196" i="2"/>
  <c r="F196" i="2"/>
  <c r="K195" i="2"/>
  <c r="J195" i="2"/>
  <c r="I195" i="2"/>
  <c r="G195" i="2"/>
  <c r="E123" i="2"/>
  <c r="E122" i="2"/>
  <c r="S117" i="2"/>
  <c r="P117" i="2"/>
  <c r="M117" i="2"/>
  <c r="J117" i="2"/>
  <c r="O110" i="2"/>
  <c r="R110" i="2" s="1"/>
  <c r="L110" i="2"/>
  <c r="I110" i="2"/>
  <c r="E74" i="2"/>
  <c r="D74" i="2"/>
  <c r="F73" i="2"/>
  <c r="E73" i="2"/>
  <c r="L72" i="2"/>
  <c r="I72" i="2"/>
  <c r="J72" i="2" s="1"/>
  <c r="G72" i="2"/>
  <c r="L71" i="2"/>
  <c r="J71" i="2"/>
  <c r="I71" i="2"/>
  <c r="G71" i="2"/>
  <c r="L70" i="2"/>
  <c r="I70" i="2"/>
  <c r="J70" i="2" s="1"/>
  <c r="G70" i="2"/>
  <c r="L69" i="2"/>
  <c r="J69" i="2"/>
  <c r="I69" i="2"/>
  <c r="G69" i="2"/>
  <c r="L68" i="2"/>
  <c r="I68" i="2"/>
  <c r="J68" i="2" s="1"/>
  <c r="G68" i="2"/>
  <c r="L67" i="2"/>
  <c r="J67" i="2"/>
  <c r="I67" i="2"/>
  <c r="G67" i="2"/>
  <c r="L66" i="2"/>
  <c r="I66" i="2"/>
  <c r="J66" i="2" s="1"/>
  <c r="G66" i="2"/>
  <c r="O65" i="2"/>
  <c r="L65" i="2"/>
  <c r="J65" i="2"/>
  <c r="I65" i="2"/>
  <c r="G65" i="2"/>
  <c r="M64" i="2"/>
  <c r="L64" i="2"/>
  <c r="J64" i="2"/>
  <c r="I64" i="2"/>
  <c r="G64" i="2"/>
  <c r="L63" i="2"/>
  <c r="I63" i="2"/>
  <c r="J63" i="2" s="1"/>
  <c r="G63" i="2"/>
  <c r="L62" i="2"/>
  <c r="I62" i="2"/>
  <c r="J62" i="2" s="1"/>
  <c r="H62" i="2"/>
  <c r="H73" i="2" s="1"/>
  <c r="F62" i="2"/>
  <c r="L61" i="2"/>
  <c r="K61" i="2"/>
  <c r="J61" i="2"/>
  <c r="I61" i="2"/>
  <c r="F61" i="2"/>
  <c r="L60" i="2"/>
  <c r="K60" i="2"/>
  <c r="J60" i="2"/>
  <c r="I60" i="2"/>
  <c r="F60" i="2"/>
  <c r="M59" i="2"/>
  <c r="L59" i="2"/>
  <c r="I59" i="2"/>
  <c r="K59" i="2" s="1"/>
  <c r="F59" i="2"/>
  <c r="L58" i="2"/>
  <c r="K58" i="2"/>
  <c r="J58" i="2"/>
  <c r="I58" i="2"/>
  <c r="F58" i="2"/>
  <c r="L57" i="2"/>
  <c r="J57" i="2"/>
  <c r="I57" i="2"/>
  <c r="F57" i="2"/>
  <c r="L56" i="2"/>
  <c r="I56" i="2"/>
  <c r="J56" i="2" s="1"/>
  <c r="F56" i="2"/>
  <c r="L55" i="2"/>
  <c r="I55" i="2"/>
  <c r="K55" i="2" s="1"/>
  <c r="F55" i="2"/>
  <c r="L54" i="2"/>
  <c r="K54" i="2"/>
  <c r="J54" i="2"/>
  <c r="I54" i="2"/>
  <c r="F54" i="2"/>
  <c r="L53" i="2"/>
  <c r="I53" i="2"/>
  <c r="K53" i="2" s="1"/>
  <c r="F53" i="2"/>
  <c r="L52" i="2"/>
  <c r="I52" i="2"/>
  <c r="K52" i="2" s="1"/>
  <c r="F52" i="2"/>
  <c r="L51" i="2"/>
  <c r="I51" i="2"/>
  <c r="K51" i="2" s="1"/>
  <c r="F51" i="2"/>
  <c r="L50" i="2"/>
  <c r="J50" i="2"/>
  <c r="I50" i="2"/>
  <c r="K50" i="2" s="1"/>
  <c r="F50" i="2"/>
  <c r="L49" i="2"/>
  <c r="K49" i="2"/>
  <c r="J49" i="2"/>
  <c r="I49" i="2"/>
  <c r="F49" i="2"/>
  <c r="L48" i="2"/>
  <c r="I48" i="2"/>
  <c r="J48" i="2" s="1"/>
  <c r="F48" i="2"/>
  <c r="L47" i="2"/>
  <c r="I47" i="2"/>
  <c r="K47" i="2" s="1"/>
  <c r="F47" i="2"/>
  <c r="L46" i="2"/>
  <c r="K46" i="2"/>
  <c r="J46" i="2"/>
  <c r="I46" i="2"/>
  <c r="F46" i="2"/>
  <c r="L45" i="2"/>
  <c r="I45" i="2"/>
  <c r="K45" i="2" s="1"/>
  <c r="F45" i="2"/>
  <c r="L44" i="2"/>
  <c r="I44" i="2"/>
  <c r="K44" i="2" s="1"/>
  <c r="F44" i="2"/>
  <c r="L43" i="2"/>
  <c r="I43" i="2"/>
  <c r="K43" i="2" s="1"/>
  <c r="K36" i="2"/>
  <c r="K35" i="2"/>
  <c r="O34" i="2"/>
  <c r="K34" i="2"/>
  <c r="O33" i="2"/>
  <c r="K33" i="2"/>
  <c r="O32" i="2"/>
  <c r="K32" i="2"/>
  <c r="O31" i="2"/>
  <c r="K31" i="2"/>
  <c r="O30" i="2"/>
  <c r="K30" i="2"/>
  <c r="P29" i="2"/>
  <c r="O29" i="2"/>
  <c r="K29" i="2"/>
  <c r="P28" i="2"/>
  <c r="O28" i="2"/>
  <c r="K28" i="2"/>
  <c r="O27" i="2"/>
  <c r="K27" i="2"/>
  <c r="O26" i="2"/>
  <c r="O35" i="2" s="1"/>
  <c r="K26" i="2"/>
  <c r="I26" i="2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H26" i="2"/>
  <c r="P27" i="2" s="1"/>
  <c r="P25" i="2"/>
  <c r="L25" i="2"/>
  <c r="E9" i="2" s="1"/>
  <c r="F9" i="2" s="1"/>
  <c r="K25" i="2"/>
  <c r="F25" i="2"/>
  <c r="K24" i="2"/>
  <c r="F24" i="2"/>
  <c r="K23" i="2"/>
  <c r="F23" i="2"/>
  <c r="K22" i="2"/>
  <c r="F22" i="2"/>
  <c r="K21" i="2"/>
  <c r="F21" i="2"/>
  <c r="K20" i="2"/>
  <c r="F20" i="2"/>
  <c r="K19" i="2"/>
  <c r="F19" i="2"/>
  <c r="K18" i="2"/>
  <c r="F18" i="2"/>
  <c r="K17" i="2"/>
  <c r="F17" i="2"/>
  <c r="K16" i="2"/>
  <c r="F16" i="2"/>
  <c r="K15" i="2"/>
  <c r="F15" i="2"/>
  <c r="K14" i="2"/>
  <c r="F14" i="2"/>
  <c r="K13" i="2"/>
  <c r="F13" i="2"/>
  <c r="K12" i="2"/>
  <c r="K11" i="2"/>
  <c r="E11" i="2"/>
  <c r="K10" i="2"/>
  <c r="K9" i="2"/>
  <c r="K8" i="2"/>
  <c r="E8" i="2"/>
  <c r="K7" i="2"/>
  <c r="F8" i="2" l="1"/>
  <c r="F11" i="2"/>
  <c r="F37" i="2" s="1"/>
  <c r="J45" i="2"/>
  <c r="K48" i="2"/>
  <c r="J53" i="2"/>
  <c r="K56" i="2"/>
  <c r="K62" i="2"/>
  <c r="J199" i="2"/>
  <c r="K202" i="2"/>
  <c r="J207" i="2"/>
  <c r="K210" i="2"/>
  <c r="F12" i="2"/>
  <c r="E10" i="2"/>
  <c r="F10" i="2" s="1"/>
  <c r="P26" i="2"/>
  <c r="P35" i="2" s="1"/>
  <c r="J47" i="2"/>
  <c r="J55" i="2"/>
  <c r="N62" i="2"/>
  <c r="E7" i="2"/>
  <c r="J44" i="2"/>
  <c r="J52" i="2"/>
  <c r="J206" i="2"/>
  <c r="H63" i="2"/>
  <c r="H216" i="2"/>
  <c r="K216" i="2" s="1"/>
  <c r="J43" i="2"/>
  <c r="J51" i="2"/>
  <c r="J59" i="2"/>
  <c r="J197" i="2"/>
  <c r="J205" i="2"/>
  <c r="J213" i="2"/>
  <c r="H217" i="2" l="1"/>
  <c r="K63" i="2"/>
  <c r="H64" i="2"/>
  <c r="H218" i="2" l="1"/>
  <c r="K217" i="2"/>
  <c r="H65" i="2"/>
  <c r="N64" i="2"/>
  <c r="K218" i="2" l="1"/>
  <c r="H219" i="2"/>
  <c r="K65" i="2"/>
  <c r="H66" i="2"/>
  <c r="K219" i="2" l="1"/>
  <c r="H220" i="2"/>
  <c r="H67" i="2"/>
  <c r="K66" i="2"/>
  <c r="H68" i="2" l="1"/>
  <c r="K67" i="2"/>
  <c r="H221" i="2"/>
  <c r="K220" i="2"/>
  <c r="H69" i="2" l="1"/>
  <c r="K68" i="2"/>
  <c r="K221" i="2"/>
  <c r="H222" i="2"/>
  <c r="K69" i="2" l="1"/>
  <c r="H70" i="2"/>
  <c r="H223" i="2"/>
  <c r="K222" i="2"/>
  <c r="K223" i="2" l="1"/>
  <c r="H224" i="2"/>
  <c r="K224" i="2" s="1"/>
  <c r="N70" i="2"/>
  <c r="K70" i="2"/>
  <c r="H71" i="2"/>
  <c r="H72" i="2" l="1"/>
  <c r="K72" i="2" s="1"/>
  <c r="K71" i="2"/>
  <c r="K9" i="1" l="1"/>
  <c r="K10" i="1"/>
  <c r="K11" i="1"/>
  <c r="K12" i="1"/>
  <c r="K13" i="1"/>
  <c r="K14" i="1"/>
  <c r="K8" i="1"/>
  <c r="F10" i="1"/>
  <c r="F11" i="1"/>
  <c r="F12" i="1"/>
  <c r="F13" i="1"/>
  <c r="F14" i="1"/>
  <c r="F1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8" i="1"/>
  <c r="G173" i="1"/>
  <c r="D173" i="1"/>
  <c r="E172" i="1"/>
  <c r="E173" i="1" s="1"/>
  <c r="I171" i="1"/>
  <c r="J171" i="1" s="1"/>
  <c r="G171" i="1"/>
  <c r="I170" i="1"/>
  <c r="J170" i="1" s="1"/>
  <c r="G170" i="1"/>
  <c r="I169" i="1"/>
  <c r="J169" i="1" s="1"/>
  <c r="G169" i="1"/>
  <c r="I168" i="1"/>
  <c r="J168" i="1" s="1"/>
  <c r="G168" i="1"/>
  <c r="I167" i="1"/>
  <c r="J167" i="1" s="1"/>
  <c r="G167" i="1"/>
  <c r="I166" i="1"/>
  <c r="J166" i="1" s="1"/>
  <c r="G166" i="1"/>
  <c r="I165" i="1"/>
  <c r="J165" i="1" s="1"/>
  <c r="G165" i="1"/>
  <c r="I164" i="1"/>
  <c r="J164" i="1" s="1"/>
  <c r="G164" i="1"/>
  <c r="I163" i="1"/>
  <c r="J163" i="1" s="1"/>
  <c r="G163" i="1"/>
  <c r="I162" i="1"/>
  <c r="J162" i="1" s="1"/>
  <c r="G162" i="1"/>
  <c r="I161" i="1"/>
  <c r="K161" i="1" s="1"/>
  <c r="H161" i="1"/>
  <c r="G161" i="1"/>
  <c r="F161" i="1"/>
  <c r="I160" i="1"/>
  <c r="K160" i="1" s="1"/>
  <c r="G160" i="1"/>
  <c r="F160" i="1"/>
  <c r="I159" i="1"/>
  <c r="K159" i="1" s="1"/>
  <c r="G159" i="1"/>
  <c r="F159" i="1"/>
  <c r="I158" i="1"/>
  <c r="K158" i="1" s="1"/>
  <c r="G158" i="1"/>
  <c r="F158" i="1"/>
  <c r="I157" i="1"/>
  <c r="J157" i="1" s="1"/>
  <c r="G157" i="1"/>
  <c r="F157" i="1"/>
  <c r="I156" i="1"/>
  <c r="J156" i="1" s="1"/>
  <c r="G156" i="1"/>
  <c r="F156" i="1"/>
  <c r="I155" i="1"/>
  <c r="J155" i="1" s="1"/>
  <c r="G155" i="1"/>
  <c r="F155" i="1"/>
  <c r="I154" i="1"/>
  <c r="J154" i="1" s="1"/>
  <c r="G154" i="1"/>
  <c r="F154" i="1"/>
  <c r="I153" i="1"/>
  <c r="K153" i="1" s="1"/>
  <c r="G153" i="1"/>
  <c r="F153" i="1"/>
  <c r="I152" i="1"/>
  <c r="K152" i="1" s="1"/>
  <c r="G152" i="1"/>
  <c r="F152" i="1"/>
  <c r="I151" i="1"/>
  <c r="K151" i="1" s="1"/>
  <c r="G151" i="1"/>
  <c r="F151" i="1"/>
  <c r="I150" i="1"/>
  <c r="K150" i="1" s="1"/>
  <c r="G150" i="1"/>
  <c r="F150" i="1"/>
  <c r="I149" i="1"/>
  <c r="J149" i="1" s="1"/>
  <c r="G149" i="1"/>
  <c r="F149" i="1"/>
  <c r="I148" i="1"/>
  <c r="K148" i="1" s="1"/>
  <c r="G148" i="1"/>
  <c r="F148" i="1"/>
  <c r="I147" i="1"/>
  <c r="K147" i="1" s="1"/>
  <c r="G147" i="1"/>
  <c r="F147" i="1"/>
  <c r="I146" i="1"/>
  <c r="J146" i="1" s="1"/>
  <c r="G146" i="1"/>
  <c r="F146" i="1"/>
  <c r="I145" i="1"/>
  <c r="K145" i="1" s="1"/>
  <c r="G145" i="1"/>
  <c r="F145" i="1"/>
  <c r="I144" i="1"/>
  <c r="K144" i="1" s="1"/>
  <c r="G144" i="1"/>
  <c r="F144" i="1"/>
  <c r="I143" i="1"/>
  <c r="K143" i="1" s="1"/>
  <c r="G143" i="1"/>
  <c r="F143" i="1"/>
  <c r="I142" i="1"/>
  <c r="K142" i="1" s="1"/>
  <c r="G142" i="1"/>
  <c r="F9" i="1"/>
  <c r="K155" i="1" l="1"/>
  <c r="K154" i="1"/>
  <c r="J159" i="1"/>
  <c r="K146" i="1"/>
  <c r="J148" i="1"/>
  <c r="K156" i="1"/>
  <c r="G172" i="1"/>
  <c r="G174" i="1" s="1"/>
  <c r="H174" i="1" s="1"/>
  <c r="J147" i="1"/>
  <c r="J151" i="1"/>
  <c r="J143" i="1"/>
  <c r="K149" i="1"/>
  <c r="K157" i="1"/>
  <c r="F172" i="1"/>
  <c r="J145" i="1"/>
  <c r="J153" i="1"/>
  <c r="J142" i="1"/>
  <c r="J150" i="1"/>
  <c r="J158" i="1"/>
  <c r="J161" i="1"/>
  <c r="J144" i="1"/>
  <c r="J152" i="1"/>
  <c r="J160" i="1"/>
  <c r="H162" i="1"/>
  <c r="K162" i="1" s="1"/>
  <c r="H163" i="1" l="1"/>
  <c r="K163" i="1" s="1"/>
  <c r="H164" i="1" l="1"/>
  <c r="K164" i="1"/>
  <c r="H165" i="1"/>
  <c r="K165" i="1" l="1"/>
  <c r="H166" i="1"/>
  <c r="K166" i="1" l="1"/>
  <c r="H167" i="1"/>
  <c r="K167" i="1" l="1"/>
  <c r="H168" i="1"/>
  <c r="K168" i="1" l="1"/>
  <c r="H169" i="1"/>
  <c r="K169" i="1" l="1"/>
  <c r="H170" i="1"/>
  <c r="K170" i="1" l="1"/>
  <c r="H171" i="1"/>
  <c r="K171" i="1" s="1"/>
</calcChain>
</file>

<file path=xl/sharedStrings.xml><?xml version="1.0" encoding="utf-8"?>
<sst xmlns="http://schemas.openxmlformats.org/spreadsheetml/2006/main" count="193" uniqueCount="66">
  <si>
    <t>AÑO</t>
  </si>
  <si>
    <t>SERIES HISTORICAS</t>
  </si>
  <si>
    <t>PRONOSTICOS</t>
  </si>
  <si>
    <t>EP DON BOSCO</t>
  </si>
  <si>
    <t>POTENCIA INSTALADA [MVA] = 1 x 40/55 + 1 x 40 / 55 (ET Movil)</t>
  </si>
  <si>
    <t>FECHA - HORA MAXIMA</t>
  </si>
  <si>
    <t>POTENCIA INSTALADA       [ MVA ]</t>
  </si>
  <si>
    <t>PRECAUCIÓN  (N - 1)              [MVA]</t>
  </si>
  <si>
    <t xml:space="preserve"> % CARGA</t>
  </si>
  <si>
    <t>POTENCIA ACTIVA           P [MW]</t>
  </si>
  <si>
    <t>POTENCIA APARENTE        S [MVA]</t>
  </si>
  <si>
    <t>CRECIMIENTO ANUAL [ % ]</t>
  </si>
  <si>
    <t>TENDENCIA LINEAL         [MVA]</t>
  </si>
  <si>
    <t>PLANEAMIENTO 2018 - 2027 [MVA]</t>
  </si>
  <si>
    <t>MVA/año</t>
  </si>
  <si>
    <t>MVA/anual</t>
  </si>
  <si>
    <t>DATOS DE TRANSFORMADORES</t>
  </si>
  <si>
    <t>TABLA 3:   Carga de Transformadores</t>
  </si>
  <si>
    <t xml:space="preserve">Código  Nombre  o Nº  </t>
  </si>
  <si>
    <t>E.T.</t>
  </si>
  <si>
    <t>Relación</t>
  </si>
  <si>
    <t>Pot.</t>
  </si>
  <si>
    <r>
      <t xml:space="preserve">Sn </t>
    </r>
    <r>
      <rPr>
        <sz val="11"/>
        <rFont val="Calibri"/>
        <family val="2"/>
      </rPr>
      <t>(1)</t>
    </r>
  </si>
  <si>
    <t>Carga (2)</t>
  </si>
  <si>
    <t>MVA</t>
  </si>
  <si>
    <t>%</t>
  </si>
  <si>
    <t>Mediciones a partir del 01/05/2014</t>
  </si>
  <si>
    <t>CALNVA</t>
  </si>
  <si>
    <t>POTENCIA INSTALADA [MVA] = 2 x 10  TC1 TC2</t>
  </si>
  <si>
    <t>EP DBOSCO</t>
  </si>
  <si>
    <t>POTENCIA INSTALADA [MVA] = 2 x 25</t>
  </si>
  <si>
    <t>MES DE MAX</t>
  </si>
  <si>
    <t>POTENCIA INSTALADA [MVA]</t>
  </si>
  <si>
    <t>PRECAUCIÓN (N - 1)      [MVA]</t>
  </si>
  <si>
    <t>POTENCIA ACTIVA        P [MW]</t>
  </si>
  <si>
    <t>DEMANDA APARENTE      S [MVA]</t>
  </si>
  <si>
    <t>CRECIMIENTO    [ % ]</t>
  </si>
  <si>
    <t>TENDENCIA LINEAL        [MVA]</t>
  </si>
  <si>
    <t>PLANEAMIENTO 2016 - 2020 [MVA]</t>
  </si>
  <si>
    <t>CRECIMIENTO 4,50 %       [MVA]</t>
  </si>
  <si>
    <t>cos fi</t>
  </si>
  <si>
    <t>TENDENCIA LINEAL [%]</t>
  </si>
  <si>
    <t>PLANEAMIENTO 2016 - 2020 [%]</t>
  </si>
  <si>
    <t>Dominguez</t>
  </si>
  <si>
    <t>1 x 55 +et movil</t>
  </si>
  <si>
    <t>Van a sacar la ET Movil y queda trafo de 40/55</t>
  </si>
  <si>
    <t xml:space="preserve">Restar en total 8 MW </t>
  </si>
  <si>
    <t>DON BOSCO</t>
  </si>
  <si>
    <t>132/13,2</t>
  </si>
  <si>
    <t>132/66</t>
  </si>
  <si>
    <t>Baja la carga. Debe ser por la descarga de la ET Arguello Norte</t>
  </si>
  <si>
    <t>LA CALERA</t>
  </si>
  <si>
    <t>66/13,2</t>
  </si>
  <si>
    <t>ZONA</t>
  </si>
  <si>
    <t>ET AT/MT</t>
  </si>
  <si>
    <t>TENSIÓN</t>
  </si>
  <si>
    <t>MAXIMA</t>
  </si>
  <si>
    <t>MINIMA</t>
  </si>
  <si>
    <t>P</t>
  </si>
  <si>
    <t>Q</t>
  </si>
  <si>
    <t>E</t>
  </si>
  <si>
    <t>Calera 66 kV</t>
  </si>
  <si>
    <t>Nº de Barra</t>
  </si>
  <si>
    <t>Sn (1)</t>
  </si>
  <si>
    <t>PLANEAMIENTO 2022 - 2030 [MVA]</t>
  </si>
  <si>
    <t>EP LA CALERA NUEVA 66 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</si>
</sst>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"/>
    <numFmt numFmtId="166" formatCode="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C8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10" fontId="6" fillId="0" borderId="25" xfId="0" applyNumberFormat="1" applyFont="1" applyBorder="1" applyAlignment="1">
      <alignment horizontal="center" vertical="center" wrapText="1"/>
    </xf>
    <xf numFmtId="3" fontId="6" fillId="0" borderId="27" xfId="0" applyNumberFormat="1" applyFont="1" applyBorder="1" applyAlignment="1">
      <alignment horizontal="center" vertical="center"/>
    </xf>
    <xf numFmtId="9" fontId="6" fillId="0" borderId="28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0" fontId="6" fillId="0" borderId="9" xfId="0" applyNumberFormat="1" applyFont="1" applyBorder="1" applyAlignment="1">
      <alignment horizontal="center" vertical="center" wrapText="1"/>
    </xf>
    <xf numFmtId="3" fontId="6" fillId="0" borderId="15" xfId="0" applyNumberFormat="1" applyFont="1" applyBorder="1" applyAlignment="1">
      <alignment horizontal="center" vertical="center"/>
    </xf>
    <xf numFmtId="9" fontId="6" fillId="0" borderId="23" xfId="0" applyNumberFormat="1" applyFont="1" applyBorder="1" applyAlignment="1">
      <alignment horizontal="center" vertical="center"/>
    </xf>
    <xf numFmtId="22" fontId="6" fillId="0" borderId="22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2" fontId="6" fillId="0" borderId="12" xfId="0" applyNumberFormat="1" applyFont="1" applyBorder="1" applyAlignment="1">
      <alignment horizontal="center" vertical="center"/>
    </xf>
    <xf numFmtId="9" fontId="6" fillId="6" borderId="23" xfId="0" applyNumberFormat="1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1" fontId="6" fillId="4" borderId="12" xfId="0" applyNumberFormat="1" applyFont="1" applyFill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/>
    </xf>
    <xf numFmtId="10" fontId="6" fillId="4" borderId="9" xfId="0" applyNumberFormat="1" applyFont="1" applyFill="1" applyBorder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3" fontId="6" fillId="4" borderId="15" xfId="0" applyNumberFormat="1" applyFont="1" applyFill="1" applyBorder="1" applyAlignment="1">
      <alignment horizontal="center" vertical="center"/>
    </xf>
    <xf numFmtId="9" fontId="6" fillId="4" borderId="23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6" fillId="4" borderId="9" xfId="0" applyFont="1" applyFill="1" applyBorder="1"/>
    <xf numFmtId="0" fontId="6" fillId="4" borderId="0" xfId="0" applyFont="1" applyFill="1"/>
    <xf numFmtId="2" fontId="6" fillId="4" borderId="9" xfId="0" applyNumberFormat="1" applyFont="1" applyFill="1" applyBorder="1" applyAlignment="1">
      <alignment horizontal="center"/>
    </xf>
    <xf numFmtId="2" fontId="6" fillId="4" borderId="0" xfId="0" applyNumberFormat="1" applyFont="1" applyFill="1" applyAlignment="1">
      <alignment horizontal="center"/>
    </xf>
    <xf numFmtId="10" fontId="6" fillId="4" borderId="9" xfId="0" applyNumberFormat="1" applyFont="1" applyFill="1" applyBorder="1" applyAlignment="1">
      <alignment horizontal="center"/>
    </xf>
    <xf numFmtId="1" fontId="6" fillId="4" borderId="12" xfId="0" applyNumberFormat="1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 vertical="center"/>
    </xf>
    <xf numFmtId="1" fontId="6" fillId="4" borderId="16" xfId="0" applyNumberFormat="1" applyFont="1" applyFill="1" applyBorder="1" applyAlignment="1">
      <alignment horizontal="center"/>
    </xf>
    <xf numFmtId="0" fontId="6" fillId="4" borderId="17" xfId="0" applyFont="1" applyFill="1" applyBorder="1"/>
    <xf numFmtId="0" fontId="6" fillId="4" borderId="18" xfId="0" applyFont="1" applyFill="1" applyBorder="1"/>
    <xf numFmtId="10" fontId="6" fillId="4" borderId="17" xfId="0" applyNumberFormat="1" applyFont="1" applyFill="1" applyBorder="1" applyAlignment="1">
      <alignment horizontal="center" vertical="center"/>
    </xf>
    <xf numFmtId="2" fontId="6" fillId="5" borderId="18" xfId="0" applyNumberFormat="1" applyFont="1" applyFill="1" applyBorder="1" applyAlignment="1">
      <alignment horizontal="center" vertical="center"/>
    </xf>
    <xf numFmtId="2" fontId="6" fillId="3" borderId="18" xfId="0" applyNumberFormat="1" applyFont="1" applyFill="1" applyBorder="1" applyAlignment="1">
      <alignment horizontal="center" vertical="center"/>
    </xf>
    <xf numFmtId="3" fontId="6" fillId="4" borderId="19" xfId="0" applyNumberFormat="1" applyFont="1" applyFill="1" applyBorder="1" applyAlignment="1">
      <alignment horizontal="center" vertical="center"/>
    </xf>
    <xf numFmtId="9" fontId="6" fillId="4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164" fontId="9" fillId="7" borderId="0" xfId="0" applyNumberFormat="1" applyFont="1" applyFill="1" applyAlignment="1">
      <alignment horizontal="center" vertical="center" wrapText="1"/>
    </xf>
    <xf numFmtId="2" fontId="9" fillId="7" borderId="0" xfId="0" applyNumberFormat="1" applyFont="1" applyFill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8" borderId="37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1" fillId="8" borderId="42" xfId="0" applyFont="1" applyFill="1" applyBorder="1" applyAlignment="1">
      <alignment horizontal="center" vertical="center"/>
    </xf>
    <xf numFmtId="0" fontId="11" fillId="8" borderId="43" xfId="0" applyFont="1" applyFill="1" applyBorder="1" applyAlignment="1">
      <alignment horizontal="center" vertical="center"/>
    </xf>
    <xf numFmtId="164" fontId="10" fillId="8" borderId="44" xfId="0" applyNumberFormat="1" applyFont="1" applyFill="1" applyBorder="1" applyAlignment="1">
      <alignment horizontal="center" vertical="center"/>
    </xf>
    <xf numFmtId="0" fontId="11" fillId="8" borderId="40" xfId="0" applyFont="1" applyFill="1" applyBorder="1" applyAlignment="1">
      <alignment horizontal="center" vertical="center"/>
    </xf>
    <xf numFmtId="2" fontId="11" fillId="8" borderId="43" xfId="0" applyNumberFormat="1" applyFont="1" applyFill="1" applyBorder="1" applyAlignment="1">
      <alignment horizontal="center" vertical="center"/>
    </xf>
    <xf numFmtId="164" fontId="10" fillId="8" borderId="41" xfId="0" applyNumberFormat="1" applyFont="1" applyFill="1" applyBorder="1" applyAlignment="1">
      <alignment horizontal="center" vertical="center"/>
    </xf>
    <xf numFmtId="0" fontId="12" fillId="8" borderId="46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/>
    </xf>
    <xf numFmtId="0" fontId="12" fillId="8" borderId="38" xfId="0" applyFont="1" applyFill="1" applyBorder="1" applyAlignment="1">
      <alignment horizontal="center" vertical="center"/>
    </xf>
    <xf numFmtId="0" fontId="12" fillId="8" borderId="37" xfId="0" applyFont="1" applyFill="1" applyBorder="1" applyAlignment="1">
      <alignment horizontal="center" vertical="center"/>
    </xf>
    <xf numFmtId="164" fontId="12" fillId="8" borderId="38" xfId="0" applyNumberFormat="1" applyFont="1" applyFill="1" applyBorder="1" applyAlignment="1">
      <alignment horizontal="center" vertical="center"/>
    </xf>
    <xf numFmtId="0" fontId="12" fillId="8" borderId="48" xfId="0" applyFont="1" applyFill="1" applyBorder="1" applyAlignment="1">
      <alignment horizontal="center" vertical="center" wrapText="1"/>
    </xf>
    <xf numFmtId="165" fontId="12" fillId="8" borderId="11" xfId="0" applyNumberFormat="1" applyFont="1" applyFill="1" applyBorder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>
      <alignment horizontal="left" vertical="center"/>
    </xf>
    <xf numFmtId="0" fontId="1" fillId="0" borderId="0" xfId="0" applyFont="1"/>
    <xf numFmtId="0" fontId="4" fillId="0" borderId="0" xfId="0" applyFont="1" applyAlignment="1">
      <alignment horizontal="center" vertical="center" wrapText="1"/>
    </xf>
    <xf numFmtId="9" fontId="6" fillId="9" borderId="14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22" fontId="6" fillId="0" borderId="24" xfId="0" applyNumberFormat="1" applyFont="1" applyBorder="1" applyAlignment="1">
      <alignment horizontal="center" vertical="center"/>
    </xf>
    <xf numFmtId="10" fontId="6" fillId="0" borderId="26" xfId="0" applyNumberFormat="1" applyFont="1" applyBorder="1" applyAlignment="1">
      <alignment horizontal="center" vertical="center" wrapText="1"/>
    </xf>
    <xf numFmtId="2" fontId="6" fillId="0" borderId="26" xfId="0" applyNumberFormat="1" applyFont="1" applyBorder="1" applyAlignment="1">
      <alignment horizontal="center"/>
    </xf>
    <xf numFmtId="0" fontId="13" fillId="0" borderId="0" xfId="0" applyFont="1"/>
    <xf numFmtId="2" fontId="13" fillId="0" borderId="0" xfId="0" applyNumberFormat="1" applyFont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166" fontId="14" fillId="0" borderId="12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 wrapText="1"/>
    </xf>
    <xf numFmtId="2" fontId="14" fillId="0" borderId="5" xfId="0" applyNumberFormat="1" applyFont="1" applyBorder="1" applyAlignment="1">
      <alignment horizontal="center" vertical="center" wrapText="1"/>
    </xf>
    <xf numFmtId="10" fontId="14" fillId="0" borderId="0" xfId="0" applyNumberFormat="1" applyFont="1" applyAlignment="1">
      <alignment horizontal="center" vertical="center" wrapText="1"/>
    </xf>
    <xf numFmtId="2" fontId="14" fillId="0" borderId="13" xfId="0" applyNumberFormat="1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2" fontId="14" fillId="0" borderId="14" xfId="0" applyNumberFormat="1" applyFont="1" applyBorder="1" applyAlignment="1">
      <alignment horizontal="center" vertical="center"/>
    </xf>
    <xf numFmtId="167" fontId="14" fillId="0" borderId="0" xfId="0" applyNumberFormat="1" applyFont="1" applyAlignment="1">
      <alignment horizontal="center"/>
    </xf>
    <xf numFmtId="10" fontId="14" fillId="0" borderId="0" xfId="0" applyNumberFormat="1" applyFont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15" xfId="0" applyNumberFormat="1" applyFont="1" applyBorder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2" fontId="14" fillId="10" borderId="0" xfId="0" applyNumberFormat="1" applyFont="1" applyFill="1" applyAlignment="1">
      <alignment horizontal="center" vertical="center"/>
    </xf>
    <xf numFmtId="10" fontId="14" fillId="0" borderId="9" xfId="0" applyNumberFormat="1" applyFont="1" applyBorder="1" applyAlignment="1">
      <alignment horizontal="center" vertical="center"/>
    </xf>
    <xf numFmtId="2" fontId="13" fillId="0" borderId="9" xfId="0" applyNumberFormat="1" applyFont="1" applyBorder="1" applyAlignment="1">
      <alignment horizontal="center"/>
    </xf>
    <xf numFmtId="10" fontId="14" fillId="3" borderId="0" xfId="0" applyNumberFormat="1" applyFont="1" applyFill="1" applyAlignment="1">
      <alignment horizontal="center" vertical="center"/>
    </xf>
    <xf numFmtId="2" fontId="13" fillId="0" borderId="10" xfId="0" applyNumberFormat="1" applyFont="1" applyBorder="1" applyAlignment="1">
      <alignment horizontal="center"/>
    </xf>
    <xf numFmtId="10" fontId="14" fillId="11" borderId="58" xfId="0" applyNumberFormat="1" applyFont="1" applyFill="1" applyBorder="1" applyAlignment="1">
      <alignment horizontal="center" vertical="center"/>
    </xf>
    <xf numFmtId="2" fontId="14" fillId="0" borderId="9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7" fontId="14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/>
    </xf>
    <xf numFmtId="166" fontId="14" fillId="4" borderId="12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2" fontId="14" fillId="4" borderId="0" xfId="0" applyNumberFormat="1" applyFont="1" applyFill="1" applyAlignment="1">
      <alignment horizontal="center" vertical="center"/>
    </xf>
    <xf numFmtId="2" fontId="14" fillId="4" borderId="9" xfId="0" applyNumberFormat="1" applyFont="1" applyFill="1" applyBorder="1" applyAlignment="1">
      <alignment horizontal="center" vertical="center"/>
    </xf>
    <xf numFmtId="10" fontId="14" fillId="4" borderId="0" xfId="0" applyNumberFormat="1" applyFont="1" applyFill="1" applyAlignment="1">
      <alignment horizontal="center" vertical="center"/>
    </xf>
    <xf numFmtId="2" fontId="4" fillId="5" borderId="15" xfId="0" applyNumberFormat="1" applyFont="1" applyFill="1" applyBorder="1" applyAlignment="1">
      <alignment horizontal="center" vertical="center"/>
    </xf>
    <xf numFmtId="2" fontId="4" fillId="10" borderId="0" xfId="0" applyNumberFormat="1" applyFont="1" applyFill="1" applyAlignment="1">
      <alignment horizontal="center" vertical="center"/>
    </xf>
    <xf numFmtId="2" fontId="4" fillId="6" borderId="0" xfId="0" applyNumberFormat="1" applyFont="1" applyFill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2" fontId="13" fillId="4" borderId="0" xfId="0" applyNumberFormat="1" applyFont="1" applyFill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0" fontId="13" fillId="4" borderId="0" xfId="0" applyNumberFormat="1" applyFont="1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0" xfId="0" applyFill="1"/>
    <xf numFmtId="0" fontId="0" fillId="4" borderId="9" xfId="0" applyFill="1" applyBorder="1"/>
    <xf numFmtId="0" fontId="0" fillId="10" borderId="0" xfId="0" applyFill="1"/>
    <xf numFmtId="10" fontId="0" fillId="12" borderId="0" xfId="0" applyNumberFormat="1" applyFill="1" applyAlignment="1">
      <alignment horizontal="center" vertical="center"/>
    </xf>
    <xf numFmtId="10" fontId="14" fillId="10" borderId="0" xfId="0" applyNumberFormat="1" applyFont="1" applyFill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0" fillId="4" borderId="18" xfId="0" applyFill="1" applyBorder="1"/>
    <xf numFmtId="0" fontId="0" fillId="4" borderId="17" xfId="0" applyFill="1" applyBorder="1"/>
    <xf numFmtId="2" fontId="4" fillId="5" borderId="19" xfId="0" applyNumberFormat="1" applyFont="1" applyFill="1" applyBorder="1" applyAlignment="1">
      <alignment horizontal="center" vertical="center"/>
    </xf>
    <xf numFmtId="0" fontId="0" fillId="10" borderId="18" xfId="0" applyFill="1" applyBorder="1"/>
    <xf numFmtId="2" fontId="4" fillId="6" borderId="18" xfId="0" applyNumberFormat="1" applyFont="1" applyFill="1" applyBorder="1" applyAlignment="1">
      <alignment horizontal="center" vertical="center"/>
    </xf>
    <xf numFmtId="2" fontId="13" fillId="0" borderId="17" xfId="0" applyNumberFormat="1" applyFont="1" applyBorder="1" applyAlignment="1">
      <alignment horizontal="center" vertical="center"/>
    </xf>
    <xf numFmtId="2" fontId="14" fillId="0" borderId="50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left" vertical="center"/>
    </xf>
    <xf numFmtId="0" fontId="0" fillId="2" borderId="0" xfId="0" applyFill="1"/>
    <xf numFmtId="165" fontId="12" fillId="8" borderId="11" xfId="0" applyNumberFormat="1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/>
    </xf>
    <xf numFmtId="2" fontId="6" fillId="0" borderId="15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2" fontId="6" fillId="0" borderId="27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0" fontId="15" fillId="0" borderId="11" xfId="0" applyFont="1" applyFill="1" applyBorder="1" applyAlignment="1">
      <alignment wrapText="1"/>
    </xf>
    <xf numFmtId="0" fontId="15" fillId="0" borderId="11" xfId="0" applyFont="1" applyFill="1" applyBorder="1"/>
    <xf numFmtId="0" fontId="17" fillId="13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/>
    </xf>
    <xf numFmtId="1" fontId="15" fillId="0" borderId="11" xfId="0" applyNumberFormat="1" applyFont="1" applyFill="1" applyBorder="1" applyAlignment="1">
      <alignment horizontal="center"/>
    </xf>
    <xf numFmtId="2" fontId="15" fillId="0" borderId="11" xfId="0" applyNumberFormat="1" applyFont="1" applyFill="1" applyBorder="1" applyAlignment="1">
      <alignment horizontal="right"/>
    </xf>
    <xf numFmtId="2" fontId="17" fillId="13" borderId="11" xfId="0" applyNumberFormat="1" applyFont="1" applyFill="1" applyBorder="1" applyAlignment="1">
      <alignment horizontal="center" vertical="center" wrapText="1"/>
    </xf>
    <xf numFmtId="2" fontId="17" fillId="13" borderId="5" xfId="0" applyNumberFormat="1" applyFont="1" applyFill="1" applyBorder="1" applyAlignment="1">
      <alignment horizontal="center" vertical="center" wrapText="1"/>
    </xf>
    <xf numFmtId="0" fontId="17" fillId="13" borderId="5" xfId="0" applyFont="1" applyFill="1" applyBorder="1" applyAlignment="1">
      <alignment horizontal="center" vertical="center" wrapText="1"/>
    </xf>
    <xf numFmtId="0" fontId="17" fillId="13" borderId="5" xfId="0" applyNumberFormat="1" applyFont="1" applyFill="1" applyBorder="1" applyAlignment="1">
      <alignment horizontal="center" vertical="center" wrapText="1"/>
    </xf>
    <xf numFmtId="0" fontId="6" fillId="4" borderId="15" xfId="0" applyFont="1" applyFill="1" applyBorder="1"/>
    <xf numFmtId="0" fontId="6" fillId="4" borderId="0" xfId="0" applyFont="1" applyFill="1" applyBorder="1"/>
    <xf numFmtId="2" fontId="6" fillId="4" borderId="0" xfId="0" applyNumberFormat="1" applyFont="1" applyFill="1" applyBorder="1" applyAlignment="1">
      <alignment horizontal="center" vertical="center"/>
    </xf>
    <xf numFmtId="3" fontId="6" fillId="4" borderId="9" xfId="0" applyNumberFormat="1" applyFont="1" applyFill="1" applyBorder="1" applyAlignment="1">
      <alignment horizontal="center" vertical="center"/>
    </xf>
    <xf numFmtId="9" fontId="6" fillId="4" borderId="14" xfId="0" applyNumberFormat="1" applyFont="1" applyFill="1" applyBorder="1" applyAlignment="1">
      <alignment horizontal="center" vertical="center"/>
    </xf>
    <xf numFmtId="2" fontId="6" fillId="4" borderId="15" xfId="0" applyNumberFormat="1" applyFont="1" applyFill="1" applyBorder="1" applyAlignment="1">
      <alignment horizontal="center"/>
    </xf>
    <xf numFmtId="10" fontId="6" fillId="4" borderId="0" xfId="0" applyNumberFormat="1" applyFont="1" applyFill="1" applyBorder="1" applyAlignment="1">
      <alignment horizontal="center"/>
    </xf>
    <xf numFmtId="10" fontId="6" fillId="4" borderId="0" xfId="0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5" xfId="0" applyFill="1" applyBorder="1"/>
    <xf numFmtId="2" fontId="0" fillId="4" borderId="9" xfId="0" applyNumberFormat="1" applyFill="1" applyBorder="1"/>
    <xf numFmtId="10" fontId="0" fillId="4" borderId="0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3" fontId="6" fillId="4" borderId="17" xfId="0" applyNumberFormat="1" applyFont="1" applyFill="1" applyBorder="1" applyAlignment="1">
      <alignment horizontal="center" vertical="center"/>
    </xf>
    <xf numFmtId="0" fontId="4" fillId="0" borderId="43" xfId="0" applyFont="1" applyBorder="1" applyAlignment="1">
      <alignment horizontal="center" vertical="center" wrapText="1"/>
    </xf>
    <xf numFmtId="2" fontId="6" fillId="4" borderId="18" xfId="0" applyNumberFormat="1" applyFont="1" applyFill="1" applyBorder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/>
    </xf>
    <xf numFmtId="9" fontId="6" fillId="9" borderId="50" xfId="0" applyNumberFormat="1" applyFont="1" applyFill="1" applyBorder="1" applyAlignment="1">
      <alignment horizontal="center" vertical="center"/>
    </xf>
    <xf numFmtId="9" fontId="6" fillId="8" borderId="49" xfId="0" applyNumberFormat="1" applyFont="1" applyFill="1" applyBorder="1" applyAlignment="1">
      <alignment horizontal="center" vertical="center"/>
    </xf>
    <xf numFmtId="9" fontId="6" fillId="8" borderId="14" xfId="0" applyNumberFormat="1" applyFont="1" applyFill="1" applyBorder="1" applyAlignment="1">
      <alignment horizontal="center" vertical="center"/>
    </xf>
    <xf numFmtId="9" fontId="6" fillId="14" borderId="14" xfId="0" applyNumberFormat="1" applyFont="1" applyFill="1" applyBorder="1" applyAlignment="1">
      <alignment horizontal="center" vertical="center"/>
    </xf>
    <xf numFmtId="0" fontId="17" fillId="13" borderId="6" xfId="0" applyFont="1" applyFill="1" applyBorder="1" applyAlignment="1">
      <alignment horizontal="center" vertical="center" wrapText="1"/>
    </xf>
    <xf numFmtId="0" fontId="17" fillId="13" borderId="54" xfId="0" applyFont="1" applyFill="1" applyBorder="1" applyAlignment="1">
      <alignment horizontal="center" vertical="center" wrapText="1"/>
    </xf>
    <xf numFmtId="0" fontId="17" fillId="13" borderId="7" xfId="0" applyFont="1" applyFill="1" applyBorder="1" applyAlignment="1">
      <alignment horizontal="center" vertical="center" wrapText="1"/>
    </xf>
    <xf numFmtId="0" fontId="17" fillId="13" borderId="5" xfId="0" applyFont="1" applyFill="1" applyBorder="1" applyAlignment="1">
      <alignment horizontal="center" vertical="center" wrapText="1"/>
    </xf>
    <xf numFmtId="0" fontId="17" fillId="13" borderId="9" xfId="0" applyFont="1" applyFill="1" applyBorder="1" applyAlignment="1">
      <alignment horizontal="center" vertical="center" wrapText="1"/>
    </xf>
    <xf numFmtId="0" fontId="17" fillId="13" borderId="10" xfId="0" applyFont="1" applyFill="1" applyBorder="1" applyAlignment="1">
      <alignment horizontal="center" vertical="center" wrapText="1"/>
    </xf>
    <xf numFmtId="0" fontId="17" fillId="13" borderId="13" xfId="0" applyFont="1" applyFill="1" applyBorder="1" applyAlignment="1">
      <alignment horizontal="center" vertical="center" wrapText="1"/>
    </xf>
    <xf numFmtId="0" fontId="17" fillId="13" borderId="57" xfId="0" applyFont="1" applyFill="1" applyBorder="1" applyAlignment="1">
      <alignment horizontal="center" vertical="center" wrapText="1"/>
    </xf>
    <xf numFmtId="0" fontId="17" fillId="13" borderId="59" xfId="0" applyFont="1" applyFill="1" applyBorder="1" applyAlignment="1">
      <alignment horizontal="center" vertical="center" wrapText="1"/>
    </xf>
    <xf numFmtId="0" fontId="17" fillId="13" borderId="60" xfId="0" applyFont="1" applyFill="1" applyBorder="1" applyAlignment="1">
      <alignment horizontal="center" vertical="center" wrapText="1"/>
    </xf>
    <xf numFmtId="0" fontId="17" fillId="13" borderId="11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/>
    </xf>
    <xf numFmtId="2" fontId="16" fillId="2" borderId="5" xfId="0" applyNumberFormat="1" applyFont="1" applyFill="1" applyBorder="1" applyAlignment="1">
      <alignment horizontal="center" vertical="center"/>
    </xf>
    <xf numFmtId="2" fontId="16" fillId="2" borderId="10" xfId="0" applyNumberFormat="1" applyFont="1" applyFill="1" applyBorder="1" applyAlignment="1">
      <alignment horizontal="center" vertical="center"/>
    </xf>
    <xf numFmtId="164" fontId="16" fillId="0" borderId="11" xfId="0" applyNumberFormat="1" applyFont="1" applyFill="1" applyBorder="1" applyAlignment="1">
      <alignment horizontal="center" vertical="center"/>
    </xf>
    <xf numFmtId="0" fontId="16" fillId="0" borderId="7" xfId="0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 vertical="top" wrapText="1"/>
    </xf>
    <xf numFmtId="0" fontId="4" fillId="0" borderId="31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2" fillId="8" borderId="45" xfId="0" applyFont="1" applyFill="1" applyBorder="1" applyAlignment="1">
      <alignment horizontal="center" vertical="center"/>
    </xf>
    <xf numFmtId="0" fontId="12" fillId="8" borderId="21" xfId="0" applyFont="1" applyFill="1" applyBorder="1" applyAlignment="1">
      <alignment horizontal="center" vertical="center"/>
    </xf>
    <xf numFmtId="0" fontId="12" fillId="8" borderId="47" xfId="0" applyFont="1" applyFill="1" applyBorder="1" applyAlignment="1">
      <alignment horizontal="center" vertical="center"/>
    </xf>
    <xf numFmtId="0" fontId="12" fillId="8" borderId="38" xfId="0" applyFont="1" applyFill="1" applyBorder="1" applyAlignment="1">
      <alignment horizontal="center" vertical="center"/>
    </xf>
    <xf numFmtId="0" fontId="12" fillId="8" borderId="37" xfId="0" applyFont="1" applyFill="1" applyBorder="1" applyAlignment="1">
      <alignment horizontal="center" vertical="center"/>
    </xf>
    <xf numFmtId="165" fontId="12" fillId="2" borderId="11" xfId="0" applyNumberFormat="1" applyFont="1" applyFill="1" applyBorder="1" applyAlignment="1">
      <alignment horizontal="center" vertical="center"/>
    </xf>
    <xf numFmtId="164" fontId="12" fillId="8" borderId="38" xfId="0" applyNumberFormat="1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65" fontId="12" fillId="2" borderId="5" xfId="0" applyNumberFormat="1" applyFont="1" applyFill="1" applyBorder="1" applyAlignment="1">
      <alignment horizontal="center" vertical="center"/>
    </xf>
    <xf numFmtId="165" fontId="12" fillId="2" borderId="10" xfId="0" applyNumberFormat="1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0" fillId="8" borderId="33" xfId="0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 wrapText="1"/>
    </xf>
    <xf numFmtId="0" fontId="0" fillId="7" borderId="36" xfId="0" applyFill="1" applyBorder="1" applyAlignment="1">
      <alignment horizontal="center" vertical="center" wrapText="1"/>
    </xf>
    <xf numFmtId="0" fontId="0" fillId="7" borderId="39" xfId="0" applyFill="1" applyBorder="1" applyAlignment="1">
      <alignment horizontal="center" vertical="center" wrapText="1"/>
    </xf>
    <xf numFmtId="0" fontId="10" fillId="8" borderId="30" xfId="0" applyFont="1" applyFill="1" applyBorder="1" applyAlignment="1">
      <alignment horizontal="center" vertical="center" wrapText="1"/>
    </xf>
    <xf numFmtId="0" fontId="10" fillId="8" borderId="36" xfId="0" applyFont="1" applyFill="1" applyBorder="1" applyAlignment="1">
      <alignment horizontal="center" vertical="center" wrapText="1"/>
    </xf>
    <xf numFmtId="0" fontId="10" fillId="8" borderId="39" xfId="0" applyFont="1" applyFill="1" applyBorder="1" applyAlignment="1">
      <alignment horizontal="center" vertical="center" wrapText="1"/>
    </xf>
    <xf numFmtId="0" fontId="10" fillId="8" borderId="24" xfId="0" applyFont="1" applyFill="1" applyBorder="1" applyAlignment="1">
      <alignment horizontal="center" vertical="center" wrapText="1"/>
    </xf>
    <xf numFmtId="0" fontId="10" fillId="8" borderId="12" xfId="0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wrapText="1"/>
    </xf>
    <xf numFmtId="0" fontId="10" fillId="8" borderId="31" xfId="0" applyFont="1" applyFill="1" applyBorder="1" applyAlignment="1">
      <alignment horizontal="center" vertical="center"/>
    </xf>
    <xf numFmtId="0" fontId="10" fillId="8" borderId="37" xfId="0" applyFont="1" applyFill="1" applyBorder="1" applyAlignment="1">
      <alignment horizontal="center" vertical="center"/>
    </xf>
    <xf numFmtId="0" fontId="10" fillId="8" borderId="38" xfId="0" applyFont="1" applyFill="1" applyBorder="1" applyAlignment="1">
      <alignment horizontal="center" vertical="center"/>
    </xf>
    <xf numFmtId="0" fontId="10" fillId="8" borderId="35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center" vertical="center" wrapText="1"/>
    </xf>
    <xf numFmtId="0" fontId="10" fillId="8" borderId="41" xfId="0" applyFont="1" applyFill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  <strike val="0"/>
        <color auto="1"/>
      </font>
    </dxf>
    <dxf>
      <font>
        <b/>
        <i val="0"/>
        <strike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800" b="1" i="0" baseline="0"/>
            </a:pPr>
            <a:r>
              <a:rPr lang="es-ES" sz="1800" b="1" i="0" baseline="0">
                <a:latin typeface="Arial" pitchFamily="34" charset="0"/>
                <a:cs typeface="Arial" pitchFamily="34" charset="0"/>
              </a:rPr>
              <a:t>ET La Calera Nueva: </a:t>
            </a:r>
            <a:r>
              <a:rPr lang="en-US" sz="18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2030</a:t>
            </a:r>
            <a:endParaRPr lang="es-ES" sz="1800" b="1" i="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1398196902980618"/>
          <c:y val="3.16911901163869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433249920299524E-2"/>
          <c:y val="0.11198285843012139"/>
          <c:w val="0.90170866703811692"/>
          <c:h val="0.74335127301006565"/>
        </c:manualLayout>
      </c:layout>
      <c:scatterChart>
        <c:scatterStyle val="smoothMarker"/>
        <c:varyColors val="0"/>
        <c:ser>
          <c:idx val="5"/>
          <c:order val="0"/>
          <c:tx>
            <c:v>Potencia Aparente 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dPt>
            <c:idx val="0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B49-4678-AF53-D3B5EA1C0A55}"/>
              </c:ext>
            </c:extLst>
          </c:dPt>
          <c:dPt>
            <c:idx val="2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B49-4678-AF53-D3B5EA1C0A55}"/>
              </c:ext>
            </c:extLst>
          </c:dPt>
          <c:trendline>
            <c:name>Tendencia Lineal</c:name>
            <c:spPr>
              <a:ln w="19050">
                <a:solidFill>
                  <a:srgbClr val="4472C4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'La Calera Nueva'!$B$8:$B$24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xVal>
          <c:yVal>
            <c:numRef>
              <c:f>'La Calera Nueva'!$E$8:$E$24</c:f>
              <c:numCache>
                <c:formatCode>0.00</c:formatCode>
                <c:ptCount val="17"/>
                <c:pt idx="0">
                  <c:v>15.15</c:v>
                </c:pt>
                <c:pt idx="1">
                  <c:v>16.77</c:v>
                </c:pt>
                <c:pt idx="2">
                  <c:v>17.899999999999999</c:v>
                </c:pt>
                <c:pt idx="3">
                  <c:v>14.28</c:v>
                </c:pt>
                <c:pt idx="4">
                  <c:v>16.09</c:v>
                </c:pt>
                <c:pt idx="5">
                  <c:v>14.33</c:v>
                </c:pt>
                <c:pt idx="6">
                  <c:v>16.79</c:v>
                </c:pt>
                <c:pt idx="7" formatCode="General">
                  <c:v>16.98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A0-40C1-BAE5-93E6A9DA1911}"/>
            </c:ext>
          </c:extLst>
        </c:ser>
        <c:ser>
          <c:idx val="2"/>
          <c:order val="1"/>
          <c:tx>
            <c:v>Precaución (N - 1)</c:v>
          </c:tx>
          <c:spPr>
            <a:ln w="317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'La Calera Nueva'!$B$8:$B$24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xVal>
          <c:yVal>
            <c:numRef>
              <c:f>'La Calera Nueva'!$J$8:$J$24</c:f>
              <c:numCache>
                <c:formatCode>#,##0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A0-40C1-BAE5-93E6A9DA1911}"/>
            </c:ext>
          </c:extLst>
        </c:ser>
        <c:ser>
          <c:idx val="0"/>
          <c:order val="2"/>
          <c:tx>
            <c:strRef>
              <c:f>'La Calera Nueva'!$I$6:$I$7</c:f>
              <c:strCache>
                <c:ptCount val="2"/>
                <c:pt idx="0">
                  <c:v>POTENCIA INSTALADA       [ MVA ]</c:v>
                </c:pt>
              </c:strCache>
            </c:strRef>
          </c:tx>
          <c:spPr>
            <a:ln w="31750" cap="sq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'La Calera Nueva'!$B$8:$B$24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xVal>
          <c:yVal>
            <c:numRef>
              <c:f>'La Calera Nueva'!$I$8:$I$24</c:f>
              <c:numCache>
                <c:formatCode>#,##0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49-4678-AF53-D3B5EA1C0A55}"/>
            </c:ext>
          </c:extLst>
        </c:ser>
        <c:ser>
          <c:idx val="1"/>
          <c:order val="3"/>
          <c:tx>
            <c:strRef>
              <c:f>'La Calera Nueva'!$H$7</c:f>
              <c:strCache>
                <c:ptCount val="1"/>
                <c:pt idx="0">
                  <c:v>PLANEAMIENTO 2022 - 2030 [MVA]</c:v>
                </c:pt>
              </c:strCache>
            </c:strRef>
          </c:tx>
          <c:spPr>
            <a:ln w="34925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ysClr val="window" lastClr="FFFFFF"/>
              </a:solidFill>
              <a:ln w="19050">
                <a:solidFill>
                  <a:srgbClr val="70AD47"/>
                </a:solidFill>
              </a:ln>
            </c:spPr>
          </c:marker>
          <c:xVal>
            <c:numRef>
              <c:f>'La Calera Nueva'!$B$15:$B$24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xVal>
          <c:yVal>
            <c:numRef>
              <c:f>'La Calera Nueva'!$H$15:$H$24</c:f>
              <c:numCache>
                <c:formatCode>0.00</c:formatCode>
                <c:ptCount val="10"/>
                <c:pt idx="0">
                  <c:v>16.98</c:v>
                </c:pt>
                <c:pt idx="1">
                  <c:v>17.4894</c:v>
                </c:pt>
                <c:pt idx="2">
                  <c:v>18.014082000000002</c:v>
                </c:pt>
                <c:pt idx="3">
                  <c:v>18.554504460000004</c:v>
                </c:pt>
                <c:pt idx="4">
                  <c:v>19.111139593800004</c:v>
                </c:pt>
                <c:pt idx="5">
                  <c:v>19.684473781614006</c:v>
                </c:pt>
                <c:pt idx="6">
                  <c:v>20.275007995062428</c:v>
                </c:pt>
                <c:pt idx="7">
                  <c:v>20.883258234914301</c:v>
                </c:pt>
                <c:pt idx="8">
                  <c:v>21.509755981961732</c:v>
                </c:pt>
                <c:pt idx="9">
                  <c:v>22.155048661420583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B-415D-923D-0DC5B8D5B514}"/>
            </c:ext>
          </c:extLst>
        </c:ser>
        <c:ser>
          <c:idx val="3"/>
          <c:order val="4"/>
          <c:tx>
            <c:v>Año de Saturación</c:v>
          </c:tx>
          <c:spPr>
            <a:ln w="19050">
              <a:solidFill>
                <a:srgbClr val="ED7D31"/>
              </a:solidFill>
              <a:headEnd type="none" w="lg" len="med"/>
              <a:tailEnd type="triangle" w="lg" len="med"/>
            </a:ln>
          </c:spPr>
          <c:marker>
            <c:symbol val="none"/>
          </c:marker>
          <c:xVal>
            <c:numRef>
              <c:f>'La Calera Nueva'!$O$38:$O$42</c:f>
              <c:numCache>
                <c:formatCode>General</c:formatCode>
                <c:ptCount val="5"/>
                <c:pt idx="0">
                  <c:v>2026</c:v>
                </c:pt>
                <c:pt idx="1">
                  <c:v>2026</c:v>
                </c:pt>
                <c:pt idx="2">
                  <c:v>2026</c:v>
                </c:pt>
                <c:pt idx="3">
                  <c:v>2026</c:v>
                </c:pt>
                <c:pt idx="4">
                  <c:v>2026</c:v>
                </c:pt>
              </c:numCache>
            </c:numRef>
          </c:xVal>
          <c:yVal>
            <c:numRef>
              <c:f>'La Calera Nueva'!$P$38:$P$42</c:f>
              <c:numCache>
                <c:formatCode>0.00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6B-415D-923D-0DC5B8D5B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9888"/>
        <c:axId val="442774984"/>
      </c:scatterChart>
      <c:valAx>
        <c:axId val="442769888"/>
        <c:scaling>
          <c:orientation val="minMax"/>
          <c:max val="2030"/>
          <c:min val="2014"/>
        </c:scaling>
        <c:delete val="0"/>
        <c:axPos val="b"/>
        <c:majorGridlines>
          <c:spPr>
            <a:ln w="6350">
              <a:prstDash val="dash"/>
            </a:ln>
          </c:spPr>
        </c:majorGridlines>
        <c:minorGridlines>
          <c:spPr>
            <a:ln w="6350">
              <a:solidFill>
                <a:sysClr val="window" lastClr="FFFFFF">
                  <a:lumMod val="85000"/>
                </a:sysClr>
              </a:solidFill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42774984"/>
        <c:crosses val="autoZero"/>
        <c:crossBetween val="midCat"/>
        <c:majorUnit val="2"/>
        <c:minorUnit val="1"/>
      </c:valAx>
      <c:valAx>
        <c:axId val="442774984"/>
        <c:scaling>
          <c:orientation val="minMax"/>
        </c:scaling>
        <c:delete val="0"/>
        <c:axPos val="l"/>
        <c:majorGridlines>
          <c:spPr>
            <a:ln w="6350"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aseline="0"/>
                </a:pPr>
                <a:r>
                  <a:rPr lang="es-ES" sz="1000" baseline="0">
                    <a:latin typeface="Arial" pitchFamily="34" charset="0"/>
                    <a:cs typeface="Arial" pitchFamily="34" charset="0"/>
                  </a:rPr>
                  <a:t>[MVA]</a:t>
                </a:r>
              </a:p>
            </c:rich>
          </c:tx>
          <c:layout>
            <c:manualLayout>
              <c:xMode val="edge"/>
              <c:yMode val="edge"/>
              <c:x val="1.33667484502926E-2"/>
              <c:y val="3.610417199592731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427698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5970975438544202E-2"/>
          <c:y val="0.90696112480889368"/>
          <c:w val="0.91422813460080843"/>
          <c:h val="7.3235593025619272E-2"/>
        </c:manualLayout>
      </c:layout>
      <c:overlay val="0"/>
      <c:spPr>
        <a:solidFill>
          <a:sysClr val="window" lastClr="FFFFFF"/>
        </a:solidFill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b="1" baseline="0">
              <a:latin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 w="12700"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s-ES" sz="1600">
                <a:latin typeface="Arial" pitchFamily="34" charset="0"/>
                <a:cs typeface="Arial" pitchFamily="34" charset="0"/>
              </a:rPr>
              <a:t>ET Don Bosco: </a:t>
            </a:r>
            <a:r>
              <a:rPr lang="en-US" sz="16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  <a:endParaRPr lang="es-ES" sz="16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1398196902980618"/>
          <c:y val="3.16911901163869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433249920299524E-2"/>
          <c:y val="0.11198285843012139"/>
          <c:w val="0.90170866703811692"/>
          <c:h val="0.74335127301006565"/>
        </c:manualLayout>
      </c:layout>
      <c:scatterChart>
        <c:scatterStyle val="smoothMarker"/>
        <c:varyColors val="0"/>
        <c:ser>
          <c:idx val="5"/>
          <c:order val="0"/>
          <c:tx>
            <c:v>Potencia Aparente 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6350"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34925" cmpd="sng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1.1643755099898331E-2"/>
                  <c:y val="-2.8540700089256521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solidFill>
                        <a:schemeClr val="tx1"/>
                      </a:solidFill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'La Calera Nueva'!$B$8:$B$21</c:f>
              <c:numCache>
                <c:formatCode>General</c:formatCode>
                <c:ptCount val="1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numCache>
            </c:numRef>
          </c:xVal>
          <c:yVal>
            <c:numRef>
              <c:f>'La Calera Nueva'!$E$8:$E$21</c:f>
              <c:numCache>
                <c:formatCode>0.00</c:formatCode>
                <c:ptCount val="14"/>
                <c:pt idx="0">
                  <c:v>15.15</c:v>
                </c:pt>
                <c:pt idx="1">
                  <c:v>16.77</c:v>
                </c:pt>
                <c:pt idx="2">
                  <c:v>17.899999999999999</c:v>
                </c:pt>
                <c:pt idx="3">
                  <c:v>14.28</c:v>
                </c:pt>
                <c:pt idx="4">
                  <c:v>16.09</c:v>
                </c:pt>
                <c:pt idx="5">
                  <c:v>14.33</c:v>
                </c:pt>
                <c:pt idx="6">
                  <c:v>16.79</c:v>
                </c:pt>
                <c:pt idx="7" formatCode="General">
                  <c:v>16.98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C9-4E5D-8053-3B56C24B2A1C}"/>
            </c:ext>
          </c:extLst>
        </c:ser>
        <c:ser>
          <c:idx val="4"/>
          <c:order val="1"/>
          <c:tx>
            <c:v>Año de Saturación</c:v>
          </c:tx>
          <c:spPr>
            <a:ln w="19050" cmpd="sng">
              <a:solidFill>
                <a:srgbClr val="1F497D"/>
              </a:solidFill>
              <a:headEnd type="triangle"/>
            </a:ln>
          </c:spPr>
          <c:marker>
            <c:symbol val="none"/>
          </c:marker>
          <c:xVal>
            <c:numRef>
              <c:f>'La Calera Nueva'!$O$38:$O$45</c:f>
              <c:numCache>
                <c:formatCode>General</c:formatCode>
                <c:ptCount val="8"/>
                <c:pt idx="0">
                  <c:v>2026</c:v>
                </c:pt>
                <c:pt idx="1">
                  <c:v>2026</c:v>
                </c:pt>
                <c:pt idx="2">
                  <c:v>2026</c:v>
                </c:pt>
                <c:pt idx="3">
                  <c:v>2026</c:v>
                </c:pt>
                <c:pt idx="4">
                  <c:v>2026</c:v>
                </c:pt>
              </c:numCache>
            </c:numRef>
          </c:xVal>
          <c:yVal>
            <c:numRef>
              <c:f>'La Calera Nueva'!$P$38:$P$45</c:f>
              <c:numCache>
                <c:formatCode>0.00</c:formatCode>
                <c:ptCount val="8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C9-4E5D-8053-3B56C24B2A1C}"/>
            </c:ext>
          </c:extLst>
        </c:ser>
        <c:ser>
          <c:idx val="1"/>
          <c:order val="2"/>
          <c:tx>
            <c:v>Potencia Instalada</c:v>
          </c:tx>
          <c:spPr>
            <a:ln w="28575" cap="sq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'La Calera Nueva'!$B$8:$B$21</c:f>
              <c:numCache>
                <c:formatCode>General</c:formatCode>
                <c:ptCount val="1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numCache>
            </c:numRef>
          </c:xVal>
          <c:yVal>
            <c:numRef>
              <c:f>'La Calera Nueva'!$I$8:$I$21</c:f>
              <c:numCache>
                <c:formatCode>#,##0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C9-4E5D-8053-3B56C24B2A1C}"/>
            </c:ext>
          </c:extLst>
        </c:ser>
        <c:ser>
          <c:idx val="2"/>
          <c:order val="3"/>
          <c:tx>
            <c:v>Precaución (N - 1)</c:v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'La Calera Nueva'!$B$8:$B$21</c:f>
              <c:numCache>
                <c:formatCode>General</c:formatCode>
                <c:ptCount val="1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numCache>
            </c:numRef>
          </c:xVal>
          <c:yVal>
            <c:numRef>
              <c:f>'La Calera Nueva'!$J$8:$J$21</c:f>
              <c:numCache>
                <c:formatCode>#,##0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C9-4E5D-8053-3B56C24B2A1C}"/>
            </c:ext>
          </c:extLst>
        </c:ser>
        <c:ser>
          <c:idx val="0"/>
          <c:order val="4"/>
          <c:tx>
            <c:v>Planeamiento 2016 - 2020</c:v>
          </c:tx>
          <c:spPr>
            <a:ln w="34925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1F497D"/>
              </a:solidFill>
              <a:ln w="6350">
                <a:solidFill>
                  <a:srgbClr val="1F497D"/>
                </a:solidFill>
              </a:ln>
            </c:spPr>
          </c:marker>
          <c:xVal>
            <c:numRef>
              <c:f>'La Calera Nueva'!$B$11:$B$21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'La Calera Nueva'!$H$11:$H$21</c:f>
              <c:numCache>
                <c:formatCode>0.00</c:formatCode>
                <c:ptCount val="11"/>
                <c:pt idx="4">
                  <c:v>16.98</c:v>
                </c:pt>
                <c:pt idx="5">
                  <c:v>17.4894</c:v>
                </c:pt>
                <c:pt idx="6">
                  <c:v>18.014082000000002</c:v>
                </c:pt>
                <c:pt idx="7">
                  <c:v>18.554504460000004</c:v>
                </c:pt>
                <c:pt idx="8">
                  <c:v>19.111139593800004</c:v>
                </c:pt>
                <c:pt idx="9">
                  <c:v>19.684473781614006</c:v>
                </c:pt>
                <c:pt idx="10">
                  <c:v>20.275007995062428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C9-4E5D-8053-3B56C24B2A1C}"/>
            </c:ext>
          </c:extLst>
        </c:ser>
        <c:ser>
          <c:idx val="3"/>
          <c:order val="5"/>
          <c:tx>
            <c:v>Limite del 90 %</c:v>
          </c:tx>
          <c:spPr>
            <a:ln w="28575">
              <a:solidFill>
                <a:srgbClr val="F79646"/>
              </a:solidFill>
            </a:ln>
          </c:spPr>
          <c:marker>
            <c:symbol val="none"/>
          </c:marker>
          <c:xVal>
            <c:numRef>
              <c:f>'La Calera Nueva'!$B$8:$B$21</c:f>
              <c:numCache>
                <c:formatCode>General</c:formatCode>
                <c:ptCount val="1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numCache>
            </c:numRef>
          </c:xVal>
          <c:yVal>
            <c:numRef>
              <c:f>'La Calera Nueva'!$L$8:$L$21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C9-4E5D-8053-3B56C24B2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75376"/>
        <c:axId val="442770672"/>
      </c:scatterChart>
      <c:valAx>
        <c:axId val="442775376"/>
        <c:scaling>
          <c:orientation val="minMax"/>
          <c:max val="2028"/>
          <c:min val="1997"/>
        </c:scaling>
        <c:delete val="0"/>
        <c:axPos val="b"/>
        <c:majorGridlines/>
        <c:minorGridlines>
          <c:spPr>
            <a:ln w="6350">
              <a:solidFill>
                <a:sysClr val="window" lastClr="FFFFFF">
                  <a:lumMod val="85000"/>
                </a:sysClr>
              </a:solidFill>
              <a:prstDash val="solid"/>
            </a:ln>
          </c:spPr>
        </c:minorGridlines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42770672"/>
        <c:crosses val="autoZero"/>
        <c:crossBetween val="midCat"/>
        <c:majorUnit val="5"/>
        <c:minorUnit val="1"/>
      </c:valAx>
      <c:valAx>
        <c:axId val="442770672"/>
        <c:scaling>
          <c:orientation val="minMax"/>
        </c:scaling>
        <c:delete val="0"/>
        <c:axPos val="l"/>
        <c:majorGridlines>
          <c:spPr>
            <a:ln w="6350"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aseline="0"/>
                </a:pPr>
                <a:r>
                  <a:rPr lang="es-ES" sz="1000" baseline="0">
                    <a:latin typeface="Arial" pitchFamily="34" charset="0"/>
                    <a:cs typeface="Arial" pitchFamily="34" charset="0"/>
                  </a:rPr>
                  <a:t>[MVA]</a:t>
                </a:r>
              </a:p>
            </c:rich>
          </c:tx>
          <c:layout>
            <c:manualLayout>
              <c:xMode val="edge"/>
              <c:yMode val="edge"/>
              <c:x val="1.33667484502926E-2"/>
              <c:y val="3.610417199592731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427753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5970975438544202E-2"/>
          <c:y val="0.90696112480889368"/>
          <c:w val="0.84062137543692173"/>
          <c:h val="7.3235593025619272E-2"/>
        </c:manualLayout>
      </c:layout>
      <c:overlay val="0"/>
      <c:spPr>
        <a:solidFill>
          <a:sysClr val="window" lastClr="FFFFFF"/>
        </a:solidFill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baseline="0">
              <a:latin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 w="12700"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800" b="1" i="0" baseline="0"/>
            </a:pPr>
            <a:r>
              <a:rPr lang="es-ES" sz="1800" b="1" i="0" baseline="0">
                <a:latin typeface="Arial" pitchFamily="34" charset="0"/>
                <a:cs typeface="Arial" pitchFamily="34" charset="0"/>
              </a:rPr>
              <a:t>ET Don Bosco: </a:t>
            </a:r>
            <a:r>
              <a:rPr lang="en-US" sz="18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  <a:endParaRPr lang="es-ES" sz="1800" b="1" i="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1398196902980618"/>
          <c:y val="3.16911901163869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433249920299524E-2"/>
          <c:y val="0.11198285843012139"/>
          <c:w val="0.90170866703811692"/>
          <c:h val="0.74335127301006565"/>
        </c:manualLayout>
      </c:layout>
      <c:scatterChart>
        <c:scatterStyle val="smoothMarker"/>
        <c:varyColors val="0"/>
        <c:ser>
          <c:idx val="5"/>
          <c:order val="0"/>
          <c:tx>
            <c:v>Potencia Aparente 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dPt>
            <c:idx val="16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C65-4843-ADD8-9A9D7D48C2A2}"/>
              </c:ext>
            </c:extLst>
          </c:dPt>
          <c:dPt>
            <c:idx val="18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C65-4843-ADD8-9A9D7D48C2A2}"/>
              </c:ext>
            </c:extLst>
          </c:dPt>
          <c:trendline>
            <c:name>Tendencia Lineal</c:name>
            <c:spPr>
              <a:ln w="34925" cmpd="sng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1.1643755099898331E-2"/>
                  <c:y val="-2.8540700089256521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solidFill>
                        <a:schemeClr val="tx1"/>
                      </a:solidFill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DBOSCO!$B$43:$B$72</c:f>
              <c:numCache>
                <c:formatCode>General</c:formatCode>
                <c:ptCount val="3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</c:numCache>
            </c:numRef>
          </c:xVal>
          <c:yVal>
            <c:numRef>
              <c:f>DBOSCO!$E$43:$E$72</c:f>
              <c:numCache>
                <c:formatCode>0.00</c:formatCode>
                <c:ptCount val="30"/>
                <c:pt idx="0">
                  <c:v>4.922907664588549</c:v>
                </c:pt>
                <c:pt idx="1">
                  <c:v>16.064225010762634</c:v>
                </c:pt>
                <c:pt idx="2">
                  <c:v>12.54045952453083</c:v>
                </c:pt>
                <c:pt idx="3">
                  <c:v>12.830651976338157</c:v>
                </c:pt>
                <c:pt idx="4">
                  <c:v>17.681011527974871</c:v>
                </c:pt>
                <c:pt idx="5">
                  <c:v>20.2</c:v>
                </c:pt>
                <c:pt idx="6">
                  <c:v>22.91</c:v>
                </c:pt>
                <c:pt idx="7">
                  <c:v>21.05</c:v>
                </c:pt>
                <c:pt idx="8">
                  <c:v>24.87</c:v>
                </c:pt>
                <c:pt idx="9">
                  <c:v>36.47</c:v>
                </c:pt>
                <c:pt idx="10">
                  <c:v>31.52</c:v>
                </c:pt>
                <c:pt idx="11">
                  <c:v>36.72</c:v>
                </c:pt>
                <c:pt idx="12">
                  <c:v>37.950143306712299</c:v>
                </c:pt>
                <c:pt idx="13">
                  <c:v>39.793322872763667</c:v>
                </c:pt>
                <c:pt idx="14">
                  <c:v>42.546175623433051</c:v>
                </c:pt>
                <c:pt idx="15">
                  <c:v>43.754960152398731</c:v>
                </c:pt>
                <c:pt idx="16">
                  <c:v>45.848508334208688</c:v>
                </c:pt>
                <c:pt idx="17">
                  <c:v>41.384108631164267</c:v>
                </c:pt>
                <c:pt idx="18">
                  <c:v>47.69</c:v>
                </c:pt>
                <c:pt idx="19">
                  <c:v>48.39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5-4843-ADD8-9A9D7D48C2A2}"/>
            </c:ext>
          </c:extLst>
        </c:ser>
        <c:ser>
          <c:idx val="1"/>
          <c:order val="1"/>
          <c:tx>
            <c:v>Potencia Instalada</c:v>
          </c:tx>
          <c:spPr>
            <a:ln w="31750" cap="sq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DBOSCO!$B$43:$B$72</c:f>
              <c:numCache>
                <c:formatCode>General</c:formatCode>
                <c:ptCount val="3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</c:numCache>
            </c:numRef>
          </c:xVal>
          <c:yVal>
            <c:numRef>
              <c:f>DBOSCO!$I$43:$I$72</c:f>
              <c:numCache>
                <c:formatCode>#,##0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5-4843-ADD8-9A9D7D48C2A2}"/>
            </c:ext>
          </c:extLst>
        </c:ser>
        <c:ser>
          <c:idx val="2"/>
          <c:order val="2"/>
          <c:tx>
            <c:v>Precaución (N - 1)</c:v>
          </c:tx>
          <c:spPr>
            <a:ln w="317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DBOSCO!$B$43:$B$72</c:f>
              <c:numCache>
                <c:formatCode>General</c:formatCode>
                <c:ptCount val="3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</c:numCache>
            </c:numRef>
          </c:xVal>
          <c:yVal>
            <c:numRef>
              <c:f>DBOSCO!$J$43:$J$72</c:f>
              <c:numCache>
                <c:formatCode>#,##0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65-4843-ADD8-9A9D7D48C2A2}"/>
            </c:ext>
          </c:extLst>
        </c:ser>
        <c:ser>
          <c:idx val="0"/>
          <c:order val="3"/>
          <c:tx>
            <c:v>Planeamiento 2018 - 2027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rgbClr val="9BBB59">
                    <a:lumMod val="75000"/>
                    <a:alpha val="99000"/>
                  </a:srgbClr>
                </a:solidFill>
              </a:ln>
            </c:spPr>
          </c:marker>
          <c:dPt>
            <c:idx val="0"/>
            <c:marker>
              <c:spPr>
                <a:solidFill>
                  <a:srgbClr val="F79646"/>
                </a:solidFill>
                <a:ln w="15875">
                  <a:solidFill>
                    <a:srgbClr val="9BBB59">
                      <a:lumMod val="75000"/>
                      <a:alpha val="99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C65-4843-ADD8-9A9D7D48C2A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7-8C65-4843-ADD8-9A9D7D48C2A2}"/>
              </c:ext>
            </c:extLst>
          </c:dPt>
          <c:xVal>
            <c:numRef>
              <c:f>DBOSCO!$B$62:$B$72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DBOSCO!$H$62:$H$72</c:f>
              <c:numCache>
                <c:formatCode>0.00</c:formatCode>
                <c:ptCount val="11"/>
                <c:pt idx="0">
                  <c:v>48.39</c:v>
                </c:pt>
                <c:pt idx="1">
                  <c:v>50.61</c:v>
                </c:pt>
                <c:pt idx="2">
                  <c:v>52.83</c:v>
                </c:pt>
                <c:pt idx="3">
                  <c:v>46.05</c:v>
                </c:pt>
                <c:pt idx="4">
                  <c:v>48.269999999999996</c:v>
                </c:pt>
                <c:pt idx="5">
                  <c:v>50.489999999999995</c:v>
                </c:pt>
                <c:pt idx="6">
                  <c:v>52.709999999999994</c:v>
                </c:pt>
                <c:pt idx="7">
                  <c:v>54.929999999999993</c:v>
                </c:pt>
                <c:pt idx="8">
                  <c:v>57.149999999999991</c:v>
                </c:pt>
                <c:pt idx="9">
                  <c:v>59.36999999999999</c:v>
                </c:pt>
                <c:pt idx="10">
                  <c:v>61.589999999999989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C65-4843-ADD8-9A9D7D48C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9888"/>
        <c:axId val="442774984"/>
      </c:scatterChart>
      <c:valAx>
        <c:axId val="442769888"/>
        <c:scaling>
          <c:orientation val="minMax"/>
          <c:max val="2028"/>
          <c:min val="1997"/>
        </c:scaling>
        <c:delete val="0"/>
        <c:axPos val="b"/>
        <c:majorGridlines>
          <c:spPr>
            <a:ln w="6350">
              <a:prstDash val="dash"/>
            </a:ln>
          </c:spPr>
        </c:majorGridlines>
        <c:minorGridlines>
          <c:spPr>
            <a:ln w="6350">
              <a:solidFill>
                <a:sysClr val="window" lastClr="FFFFFF">
                  <a:lumMod val="85000"/>
                </a:sysClr>
              </a:solidFill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42774984"/>
        <c:crosses val="autoZero"/>
        <c:crossBetween val="midCat"/>
        <c:majorUnit val="5"/>
        <c:minorUnit val="1"/>
      </c:valAx>
      <c:valAx>
        <c:axId val="442774984"/>
        <c:scaling>
          <c:orientation val="minMax"/>
        </c:scaling>
        <c:delete val="0"/>
        <c:axPos val="l"/>
        <c:majorGridlines>
          <c:spPr>
            <a:ln w="6350"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aseline="0"/>
                </a:pPr>
                <a:r>
                  <a:rPr lang="es-ES" sz="1000" baseline="0">
                    <a:latin typeface="Arial" pitchFamily="34" charset="0"/>
                    <a:cs typeface="Arial" pitchFamily="34" charset="0"/>
                  </a:rPr>
                  <a:t>[MVA]</a:t>
                </a:r>
              </a:p>
            </c:rich>
          </c:tx>
          <c:layout>
            <c:manualLayout>
              <c:xMode val="edge"/>
              <c:yMode val="edge"/>
              <c:x val="1.33667484502926E-2"/>
              <c:y val="3.610417199592731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427698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5970975438544202E-2"/>
          <c:y val="0.90696112480889368"/>
          <c:w val="0.91406769495221152"/>
          <c:h val="7.3235593025619272E-2"/>
        </c:manualLayout>
      </c:layout>
      <c:overlay val="0"/>
      <c:spPr>
        <a:solidFill>
          <a:sysClr val="window" lastClr="FFFFFF"/>
        </a:solidFill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b="1" baseline="0">
              <a:latin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 w="12700"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s-ES" sz="1600">
                <a:latin typeface="Arial" pitchFamily="34" charset="0"/>
                <a:cs typeface="Arial" pitchFamily="34" charset="0"/>
              </a:rPr>
              <a:t>ET Don Bosco: </a:t>
            </a:r>
            <a:r>
              <a:rPr lang="en-US" sz="16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  <a:endParaRPr lang="es-ES" sz="16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1398196902980618"/>
          <c:y val="3.16911901163869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433249920299524E-2"/>
          <c:y val="0.11198285843012139"/>
          <c:w val="0.90170866703811692"/>
          <c:h val="0.74335127301006565"/>
        </c:manualLayout>
      </c:layout>
      <c:scatterChart>
        <c:scatterStyle val="smoothMarker"/>
        <c:varyColors val="0"/>
        <c:ser>
          <c:idx val="5"/>
          <c:order val="0"/>
          <c:tx>
            <c:v>Potencia Aparente 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6350"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34925" cmpd="sng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1.1643755099898331E-2"/>
                  <c:y val="-2.8540700089256521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solidFill>
                        <a:schemeClr val="tx1"/>
                      </a:solidFill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DBOSCO!$B$43:$B$72</c:f>
              <c:numCache>
                <c:formatCode>General</c:formatCode>
                <c:ptCount val="3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</c:numCache>
            </c:numRef>
          </c:xVal>
          <c:yVal>
            <c:numRef>
              <c:f>DBOSCO!$E$43:$E$72</c:f>
              <c:numCache>
                <c:formatCode>0.00</c:formatCode>
                <c:ptCount val="30"/>
                <c:pt idx="0">
                  <c:v>4.922907664588549</c:v>
                </c:pt>
                <c:pt idx="1">
                  <c:v>16.064225010762634</c:v>
                </c:pt>
                <c:pt idx="2">
                  <c:v>12.54045952453083</c:v>
                </c:pt>
                <c:pt idx="3">
                  <c:v>12.830651976338157</c:v>
                </c:pt>
                <c:pt idx="4">
                  <c:v>17.681011527974871</c:v>
                </c:pt>
                <c:pt idx="5">
                  <c:v>20.2</c:v>
                </c:pt>
                <c:pt idx="6">
                  <c:v>22.91</c:v>
                </c:pt>
                <c:pt idx="7">
                  <c:v>21.05</c:v>
                </c:pt>
                <c:pt idx="8">
                  <c:v>24.87</c:v>
                </c:pt>
                <c:pt idx="9">
                  <c:v>36.47</c:v>
                </c:pt>
                <c:pt idx="10">
                  <c:v>31.52</c:v>
                </c:pt>
                <c:pt idx="11">
                  <c:v>36.72</c:v>
                </c:pt>
                <c:pt idx="12">
                  <c:v>37.950143306712299</c:v>
                </c:pt>
                <c:pt idx="13">
                  <c:v>39.793322872763667</c:v>
                </c:pt>
                <c:pt idx="14">
                  <c:v>42.546175623433051</c:v>
                </c:pt>
                <c:pt idx="15">
                  <c:v>43.754960152398731</c:v>
                </c:pt>
                <c:pt idx="16">
                  <c:v>45.848508334208688</c:v>
                </c:pt>
                <c:pt idx="17">
                  <c:v>41.384108631164267</c:v>
                </c:pt>
                <c:pt idx="18">
                  <c:v>47.69</c:v>
                </c:pt>
                <c:pt idx="19">
                  <c:v>48.39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22-4FBA-AA68-BD1E927CD487}"/>
            </c:ext>
          </c:extLst>
        </c:ser>
        <c:ser>
          <c:idx val="4"/>
          <c:order val="1"/>
          <c:tx>
            <c:v>Año de Saturación</c:v>
          </c:tx>
          <c:spPr>
            <a:ln w="19050" cmpd="sng">
              <a:solidFill>
                <a:srgbClr val="1F497D"/>
              </a:solidFill>
              <a:headEnd type="triangle"/>
            </a:ln>
          </c:spPr>
          <c:marker>
            <c:symbol val="none"/>
          </c:marker>
          <c:xVal>
            <c:numRef>
              <c:f>DBOSCO!$O$86:$O$93</c:f>
              <c:numCache>
                <c:formatCode>General</c:formatCode>
                <c:ptCount val="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</c:numCache>
            </c:numRef>
          </c:xVal>
          <c:yVal>
            <c:numRef>
              <c:f>DBOSCO!$P$86:$P$93</c:f>
              <c:numCache>
                <c:formatCode>0.00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22-4FBA-AA68-BD1E927CD487}"/>
            </c:ext>
          </c:extLst>
        </c:ser>
        <c:ser>
          <c:idx val="1"/>
          <c:order val="2"/>
          <c:tx>
            <c:v>Potencia Instalada</c:v>
          </c:tx>
          <c:spPr>
            <a:ln w="28575" cap="sq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DBOSCO!$B$43:$B$72</c:f>
              <c:numCache>
                <c:formatCode>General</c:formatCode>
                <c:ptCount val="3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</c:numCache>
            </c:numRef>
          </c:xVal>
          <c:yVal>
            <c:numRef>
              <c:f>DBOSCO!$I$43:$I$72</c:f>
              <c:numCache>
                <c:formatCode>#,##0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22-4FBA-AA68-BD1E927CD487}"/>
            </c:ext>
          </c:extLst>
        </c:ser>
        <c:ser>
          <c:idx val="2"/>
          <c:order val="3"/>
          <c:tx>
            <c:v>Precaución (N - 1)</c:v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DBOSCO!$B$43:$B$72</c:f>
              <c:numCache>
                <c:formatCode>General</c:formatCode>
                <c:ptCount val="3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</c:numCache>
            </c:numRef>
          </c:xVal>
          <c:yVal>
            <c:numRef>
              <c:f>DBOSCO!$J$43:$J$72</c:f>
              <c:numCache>
                <c:formatCode>#,##0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22-4FBA-AA68-BD1E927CD487}"/>
            </c:ext>
          </c:extLst>
        </c:ser>
        <c:ser>
          <c:idx val="0"/>
          <c:order val="4"/>
          <c:tx>
            <c:v>Planeamiento 2016 - 2020</c:v>
          </c:tx>
          <c:spPr>
            <a:ln w="34925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1F497D"/>
              </a:solidFill>
              <a:ln w="6350">
                <a:solidFill>
                  <a:srgbClr val="1F497D"/>
                </a:solidFill>
              </a:ln>
            </c:spPr>
          </c:marker>
          <c:xVal>
            <c:numRef>
              <c:f>DBOSCO!$B$62:$B$72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DBOSCO!$H$62:$H$72</c:f>
              <c:numCache>
                <c:formatCode>0.00</c:formatCode>
                <c:ptCount val="11"/>
                <c:pt idx="0">
                  <c:v>48.39</c:v>
                </c:pt>
                <c:pt idx="1">
                  <c:v>50.61</c:v>
                </c:pt>
                <c:pt idx="2">
                  <c:v>52.83</c:v>
                </c:pt>
                <c:pt idx="3">
                  <c:v>46.05</c:v>
                </c:pt>
                <c:pt idx="4">
                  <c:v>48.269999999999996</c:v>
                </c:pt>
                <c:pt idx="5">
                  <c:v>50.489999999999995</c:v>
                </c:pt>
                <c:pt idx="6">
                  <c:v>52.709999999999994</c:v>
                </c:pt>
                <c:pt idx="7">
                  <c:v>54.929999999999993</c:v>
                </c:pt>
                <c:pt idx="8">
                  <c:v>57.149999999999991</c:v>
                </c:pt>
                <c:pt idx="9">
                  <c:v>59.36999999999999</c:v>
                </c:pt>
                <c:pt idx="10">
                  <c:v>61.589999999999989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22-4FBA-AA68-BD1E927CD487}"/>
            </c:ext>
          </c:extLst>
        </c:ser>
        <c:ser>
          <c:idx val="3"/>
          <c:order val="5"/>
          <c:tx>
            <c:v>Limite del 90 %</c:v>
          </c:tx>
          <c:spPr>
            <a:ln w="28575">
              <a:solidFill>
                <a:srgbClr val="F79646"/>
              </a:solidFill>
            </a:ln>
          </c:spPr>
          <c:marker>
            <c:symbol val="none"/>
          </c:marker>
          <c:xVal>
            <c:numRef>
              <c:f>DBOSCO!$B$43:$B$72</c:f>
              <c:numCache>
                <c:formatCode>General</c:formatCode>
                <c:ptCount val="3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</c:numCache>
            </c:numRef>
          </c:xVal>
          <c:yVal>
            <c:numRef>
              <c:f>DBOSCO!$L$43:$L$72</c:f>
              <c:numCache>
                <c:formatCode>General</c:formatCode>
                <c:ptCount val="3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22-4FBA-AA68-BD1E927CD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75376"/>
        <c:axId val="442770672"/>
      </c:scatterChart>
      <c:valAx>
        <c:axId val="442775376"/>
        <c:scaling>
          <c:orientation val="minMax"/>
          <c:max val="2028"/>
          <c:min val="1997"/>
        </c:scaling>
        <c:delete val="0"/>
        <c:axPos val="b"/>
        <c:majorGridlines/>
        <c:minorGridlines>
          <c:spPr>
            <a:ln w="6350">
              <a:solidFill>
                <a:sysClr val="window" lastClr="FFFFFF">
                  <a:lumMod val="85000"/>
                </a:sysClr>
              </a:solidFill>
              <a:prstDash val="solid"/>
            </a:ln>
          </c:spPr>
        </c:minorGridlines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42770672"/>
        <c:crosses val="autoZero"/>
        <c:crossBetween val="midCat"/>
        <c:majorUnit val="5"/>
        <c:minorUnit val="1"/>
      </c:valAx>
      <c:valAx>
        <c:axId val="442770672"/>
        <c:scaling>
          <c:orientation val="minMax"/>
        </c:scaling>
        <c:delete val="0"/>
        <c:axPos val="l"/>
        <c:majorGridlines>
          <c:spPr>
            <a:ln w="6350"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aseline="0"/>
                </a:pPr>
                <a:r>
                  <a:rPr lang="es-ES" sz="1000" baseline="0">
                    <a:latin typeface="Arial" pitchFamily="34" charset="0"/>
                    <a:cs typeface="Arial" pitchFamily="34" charset="0"/>
                  </a:rPr>
                  <a:t>[MVA]</a:t>
                </a:r>
              </a:p>
            </c:rich>
          </c:tx>
          <c:layout>
            <c:manualLayout>
              <c:xMode val="edge"/>
              <c:yMode val="edge"/>
              <c:x val="1.33667484502926E-2"/>
              <c:y val="3.610417199592731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427753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5970975438544202E-2"/>
          <c:y val="0.90696112480889368"/>
          <c:w val="0.84062137543692173"/>
          <c:h val="7.3235593025619272E-2"/>
        </c:manualLayout>
      </c:layout>
      <c:overlay val="0"/>
      <c:spPr>
        <a:solidFill>
          <a:sysClr val="window" lastClr="FFFFFF"/>
        </a:solidFill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baseline="0">
              <a:latin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 w="12700"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12</xdr:col>
      <xdr:colOff>752476</xdr:colOff>
      <xdr:row>56</xdr:row>
      <xdr:rowOff>133350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E920D4EF-FAF3-4F5B-837E-69329F4A3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61</xdr:row>
      <xdr:rowOff>0</xdr:rowOff>
    </xdr:from>
    <xdr:to>
      <xdr:col>6</xdr:col>
      <xdr:colOff>428625</xdr:colOff>
      <xdr:row>62</xdr:row>
      <xdr:rowOff>28575</xdr:rowOff>
    </xdr:to>
    <xdr:sp macro="" textlink="">
      <xdr:nvSpPr>
        <xdr:cNvPr id="3" name="Text Box 120">
          <a:extLst>
            <a:ext uri="{FF2B5EF4-FFF2-40B4-BE49-F238E27FC236}">
              <a16:creationId xmlns:a16="http://schemas.microsoft.com/office/drawing/2014/main" id="{13BC8EE6-F970-4D6E-ADFA-C166F942BF43}"/>
            </a:ext>
          </a:extLst>
        </xdr:cNvPr>
        <xdr:cNvSpPr txBox="1">
          <a:spLocks noChangeArrowheads="1"/>
        </xdr:cNvSpPr>
      </xdr:nvSpPr>
      <xdr:spPr bwMode="auto">
        <a:xfrm>
          <a:off x="4371975" y="21574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61</xdr:row>
      <xdr:rowOff>0</xdr:rowOff>
    </xdr:from>
    <xdr:to>
      <xdr:col>9</xdr:col>
      <xdr:colOff>428625</xdr:colOff>
      <xdr:row>62</xdr:row>
      <xdr:rowOff>28575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6664B957-2A5E-45FF-A32B-B4EDD4D95BB5}"/>
            </a:ext>
          </a:extLst>
        </xdr:cNvPr>
        <xdr:cNvSpPr txBox="1">
          <a:spLocks noChangeArrowheads="1"/>
        </xdr:cNvSpPr>
      </xdr:nvSpPr>
      <xdr:spPr bwMode="auto">
        <a:xfrm>
          <a:off x="6781800" y="21574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61</xdr:row>
      <xdr:rowOff>0</xdr:rowOff>
    </xdr:from>
    <xdr:to>
      <xdr:col>12</xdr:col>
      <xdr:colOff>428625</xdr:colOff>
      <xdr:row>62</xdr:row>
      <xdr:rowOff>28575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A08AE089-3191-4A4C-8853-666BAA213FE8}"/>
            </a:ext>
          </a:extLst>
        </xdr:cNvPr>
        <xdr:cNvSpPr txBox="1">
          <a:spLocks noChangeArrowheads="1"/>
        </xdr:cNvSpPr>
      </xdr:nvSpPr>
      <xdr:spPr bwMode="auto">
        <a:xfrm>
          <a:off x="8972550" y="21574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61</xdr:row>
      <xdr:rowOff>0</xdr:rowOff>
    </xdr:from>
    <xdr:to>
      <xdr:col>15</xdr:col>
      <xdr:colOff>428625</xdr:colOff>
      <xdr:row>62</xdr:row>
      <xdr:rowOff>28575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1F2B8ED4-A617-44C6-97B1-06F0394A3DA2}"/>
            </a:ext>
          </a:extLst>
        </xdr:cNvPr>
        <xdr:cNvSpPr txBox="1">
          <a:spLocks noChangeArrowheads="1"/>
        </xdr:cNvSpPr>
      </xdr:nvSpPr>
      <xdr:spPr bwMode="auto">
        <a:xfrm>
          <a:off x="11258550" y="21574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61</xdr:row>
      <xdr:rowOff>0</xdr:rowOff>
    </xdr:from>
    <xdr:to>
      <xdr:col>18</xdr:col>
      <xdr:colOff>428625</xdr:colOff>
      <xdr:row>62</xdr:row>
      <xdr:rowOff>28575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55C2F0D-23D1-44C0-981E-81FC1A6FC095}"/>
            </a:ext>
          </a:extLst>
        </xdr:cNvPr>
        <xdr:cNvSpPr txBox="1">
          <a:spLocks noChangeArrowheads="1"/>
        </xdr:cNvSpPr>
      </xdr:nvSpPr>
      <xdr:spPr bwMode="auto">
        <a:xfrm>
          <a:off x="13544550" y="21574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61</xdr:row>
      <xdr:rowOff>0</xdr:rowOff>
    </xdr:from>
    <xdr:to>
      <xdr:col>12</xdr:col>
      <xdr:colOff>428625</xdr:colOff>
      <xdr:row>62</xdr:row>
      <xdr:rowOff>28575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CA150BEF-CC76-4CEB-8943-40A4B39E9EC6}"/>
            </a:ext>
          </a:extLst>
        </xdr:cNvPr>
        <xdr:cNvSpPr txBox="1">
          <a:spLocks noChangeArrowheads="1"/>
        </xdr:cNvSpPr>
      </xdr:nvSpPr>
      <xdr:spPr bwMode="auto">
        <a:xfrm>
          <a:off x="8972550" y="21574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61</xdr:row>
      <xdr:rowOff>0</xdr:rowOff>
    </xdr:from>
    <xdr:to>
      <xdr:col>15</xdr:col>
      <xdr:colOff>428625</xdr:colOff>
      <xdr:row>62</xdr:row>
      <xdr:rowOff>28575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74F31691-8068-491C-95A3-FA5A80F56236}"/>
            </a:ext>
          </a:extLst>
        </xdr:cNvPr>
        <xdr:cNvSpPr txBox="1">
          <a:spLocks noChangeArrowheads="1"/>
        </xdr:cNvSpPr>
      </xdr:nvSpPr>
      <xdr:spPr bwMode="auto">
        <a:xfrm>
          <a:off x="11258550" y="21574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12</xdr:col>
      <xdr:colOff>752476</xdr:colOff>
      <xdr:row>134</xdr:row>
      <xdr:rowOff>133350</xdr:rowOff>
    </xdr:to>
    <xdr:graphicFrame macro="">
      <xdr:nvGraphicFramePr>
        <xdr:cNvPr id="10" name="1 Gráfico">
          <a:extLst>
            <a:ext uri="{FF2B5EF4-FFF2-40B4-BE49-F238E27FC236}">
              <a16:creationId xmlns:a16="http://schemas.microsoft.com/office/drawing/2014/main" id="{9A69FFD5-3307-4D3A-9CAC-D31EA92F0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40</xdr:row>
      <xdr:rowOff>76200</xdr:rowOff>
    </xdr:from>
    <xdr:to>
      <xdr:col>13</xdr:col>
      <xdr:colOff>619207</xdr:colOff>
      <xdr:row>42</xdr:row>
      <xdr:rowOff>95294</xdr:rowOff>
    </xdr:to>
    <xdr:sp macro="" textlink="">
      <xdr:nvSpPr>
        <xdr:cNvPr id="11" name="Llamada con línea 2 10"/>
        <xdr:cNvSpPr/>
      </xdr:nvSpPr>
      <xdr:spPr>
        <a:xfrm>
          <a:off x="8267700" y="7991475"/>
          <a:ext cx="1895557" cy="400094"/>
        </a:xfrm>
        <a:prstGeom prst="borderCallout2">
          <a:avLst>
            <a:gd name="adj1" fmla="val 53275"/>
            <a:gd name="adj2" fmla="val -151"/>
            <a:gd name="adj3" fmla="val 11819"/>
            <a:gd name="adj4" fmla="val -21050"/>
            <a:gd name="adj5" fmla="val -10872"/>
            <a:gd name="adj6" fmla="val -53094"/>
          </a:avLst>
        </a:prstGeom>
        <a:solidFill>
          <a:schemeClr val="bg1"/>
        </a:solidFill>
        <a:ln w="3175">
          <a:solidFill>
            <a:schemeClr val="tx1"/>
          </a:solidFill>
          <a:tailEnd type="triangle" w="sm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AR" sz="1000" b="1" i="0" baseline="0">
              <a:solidFill>
                <a:schemeClr val="tx1"/>
              </a:solidFill>
              <a:latin typeface="Arial" panose="020B0604020202020204" pitchFamily="34" charset="0"/>
            </a:rPr>
            <a:t>Si no se repontencia:   Saturación a partir del 2026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75</xdr:row>
      <xdr:rowOff>0</xdr:rowOff>
    </xdr:from>
    <xdr:to>
      <xdr:col>12</xdr:col>
      <xdr:colOff>752476</xdr:colOff>
      <xdr:row>104</xdr:row>
      <xdr:rowOff>133350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D8950D68-0D9C-47B8-BF3A-D36804C6C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109</xdr:row>
      <xdr:rowOff>114300</xdr:rowOff>
    </xdr:from>
    <xdr:to>
      <xdr:col>6</xdr:col>
      <xdr:colOff>428625</xdr:colOff>
      <xdr:row>110</xdr:row>
      <xdr:rowOff>133350</xdr:rowOff>
    </xdr:to>
    <xdr:sp macro="" textlink="">
      <xdr:nvSpPr>
        <xdr:cNvPr id="3" name="Text Box 120">
          <a:extLst>
            <a:ext uri="{FF2B5EF4-FFF2-40B4-BE49-F238E27FC236}">
              <a16:creationId xmlns:a16="http://schemas.microsoft.com/office/drawing/2014/main" id="{C3520848-E9D6-4B40-9F12-20C7F0792D8C}"/>
            </a:ext>
          </a:extLst>
        </xdr:cNvPr>
        <xdr:cNvSpPr txBox="1">
          <a:spLocks noChangeArrowheads="1"/>
        </xdr:cNvSpPr>
      </xdr:nvSpPr>
      <xdr:spPr bwMode="auto">
        <a:xfrm>
          <a:off x="4371975" y="21574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109</xdr:row>
      <xdr:rowOff>114300</xdr:rowOff>
    </xdr:from>
    <xdr:to>
      <xdr:col>9</xdr:col>
      <xdr:colOff>428625</xdr:colOff>
      <xdr:row>110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5460861F-8BDD-46FB-8617-A29D270CE3D4}"/>
            </a:ext>
          </a:extLst>
        </xdr:cNvPr>
        <xdr:cNvSpPr txBox="1">
          <a:spLocks noChangeArrowheads="1"/>
        </xdr:cNvSpPr>
      </xdr:nvSpPr>
      <xdr:spPr bwMode="auto">
        <a:xfrm>
          <a:off x="6781800" y="21574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109</xdr:row>
      <xdr:rowOff>114300</xdr:rowOff>
    </xdr:from>
    <xdr:to>
      <xdr:col>12</xdr:col>
      <xdr:colOff>428625</xdr:colOff>
      <xdr:row>110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FAF5775F-BA74-471C-A21A-7741E8260759}"/>
            </a:ext>
          </a:extLst>
        </xdr:cNvPr>
        <xdr:cNvSpPr txBox="1">
          <a:spLocks noChangeArrowheads="1"/>
        </xdr:cNvSpPr>
      </xdr:nvSpPr>
      <xdr:spPr bwMode="auto">
        <a:xfrm>
          <a:off x="8972550" y="21574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109</xdr:row>
      <xdr:rowOff>114300</xdr:rowOff>
    </xdr:from>
    <xdr:to>
      <xdr:col>15</xdr:col>
      <xdr:colOff>428625</xdr:colOff>
      <xdr:row>110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383223AE-5AEB-48D2-9A9F-4A89AD2F836B}"/>
            </a:ext>
          </a:extLst>
        </xdr:cNvPr>
        <xdr:cNvSpPr txBox="1">
          <a:spLocks noChangeArrowheads="1"/>
        </xdr:cNvSpPr>
      </xdr:nvSpPr>
      <xdr:spPr bwMode="auto">
        <a:xfrm>
          <a:off x="11258550" y="21574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109</xdr:row>
      <xdr:rowOff>114300</xdr:rowOff>
    </xdr:from>
    <xdr:to>
      <xdr:col>18</xdr:col>
      <xdr:colOff>428625</xdr:colOff>
      <xdr:row>110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5F6BE29-10FB-4C94-92C7-317CE3A82BFB}"/>
            </a:ext>
          </a:extLst>
        </xdr:cNvPr>
        <xdr:cNvSpPr txBox="1">
          <a:spLocks noChangeArrowheads="1"/>
        </xdr:cNvSpPr>
      </xdr:nvSpPr>
      <xdr:spPr bwMode="auto">
        <a:xfrm>
          <a:off x="13544550" y="21574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109</xdr:row>
      <xdr:rowOff>114300</xdr:rowOff>
    </xdr:from>
    <xdr:to>
      <xdr:col>12</xdr:col>
      <xdr:colOff>428625</xdr:colOff>
      <xdr:row>110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E94C3923-8709-4F5D-95EE-DF1DE1766242}"/>
            </a:ext>
          </a:extLst>
        </xdr:cNvPr>
        <xdr:cNvSpPr txBox="1">
          <a:spLocks noChangeArrowheads="1"/>
        </xdr:cNvSpPr>
      </xdr:nvSpPr>
      <xdr:spPr bwMode="auto">
        <a:xfrm>
          <a:off x="8972550" y="21574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109</xdr:row>
      <xdr:rowOff>114300</xdr:rowOff>
    </xdr:from>
    <xdr:to>
      <xdr:col>15</xdr:col>
      <xdr:colOff>428625</xdr:colOff>
      <xdr:row>110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9D3CBB6D-E05A-4AB7-9A22-3BCBF56D0EC9}"/>
            </a:ext>
          </a:extLst>
        </xdr:cNvPr>
        <xdr:cNvSpPr txBox="1">
          <a:spLocks noChangeArrowheads="1"/>
        </xdr:cNvSpPr>
      </xdr:nvSpPr>
      <xdr:spPr bwMode="auto">
        <a:xfrm>
          <a:off x="11258550" y="21574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158</xdr:row>
      <xdr:rowOff>0</xdr:rowOff>
    </xdr:from>
    <xdr:to>
      <xdr:col>12</xdr:col>
      <xdr:colOff>752476</xdr:colOff>
      <xdr:row>187</xdr:row>
      <xdr:rowOff>133350</xdr:rowOff>
    </xdr:to>
    <xdr:graphicFrame macro="">
      <xdr:nvGraphicFramePr>
        <xdr:cNvPr id="10" name="1 Gráfico">
          <a:extLst>
            <a:ext uri="{FF2B5EF4-FFF2-40B4-BE49-F238E27FC236}">
              <a16:creationId xmlns:a16="http://schemas.microsoft.com/office/drawing/2014/main" id="{D6C26BE4-3858-4287-8474-BFD40B6FA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0.8012</cdr:x>
      <cdr:y>0.66218</cdr:y>
    </cdr:from>
    <cdr:to>
      <cdr:x>0.95531</cdr:x>
      <cdr:y>0.75589</cdr:y>
    </cdr:to>
    <cdr:sp macro="" textlink="">
      <cdr:nvSpPr>
        <cdr:cNvPr id="2" name="Llamada con línea 2 1"/>
        <cdr:cNvSpPr/>
      </cdr:nvSpPr>
      <cdr:spPr>
        <a:xfrm xmlns:a="http://schemas.openxmlformats.org/drawingml/2006/main">
          <a:off x="7204075" y="3746499"/>
          <a:ext cx="1385664" cy="530225"/>
        </a:xfrm>
        <a:prstGeom xmlns:a="http://schemas.openxmlformats.org/drawingml/2006/main" prst="borderCallout2">
          <a:avLst>
            <a:gd name="adj1" fmla="val 46974"/>
            <a:gd name="adj2" fmla="val -516"/>
            <a:gd name="adj3" fmla="val 47450"/>
            <a:gd name="adj4" fmla="val -38108"/>
            <a:gd name="adj5" fmla="val -78329"/>
            <a:gd name="adj6" fmla="val -37367"/>
          </a:avLst>
        </a:prstGeom>
        <a:solidFill xmlns:a="http://schemas.openxmlformats.org/drawingml/2006/main">
          <a:schemeClr val="bg1"/>
        </a:solidFill>
        <a:ln xmlns:a="http://schemas.openxmlformats.org/drawingml/2006/main" w="6350" cap="sq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00" baseline="0">
              <a:solidFill>
                <a:sysClr val="windowText" lastClr="000000"/>
              </a:solidFill>
              <a:latin typeface="Arial" panose="020B0604020202020204" pitchFamily="34" charset="0"/>
            </a:rPr>
            <a:t>Transfiere Carga a ET Santa Ana y ET Arguello (2020)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174"/>
  <sheetViews>
    <sheetView tabSelected="1" topLeftCell="A19" zoomScaleNormal="100" workbookViewId="0">
      <selection activeCell="N47" sqref="N47"/>
    </sheetView>
  </sheetViews>
  <sheetFormatPr baseColWidth="10" defaultRowHeight="15" x14ac:dyDescent="0.25"/>
  <cols>
    <col min="1" max="1" width="5.7109375" customWidth="1"/>
    <col min="2" max="2" width="9.140625" style="1" customWidth="1"/>
    <col min="3" max="3" width="14.7109375" customWidth="1"/>
    <col min="4" max="5" width="10.7109375" customWidth="1"/>
    <col min="6" max="6" width="11.7109375" customWidth="1"/>
    <col min="7" max="8" width="12.7109375" customWidth="1"/>
    <col min="9" max="11" width="10.7109375" customWidth="1"/>
    <col min="13" max="13" width="11.42578125" style="2"/>
  </cols>
  <sheetData>
    <row r="2" spans="2:14" x14ac:dyDescent="0.25">
      <c r="C2" s="76" t="s">
        <v>26</v>
      </c>
      <c r="D2" s="76"/>
      <c r="E2" s="76"/>
      <c r="G2" s="76" t="s">
        <v>27</v>
      </c>
    </row>
    <row r="3" spans="2:14" ht="15.75" thickBot="1" x14ac:dyDescent="0.3">
      <c r="F3" s="4"/>
    </row>
    <row r="4" spans="2:14" ht="15.95" customHeight="1" thickBot="1" x14ac:dyDescent="0.3">
      <c r="B4"/>
      <c r="C4" s="212" t="s">
        <v>65</v>
      </c>
      <c r="D4" s="213"/>
      <c r="E4" s="213"/>
      <c r="F4" s="213"/>
      <c r="G4" s="213"/>
      <c r="H4" s="213"/>
      <c r="I4" s="213"/>
      <c r="J4" s="213"/>
      <c r="K4" s="214"/>
    </row>
    <row r="5" spans="2:14" ht="15.95" customHeight="1" thickBot="1" x14ac:dyDescent="0.3">
      <c r="B5"/>
      <c r="C5" s="215" t="s">
        <v>28</v>
      </c>
      <c r="D5" s="216"/>
      <c r="E5" s="216"/>
      <c r="F5" s="216"/>
      <c r="G5" s="216"/>
      <c r="H5" s="216"/>
      <c r="I5" s="216"/>
      <c r="J5" s="216"/>
      <c r="K5" s="217"/>
    </row>
    <row r="6" spans="2:14" ht="15.95" customHeight="1" x14ac:dyDescent="0.25">
      <c r="B6" s="218" t="s">
        <v>0</v>
      </c>
      <c r="C6" s="228" t="s">
        <v>5</v>
      </c>
      <c r="D6" s="230" t="s">
        <v>1</v>
      </c>
      <c r="E6" s="230"/>
      <c r="F6" s="230"/>
      <c r="G6" s="230" t="s">
        <v>2</v>
      </c>
      <c r="H6" s="230"/>
      <c r="I6" s="231" t="s">
        <v>6</v>
      </c>
      <c r="J6" s="231" t="s">
        <v>7</v>
      </c>
      <c r="K6" s="233" t="s">
        <v>8</v>
      </c>
    </row>
    <row r="7" spans="2:14" ht="35.1" customHeight="1" thickBot="1" x14ac:dyDescent="0.3">
      <c r="B7" s="218"/>
      <c r="C7" s="229"/>
      <c r="D7" s="184" t="s">
        <v>9</v>
      </c>
      <c r="E7" s="184" t="s">
        <v>10</v>
      </c>
      <c r="F7" s="184" t="s">
        <v>11</v>
      </c>
      <c r="G7" s="184" t="s">
        <v>12</v>
      </c>
      <c r="H7" s="184" t="s">
        <v>64</v>
      </c>
      <c r="I7" s="232"/>
      <c r="J7" s="232"/>
      <c r="K7" s="234"/>
    </row>
    <row r="8" spans="2:14" ht="15" customHeight="1" x14ac:dyDescent="0.25">
      <c r="B8" s="8">
        <v>2014</v>
      </c>
      <c r="C8" s="80">
        <v>41952.90625</v>
      </c>
      <c r="D8" s="152">
        <v>8.15</v>
      </c>
      <c r="E8" s="10">
        <v>15.15</v>
      </c>
      <c r="F8" s="81"/>
      <c r="G8" s="11">
        <f>0.0477*B8-80.275</f>
        <v>15.7928</v>
      </c>
      <c r="H8" s="82"/>
      <c r="I8" s="153">
        <v>20</v>
      </c>
      <c r="J8" s="153">
        <f>I8-10</f>
        <v>10</v>
      </c>
      <c r="K8" s="189">
        <f>E8/I8</f>
        <v>0.75750000000000006</v>
      </c>
      <c r="L8" s="1"/>
    </row>
    <row r="9" spans="2:14" ht="15" customHeight="1" x14ac:dyDescent="0.25">
      <c r="B9" s="15">
        <v>2015</v>
      </c>
      <c r="C9" s="24">
        <v>42178.864583333336</v>
      </c>
      <c r="D9" s="149">
        <v>16.43</v>
      </c>
      <c r="E9" s="17">
        <v>16.77</v>
      </c>
      <c r="F9" s="147">
        <f t="shared" ref="F9:F15" si="0">(E9-E8)/E8</f>
        <v>0.10693069306930687</v>
      </c>
      <c r="G9" s="146">
        <f t="shared" ref="G9:G24" si="1">0.0477*B9-80.275</f>
        <v>15.840499999999992</v>
      </c>
      <c r="H9" s="148"/>
      <c r="I9" s="151">
        <v>20</v>
      </c>
      <c r="J9" s="151">
        <f t="shared" ref="J9:J24" si="2">I9-10</f>
        <v>10</v>
      </c>
      <c r="K9" s="190">
        <f t="shared" ref="K9:K14" si="3">E9/I9</f>
        <v>0.83850000000000002</v>
      </c>
      <c r="L9" s="1"/>
    </row>
    <row r="10" spans="2:14" ht="15" customHeight="1" x14ac:dyDescent="0.25">
      <c r="B10" s="15">
        <v>2016</v>
      </c>
      <c r="C10" s="24">
        <v>42548.90625</v>
      </c>
      <c r="D10" s="149">
        <v>17.649999999999999</v>
      </c>
      <c r="E10" s="17">
        <v>17.899999999999999</v>
      </c>
      <c r="F10" s="147">
        <f t="shared" si="0"/>
        <v>6.7382230172927784E-2</v>
      </c>
      <c r="G10" s="146">
        <f t="shared" si="1"/>
        <v>15.888199999999998</v>
      </c>
      <c r="H10" s="146"/>
      <c r="I10" s="151">
        <v>20</v>
      </c>
      <c r="J10" s="151">
        <f t="shared" si="2"/>
        <v>10</v>
      </c>
      <c r="K10" s="191">
        <f t="shared" si="3"/>
        <v>0.89499999999999991</v>
      </c>
      <c r="L10" s="1"/>
    </row>
    <row r="11" spans="2:14" ht="15" customHeight="1" x14ac:dyDescent="0.25">
      <c r="B11" s="15">
        <v>2017</v>
      </c>
      <c r="C11" s="24">
        <v>42933.899305555555</v>
      </c>
      <c r="D11" s="149">
        <v>13.9</v>
      </c>
      <c r="E11" s="17">
        <v>14.28</v>
      </c>
      <c r="F11" s="147">
        <f t="shared" si="0"/>
        <v>-0.20223463687150836</v>
      </c>
      <c r="G11" s="146">
        <f t="shared" si="1"/>
        <v>15.93589999999999</v>
      </c>
      <c r="H11" s="146"/>
      <c r="I11" s="151">
        <v>20</v>
      </c>
      <c r="J11" s="151">
        <f t="shared" si="2"/>
        <v>10</v>
      </c>
      <c r="K11" s="190">
        <f t="shared" si="3"/>
        <v>0.71399999999999997</v>
      </c>
      <c r="L11" s="1"/>
    </row>
    <row r="12" spans="2:14" ht="15" customHeight="1" x14ac:dyDescent="0.25">
      <c r="B12" s="15">
        <v>2018</v>
      </c>
      <c r="C12" s="24">
        <v>43305.878472222219</v>
      </c>
      <c r="D12" s="149">
        <v>15.92</v>
      </c>
      <c r="E12" s="17">
        <v>16.09</v>
      </c>
      <c r="F12" s="147">
        <f t="shared" si="0"/>
        <v>0.12675070028011209</v>
      </c>
      <c r="G12" s="146">
        <f t="shared" si="1"/>
        <v>15.983599999999996</v>
      </c>
      <c r="H12" s="146"/>
      <c r="I12" s="151">
        <v>20</v>
      </c>
      <c r="J12" s="151">
        <f t="shared" si="2"/>
        <v>10</v>
      </c>
      <c r="K12" s="190">
        <f t="shared" si="3"/>
        <v>0.80449999999999999</v>
      </c>
      <c r="L12" s="1"/>
    </row>
    <row r="13" spans="2:14" ht="15" customHeight="1" x14ac:dyDescent="0.25">
      <c r="B13" s="15">
        <v>2019</v>
      </c>
      <c r="C13" s="24">
        <v>43669.861111111109</v>
      </c>
      <c r="D13" s="149">
        <v>14.3</v>
      </c>
      <c r="E13" s="17">
        <v>14.33</v>
      </c>
      <c r="F13" s="147">
        <f t="shared" si="0"/>
        <v>-0.1093847110006215</v>
      </c>
      <c r="G13" s="146">
        <f t="shared" si="1"/>
        <v>16.031299999999987</v>
      </c>
      <c r="H13" s="146"/>
      <c r="I13" s="151">
        <v>20</v>
      </c>
      <c r="J13" s="151">
        <f t="shared" si="2"/>
        <v>10</v>
      </c>
      <c r="K13" s="190">
        <f t="shared" si="3"/>
        <v>0.71650000000000003</v>
      </c>
      <c r="L13" s="1"/>
      <c r="N13" s="35"/>
    </row>
    <row r="14" spans="2:14" ht="15" customHeight="1" x14ac:dyDescent="0.25">
      <c r="B14" s="15">
        <v>2020</v>
      </c>
      <c r="C14" s="24">
        <v>44020.875</v>
      </c>
      <c r="D14" s="149">
        <v>16.5</v>
      </c>
      <c r="E14" s="17">
        <v>16.79</v>
      </c>
      <c r="F14" s="147">
        <f t="shared" si="0"/>
        <v>0.17166782972784361</v>
      </c>
      <c r="G14" s="146">
        <f t="shared" si="1"/>
        <v>16.078999999999994</v>
      </c>
      <c r="H14" s="146"/>
      <c r="I14" s="151">
        <v>20</v>
      </c>
      <c r="J14" s="151">
        <f t="shared" si="2"/>
        <v>10</v>
      </c>
      <c r="K14" s="190">
        <f t="shared" si="3"/>
        <v>0.83949999999999991</v>
      </c>
      <c r="L14" s="1"/>
      <c r="M14" s="75"/>
    </row>
    <row r="15" spans="2:14" ht="15" customHeight="1" x14ac:dyDescent="0.25">
      <c r="B15" s="15">
        <v>2021</v>
      </c>
      <c r="C15" s="24">
        <v>44375.854166666664</v>
      </c>
      <c r="D15" s="15">
        <v>16.82</v>
      </c>
      <c r="E15" s="150">
        <v>16.98</v>
      </c>
      <c r="F15" s="147">
        <f t="shared" si="0"/>
        <v>1.1316259678380064E-2</v>
      </c>
      <c r="G15" s="146">
        <f t="shared" si="1"/>
        <v>16.1267</v>
      </c>
      <c r="H15" s="146">
        <f>E15</f>
        <v>16.98</v>
      </c>
      <c r="I15" s="151">
        <v>20</v>
      </c>
      <c r="J15" s="151">
        <f t="shared" si="2"/>
        <v>10</v>
      </c>
      <c r="K15" s="190">
        <f>E15/I15</f>
        <v>0.84899999999999998</v>
      </c>
      <c r="L15" s="1"/>
    </row>
    <row r="16" spans="2:14" ht="15" customHeight="1" x14ac:dyDescent="0.25">
      <c r="B16" s="15">
        <v>2022</v>
      </c>
      <c r="C16" s="27">
        <v>2022</v>
      </c>
      <c r="D16" s="164"/>
      <c r="E16" s="36"/>
      <c r="F16" s="165"/>
      <c r="G16" s="166">
        <f t="shared" si="1"/>
        <v>16.174399999999991</v>
      </c>
      <c r="H16" s="166">
        <f>1.03*H15</f>
        <v>17.4894</v>
      </c>
      <c r="I16" s="167">
        <v>20</v>
      </c>
      <c r="J16" s="167">
        <f t="shared" si="2"/>
        <v>10</v>
      </c>
      <c r="K16" s="168">
        <f>H16/I16</f>
        <v>0.87446999999999997</v>
      </c>
      <c r="L16" s="1"/>
    </row>
    <row r="17" spans="2:14" ht="15" customHeight="1" x14ac:dyDescent="0.25">
      <c r="B17" s="15">
        <v>2023</v>
      </c>
      <c r="C17" s="27">
        <v>2023</v>
      </c>
      <c r="D17" s="169"/>
      <c r="E17" s="38"/>
      <c r="F17" s="170"/>
      <c r="G17" s="166">
        <f t="shared" si="1"/>
        <v>16.222099999999998</v>
      </c>
      <c r="H17" s="166">
        <f t="shared" ref="H17:H24" si="4">1.03*H16</f>
        <v>18.014082000000002</v>
      </c>
      <c r="I17" s="167">
        <v>20</v>
      </c>
      <c r="J17" s="167">
        <f t="shared" si="2"/>
        <v>10</v>
      </c>
      <c r="K17" s="168">
        <f t="shared" ref="K17:K24" si="5">H17/I17</f>
        <v>0.90070410000000012</v>
      </c>
      <c r="L17" s="1"/>
    </row>
    <row r="18" spans="2:14" ht="15" customHeight="1" x14ac:dyDescent="0.25">
      <c r="B18" s="15">
        <v>2024</v>
      </c>
      <c r="C18" s="41">
        <v>2024</v>
      </c>
      <c r="D18" s="169"/>
      <c r="E18" s="38"/>
      <c r="F18" s="170"/>
      <c r="G18" s="166">
        <f t="shared" si="1"/>
        <v>16.269799999999989</v>
      </c>
      <c r="H18" s="166">
        <f t="shared" si="4"/>
        <v>18.554504460000004</v>
      </c>
      <c r="I18" s="167">
        <v>20</v>
      </c>
      <c r="J18" s="167">
        <f t="shared" si="2"/>
        <v>10</v>
      </c>
      <c r="K18" s="191">
        <f t="shared" si="5"/>
        <v>0.92772522300000015</v>
      </c>
      <c r="L18" s="1"/>
    </row>
    <row r="19" spans="2:14" ht="15" customHeight="1" x14ac:dyDescent="0.25">
      <c r="B19" s="15">
        <v>2025</v>
      </c>
      <c r="C19" s="41">
        <v>2025</v>
      </c>
      <c r="D19" s="169"/>
      <c r="E19" s="38"/>
      <c r="F19" s="170"/>
      <c r="G19" s="166">
        <f t="shared" si="1"/>
        <v>16.317499999999995</v>
      </c>
      <c r="H19" s="166">
        <f t="shared" si="4"/>
        <v>19.111139593800004</v>
      </c>
      <c r="I19" s="167">
        <v>20</v>
      </c>
      <c r="J19" s="167">
        <f t="shared" si="2"/>
        <v>10</v>
      </c>
      <c r="K19" s="191">
        <f t="shared" si="5"/>
        <v>0.9555569796900002</v>
      </c>
      <c r="L19" s="1"/>
      <c r="N19" s="35"/>
    </row>
    <row r="20" spans="2:14" ht="15" customHeight="1" x14ac:dyDescent="0.25">
      <c r="B20" s="15">
        <v>2026</v>
      </c>
      <c r="C20" s="41">
        <v>2026</v>
      </c>
      <c r="D20" s="169"/>
      <c r="E20" s="38"/>
      <c r="F20" s="170"/>
      <c r="G20" s="166">
        <f t="shared" si="1"/>
        <v>16.365199999999987</v>
      </c>
      <c r="H20" s="166">
        <f t="shared" si="4"/>
        <v>19.684473781614006</v>
      </c>
      <c r="I20" s="167">
        <v>20</v>
      </c>
      <c r="J20" s="167">
        <f t="shared" si="2"/>
        <v>10</v>
      </c>
      <c r="K20" s="191">
        <f t="shared" si="5"/>
        <v>0.98422368908070035</v>
      </c>
      <c r="L20" s="1"/>
    </row>
    <row r="21" spans="2:14" ht="15" customHeight="1" x14ac:dyDescent="0.25">
      <c r="B21" s="15">
        <v>2027</v>
      </c>
      <c r="C21" s="41">
        <v>2027</v>
      </c>
      <c r="D21" s="164"/>
      <c r="E21" s="36"/>
      <c r="F21" s="171"/>
      <c r="G21" s="166">
        <f t="shared" si="1"/>
        <v>16.412899999999993</v>
      </c>
      <c r="H21" s="166">
        <f t="shared" si="4"/>
        <v>20.275007995062428</v>
      </c>
      <c r="I21" s="167">
        <v>20</v>
      </c>
      <c r="J21" s="167">
        <f t="shared" si="2"/>
        <v>10</v>
      </c>
      <c r="K21" s="78">
        <f t="shared" si="5"/>
        <v>1.0137503997531214</v>
      </c>
      <c r="L21" s="1"/>
    </row>
    <row r="22" spans="2:14" ht="15" customHeight="1" x14ac:dyDescent="0.25">
      <c r="B22" s="144">
        <v>2028</v>
      </c>
      <c r="C22" s="172">
        <v>2028</v>
      </c>
      <c r="D22" s="173"/>
      <c r="E22" s="174"/>
      <c r="F22" s="175"/>
      <c r="G22" s="166">
        <f t="shared" si="1"/>
        <v>16.460599999999999</v>
      </c>
      <c r="H22" s="166">
        <f t="shared" si="4"/>
        <v>20.883258234914301</v>
      </c>
      <c r="I22" s="167">
        <v>20</v>
      </c>
      <c r="J22" s="167">
        <f t="shared" si="2"/>
        <v>10</v>
      </c>
      <c r="K22" s="78">
        <f t="shared" si="5"/>
        <v>1.044162911745715</v>
      </c>
    </row>
    <row r="23" spans="2:14" x14ac:dyDescent="0.25">
      <c r="B23" s="144">
        <v>2029</v>
      </c>
      <c r="C23" s="172">
        <v>2029</v>
      </c>
      <c r="D23" s="176"/>
      <c r="E23" s="177"/>
      <c r="F23" s="178"/>
      <c r="G23" s="166">
        <f t="shared" si="1"/>
        <v>16.508299999999991</v>
      </c>
      <c r="H23" s="166">
        <f t="shared" si="4"/>
        <v>21.509755981961732</v>
      </c>
      <c r="I23" s="167">
        <v>20</v>
      </c>
      <c r="J23" s="167">
        <f t="shared" si="2"/>
        <v>10</v>
      </c>
      <c r="K23" s="78">
        <f t="shared" si="5"/>
        <v>1.0754877990980867</v>
      </c>
    </row>
    <row r="24" spans="2:14" ht="15.75" thickBot="1" x14ac:dyDescent="0.3">
      <c r="B24" s="145">
        <v>2030</v>
      </c>
      <c r="C24" s="179">
        <v>2030</v>
      </c>
      <c r="D24" s="180"/>
      <c r="E24" s="181"/>
      <c r="F24" s="182"/>
      <c r="G24" s="185">
        <f t="shared" si="1"/>
        <v>16.555999999999997</v>
      </c>
      <c r="H24" s="185">
        <f t="shared" si="4"/>
        <v>22.155048661420583</v>
      </c>
      <c r="I24" s="183">
        <v>20</v>
      </c>
      <c r="J24" s="183">
        <f t="shared" si="2"/>
        <v>10</v>
      </c>
      <c r="K24" s="188">
        <f t="shared" si="5"/>
        <v>1.1077524330710291</v>
      </c>
    </row>
    <row r="25" spans="2:14" x14ac:dyDescent="0.25">
      <c r="D25" s="51"/>
      <c r="E25" s="51"/>
      <c r="F25" s="51"/>
    </row>
    <row r="26" spans="2:14" x14ac:dyDescent="0.25">
      <c r="D26" s="51"/>
      <c r="E26" s="51"/>
      <c r="F26" s="51"/>
    </row>
    <row r="27" spans="2:14" x14ac:dyDescent="0.25">
      <c r="C27" s="51"/>
    </row>
    <row r="28" spans="2:14" x14ac:dyDescent="0.25">
      <c r="C28" s="51"/>
    </row>
    <row r="29" spans="2:14" x14ac:dyDescent="0.25">
      <c r="C29" s="51"/>
    </row>
    <row r="38" spans="15:18" x14ac:dyDescent="0.25">
      <c r="O38">
        <v>2026</v>
      </c>
      <c r="P38" s="35">
        <v>20</v>
      </c>
      <c r="Q38" s="84"/>
      <c r="R38" s="186"/>
    </row>
    <row r="39" spans="15:18" x14ac:dyDescent="0.25">
      <c r="O39">
        <v>2026</v>
      </c>
      <c r="P39" s="35">
        <v>15</v>
      </c>
      <c r="Q39" s="84"/>
      <c r="R39" s="186"/>
    </row>
    <row r="40" spans="15:18" x14ac:dyDescent="0.25">
      <c r="O40">
        <v>2026</v>
      </c>
      <c r="P40" s="35">
        <v>10</v>
      </c>
      <c r="Q40" s="84"/>
      <c r="R40" s="186"/>
    </row>
    <row r="41" spans="15:18" x14ac:dyDescent="0.25">
      <c r="O41">
        <v>2026</v>
      </c>
      <c r="P41" s="35">
        <v>5</v>
      </c>
      <c r="Q41" s="84"/>
      <c r="R41" s="186"/>
    </row>
    <row r="42" spans="15:18" x14ac:dyDescent="0.25">
      <c r="O42">
        <v>2026</v>
      </c>
      <c r="P42" s="35">
        <v>0</v>
      </c>
      <c r="Q42" s="84"/>
      <c r="R42" s="186"/>
    </row>
    <row r="43" spans="15:18" x14ac:dyDescent="0.25">
      <c r="P43" s="35"/>
      <c r="Q43" s="84"/>
      <c r="R43" s="186"/>
    </row>
    <row r="44" spans="15:18" x14ac:dyDescent="0.25">
      <c r="P44" s="35"/>
      <c r="Q44" s="187"/>
      <c r="R44" s="186"/>
    </row>
    <row r="45" spans="15:18" x14ac:dyDescent="0.25">
      <c r="P45" s="35"/>
      <c r="Q45" s="187"/>
      <c r="R45" s="186"/>
    </row>
    <row r="59" spans="1:21" s="1" customFormat="1" ht="18" x14ac:dyDescent="0.25">
      <c r="A59" s="226" t="s">
        <v>16</v>
      </c>
      <c r="B59" s="226"/>
      <c r="C59" s="226"/>
      <c r="D59" s="226"/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52"/>
    </row>
    <row r="60" spans="1:21" s="1" customFormat="1" ht="18" x14ac:dyDescent="0.25">
      <c r="A60" s="227" t="s">
        <v>17</v>
      </c>
      <c r="B60" s="227"/>
      <c r="C60" s="227"/>
      <c r="D60" s="227"/>
      <c r="E60" s="227"/>
      <c r="F60" s="227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27"/>
      <c r="R60" s="227"/>
      <c r="S60" s="227"/>
      <c r="T60" s="227"/>
      <c r="U60" s="52"/>
    </row>
    <row r="61" spans="1:21" s="1" customFormat="1" ht="12.95" customHeight="1" x14ac:dyDescent="0.25">
      <c r="A61" s="53"/>
      <c r="B61" s="53"/>
      <c r="C61" s="53"/>
      <c r="D61" s="53"/>
      <c r="E61" s="53"/>
      <c r="F61" s="53"/>
      <c r="G61" s="53"/>
      <c r="H61" s="54"/>
      <c r="I61" s="53"/>
      <c r="J61" s="55"/>
      <c r="K61" s="54"/>
      <c r="L61" s="53"/>
      <c r="M61" s="55"/>
      <c r="N61" s="54"/>
      <c r="O61" s="53"/>
      <c r="P61" s="55"/>
      <c r="Q61" s="54"/>
      <c r="R61" s="53"/>
      <c r="S61" s="56"/>
      <c r="T61" s="57"/>
      <c r="U61" s="52"/>
    </row>
    <row r="63" spans="1:21" x14ac:dyDescent="0.25">
      <c r="A63" s="195" t="s">
        <v>62</v>
      </c>
      <c r="B63" s="195" t="s">
        <v>19</v>
      </c>
      <c r="C63" s="195" t="s">
        <v>20</v>
      </c>
      <c r="D63" s="198" t="s">
        <v>21</v>
      </c>
      <c r="E63" s="199"/>
      <c r="F63" s="192">
        <v>2022</v>
      </c>
      <c r="G63" s="193"/>
      <c r="H63" s="194"/>
      <c r="I63" s="192">
        <f>+F63+1</f>
        <v>2023</v>
      </c>
      <c r="J63" s="193"/>
      <c r="K63" s="194"/>
      <c r="L63" s="192">
        <f t="shared" ref="L63" si="6">+I63+1</f>
        <v>2024</v>
      </c>
      <c r="M63" s="193"/>
      <c r="N63" s="194"/>
      <c r="O63" s="192">
        <f t="shared" ref="O63" si="7">+L63+1</f>
        <v>2025</v>
      </c>
      <c r="P63" s="193"/>
      <c r="Q63" s="194"/>
      <c r="R63" s="192">
        <f t="shared" ref="R63" si="8">+O63+1</f>
        <v>2026</v>
      </c>
      <c r="S63" s="193"/>
      <c r="T63" s="194"/>
    </row>
    <row r="64" spans="1:21" x14ac:dyDescent="0.25">
      <c r="A64" s="196"/>
      <c r="B64" s="196"/>
      <c r="C64" s="196"/>
      <c r="D64" s="200"/>
      <c r="E64" s="201"/>
      <c r="F64" s="160" t="s">
        <v>63</v>
      </c>
      <c r="G64" s="192" t="s">
        <v>23</v>
      </c>
      <c r="H64" s="194"/>
      <c r="I64" s="160" t="s">
        <v>63</v>
      </c>
      <c r="J64" s="192" t="s">
        <v>23</v>
      </c>
      <c r="K64" s="194"/>
      <c r="L64" s="156" t="s">
        <v>63</v>
      </c>
      <c r="M64" s="192" t="s">
        <v>23</v>
      </c>
      <c r="N64" s="194"/>
      <c r="O64" s="156" t="s">
        <v>63</v>
      </c>
      <c r="P64" s="192" t="s">
        <v>23</v>
      </c>
      <c r="Q64" s="194"/>
      <c r="R64" s="156" t="s">
        <v>63</v>
      </c>
      <c r="S64" s="192" t="s">
        <v>23</v>
      </c>
      <c r="T64" s="194"/>
    </row>
    <row r="65" spans="1:23" x14ac:dyDescent="0.25">
      <c r="A65" s="197"/>
      <c r="B65" s="197"/>
      <c r="C65" s="197"/>
      <c r="D65" s="192" t="s">
        <v>24</v>
      </c>
      <c r="E65" s="199"/>
      <c r="F65" s="161" t="s">
        <v>24</v>
      </c>
      <c r="G65" s="162" t="s">
        <v>24</v>
      </c>
      <c r="H65" s="162" t="s">
        <v>25</v>
      </c>
      <c r="I65" s="161" t="s">
        <v>24</v>
      </c>
      <c r="J65" s="163" t="s">
        <v>24</v>
      </c>
      <c r="K65" s="162" t="s">
        <v>25</v>
      </c>
      <c r="L65" s="162" t="s">
        <v>24</v>
      </c>
      <c r="M65" s="162" t="s">
        <v>24</v>
      </c>
      <c r="N65" s="162" t="s">
        <v>25</v>
      </c>
      <c r="O65" s="162" t="s">
        <v>24</v>
      </c>
      <c r="P65" s="162" t="s">
        <v>24</v>
      </c>
      <c r="Q65" s="162" t="s">
        <v>25</v>
      </c>
      <c r="R65" s="162" t="s">
        <v>24</v>
      </c>
      <c r="S65" s="162" t="s">
        <v>24</v>
      </c>
      <c r="T65" s="162" t="s">
        <v>25</v>
      </c>
    </row>
    <row r="66" spans="1:23" x14ac:dyDescent="0.25">
      <c r="A66" s="208">
        <v>6565</v>
      </c>
      <c r="B66" s="208" t="s">
        <v>51</v>
      </c>
      <c r="C66" s="154" t="s">
        <v>52</v>
      </c>
      <c r="D66" s="155">
        <v>10</v>
      </c>
      <c r="E66" s="210">
        <v>20</v>
      </c>
      <c r="F66" s="211">
        <v>20</v>
      </c>
      <c r="G66" s="204">
        <v>12.194320959905387</v>
      </c>
      <c r="H66" s="206">
        <v>0.60971604799526935</v>
      </c>
      <c r="I66" s="207">
        <v>20</v>
      </c>
      <c r="J66" s="204">
        <v>12.55074202195962</v>
      </c>
      <c r="K66" s="206">
        <v>0.627537101097981</v>
      </c>
      <c r="L66" s="203">
        <v>20</v>
      </c>
      <c r="M66" s="204">
        <v>12.921876914922983</v>
      </c>
      <c r="N66" s="206">
        <v>0.64609384574614914</v>
      </c>
      <c r="O66" s="203">
        <v>20</v>
      </c>
      <c r="P66" s="204">
        <v>13.307007301586889</v>
      </c>
      <c r="Q66" s="206">
        <v>0.66535036507934442</v>
      </c>
      <c r="R66" s="203">
        <v>20</v>
      </c>
      <c r="S66" s="204">
        <v>13.700031076200347</v>
      </c>
      <c r="T66" s="206">
        <v>0.68500155381001737</v>
      </c>
    </row>
    <row r="67" spans="1:23" x14ac:dyDescent="0.25">
      <c r="A67" s="209"/>
      <c r="B67" s="209"/>
      <c r="C67" s="154" t="s">
        <v>52</v>
      </c>
      <c r="D67" s="155">
        <v>10</v>
      </c>
      <c r="E67" s="210"/>
      <c r="F67" s="211"/>
      <c r="G67" s="205"/>
      <c r="H67" s="206"/>
      <c r="I67" s="207"/>
      <c r="J67" s="205"/>
      <c r="K67" s="206"/>
      <c r="L67" s="203"/>
      <c r="M67" s="205"/>
      <c r="N67" s="206"/>
      <c r="O67" s="203"/>
      <c r="P67" s="205"/>
      <c r="Q67" s="206"/>
      <c r="R67" s="203"/>
      <c r="S67" s="205"/>
      <c r="T67" s="206"/>
    </row>
    <row r="68" spans="1:23" x14ac:dyDescent="0.25">
      <c r="E68" s="35"/>
      <c r="J68">
        <f>J66/G66</f>
        <v>1.0292284468504753</v>
      </c>
      <c r="M68" s="2">
        <f>1.03*J66</f>
        <v>12.927264282618408</v>
      </c>
      <c r="P68">
        <f>1.03*M66</f>
        <v>13.309533222370673</v>
      </c>
      <c r="S68">
        <f>1.03*P66</f>
        <v>13.706217520634496</v>
      </c>
    </row>
    <row r="69" spans="1:23" x14ac:dyDescent="0.25">
      <c r="E69" s="35"/>
      <c r="J69">
        <f>1.03*G66</f>
        <v>12.560150588702548</v>
      </c>
    </row>
    <row r="70" spans="1:23" x14ac:dyDescent="0.25">
      <c r="E70" s="74"/>
    </row>
    <row r="71" spans="1:23" x14ac:dyDescent="0.25">
      <c r="A71" s="202" t="s">
        <v>53</v>
      </c>
      <c r="B71" s="202" t="s">
        <v>54</v>
      </c>
      <c r="C71" s="202" t="s">
        <v>55</v>
      </c>
      <c r="D71" s="202">
        <v>2022</v>
      </c>
      <c r="E71" s="202"/>
      <c r="F71" s="202"/>
      <c r="G71" s="202"/>
      <c r="H71" s="202">
        <f>+D71+1</f>
        <v>2023</v>
      </c>
      <c r="I71" s="202"/>
      <c r="J71" s="202"/>
      <c r="K71" s="202"/>
      <c r="L71" s="202">
        <f t="shared" ref="L71" si="9">+H71+1</f>
        <v>2024</v>
      </c>
      <c r="M71" s="202"/>
      <c r="N71" s="202"/>
      <c r="O71" s="202"/>
      <c r="P71" s="202">
        <f t="shared" ref="P71" si="10">+L71+1</f>
        <v>2025</v>
      </c>
      <c r="Q71" s="202"/>
      <c r="R71" s="202"/>
      <c r="S71" s="202"/>
      <c r="T71" s="202">
        <f t="shared" ref="T71" si="11">+P71+1</f>
        <v>2026</v>
      </c>
      <c r="U71" s="202"/>
      <c r="V71" s="202"/>
      <c r="W71" s="202"/>
    </row>
    <row r="72" spans="1:23" x14ac:dyDescent="0.25">
      <c r="A72" s="202"/>
      <c r="B72" s="202"/>
      <c r="C72" s="202"/>
      <c r="D72" s="202" t="s">
        <v>56</v>
      </c>
      <c r="E72" s="202"/>
      <c r="F72" s="202" t="s">
        <v>57</v>
      </c>
      <c r="G72" s="202"/>
      <c r="H72" s="202" t="s">
        <v>56</v>
      </c>
      <c r="I72" s="202"/>
      <c r="J72" s="202" t="s">
        <v>57</v>
      </c>
      <c r="K72" s="202"/>
      <c r="L72" s="202" t="s">
        <v>56</v>
      </c>
      <c r="M72" s="202"/>
      <c r="N72" s="202" t="s">
        <v>57</v>
      </c>
      <c r="O72" s="202"/>
      <c r="P72" s="202" t="s">
        <v>56</v>
      </c>
      <c r="Q72" s="202"/>
      <c r="R72" s="202" t="s">
        <v>57</v>
      </c>
      <c r="S72" s="202"/>
      <c r="T72" s="202" t="s">
        <v>56</v>
      </c>
      <c r="U72" s="202"/>
      <c r="V72" s="202" t="s">
        <v>57</v>
      </c>
      <c r="W72" s="202"/>
    </row>
    <row r="73" spans="1:23" x14ac:dyDescent="0.25">
      <c r="A73" s="202"/>
      <c r="B73" s="202"/>
      <c r="C73" s="202"/>
      <c r="D73" s="156" t="s">
        <v>58</v>
      </c>
      <c r="E73" s="156" t="s">
        <v>59</v>
      </c>
      <c r="F73" s="156" t="s">
        <v>58</v>
      </c>
      <c r="G73" s="156" t="s">
        <v>59</v>
      </c>
      <c r="H73" s="156" t="s">
        <v>58</v>
      </c>
      <c r="I73" s="156" t="s">
        <v>59</v>
      </c>
      <c r="J73" s="156" t="s">
        <v>58</v>
      </c>
      <c r="K73" s="156" t="s">
        <v>59</v>
      </c>
      <c r="L73" s="156" t="s">
        <v>58</v>
      </c>
      <c r="M73" s="156" t="s">
        <v>59</v>
      </c>
      <c r="N73" s="156" t="s">
        <v>58</v>
      </c>
      <c r="O73" s="156" t="s">
        <v>59</v>
      </c>
      <c r="P73" s="156" t="s">
        <v>58</v>
      </c>
      <c r="Q73" s="156" t="s">
        <v>59</v>
      </c>
      <c r="R73" s="156" t="s">
        <v>58</v>
      </c>
      <c r="S73" s="156" t="s">
        <v>59</v>
      </c>
      <c r="T73" s="156" t="s">
        <v>58</v>
      </c>
      <c r="U73" s="156" t="s">
        <v>59</v>
      </c>
      <c r="V73" s="156" t="s">
        <v>58</v>
      </c>
      <c r="W73" s="156" t="s">
        <v>59</v>
      </c>
    </row>
    <row r="74" spans="1:23" x14ac:dyDescent="0.25">
      <c r="A74" s="157" t="s">
        <v>60</v>
      </c>
      <c r="B74" s="155" t="s">
        <v>61</v>
      </c>
      <c r="C74" s="158" t="s">
        <v>52</v>
      </c>
      <c r="D74" s="159">
        <v>12.803654694291943</v>
      </c>
      <c r="E74" s="159">
        <v>3.2917749700653247</v>
      </c>
      <c r="F74" s="159">
        <v>3.8552842274004697</v>
      </c>
      <c r="G74" s="159">
        <v>0.69637332903306914</v>
      </c>
      <c r="H74" s="159">
        <v>13.229908012471153</v>
      </c>
      <c r="I74" s="159">
        <v>3.401363211641002</v>
      </c>
      <c r="J74" s="159">
        <v>3.9923849532531537</v>
      </c>
      <c r="K74" s="159">
        <v>0.72113759626823981</v>
      </c>
      <c r="L74" s="159">
        <v>13.736008060248491</v>
      </c>
      <c r="M74" s="159">
        <v>3.531479768936554</v>
      </c>
      <c r="N74" s="159">
        <v>4.1503330238476615</v>
      </c>
      <c r="O74" s="159">
        <v>0.74966748336515354</v>
      </c>
      <c r="P74" s="159">
        <v>14.263942241157149</v>
      </c>
      <c r="Q74" s="159">
        <v>3.6672098057151792</v>
      </c>
      <c r="R74" s="159">
        <v>4.3149995901391671</v>
      </c>
      <c r="S74" s="159">
        <v>0.77941092073194373</v>
      </c>
      <c r="T74" s="159">
        <v>14.844601303516352</v>
      </c>
      <c r="U74" s="159">
        <v>3.8164952256404567</v>
      </c>
      <c r="V74" s="159">
        <v>4.4946331541380715</v>
      </c>
      <c r="W74" s="159">
        <v>0.81185782103541082</v>
      </c>
    </row>
    <row r="75" spans="1:23" x14ac:dyDescent="0.25">
      <c r="E75" s="142">
        <f>SQRT(D74*D74+E74*E74)</f>
        <v>13.220036156690824</v>
      </c>
      <c r="I75" s="142">
        <f t="shared" ref="I75:U75" si="12">SQRT(H74*H74+I74*I74)</f>
        <v>13.660151452892212</v>
      </c>
      <c r="M75" s="142">
        <f t="shared" si="12"/>
        <v>14.182710135570694</v>
      </c>
      <c r="Q75" s="142">
        <f t="shared" si="12"/>
        <v>14.72781300866496</v>
      </c>
      <c r="U75" s="142">
        <f t="shared" si="12"/>
        <v>15.327355403581395</v>
      </c>
    </row>
    <row r="137" spans="2:11" ht="15.75" thickBot="1" x14ac:dyDescent="0.3"/>
    <row r="138" spans="2:11" ht="16.5" thickBot="1" x14ac:dyDescent="0.3">
      <c r="B138"/>
      <c r="C138" s="212" t="s">
        <v>3</v>
      </c>
      <c r="D138" s="213"/>
      <c r="E138" s="213"/>
      <c r="F138" s="213"/>
      <c r="G138" s="213"/>
      <c r="H138" s="213"/>
      <c r="I138" s="213"/>
      <c r="J138" s="213"/>
      <c r="K138" s="214"/>
    </row>
    <row r="139" spans="2:11" ht="15.75" thickBot="1" x14ac:dyDescent="0.3">
      <c r="B139"/>
      <c r="C139" s="215" t="s">
        <v>4</v>
      </c>
      <c r="D139" s="216"/>
      <c r="E139" s="216"/>
      <c r="F139" s="216"/>
      <c r="G139" s="216"/>
      <c r="H139" s="216"/>
      <c r="I139" s="216"/>
      <c r="J139" s="216"/>
      <c r="K139" s="217"/>
    </row>
    <row r="140" spans="2:11" ht="15.75" thickBot="1" x14ac:dyDescent="0.3">
      <c r="B140" s="218" t="s">
        <v>0</v>
      </c>
      <c r="C140" s="219" t="s">
        <v>5</v>
      </c>
      <c r="D140" s="221" t="s">
        <v>1</v>
      </c>
      <c r="E140" s="222"/>
      <c r="F140" s="223"/>
      <c r="G140" s="221" t="s">
        <v>2</v>
      </c>
      <c r="H140" s="223"/>
      <c r="I140" s="219" t="s">
        <v>6</v>
      </c>
      <c r="J140" s="219" t="s">
        <v>7</v>
      </c>
      <c r="K140" s="224" t="s">
        <v>8</v>
      </c>
    </row>
    <row r="141" spans="2:11" ht="34.5" thickBot="1" x14ac:dyDescent="0.3">
      <c r="B141" s="218"/>
      <c r="C141" s="220"/>
      <c r="D141" s="5" t="s">
        <v>9</v>
      </c>
      <c r="E141" s="5" t="s">
        <v>10</v>
      </c>
      <c r="F141" s="5" t="s">
        <v>11</v>
      </c>
      <c r="G141" s="6" t="s">
        <v>12</v>
      </c>
      <c r="H141" s="7" t="s">
        <v>13</v>
      </c>
      <c r="I141" s="220"/>
      <c r="J141" s="220"/>
      <c r="K141" s="225"/>
    </row>
    <row r="142" spans="2:11" x14ac:dyDescent="0.25">
      <c r="B142" s="8">
        <v>1998</v>
      </c>
      <c r="C142" s="9">
        <v>1998</v>
      </c>
      <c r="D142" s="10">
        <v>4.75</v>
      </c>
      <c r="E142" s="11">
        <v>4.922907664588549</v>
      </c>
      <c r="F142" s="12"/>
      <c r="G142" s="31">
        <f t="shared" ref="G142:G161" si="13">2.2155*B142-4417.4</f>
        <v>9.1690000000007785</v>
      </c>
      <c r="H142" s="11"/>
      <c r="I142" s="13">
        <f>2*25</f>
        <v>50</v>
      </c>
      <c r="J142" s="13">
        <f>I142-25</f>
        <v>25</v>
      </c>
      <c r="K142" s="14">
        <f>E142/I142</f>
        <v>9.8458153291770975E-2</v>
      </c>
    </row>
    <row r="143" spans="2:11" x14ac:dyDescent="0.25">
      <c r="B143" s="15">
        <v>1999</v>
      </c>
      <c r="C143" s="16">
        <v>1999</v>
      </c>
      <c r="D143" s="17">
        <v>15.5</v>
      </c>
      <c r="E143" s="18">
        <v>16.064225010762634</v>
      </c>
      <c r="F143" s="19">
        <f>(E143-E142)/E142</f>
        <v>2.263157894736842</v>
      </c>
      <c r="G143" s="31">
        <f t="shared" si="13"/>
        <v>11.384500000000116</v>
      </c>
      <c r="H143" s="18"/>
      <c r="I143" s="20">
        <f t="shared" ref="I143:I160" si="14">2*25</f>
        <v>50</v>
      </c>
      <c r="J143" s="20">
        <f t="shared" ref="J143:J160" si="15">I143-25</f>
        <v>25</v>
      </c>
      <c r="K143" s="21">
        <f t="shared" ref="K143:K161" si="16">E143/I143</f>
        <v>0.32128450021525268</v>
      </c>
    </row>
    <row r="144" spans="2:11" x14ac:dyDescent="0.25">
      <c r="B144" s="15">
        <v>2000</v>
      </c>
      <c r="C144" s="16">
        <v>2000</v>
      </c>
      <c r="D144" s="17">
        <v>12.1</v>
      </c>
      <c r="E144" s="18">
        <v>12.54045952453083</v>
      </c>
      <c r="F144" s="19">
        <f t="shared" ref="F144:F161" si="17">(E144-E143)/E143</f>
        <v>-0.21935483870967745</v>
      </c>
      <c r="G144" s="31">
        <f t="shared" si="13"/>
        <v>13.600000000000364</v>
      </c>
      <c r="H144" s="18"/>
      <c r="I144" s="20">
        <f t="shared" si="14"/>
        <v>50</v>
      </c>
      <c r="J144" s="20">
        <f t="shared" si="15"/>
        <v>25</v>
      </c>
      <c r="K144" s="21">
        <f t="shared" si="16"/>
        <v>0.25080919049061662</v>
      </c>
    </row>
    <row r="145" spans="2:11" x14ac:dyDescent="0.25">
      <c r="B145" s="15">
        <v>2001</v>
      </c>
      <c r="C145" s="16">
        <v>2001</v>
      </c>
      <c r="D145" s="17">
        <v>12.38</v>
      </c>
      <c r="E145" s="18">
        <v>12.830651976338157</v>
      </c>
      <c r="F145" s="19">
        <f t="shared" si="17"/>
        <v>2.3140495867768746E-2</v>
      </c>
      <c r="G145" s="31">
        <f t="shared" si="13"/>
        <v>15.815500000000611</v>
      </c>
      <c r="H145" s="18"/>
      <c r="I145" s="20">
        <f t="shared" si="14"/>
        <v>50</v>
      </c>
      <c r="J145" s="20">
        <f t="shared" si="15"/>
        <v>25</v>
      </c>
      <c r="K145" s="21">
        <f t="shared" si="16"/>
        <v>0.25661303952676312</v>
      </c>
    </row>
    <row r="146" spans="2:11" x14ac:dyDescent="0.25">
      <c r="B146" s="15">
        <v>2002</v>
      </c>
      <c r="C146" s="16">
        <v>2002</v>
      </c>
      <c r="D146" s="17">
        <v>17.059999999999999</v>
      </c>
      <c r="E146" s="18">
        <v>17.681011527974871</v>
      </c>
      <c r="F146" s="19">
        <f t="shared" si="17"/>
        <v>0.37802907915993506</v>
      </c>
      <c r="G146" s="31">
        <f t="shared" si="13"/>
        <v>18.031000000000859</v>
      </c>
      <c r="H146" s="18"/>
      <c r="I146" s="20">
        <f t="shared" si="14"/>
        <v>50</v>
      </c>
      <c r="J146" s="20">
        <f t="shared" si="15"/>
        <v>25</v>
      </c>
      <c r="K146" s="21">
        <f t="shared" si="16"/>
        <v>0.35362023055949743</v>
      </c>
    </row>
    <row r="147" spans="2:11" x14ac:dyDescent="0.25">
      <c r="B147" s="15">
        <v>2003</v>
      </c>
      <c r="C147" s="22">
        <v>37860.875</v>
      </c>
      <c r="D147" s="17">
        <v>19.52</v>
      </c>
      <c r="E147" s="18">
        <v>20.2</v>
      </c>
      <c r="F147" s="19">
        <f t="shared" si="17"/>
        <v>0.14246857245919378</v>
      </c>
      <c r="G147" s="31">
        <f t="shared" si="13"/>
        <v>20.246500000000196</v>
      </c>
      <c r="H147" s="18"/>
      <c r="I147" s="20">
        <f t="shared" si="14"/>
        <v>50</v>
      </c>
      <c r="J147" s="20">
        <f t="shared" si="15"/>
        <v>25</v>
      </c>
      <c r="K147" s="21">
        <f t="shared" si="16"/>
        <v>0.40399999999999997</v>
      </c>
    </row>
    <row r="148" spans="2:11" x14ac:dyDescent="0.25">
      <c r="B148" s="15">
        <v>2004</v>
      </c>
      <c r="C148" s="22">
        <v>38216.885416666664</v>
      </c>
      <c r="D148" s="17">
        <v>22.13</v>
      </c>
      <c r="E148" s="18">
        <v>22.91</v>
      </c>
      <c r="F148" s="19">
        <f t="shared" si="17"/>
        <v>0.13415841584158419</v>
      </c>
      <c r="G148" s="31">
        <f t="shared" si="13"/>
        <v>22.462000000000444</v>
      </c>
      <c r="H148" s="18"/>
      <c r="I148" s="20">
        <f t="shared" si="14"/>
        <v>50</v>
      </c>
      <c r="J148" s="20">
        <f t="shared" si="15"/>
        <v>25</v>
      </c>
      <c r="K148" s="21">
        <f t="shared" si="16"/>
        <v>0.4582</v>
      </c>
    </row>
    <row r="149" spans="2:11" x14ac:dyDescent="0.25">
      <c r="B149" s="15">
        <v>2005</v>
      </c>
      <c r="C149" s="22">
        <v>38525.854166666664</v>
      </c>
      <c r="D149" s="17">
        <v>20.47</v>
      </c>
      <c r="E149" s="18">
        <v>21.05</v>
      </c>
      <c r="F149" s="19">
        <f t="shared" si="17"/>
        <v>-8.1187254474028789E-2</v>
      </c>
      <c r="G149" s="31">
        <f t="shared" si="13"/>
        <v>24.677500000000691</v>
      </c>
      <c r="H149" s="18"/>
      <c r="I149" s="20">
        <f t="shared" si="14"/>
        <v>50</v>
      </c>
      <c r="J149" s="20">
        <f t="shared" si="15"/>
        <v>25</v>
      </c>
      <c r="K149" s="21">
        <f t="shared" si="16"/>
        <v>0.42100000000000004</v>
      </c>
    </row>
    <row r="150" spans="2:11" x14ac:dyDescent="0.25">
      <c r="B150" s="15">
        <v>2006</v>
      </c>
      <c r="C150" s="22">
        <v>39080.927083333336</v>
      </c>
      <c r="D150" s="17">
        <v>22.89</v>
      </c>
      <c r="E150" s="18">
        <v>24.87</v>
      </c>
      <c r="F150" s="19">
        <f t="shared" si="17"/>
        <v>0.1814726840855107</v>
      </c>
      <c r="G150" s="31">
        <f t="shared" si="13"/>
        <v>26.893000000000029</v>
      </c>
      <c r="H150" s="18"/>
      <c r="I150" s="20">
        <f t="shared" si="14"/>
        <v>50</v>
      </c>
      <c r="J150" s="20">
        <f t="shared" si="15"/>
        <v>25</v>
      </c>
      <c r="K150" s="21">
        <f t="shared" si="16"/>
        <v>0.49740000000000001</v>
      </c>
    </row>
    <row r="151" spans="2:11" x14ac:dyDescent="0.25">
      <c r="B151" s="15">
        <v>2007</v>
      </c>
      <c r="C151" s="22">
        <v>39414.864583333336</v>
      </c>
      <c r="D151" s="17">
        <v>33.299999999999997</v>
      </c>
      <c r="E151" s="18">
        <v>36.47</v>
      </c>
      <c r="F151" s="19">
        <f t="shared" si="17"/>
        <v>0.46642541214314426</v>
      </c>
      <c r="G151" s="31">
        <f t="shared" si="13"/>
        <v>29.108500000000276</v>
      </c>
      <c r="H151" s="18"/>
      <c r="I151" s="20">
        <f t="shared" si="14"/>
        <v>50</v>
      </c>
      <c r="J151" s="20">
        <f t="shared" si="15"/>
        <v>25</v>
      </c>
      <c r="K151" s="21">
        <f t="shared" si="16"/>
        <v>0.72939999999999994</v>
      </c>
    </row>
    <row r="152" spans="2:11" x14ac:dyDescent="0.25">
      <c r="B152" s="15">
        <v>2008</v>
      </c>
      <c r="C152" s="22">
        <v>39623.864583333336</v>
      </c>
      <c r="D152" s="17">
        <v>30.51</v>
      </c>
      <c r="E152" s="18">
        <v>31.52</v>
      </c>
      <c r="F152" s="19">
        <f t="shared" si="17"/>
        <v>-0.13572799561283244</v>
      </c>
      <c r="G152" s="31">
        <f t="shared" si="13"/>
        <v>31.324000000000524</v>
      </c>
      <c r="H152" s="18"/>
      <c r="I152" s="20">
        <f t="shared" si="14"/>
        <v>50</v>
      </c>
      <c r="J152" s="20">
        <f t="shared" si="15"/>
        <v>25</v>
      </c>
      <c r="K152" s="21">
        <f t="shared" si="16"/>
        <v>0.63039999999999996</v>
      </c>
    </row>
    <row r="153" spans="2:11" x14ac:dyDescent="0.25">
      <c r="B153" s="15">
        <v>2009</v>
      </c>
      <c r="C153" s="22">
        <v>40024.885416666664</v>
      </c>
      <c r="D153" s="17">
        <v>35.450000000000003</v>
      </c>
      <c r="E153" s="18">
        <v>36.72</v>
      </c>
      <c r="F153" s="19">
        <f t="shared" si="17"/>
        <v>0.16497461928934007</v>
      </c>
      <c r="G153" s="31">
        <f t="shared" si="13"/>
        <v>33.539500000000771</v>
      </c>
      <c r="H153" s="18"/>
      <c r="I153" s="20">
        <f t="shared" si="14"/>
        <v>50</v>
      </c>
      <c r="J153" s="20">
        <f t="shared" si="15"/>
        <v>25</v>
      </c>
      <c r="K153" s="21">
        <f t="shared" si="16"/>
        <v>0.73439999999999994</v>
      </c>
    </row>
    <row r="154" spans="2:11" x14ac:dyDescent="0.25">
      <c r="B154" s="15">
        <v>2010</v>
      </c>
      <c r="C154" s="22">
        <v>40378.864583333336</v>
      </c>
      <c r="D154" s="17">
        <v>36.85</v>
      </c>
      <c r="E154" s="18">
        <v>37.950143306712299</v>
      </c>
      <c r="F154" s="19">
        <f t="shared" si="17"/>
        <v>3.3500634714387259E-2</v>
      </c>
      <c r="G154" s="31">
        <f t="shared" si="13"/>
        <v>35.755000000000109</v>
      </c>
      <c r="H154" s="18"/>
      <c r="I154" s="20">
        <f t="shared" si="14"/>
        <v>50</v>
      </c>
      <c r="J154" s="20">
        <f t="shared" si="15"/>
        <v>25</v>
      </c>
      <c r="K154" s="21">
        <f t="shared" si="16"/>
        <v>0.75900286613424595</v>
      </c>
    </row>
    <row r="155" spans="2:11" x14ac:dyDescent="0.25">
      <c r="B155" s="15">
        <v>2011</v>
      </c>
      <c r="C155" s="22">
        <v>40855.895833333336</v>
      </c>
      <c r="D155" s="17">
        <v>37.03</v>
      </c>
      <c r="E155" s="18">
        <v>39.793322872763667</v>
      </c>
      <c r="F155" s="19">
        <f t="shared" si="17"/>
        <v>4.856844811243078E-2</v>
      </c>
      <c r="G155" s="31">
        <f t="shared" si="13"/>
        <v>37.970500000000357</v>
      </c>
      <c r="H155" s="18"/>
      <c r="I155" s="20">
        <f t="shared" si="14"/>
        <v>50</v>
      </c>
      <c r="J155" s="20">
        <f t="shared" si="15"/>
        <v>25</v>
      </c>
      <c r="K155" s="21">
        <f t="shared" si="16"/>
        <v>0.7958664574552734</v>
      </c>
    </row>
    <row r="156" spans="2:11" x14ac:dyDescent="0.25">
      <c r="B156" s="15">
        <v>2012</v>
      </c>
      <c r="C156" s="22">
        <v>41067.885416666664</v>
      </c>
      <c r="D156" s="17">
        <v>37.979999999999997</v>
      </c>
      <c r="E156" s="18">
        <v>42.546175623433051</v>
      </c>
      <c r="F156" s="19">
        <f t="shared" si="17"/>
        <v>6.9178760453642824E-2</v>
      </c>
      <c r="G156" s="31">
        <f t="shared" si="13"/>
        <v>40.186000000000604</v>
      </c>
      <c r="H156" s="23"/>
      <c r="I156" s="20">
        <f t="shared" si="14"/>
        <v>50</v>
      </c>
      <c r="J156" s="20">
        <f t="shared" si="15"/>
        <v>25</v>
      </c>
      <c r="K156" s="21">
        <f t="shared" si="16"/>
        <v>0.85092351246866105</v>
      </c>
    </row>
    <row r="157" spans="2:11" x14ac:dyDescent="0.25">
      <c r="B157" s="15">
        <v>2013</v>
      </c>
      <c r="C157" s="22">
        <v>41634.65625</v>
      </c>
      <c r="D157" s="17">
        <v>40.479999999999997</v>
      </c>
      <c r="E157" s="18">
        <v>43.754960152398731</v>
      </c>
      <c r="F157" s="19">
        <f t="shared" si="17"/>
        <v>2.8411120653108021E-2</v>
      </c>
      <c r="G157" s="31">
        <f t="shared" si="13"/>
        <v>42.401500000000851</v>
      </c>
      <c r="H157" s="23"/>
      <c r="I157" s="20">
        <f t="shared" si="14"/>
        <v>50</v>
      </c>
      <c r="J157" s="20">
        <f t="shared" si="15"/>
        <v>25</v>
      </c>
      <c r="K157" s="21">
        <f t="shared" si="16"/>
        <v>0.87509920304797462</v>
      </c>
    </row>
    <row r="158" spans="2:11" x14ac:dyDescent="0.25">
      <c r="B158" s="15">
        <v>2014</v>
      </c>
      <c r="C158" s="24">
        <v>41662.635416666664</v>
      </c>
      <c r="D158" s="17">
        <v>42.87</v>
      </c>
      <c r="E158" s="18">
        <v>45.848508334208688</v>
      </c>
      <c r="F158" s="19">
        <f t="shared" si="17"/>
        <v>4.7847105208600797E-2</v>
      </c>
      <c r="G158" s="31">
        <f t="shared" si="13"/>
        <v>44.617000000000189</v>
      </c>
      <c r="H158" s="23"/>
      <c r="I158" s="20">
        <f t="shared" si="14"/>
        <v>50</v>
      </c>
      <c r="J158" s="20">
        <f t="shared" si="15"/>
        <v>25</v>
      </c>
      <c r="K158" s="25">
        <f t="shared" si="16"/>
        <v>0.91697016668417375</v>
      </c>
    </row>
    <row r="159" spans="2:11" x14ac:dyDescent="0.25">
      <c r="B159" s="15">
        <v>2015</v>
      </c>
      <c r="C159" s="24">
        <v>42367.927083333336</v>
      </c>
      <c r="D159" s="17">
        <v>39.28</v>
      </c>
      <c r="E159" s="18">
        <v>41.384108631164267</v>
      </c>
      <c r="F159" s="19">
        <f t="shared" si="17"/>
        <v>-9.7372845164374167E-2</v>
      </c>
      <c r="G159" s="31">
        <f t="shared" si="13"/>
        <v>46.832500000000437</v>
      </c>
      <c r="H159" s="23"/>
      <c r="I159" s="20">
        <f t="shared" si="14"/>
        <v>50</v>
      </c>
      <c r="J159" s="20">
        <f t="shared" si="15"/>
        <v>25</v>
      </c>
      <c r="K159" s="21">
        <f t="shared" si="16"/>
        <v>0.82768217262328536</v>
      </c>
    </row>
    <row r="160" spans="2:11" x14ac:dyDescent="0.25">
      <c r="B160" s="15">
        <v>2016</v>
      </c>
      <c r="C160" s="24">
        <v>42735.645833333336</v>
      </c>
      <c r="D160" s="17">
        <v>44.77</v>
      </c>
      <c r="E160" s="18">
        <v>47.69</v>
      </c>
      <c r="F160" s="19">
        <f t="shared" si="17"/>
        <v>0.15237470559138935</v>
      </c>
      <c r="G160" s="31">
        <f t="shared" si="13"/>
        <v>49.048000000000684</v>
      </c>
      <c r="H160" s="18"/>
      <c r="I160" s="20">
        <f t="shared" si="14"/>
        <v>50</v>
      </c>
      <c r="J160" s="20">
        <f t="shared" si="15"/>
        <v>25</v>
      </c>
      <c r="K160" s="25">
        <f t="shared" si="16"/>
        <v>0.95379999999999998</v>
      </c>
    </row>
    <row r="161" spans="2:11" x14ac:dyDescent="0.25">
      <c r="B161" s="15">
        <v>2017</v>
      </c>
      <c r="C161" s="24">
        <v>42796.697916666664</v>
      </c>
      <c r="D161" s="17">
        <v>45.27</v>
      </c>
      <c r="E161" s="18">
        <v>48.39</v>
      </c>
      <c r="F161" s="19">
        <f t="shared" si="17"/>
        <v>1.4678129586915556E-2</v>
      </c>
      <c r="G161" s="31">
        <f t="shared" si="13"/>
        <v>51.263500000000022</v>
      </c>
      <c r="H161" s="18">
        <f>E161</f>
        <v>48.39</v>
      </c>
      <c r="I161" s="20">
        <f>1*55 + 1*55</f>
        <v>110</v>
      </c>
      <c r="J161" s="20">
        <f>I161-55</f>
        <v>55</v>
      </c>
      <c r="K161" s="25">
        <f t="shared" si="16"/>
        <v>0.43990909090909092</v>
      </c>
    </row>
    <row r="162" spans="2:11" x14ac:dyDescent="0.25">
      <c r="B162" s="26">
        <v>2018</v>
      </c>
      <c r="C162" s="27">
        <v>2018</v>
      </c>
      <c r="D162" s="28"/>
      <c r="E162" s="29"/>
      <c r="F162" s="30"/>
      <c r="G162" s="31">
        <f>2.2155*B162-4417.4</f>
        <v>53.479000000000269</v>
      </c>
      <c r="H162" s="32">
        <f>0.043*H161+H161</f>
        <v>50.470770000000002</v>
      </c>
      <c r="I162" s="33">
        <f>1*55+1*55</f>
        <v>110</v>
      </c>
      <c r="J162" s="33">
        <f>I162-55</f>
        <v>55</v>
      </c>
      <c r="K162" s="34">
        <f>H162/I162</f>
        <v>0.45882518181818183</v>
      </c>
    </row>
    <row r="163" spans="2:11" x14ac:dyDescent="0.25">
      <c r="B163" s="26">
        <v>2019</v>
      </c>
      <c r="C163" s="27">
        <v>2019</v>
      </c>
      <c r="D163" s="28"/>
      <c r="E163" s="29"/>
      <c r="F163" s="30"/>
      <c r="G163" s="31">
        <f t="shared" ref="G163:G171" si="18">2.2155*B163-4417.4</f>
        <v>55.694500000000517</v>
      </c>
      <c r="H163" s="32">
        <f>0.043*H161+H162</f>
        <v>52.551540000000003</v>
      </c>
      <c r="I163" s="33">
        <f t="shared" ref="I163:I171" si="19">1*55+1*55</f>
        <v>110</v>
      </c>
      <c r="J163" s="33">
        <f t="shared" ref="J163:J171" si="20">I163-55</f>
        <v>55</v>
      </c>
      <c r="K163" s="34">
        <f t="shared" ref="K163:K171" si="21">H163/I163</f>
        <v>0.47774127272727274</v>
      </c>
    </row>
    <row r="164" spans="2:11" x14ac:dyDescent="0.25">
      <c r="B164" s="26">
        <v>2020</v>
      </c>
      <c r="C164" s="27">
        <v>2020</v>
      </c>
      <c r="D164" s="28"/>
      <c r="E164" s="29"/>
      <c r="F164" s="30"/>
      <c r="G164" s="31">
        <f t="shared" si="18"/>
        <v>57.910000000000764</v>
      </c>
      <c r="H164" s="32">
        <f>0.043*H161+H163-9</f>
        <v>45.632310000000004</v>
      </c>
      <c r="I164" s="33">
        <f t="shared" si="19"/>
        <v>110</v>
      </c>
      <c r="J164" s="33">
        <f t="shared" si="20"/>
        <v>55</v>
      </c>
      <c r="K164" s="34">
        <f t="shared" si="21"/>
        <v>0.41483918181818186</v>
      </c>
    </row>
    <row r="165" spans="2:11" x14ac:dyDescent="0.25">
      <c r="B165" s="26">
        <v>2021</v>
      </c>
      <c r="C165" s="27">
        <v>2021</v>
      </c>
      <c r="D165" s="36"/>
      <c r="E165" s="37"/>
      <c r="F165" s="36"/>
      <c r="G165" s="31">
        <f t="shared" si="18"/>
        <v>60.125500000000102</v>
      </c>
      <c r="H165" s="32">
        <f>0.043*H161+H164</f>
        <v>47.713080000000005</v>
      </c>
      <c r="I165" s="33">
        <f t="shared" si="19"/>
        <v>110</v>
      </c>
      <c r="J165" s="33">
        <f t="shared" si="20"/>
        <v>55</v>
      </c>
      <c r="K165" s="34">
        <f t="shared" si="21"/>
        <v>0.43375527272727277</v>
      </c>
    </row>
    <row r="166" spans="2:11" x14ac:dyDescent="0.25">
      <c r="B166" s="26">
        <v>2022</v>
      </c>
      <c r="C166" s="27">
        <v>2022</v>
      </c>
      <c r="D166" s="36"/>
      <c r="E166" s="37"/>
      <c r="F166" s="36"/>
      <c r="G166" s="31">
        <f t="shared" si="18"/>
        <v>62.341000000000349</v>
      </c>
      <c r="H166" s="32">
        <f>0.043*H161+H165</f>
        <v>49.793850000000006</v>
      </c>
      <c r="I166" s="33">
        <f t="shared" si="19"/>
        <v>110</v>
      </c>
      <c r="J166" s="33">
        <f t="shared" si="20"/>
        <v>55</v>
      </c>
      <c r="K166" s="34">
        <f t="shared" si="21"/>
        <v>0.45267136363636368</v>
      </c>
    </row>
    <row r="167" spans="2:11" x14ac:dyDescent="0.25">
      <c r="B167" s="26">
        <v>2023</v>
      </c>
      <c r="C167" s="27">
        <v>2023</v>
      </c>
      <c r="D167" s="38"/>
      <c r="E167" s="39"/>
      <c r="F167" s="40"/>
      <c r="G167" s="31">
        <f t="shared" si="18"/>
        <v>64.556500000000597</v>
      </c>
      <c r="H167" s="32">
        <f>0.043*H161+H166</f>
        <v>51.874620000000007</v>
      </c>
      <c r="I167" s="33">
        <f t="shared" si="19"/>
        <v>110</v>
      </c>
      <c r="J167" s="33">
        <f t="shared" si="20"/>
        <v>55</v>
      </c>
      <c r="K167" s="34">
        <f t="shared" si="21"/>
        <v>0.47158745454545459</v>
      </c>
    </row>
    <row r="168" spans="2:11" x14ac:dyDescent="0.25">
      <c r="B168" s="26">
        <v>2024</v>
      </c>
      <c r="C168" s="41">
        <v>2024</v>
      </c>
      <c r="D168" s="38"/>
      <c r="E168" s="39"/>
      <c r="F168" s="40"/>
      <c r="G168" s="31">
        <f t="shared" si="18"/>
        <v>66.772000000000844</v>
      </c>
      <c r="H168" s="32">
        <f>0.043*H161+H167</f>
        <v>53.955390000000008</v>
      </c>
      <c r="I168" s="33">
        <f t="shared" si="19"/>
        <v>110</v>
      </c>
      <c r="J168" s="33">
        <f t="shared" si="20"/>
        <v>55</v>
      </c>
      <c r="K168" s="34">
        <f t="shared" si="21"/>
        <v>0.49050354545454555</v>
      </c>
    </row>
    <row r="169" spans="2:11" x14ac:dyDescent="0.25">
      <c r="B169" s="26">
        <v>2025</v>
      </c>
      <c r="C169" s="41">
        <v>2025</v>
      </c>
      <c r="D169" s="38"/>
      <c r="E169" s="39"/>
      <c r="F169" s="40"/>
      <c r="G169" s="31">
        <f t="shared" si="18"/>
        <v>68.987500000000182</v>
      </c>
      <c r="H169" s="32">
        <f>0.043*H161+H168</f>
        <v>56.03616000000001</v>
      </c>
      <c r="I169" s="33">
        <f t="shared" si="19"/>
        <v>110</v>
      </c>
      <c r="J169" s="33">
        <f t="shared" si="20"/>
        <v>55</v>
      </c>
      <c r="K169" s="34">
        <f t="shared" si="21"/>
        <v>0.50941963636363641</v>
      </c>
    </row>
    <row r="170" spans="2:11" x14ac:dyDescent="0.25">
      <c r="B170" s="26">
        <v>2026</v>
      </c>
      <c r="C170" s="41">
        <v>2026</v>
      </c>
      <c r="D170" s="38"/>
      <c r="E170" s="39"/>
      <c r="F170" s="40"/>
      <c r="G170" s="31">
        <f t="shared" si="18"/>
        <v>71.203000000000429</v>
      </c>
      <c r="H170" s="32">
        <f>0.043*H161+H169</f>
        <v>58.116930000000011</v>
      </c>
      <c r="I170" s="33">
        <f t="shared" si="19"/>
        <v>110</v>
      </c>
      <c r="J170" s="33">
        <f t="shared" si="20"/>
        <v>55</v>
      </c>
      <c r="K170" s="34">
        <f t="shared" si="21"/>
        <v>0.52833572727272737</v>
      </c>
    </row>
    <row r="171" spans="2:11" ht="15.75" thickBot="1" x14ac:dyDescent="0.3">
      <c r="B171" s="42">
        <v>2027</v>
      </c>
      <c r="C171" s="43">
        <v>2027</v>
      </c>
      <c r="D171" s="44"/>
      <c r="E171" s="45"/>
      <c r="F171" s="46"/>
      <c r="G171" s="47">
        <f t="shared" si="18"/>
        <v>73.418500000000677</v>
      </c>
      <c r="H171" s="48">
        <f>0.043*H161+H170</f>
        <v>60.197700000000012</v>
      </c>
      <c r="I171" s="49">
        <f t="shared" si="19"/>
        <v>110</v>
      </c>
      <c r="J171" s="49">
        <f t="shared" si="20"/>
        <v>55</v>
      </c>
      <c r="K171" s="50">
        <f t="shared" si="21"/>
        <v>0.54725181818181834</v>
      </c>
    </row>
    <row r="172" spans="2:11" x14ac:dyDescent="0.25">
      <c r="D172" t="s">
        <v>15</v>
      </c>
      <c r="E172" s="35">
        <f>(E161-E142)/19</f>
        <v>2.2877417018637605</v>
      </c>
      <c r="F172" s="3">
        <f>E172/E142</f>
        <v>0.46471351033454072</v>
      </c>
      <c r="G172" s="35">
        <f>G161-G142</f>
        <v>42.094499999999243</v>
      </c>
    </row>
    <row r="173" spans="2:11" x14ac:dyDescent="0.25">
      <c r="D173" s="51">
        <f>B161-B142</f>
        <v>19</v>
      </c>
      <c r="E173" s="51">
        <f>E172*19+E142</f>
        <v>48.39</v>
      </c>
      <c r="F173" s="51"/>
      <c r="G173" s="31">
        <f>B161-B142</f>
        <v>19</v>
      </c>
    </row>
    <row r="174" spans="2:11" x14ac:dyDescent="0.25">
      <c r="F174" t="s">
        <v>14</v>
      </c>
      <c r="G174">
        <f>G172/G173</f>
        <v>2.2154999999999601</v>
      </c>
      <c r="H174">
        <f>G174/G142</f>
        <v>0.24162940342455796</v>
      </c>
    </row>
  </sheetData>
  <mergeCells count="71">
    <mergeCell ref="A59:T59"/>
    <mergeCell ref="A60:T60"/>
    <mergeCell ref="C4:K4"/>
    <mergeCell ref="C5:K5"/>
    <mergeCell ref="B6:B7"/>
    <mergeCell ref="C6:C7"/>
    <mergeCell ref="D6:F6"/>
    <mergeCell ref="G6:H6"/>
    <mergeCell ref="I6:I7"/>
    <mergeCell ref="J6:J7"/>
    <mergeCell ref="K6:K7"/>
    <mergeCell ref="C138:K138"/>
    <mergeCell ref="C139:K139"/>
    <mergeCell ref="B140:B141"/>
    <mergeCell ref="C140:C141"/>
    <mergeCell ref="D140:F140"/>
    <mergeCell ref="G140:H140"/>
    <mergeCell ref="I140:I141"/>
    <mergeCell ref="J140:J141"/>
    <mergeCell ref="K140:K141"/>
    <mergeCell ref="A66:A67"/>
    <mergeCell ref="B66:B67"/>
    <mergeCell ref="E66:E67"/>
    <mergeCell ref="F66:F67"/>
    <mergeCell ref="G66:G67"/>
    <mergeCell ref="H66:H67"/>
    <mergeCell ref="I66:I67"/>
    <mergeCell ref="J66:J67"/>
    <mergeCell ref="K66:K67"/>
    <mergeCell ref="L66:L67"/>
    <mergeCell ref="M66:M67"/>
    <mergeCell ref="N66:N67"/>
    <mergeCell ref="O66:O67"/>
    <mergeCell ref="P66:P67"/>
    <mergeCell ref="Q66:Q67"/>
    <mergeCell ref="R66:R67"/>
    <mergeCell ref="S66:S67"/>
    <mergeCell ref="T66:T67"/>
    <mergeCell ref="A71:A73"/>
    <mergeCell ref="B71:B73"/>
    <mergeCell ref="C71:C73"/>
    <mergeCell ref="D71:G71"/>
    <mergeCell ref="H71:K71"/>
    <mergeCell ref="L71:O71"/>
    <mergeCell ref="P71:S71"/>
    <mergeCell ref="T71:W71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V72:W72"/>
    <mergeCell ref="A63:A65"/>
    <mergeCell ref="B63:B65"/>
    <mergeCell ref="C63:C65"/>
    <mergeCell ref="D63:E64"/>
    <mergeCell ref="F63:H63"/>
    <mergeCell ref="D65:E65"/>
    <mergeCell ref="I63:K63"/>
    <mergeCell ref="L63:N63"/>
    <mergeCell ref="O63:Q63"/>
    <mergeCell ref="R63:T63"/>
    <mergeCell ref="G64:H64"/>
    <mergeCell ref="J64:K64"/>
    <mergeCell ref="M64:N64"/>
    <mergeCell ref="P64:Q64"/>
    <mergeCell ref="S64:T64"/>
  </mergeCells>
  <conditionalFormatting sqref="H66:H67 K66:K67 N66:N67 Q66:Q67 T66:T67">
    <cfRule type="cellIs" dxfId="1" priority="1" operator="greaterThan">
      <formula>1</formula>
    </cfRule>
  </conditionalFormatting>
  <printOptions horizontalCentered="1" verticalCentered="1" gridLines="1"/>
  <pageMargins left="0" right="0" top="0.15748031496062992" bottom="0.15748031496062992" header="0" footer="0"/>
  <pageSetup paperSize="9"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227"/>
  <sheetViews>
    <sheetView topLeftCell="B41" zoomScaleNormal="100" workbookViewId="0">
      <selection activeCell="N51" sqref="N51"/>
    </sheetView>
  </sheetViews>
  <sheetFormatPr baseColWidth="10" defaultRowHeight="15" x14ac:dyDescent="0.25"/>
  <cols>
    <col min="1" max="1" width="5.7109375" customWidth="1"/>
    <col min="2" max="2" width="6.7109375" style="1" customWidth="1"/>
    <col min="3" max="3" width="14.7109375" customWidth="1"/>
    <col min="4" max="5" width="10.7109375" customWidth="1"/>
    <col min="6" max="6" width="11.7109375" customWidth="1"/>
    <col min="7" max="8" width="12.7109375" customWidth="1"/>
    <col min="9" max="11" width="10.7109375" customWidth="1"/>
    <col min="13" max="13" width="11.42578125" style="2"/>
  </cols>
  <sheetData>
    <row r="2" spans="2:17" ht="15.75" thickBot="1" x14ac:dyDescent="0.3"/>
    <row r="3" spans="2:17" ht="15.95" customHeight="1" thickBot="1" x14ac:dyDescent="0.3">
      <c r="B3" s="215" t="s">
        <v>29</v>
      </c>
      <c r="C3" s="216"/>
      <c r="D3" s="216"/>
      <c r="E3" s="216"/>
      <c r="F3" s="216"/>
      <c r="G3" s="216"/>
      <c r="H3" s="216"/>
      <c r="I3" s="216"/>
      <c r="J3" s="216"/>
      <c r="K3" s="217"/>
      <c r="L3" s="83"/>
      <c r="M3" s="84"/>
    </row>
    <row r="4" spans="2:17" ht="15.95" customHeight="1" x14ac:dyDescent="0.25">
      <c r="B4" s="269" t="s">
        <v>30</v>
      </c>
      <c r="C4" s="270"/>
      <c r="D4" s="270"/>
      <c r="E4" s="270"/>
      <c r="F4" s="270"/>
      <c r="G4" s="270"/>
      <c r="H4" s="270"/>
      <c r="I4" s="270"/>
      <c r="J4" s="270"/>
      <c r="K4" s="271"/>
      <c r="L4" s="83"/>
      <c r="M4" s="84"/>
    </row>
    <row r="5" spans="2:17" ht="15.95" customHeight="1" x14ac:dyDescent="0.25">
      <c r="B5" s="272" t="s">
        <v>31</v>
      </c>
      <c r="C5" s="274" t="s">
        <v>0</v>
      </c>
      <c r="D5" s="276" t="s">
        <v>1</v>
      </c>
      <c r="E5" s="277"/>
      <c r="F5" s="278"/>
      <c r="G5" s="279" t="s">
        <v>2</v>
      </c>
      <c r="H5" s="280"/>
      <c r="I5" s="281"/>
      <c r="J5" s="282" t="s">
        <v>32</v>
      </c>
      <c r="K5" s="284" t="s">
        <v>33</v>
      </c>
      <c r="L5" s="83"/>
      <c r="M5" s="84"/>
    </row>
    <row r="6" spans="2:17" ht="39.950000000000003" customHeight="1" x14ac:dyDescent="0.25">
      <c r="B6" s="273"/>
      <c r="C6" s="275"/>
      <c r="D6" s="79" t="s">
        <v>34</v>
      </c>
      <c r="E6" s="85" t="s">
        <v>35</v>
      </c>
      <c r="F6" s="79" t="s">
        <v>36</v>
      </c>
      <c r="G6" s="85" t="s">
        <v>37</v>
      </c>
      <c r="H6" s="85" t="s">
        <v>38</v>
      </c>
      <c r="I6" s="85" t="s">
        <v>39</v>
      </c>
      <c r="J6" s="283"/>
      <c r="K6" s="285"/>
      <c r="L6" s="77" t="s">
        <v>40</v>
      </c>
      <c r="O6" s="86" t="s">
        <v>41</v>
      </c>
      <c r="P6" s="85" t="s">
        <v>42</v>
      </c>
    </row>
    <row r="7" spans="2:17" ht="15" customHeight="1" x14ac:dyDescent="0.25">
      <c r="B7" s="87"/>
      <c r="C7" s="88">
        <v>1998</v>
      </c>
      <c r="D7" s="89">
        <v>4.75</v>
      </c>
      <c r="E7" s="90">
        <f>D7/L25</f>
        <v>4.922907664588549</v>
      </c>
      <c r="F7" s="91"/>
      <c r="G7" s="92"/>
      <c r="H7" s="93"/>
      <c r="I7" s="93"/>
      <c r="J7" s="94">
        <v>50</v>
      </c>
      <c r="K7" s="95">
        <f t="shared" ref="K7:K36" si="0">J7-25</f>
        <v>25</v>
      </c>
      <c r="L7" s="96"/>
      <c r="M7" s="93"/>
      <c r="O7" s="97"/>
      <c r="P7" s="97"/>
    </row>
    <row r="8" spans="2:17" ht="15" customHeight="1" x14ac:dyDescent="0.25">
      <c r="B8" s="87"/>
      <c r="C8" s="98">
        <v>1999</v>
      </c>
      <c r="D8" s="89">
        <v>15.5</v>
      </c>
      <c r="E8" s="99">
        <f>D8/L25</f>
        <v>16.064225010762634</v>
      </c>
      <c r="F8" s="91">
        <f t="shared" ref="F8:F25" si="1">(E8-E7)/E7</f>
        <v>2.263157894736842</v>
      </c>
      <c r="G8" s="100"/>
      <c r="H8" s="93"/>
      <c r="I8" s="93"/>
      <c r="J8" s="101">
        <v>50</v>
      </c>
      <c r="K8" s="95">
        <f t="shared" si="0"/>
        <v>25</v>
      </c>
      <c r="L8" s="96"/>
      <c r="M8" s="93"/>
      <c r="O8" s="97"/>
      <c r="P8" s="97"/>
    </row>
    <row r="9" spans="2:17" ht="15" customHeight="1" x14ac:dyDescent="0.25">
      <c r="B9" s="87"/>
      <c r="C9" s="98">
        <v>2000</v>
      </c>
      <c r="D9" s="89">
        <v>12.1</v>
      </c>
      <c r="E9" s="99">
        <f>D9/L25</f>
        <v>12.54045952453083</v>
      </c>
      <c r="F9" s="91">
        <f t="shared" si="1"/>
        <v>-0.21935483870967745</v>
      </c>
      <c r="G9" s="100"/>
      <c r="H9" s="93"/>
      <c r="I9" s="93"/>
      <c r="J9" s="101">
        <v>50</v>
      </c>
      <c r="K9" s="95">
        <f t="shared" si="0"/>
        <v>25</v>
      </c>
      <c r="L9" s="96"/>
      <c r="M9" s="93"/>
      <c r="O9" s="97"/>
      <c r="P9" s="97"/>
    </row>
    <row r="10" spans="2:17" ht="15" customHeight="1" x14ac:dyDescent="0.25">
      <c r="B10" s="87"/>
      <c r="C10" s="98">
        <v>2001</v>
      </c>
      <c r="D10" s="89">
        <v>12.38</v>
      </c>
      <c r="E10" s="99">
        <f>D10/L25</f>
        <v>12.830651976338157</v>
      </c>
      <c r="F10" s="91">
        <f t="shared" si="1"/>
        <v>2.3140495867768746E-2</v>
      </c>
      <c r="G10" s="100"/>
      <c r="H10" s="93"/>
      <c r="I10" s="93"/>
      <c r="J10" s="101">
        <v>50</v>
      </c>
      <c r="K10" s="95">
        <f t="shared" si="0"/>
        <v>25</v>
      </c>
      <c r="L10" s="96"/>
      <c r="M10" s="93"/>
      <c r="O10" s="97"/>
      <c r="P10" s="97"/>
    </row>
    <row r="11" spans="2:17" ht="15" customHeight="1" x14ac:dyDescent="0.25">
      <c r="B11" s="87"/>
      <c r="C11" s="98">
        <v>2002</v>
      </c>
      <c r="D11" s="89">
        <v>17.059999999999999</v>
      </c>
      <c r="E11" s="99">
        <f>D11/L25</f>
        <v>17.681011527974871</v>
      </c>
      <c r="F11" s="91">
        <f t="shared" si="1"/>
        <v>0.37802907915993506</v>
      </c>
      <c r="G11" s="100"/>
      <c r="H11" s="93"/>
      <c r="I11" s="93"/>
      <c r="J11" s="101">
        <v>50</v>
      </c>
      <c r="K11" s="95">
        <f t="shared" si="0"/>
        <v>25</v>
      </c>
      <c r="L11" s="96"/>
      <c r="M11" s="93"/>
      <c r="O11" s="97"/>
      <c r="P11" s="97"/>
    </row>
    <row r="12" spans="2:17" ht="15" customHeight="1" x14ac:dyDescent="0.25">
      <c r="B12" s="87">
        <v>8</v>
      </c>
      <c r="C12" s="98">
        <v>2003</v>
      </c>
      <c r="D12" s="89">
        <v>19.52</v>
      </c>
      <c r="E12" s="99">
        <v>20.2</v>
      </c>
      <c r="F12" s="91">
        <f t="shared" si="1"/>
        <v>0.14246857245919378</v>
      </c>
      <c r="G12" s="100"/>
      <c r="H12" s="93"/>
      <c r="I12" s="93"/>
      <c r="J12" s="101">
        <v>50</v>
      </c>
      <c r="K12" s="95">
        <f t="shared" si="0"/>
        <v>25</v>
      </c>
      <c r="L12" s="96">
        <v>0.96650000000000003</v>
      </c>
      <c r="M12" s="93"/>
      <c r="N12" s="83"/>
      <c r="O12" s="97"/>
      <c r="P12" s="97"/>
      <c r="Q12" s="83"/>
    </row>
    <row r="13" spans="2:17" ht="15" customHeight="1" x14ac:dyDescent="0.25">
      <c r="B13" s="87">
        <v>8</v>
      </c>
      <c r="C13" s="98">
        <v>2004</v>
      </c>
      <c r="D13" s="89">
        <v>22.13</v>
      </c>
      <c r="E13" s="99">
        <v>22.91</v>
      </c>
      <c r="F13" s="91">
        <f t="shared" si="1"/>
        <v>0.13415841584158419</v>
      </c>
      <c r="G13" s="100"/>
      <c r="H13" s="93"/>
      <c r="I13" s="93"/>
      <c r="J13" s="101">
        <v>50</v>
      </c>
      <c r="K13" s="95">
        <f t="shared" si="0"/>
        <v>25</v>
      </c>
      <c r="L13" s="96">
        <v>0.96599999999999997</v>
      </c>
      <c r="M13" s="93"/>
      <c r="N13" s="83"/>
      <c r="O13" s="97"/>
      <c r="P13" s="97"/>
      <c r="Q13" s="83"/>
    </row>
    <row r="14" spans="2:17" ht="15" customHeight="1" x14ac:dyDescent="0.25">
      <c r="B14" s="87">
        <v>6</v>
      </c>
      <c r="C14" s="98">
        <v>2005</v>
      </c>
      <c r="D14" s="89">
        <v>20.47</v>
      </c>
      <c r="E14" s="99">
        <v>21.05</v>
      </c>
      <c r="F14" s="91">
        <f t="shared" si="1"/>
        <v>-8.1187254474028789E-2</v>
      </c>
      <c r="G14" s="100"/>
      <c r="H14" s="93"/>
      <c r="I14" s="93"/>
      <c r="J14" s="101">
        <v>50</v>
      </c>
      <c r="K14" s="95">
        <f t="shared" si="0"/>
        <v>25</v>
      </c>
      <c r="L14" s="96">
        <v>0.97240000000000004</v>
      </c>
      <c r="M14" s="93"/>
      <c r="N14" s="83"/>
      <c r="O14" s="97"/>
      <c r="P14" s="97"/>
      <c r="Q14" s="83"/>
    </row>
    <row r="15" spans="2:17" ht="15" customHeight="1" x14ac:dyDescent="0.25">
      <c r="B15" s="87">
        <v>12</v>
      </c>
      <c r="C15" s="98">
        <v>2006</v>
      </c>
      <c r="D15" s="89">
        <v>22.89</v>
      </c>
      <c r="E15" s="99">
        <v>24.87</v>
      </c>
      <c r="F15" s="91">
        <f t="shared" si="1"/>
        <v>0.1814726840855107</v>
      </c>
      <c r="G15" s="100"/>
      <c r="H15" s="93"/>
      <c r="I15" s="93"/>
      <c r="J15" s="101">
        <v>50</v>
      </c>
      <c r="K15" s="95">
        <f t="shared" si="0"/>
        <v>25</v>
      </c>
      <c r="L15" s="96">
        <v>0.9204</v>
      </c>
      <c r="M15" s="93"/>
      <c r="N15" s="83"/>
      <c r="O15" s="97"/>
      <c r="P15" s="97"/>
      <c r="Q15" s="83"/>
    </row>
    <row r="16" spans="2:17" ht="15" customHeight="1" x14ac:dyDescent="0.25">
      <c r="B16" s="87">
        <v>11</v>
      </c>
      <c r="C16" s="98">
        <v>2007</v>
      </c>
      <c r="D16" s="89">
        <v>33.299999999999997</v>
      </c>
      <c r="E16" s="99">
        <v>36.47</v>
      </c>
      <c r="F16" s="91">
        <f t="shared" si="1"/>
        <v>0.46642541214314426</v>
      </c>
      <c r="G16" s="100"/>
      <c r="H16" s="93"/>
      <c r="I16" s="93"/>
      <c r="J16" s="101">
        <v>50</v>
      </c>
      <c r="K16" s="95">
        <f t="shared" si="0"/>
        <v>25</v>
      </c>
      <c r="L16" s="96">
        <v>0.91300000000000003</v>
      </c>
      <c r="M16" s="93"/>
      <c r="N16" s="83"/>
      <c r="O16" s="97"/>
      <c r="P16" s="97"/>
      <c r="Q16" s="83"/>
    </row>
    <row r="17" spans="2:17" ht="15" customHeight="1" x14ac:dyDescent="0.25">
      <c r="B17" s="87">
        <v>6</v>
      </c>
      <c r="C17" s="98">
        <v>2008</v>
      </c>
      <c r="D17" s="89">
        <v>30.51</v>
      </c>
      <c r="E17" s="99">
        <v>31.52</v>
      </c>
      <c r="F17" s="91">
        <f t="shared" si="1"/>
        <v>-0.13572799561283244</v>
      </c>
      <c r="G17" s="100"/>
      <c r="H17" s="93"/>
      <c r="I17" s="93"/>
      <c r="J17" s="101">
        <v>50</v>
      </c>
      <c r="K17" s="95">
        <f t="shared" si="0"/>
        <v>25</v>
      </c>
      <c r="L17" s="96">
        <v>0.96799999999999997</v>
      </c>
      <c r="M17" s="93"/>
      <c r="N17" s="83"/>
      <c r="O17" s="97"/>
      <c r="P17" s="97"/>
      <c r="Q17" s="83"/>
    </row>
    <row r="18" spans="2:17" ht="15" customHeight="1" x14ac:dyDescent="0.25">
      <c r="B18" s="87">
        <v>7</v>
      </c>
      <c r="C18" s="98">
        <v>2009</v>
      </c>
      <c r="D18" s="89">
        <v>35.450000000000003</v>
      </c>
      <c r="E18" s="99">
        <v>36.72</v>
      </c>
      <c r="F18" s="91">
        <f t="shared" si="1"/>
        <v>0.16497461928934007</v>
      </c>
      <c r="G18" s="100"/>
      <c r="H18" s="93"/>
      <c r="I18" s="93"/>
      <c r="J18" s="101">
        <v>50</v>
      </c>
      <c r="K18" s="95">
        <f t="shared" si="0"/>
        <v>25</v>
      </c>
      <c r="L18" s="96">
        <v>0.96550000000000002</v>
      </c>
      <c r="M18" s="93"/>
      <c r="N18" s="83"/>
      <c r="O18" s="97"/>
      <c r="P18" s="97"/>
      <c r="Q18" s="83"/>
    </row>
    <row r="19" spans="2:17" ht="15" customHeight="1" x14ac:dyDescent="0.25">
      <c r="B19" s="87">
        <v>7</v>
      </c>
      <c r="C19" s="98">
        <v>2010</v>
      </c>
      <c r="D19" s="89">
        <v>36.85</v>
      </c>
      <c r="E19" s="101">
        <v>37.950143306712299</v>
      </c>
      <c r="F19" s="91">
        <f t="shared" si="1"/>
        <v>3.3500634714387259E-2</v>
      </c>
      <c r="G19" s="100"/>
      <c r="H19" s="93"/>
      <c r="I19" s="93"/>
      <c r="J19" s="101">
        <v>50</v>
      </c>
      <c r="K19" s="95">
        <f t="shared" si="0"/>
        <v>25</v>
      </c>
      <c r="L19" s="96">
        <v>0.97050000000000003</v>
      </c>
      <c r="M19" s="102" t="s">
        <v>43</v>
      </c>
      <c r="N19" s="94">
        <v>37.950143306712299</v>
      </c>
      <c r="O19" s="103"/>
      <c r="P19" s="97"/>
      <c r="Q19" s="83"/>
    </row>
    <row r="20" spans="2:17" ht="15" customHeight="1" x14ac:dyDescent="0.25">
      <c r="B20" s="87">
        <v>11</v>
      </c>
      <c r="C20" s="98">
        <v>2011</v>
      </c>
      <c r="D20" s="89">
        <v>37.03</v>
      </c>
      <c r="E20" s="104">
        <v>39.793322872763667</v>
      </c>
      <c r="F20" s="91">
        <f t="shared" si="1"/>
        <v>4.856844811243078E-2</v>
      </c>
      <c r="G20" s="100"/>
      <c r="H20" s="93"/>
      <c r="I20" s="93"/>
      <c r="J20" s="101">
        <v>50</v>
      </c>
      <c r="K20" s="95">
        <f t="shared" si="0"/>
        <v>25</v>
      </c>
      <c r="L20" s="96">
        <v>0.93059999999999998</v>
      </c>
      <c r="M20" s="102"/>
      <c r="N20" s="104">
        <v>39.793322872763667</v>
      </c>
      <c r="O20" s="97"/>
      <c r="P20" s="97"/>
      <c r="Q20" s="83"/>
    </row>
    <row r="21" spans="2:17" ht="15" customHeight="1" x14ac:dyDescent="0.25">
      <c r="B21" s="87">
        <v>6</v>
      </c>
      <c r="C21" s="98">
        <v>2012</v>
      </c>
      <c r="D21" s="89">
        <v>37.979999999999997</v>
      </c>
      <c r="E21" s="101">
        <v>42.546175623433051</v>
      </c>
      <c r="F21" s="91">
        <f t="shared" si="1"/>
        <v>6.9178760453642824E-2</v>
      </c>
      <c r="G21" s="100"/>
      <c r="H21" s="93"/>
      <c r="I21" s="93"/>
      <c r="J21" s="101">
        <v>50</v>
      </c>
      <c r="K21" s="95">
        <f t="shared" si="0"/>
        <v>25</v>
      </c>
      <c r="L21" s="96">
        <v>0.97050000000000003</v>
      </c>
      <c r="M21" s="102"/>
      <c r="N21" s="101">
        <v>42.546175623433051</v>
      </c>
      <c r="O21" s="103"/>
      <c r="P21" s="97"/>
      <c r="Q21" s="83"/>
    </row>
    <row r="22" spans="2:17" ht="15" customHeight="1" x14ac:dyDescent="0.25">
      <c r="B22" s="87">
        <v>12</v>
      </c>
      <c r="C22" s="98">
        <v>2013</v>
      </c>
      <c r="D22" s="93">
        <v>40.479999999999997</v>
      </c>
      <c r="E22" s="104">
        <v>43.754960152398731</v>
      </c>
      <c r="F22" s="91">
        <f t="shared" si="1"/>
        <v>2.8411120653108021E-2</v>
      </c>
      <c r="G22" s="100"/>
      <c r="H22" s="93"/>
      <c r="I22" s="93"/>
      <c r="J22" s="101">
        <v>50</v>
      </c>
      <c r="K22" s="95">
        <f t="shared" si="0"/>
        <v>25</v>
      </c>
      <c r="L22" s="96">
        <v>1</v>
      </c>
      <c r="M22" s="102">
        <v>29.8</v>
      </c>
      <c r="N22" s="104">
        <v>43.754960152398731</v>
      </c>
      <c r="O22" s="97"/>
      <c r="P22" s="97"/>
      <c r="Q22" s="83"/>
    </row>
    <row r="23" spans="2:17" ht="15" customHeight="1" x14ac:dyDescent="0.25">
      <c r="B23" s="87">
        <v>1</v>
      </c>
      <c r="C23" s="98">
        <v>2014</v>
      </c>
      <c r="D23" s="93">
        <v>42.87</v>
      </c>
      <c r="E23" s="104">
        <v>45.848508334208688</v>
      </c>
      <c r="F23" s="91">
        <f t="shared" si="1"/>
        <v>4.7847105208600797E-2</v>
      </c>
      <c r="G23" s="100"/>
      <c r="H23" s="93"/>
      <c r="I23" s="93"/>
      <c r="J23" s="101">
        <v>50</v>
      </c>
      <c r="K23" s="95">
        <f t="shared" si="0"/>
        <v>25</v>
      </c>
      <c r="L23" s="96">
        <v>1</v>
      </c>
      <c r="M23" s="102">
        <v>30.4</v>
      </c>
      <c r="N23" s="104">
        <v>45.848508334208688</v>
      </c>
      <c r="O23" s="103"/>
      <c r="P23" s="105"/>
      <c r="Q23" s="83"/>
    </row>
    <row r="24" spans="2:17" ht="15" customHeight="1" x14ac:dyDescent="0.25">
      <c r="B24" s="87">
        <v>12</v>
      </c>
      <c r="C24" s="98">
        <v>2015</v>
      </c>
      <c r="D24" s="93">
        <v>39.28</v>
      </c>
      <c r="E24" s="104">
        <v>41.384108631164267</v>
      </c>
      <c r="F24" s="91">
        <f t="shared" si="1"/>
        <v>-9.7372845164374167E-2</v>
      </c>
      <c r="G24" s="100"/>
      <c r="H24" s="93"/>
      <c r="I24" s="93"/>
      <c r="J24" s="101">
        <v>50</v>
      </c>
      <c r="K24" s="95">
        <f t="shared" si="0"/>
        <v>25</v>
      </c>
      <c r="L24" s="96">
        <v>1</v>
      </c>
      <c r="M24" s="102">
        <v>28.9</v>
      </c>
      <c r="N24" s="106">
        <v>41.384108631164267</v>
      </c>
      <c r="O24" s="107"/>
      <c r="P24" s="105"/>
      <c r="Q24" s="83"/>
    </row>
    <row r="25" spans="2:17" ht="15" customHeight="1" x14ac:dyDescent="0.25">
      <c r="B25" s="87">
        <v>2</v>
      </c>
      <c r="C25" s="98">
        <v>2016</v>
      </c>
      <c r="D25" s="93">
        <v>40.32</v>
      </c>
      <c r="E25" s="108">
        <v>43.1</v>
      </c>
      <c r="F25" s="91">
        <f t="shared" si="1"/>
        <v>4.1462566806225322E-2</v>
      </c>
      <c r="G25" s="109"/>
      <c r="H25" s="110"/>
      <c r="I25" s="110"/>
      <c r="J25" s="101">
        <v>50</v>
      </c>
      <c r="K25" s="95">
        <f t="shared" si="0"/>
        <v>25</v>
      </c>
      <c r="L25" s="111">
        <f>AVERAGE(L12:L24)</f>
        <v>0.96487692307692297</v>
      </c>
      <c r="M25" s="93"/>
      <c r="N25" s="83"/>
      <c r="O25" s="107"/>
      <c r="P25" s="105" t="e">
        <f>(H25-H24)/H24</f>
        <v>#DIV/0!</v>
      </c>
      <c r="Q25" s="83"/>
    </row>
    <row r="26" spans="2:17" ht="15" customHeight="1" x14ac:dyDescent="0.25">
      <c r="B26" s="87"/>
      <c r="C26" s="98">
        <v>2017</v>
      </c>
      <c r="D26" s="93"/>
      <c r="E26" s="108"/>
      <c r="F26" s="91"/>
      <c r="G26" s="109"/>
      <c r="H26" s="110">
        <f>E26</f>
        <v>0</v>
      </c>
      <c r="I26" s="110">
        <f>E26</f>
        <v>0</v>
      </c>
      <c r="J26" s="101">
        <v>50</v>
      </c>
      <c r="K26" s="95">
        <f t="shared" si="0"/>
        <v>25</v>
      </c>
      <c r="L26" s="112"/>
      <c r="M26" s="93"/>
      <c r="N26" s="83"/>
      <c r="O26" s="107" t="e">
        <f>(G26-G25)/G25</f>
        <v>#DIV/0!</v>
      </c>
      <c r="P26" s="105" t="e">
        <f>(H26-H25)/H25</f>
        <v>#DIV/0!</v>
      </c>
      <c r="Q26" s="83"/>
    </row>
    <row r="27" spans="2:17" ht="15" customHeight="1" x14ac:dyDescent="0.25">
      <c r="B27" s="113"/>
      <c r="C27" s="114">
        <v>2018</v>
      </c>
      <c r="D27" s="115"/>
      <c r="E27" s="116"/>
      <c r="F27" s="117"/>
      <c r="G27" s="118"/>
      <c r="H27" s="119"/>
      <c r="I27" s="120">
        <f t="shared" ref="I27:I36" si="2">1.045*I26</f>
        <v>0</v>
      </c>
      <c r="J27" s="101">
        <v>50</v>
      </c>
      <c r="K27" s="95">
        <f t="shared" si="0"/>
        <v>25</v>
      </c>
      <c r="L27" s="112"/>
      <c r="M27" s="93"/>
      <c r="N27" s="83"/>
      <c r="O27" s="107" t="e">
        <f t="shared" ref="O27:O34" si="3">(G27-G26)/G26</f>
        <v>#DIV/0!</v>
      </c>
      <c r="P27" s="105" t="e">
        <f>(H27-H26)/H26</f>
        <v>#DIV/0!</v>
      </c>
      <c r="Q27" s="83"/>
    </row>
    <row r="28" spans="2:17" ht="15" customHeight="1" x14ac:dyDescent="0.25">
      <c r="B28" s="113"/>
      <c r="C28" s="114">
        <v>2019</v>
      </c>
      <c r="D28" s="115"/>
      <c r="E28" s="116"/>
      <c r="F28" s="117"/>
      <c r="G28" s="118"/>
      <c r="H28" s="119"/>
      <c r="I28" s="120">
        <f t="shared" si="2"/>
        <v>0</v>
      </c>
      <c r="J28" s="101">
        <v>50</v>
      </c>
      <c r="K28" s="95">
        <f t="shared" si="0"/>
        <v>25</v>
      </c>
      <c r="L28" s="112"/>
      <c r="M28" s="93"/>
      <c r="N28" s="83"/>
      <c r="O28" s="107" t="e">
        <f t="shared" si="3"/>
        <v>#DIV/0!</v>
      </c>
      <c r="P28" s="105" t="e">
        <f>(H28-H27)/H27</f>
        <v>#DIV/0!</v>
      </c>
      <c r="Q28" s="83"/>
    </row>
    <row r="29" spans="2:17" ht="15" customHeight="1" x14ac:dyDescent="0.25">
      <c r="B29" s="113"/>
      <c r="C29" s="114">
        <v>2020</v>
      </c>
      <c r="D29" s="115"/>
      <c r="E29" s="116"/>
      <c r="F29" s="117"/>
      <c r="G29" s="118"/>
      <c r="H29" s="119"/>
      <c r="I29" s="120">
        <f t="shared" si="2"/>
        <v>0</v>
      </c>
      <c r="J29" s="101">
        <v>50</v>
      </c>
      <c r="K29" s="95">
        <f t="shared" si="0"/>
        <v>25</v>
      </c>
      <c r="L29" s="112"/>
      <c r="M29" s="93"/>
      <c r="N29" s="83"/>
      <c r="O29" s="107" t="e">
        <f t="shared" si="3"/>
        <v>#DIV/0!</v>
      </c>
      <c r="P29" s="105" t="e">
        <f>(H29-H28)/H28</f>
        <v>#DIV/0!</v>
      </c>
      <c r="Q29" s="83"/>
    </row>
    <row r="30" spans="2:17" ht="15" customHeight="1" x14ac:dyDescent="0.25">
      <c r="B30" s="113"/>
      <c r="C30" s="121">
        <v>2021</v>
      </c>
      <c r="D30" s="122"/>
      <c r="E30" s="123"/>
      <c r="F30" s="124"/>
      <c r="G30" s="118"/>
      <c r="H30" s="119"/>
      <c r="I30" s="120">
        <f t="shared" si="2"/>
        <v>0</v>
      </c>
      <c r="J30" s="101">
        <v>50</v>
      </c>
      <c r="K30" s="95">
        <f t="shared" si="0"/>
        <v>25</v>
      </c>
      <c r="L30" s="112"/>
      <c r="M30" s="93"/>
      <c r="N30" s="83"/>
      <c r="O30" s="107" t="e">
        <f t="shared" si="3"/>
        <v>#DIV/0!</v>
      </c>
      <c r="P30" s="105"/>
      <c r="Q30" s="83"/>
    </row>
    <row r="31" spans="2:17" ht="15" customHeight="1" x14ac:dyDescent="0.25">
      <c r="B31" s="113"/>
      <c r="C31" s="114">
        <v>2022</v>
      </c>
      <c r="D31" s="122"/>
      <c r="E31" s="123"/>
      <c r="F31" s="124"/>
      <c r="G31" s="118"/>
      <c r="H31" s="119"/>
      <c r="I31" s="120">
        <f t="shared" si="2"/>
        <v>0</v>
      </c>
      <c r="J31" s="101">
        <v>50</v>
      </c>
      <c r="K31" s="95">
        <f t="shared" si="0"/>
        <v>25</v>
      </c>
      <c r="M31" s="84"/>
      <c r="N31" s="83"/>
      <c r="O31" s="107" t="e">
        <f t="shared" si="3"/>
        <v>#DIV/0!</v>
      </c>
      <c r="P31" s="105"/>
      <c r="Q31" s="83"/>
    </row>
    <row r="32" spans="2:17" ht="15" customHeight="1" x14ac:dyDescent="0.25">
      <c r="B32" s="113"/>
      <c r="C32" s="114">
        <v>2023</v>
      </c>
      <c r="D32" s="122"/>
      <c r="E32" s="123"/>
      <c r="F32" s="124"/>
      <c r="G32" s="118"/>
      <c r="H32" s="119"/>
      <c r="I32" s="120">
        <f t="shared" si="2"/>
        <v>0</v>
      </c>
      <c r="J32" s="101">
        <v>50</v>
      </c>
      <c r="K32" s="95">
        <f t="shared" si="0"/>
        <v>25</v>
      </c>
      <c r="M32" s="84"/>
      <c r="N32" s="83"/>
      <c r="O32" s="107" t="e">
        <f t="shared" si="3"/>
        <v>#DIV/0!</v>
      </c>
      <c r="P32" s="105"/>
      <c r="Q32" s="83"/>
    </row>
    <row r="33" spans="2:17" ht="15" customHeight="1" x14ac:dyDescent="0.25">
      <c r="B33" s="113"/>
      <c r="C33" s="114">
        <v>2024</v>
      </c>
      <c r="D33" s="122"/>
      <c r="E33" s="123"/>
      <c r="F33" s="124"/>
      <c r="G33" s="118"/>
      <c r="H33" s="119"/>
      <c r="I33" s="120">
        <f t="shared" si="2"/>
        <v>0</v>
      </c>
      <c r="J33" s="101">
        <v>50</v>
      </c>
      <c r="K33" s="95">
        <f t="shared" si="0"/>
        <v>25</v>
      </c>
      <c r="M33" s="84"/>
      <c r="N33" s="83"/>
      <c r="O33" s="107" t="e">
        <f t="shared" si="3"/>
        <v>#DIV/0!</v>
      </c>
      <c r="Q33" s="83"/>
    </row>
    <row r="34" spans="2:17" ht="15" customHeight="1" x14ac:dyDescent="0.25">
      <c r="B34" s="113"/>
      <c r="C34" s="114">
        <v>2025</v>
      </c>
      <c r="D34" s="122"/>
      <c r="E34" s="123"/>
      <c r="F34" s="124"/>
      <c r="G34" s="118"/>
      <c r="H34" s="119"/>
      <c r="I34" s="120">
        <f t="shared" si="2"/>
        <v>0</v>
      </c>
      <c r="J34" s="101">
        <v>50</v>
      </c>
      <c r="K34" s="95">
        <f t="shared" si="0"/>
        <v>25</v>
      </c>
      <c r="O34" s="107" t="e">
        <f t="shared" si="3"/>
        <v>#DIV/0!</v>
      </c>
    </row>
    <row r="35" spans="2:17" x14ac:dyDescent="0.25">
      <c r="B35" s="125"/>
      <c r="C35" s="114">
        <v>2026</v>
      </c>
      <c r="D35" s="126"/>
      <c r="E35" s="127"/>
      <c r="F35" s="126"/>
      <c r="G35" s="118"/>
      <c r="H35" s="128"/>
      <c r="I35" s="120">
        <f t="shared" si="2"/>
        <v>0</v>
      </c>
      <c r="J35" s="101">
        <v>50</v>
      </c>
      <c r="K35" s="95">
        <f t="shared" si="0"/>
        <v>25</v>
      </c>
      <c r="O35" s="129" t="e">
        <f>AVERAGE(O26:O34)</f>
        <v>#DIV/0!</v>
      </c>
      <c r="P35" s="130" t="e">
        <f>AVERAGE(P26:P29)</f>
        <v>#DIV/0!</v>
      </c>
    </row>
    <row r="36" spans="2:17" ht="15.75" thickBot="1" x14ac:dyDescent="0.3">
      <c r="B36" s="131"/>
      <c r="C36" s="132">
        <v>2027</v>
      </c>
      <c r="D36" s="133"/>
      <c r="E36" s="134"/>
      <c r="F36" s="133"/>
      <c r="G36" s="135"/>
      <c r="H36" s="136"/>
      <c r="I36" s="137">
        <f t="shared" si="2"/>
        <v>0</v>
      </c>
      <c r="J36" s="138">
        <v>50</v>
      </c>
      <c r="K36" s="139">
        <f t="shared" si="0"/>
        <v>25</v>
      </c>
    </row>
    <row r="37" spans="2:17" x14ac:dyDescent="0.25">
      <c r="F37" s="3">
        <f>AVERAGE(F9:F26)</f>
        <v>7.2117351813762304E-2</v>
      </c>
    </row>
    <row r="38" spans="2:17" ht="15.75" thickBot="1" x14ac:dyDescent="0.3">
      <c r="F38" s="4"/>
    </row>
    <row r="39" spans="2:17" ht="15.95" customHeight="1" thickBot="1" x14ac:dyDescent="0.3">
      <c r="B39"/>
      <c r="C39" s="212" t="s">
        <v>3</v>
      </c>
      <c r="D39" s="213"/>
      <c r="E39" s="213"/>
      <c r="F39" s="213"/>
      <c r="G39" s="213"/>
      <c r="H39" s="213"/>
      <c r="I39" s="213"/>
      <c r="J39" s="213"/>
      <c r="K39" s="214"/>
    </row>
    <row r="40" spans="2:17" ht="15.95" customHeight="1" thickBot="1" x14ac:dyDescent="0.3">
      <c r="B40"/>
      <c r="C40" s="215" t="s">
        <v>4</v>
      </c>
      <c r="D40" s="216"/>
      <c r="E40" s="216"/>
      <c r="F40" s="216"/>
      <c r="G40" s="216"/>
      <c r="H40" s="216"/>
      <c r="I40" s="216"/>
      <c r="J40" s="216"/>
      <c r="K40" s="217"/>
      <c r="M40" s="2" t="s">
        <v>44</v>
      </c>
      <c r="O40" t="s">
        <v>45</v>
      </c>
    </row>
    <row r="41" spans="2:17" ht="15.95" customHeight="1" thickBot="1" x14ac:dyDescent="0.3">
      <c r="B41" s="218" t="s">
        <v>0</v>
      </c>
      <c r="C41" s="219" t="s">
        <v>5</v>
      </c>
      <c r="D41" s="221" t="s">
        <v>1</v>
      </c>
      <c r="E41" s="222"/>
      <c r="F41" s="223"/>
      <c r="G41" s="221" t="s">
        <v>2</v>
      </c>
      <c r="H41" s="223"/>
      <c r="I41" s="219" t="s">
        <v>6</v>
      </c>
      <c r="J41" s="219" t="s">
        <v>7</v>
      </c>
      <c r="K41" s="224" t="s">
        <v>8</v>
      </c>
    </row>
    <row r="42" spans="2:17" ht="35.1" customHeight="1" thickBot="1" x14ac:dyDescent="0.3">
      <c r="B42" s="218"/>
      <c r="C42" s="220"/>
      <c r="D42" s="5" t="s">
        <v>9</v>
      </c>
      <c r="E42" s="5" t="s">
        <v>10</v>
      </c>
      <c r="F42" s="5" t="s">
        <v>11</v>
      </c>
      <c r="G42" s="6" t="s">
        <v>12</v>
      </c>
      <c r="H42" s="7" t="s">
        <v>13</v>
      </c>
      <c r="I42" s="220"/>
      <c r="J42" s="220"/>
      <c r="K42" s="225"/>
    </row>
    <row r="43" spans="2:17" ht="15" customHeight="1" x14ac:dyDescent="0.25">
      <c r="B43" s="8">
        <v>1998</v>
      </c>
      <c r="C43" s="9">
        <v>1998</v>
      </c>
      <c r="D43" s="10">
        <v>4.75</v>
      </c>
      <c r="E43" s="11">
        <v>4.922907664588549</v>
      </c>
      <c r="F43" s="12"/>
      <c r="G43" s="11"/>
      <c r="H43" s="11"/>
      <c r="I43" s="13">
        <f>2*25</f>
        <v>50</v>
      </c>
      <c r="J43" s="13">
        <f>I43-25</f>
        <v>25</v>
      </c>
      <c r="K43" s="14">
        <f>E43/I43</f>
        <v>9.8458153291770975E-2</v>
      </c>
      <c r="L43" s="1">
        <f>(90*50)/100</f>
        <v>45</v>
      </c>
    </row>
    <row r="44" spans="2:17" ht="15" customHeight="1" x14ac:dyDescent="0.25">
      <c r="B44" s="15">
        <v>1999</v>
      </c>
      <c r="C44" s="16">
        <v>1999</v>
      </c>
      <c r="D44" s="17">
        <v>15.5</v>
      </c>
      <c r="E44" s="18">
        <v>16.064225010762634</v>
      </c>
      <c r="F44" s="19">
        <f>(E44-E43)/E43</f>
        <v>2.263157894736842</v>
      </c>
      <c r="G44" s="18"/>
      <c r="H44" s="18"/>
      <c r="I44" s="20">
        <f t="shared" ref="I44:I61" si="4">2*25</f>
        <v>50</v>
      </c>
      <c r="J44" s="20">
        <f t="shared" ref="J44:J61" si="5">I44-25</f>
        <v>25</v>
      </c>
      <c r="K44" s="21">
        <f t="shared" ref="K44:K62" si="6">E44/I44</f>
        <v>0.32128450021525268</v>
      </c>
      <c r="L44" s="1">
        <f t="shared" ref="L44:L72" si="7">(90*50)/100</f>
        <v>45</v>
      </c>
    </row>
    <row r="45" spans="2:17" ht="15" customHeight="1" x14ac:dyDescent="0.25">
      <c r="B45" s="15">
        <v>2000</v>
      </c>
      <c r="C45" s="16">
        <v>2000</v>
      </c>
      <c r="D45" s="17">
        <v>12.1</v>
      </c>
      <c r="E45" s="18">
        <v>12.54045952453083</v>
      </c>
      <c r="F45" s="19">
        <f t="shared" ref="F45:F62" si="8">(E45-E44)/E44</f>
        <v>-0.21935483870967745</v>
      </c>
      <c r="G45" s="18"/>
      <c r="H45" s="18"/>
      <c r="I45" s="20">
        <f t="shared" si="4"/>
        <v>50</v>
      </c>
      <c r="J45" s="20">
        <f t="shared" si="5"/>
        <v>25</v>
      </c>
      <c r="K45" s="21">
        <f t="shared" si="6"/>
        <v>0.25080919049061662</v>
      </c>
      <c r="L45" s="1">
        <f t="shared" si="7"/>
        <v>45</v>
      </c>
    </row>
    <row r="46" spans="2:17" ht="15" customHeight="1" x14ac:dyDescent="0.25">
      <c r="B46" s="15">
        <v>2001</v>
      </c>
      <c r="C46" s="16">
        <v>2001</v>
      </c>
      <c r="D46" s="17">
        <v>12.38</v>
      </c>
      <c r="E46" s="18">
        <v>12.830651976338157</v>
      </c>
      <c r="F46" s="19">
        <f t="shared" si="8"/>
        <v>2.3140495867768746E-2</v>
      </c>
      <c r="G46" s="18"/>
      <c r="H46" s="18"/>
      <c r="I46" s="20">
        <f t="shared" si="4"/>
        <v>50</v>
      </c>
      <c r="J46" s="20">
        <f t="shared" si="5"/>
        <v>25</v>
      </c>
      <c r="K46" s="21">
        <f t="shared" si="6"/>
        <v>0.25661303952676312</v>
      </c>
      <c r="L46" s="1">
        <f t="shared" si="7"/>
        <v>45</v>
      </c>
    </row>
    <row r="47" spans="2:17" ht="15" customHeight="1" x14ac:dyDescent="0.25">
      <c r="B47" s="15">
        <v>2002</v>
      </c>
      <c r="C47" s="16">
        <v>2002</v>
      </c>
      <c r="D47" s="17">
        <v>17.059999999999999</v>
      </c>
      <c r="E47" s="18">
        <v>17.681011527974871</v>
      </c>
      <c r="F47" s="19">
        <f t="shared" si="8"/>
        <v>0.37802907915993506</v>
      </c>
      <c r="G47" s="18"/>
      <c r="H47" s="18"/>
      <c r="I47" s="20">
        <f t="shared" si="4"/>
        <v>50</v>
      </c>
      <c r="J47" s="20">
        <f t="shared" si="5"/>
        <v>25</v>
      </c>
      <c r="K47" s="21">
        <f t="shared" si="6"/>
        <v>0.35362023055949743</v>
      </c>
      <c r="L47" s="1">
        <f t="shared" si="7"/>
        <v>45</v>
      </c>
    </row>
    <row r="48" spans="2:17" ht="15" customHeight="1" x14ac:dyDescent="0.25">
      <c r="B48" s="15">
        <v>2003</v>
      </c>
      <c r="C48" s="22">
        <v>37860.875</v>
      </c>
      <c r="D48" s="17">
        <v>19.52</v>
      </c>
      <c r="E48" s="18">
        <v>20.2</v>
      </c>
      <c r="F48" s="19">
        <f t="shared" si="8"/>
        <v>0.14246857245919378</v>
      </c>
      <c r="G48" s="18"/>
      <c r="H48" s="18"/>
      <c r="I48" s="20">
        <f t="shared" si="4"/>
        <v>50</v>
      </c>
      <c r="J48" s="20">
        <f t="shared" si="5"/>
        <v>25</v>
      </c>
      <c r="K48" s="21">
        <f t="shared" si="6"/>
        <v>0.40399999999999997</v>
      </c>
      <c r="L48" s="1">
        <f t="shared" si="7"/>
        <v>45</v>
      </c>
    </row>
    <row r="49" spans="2:15" ht="15" customHeight="1" x14ac:dyDescent="0.25">
      <c r="B49" s="15">
        <v>2004</v>
      </c>
      <c r="C49" s="22">
        <v>38216.885416666664</v>
      </c>
      <c r="D49" s="17">
        <v>22.13</v>
      </c>
      <c r="E49" s="18">
        <v>22.91</v>
      </c>
      <c r="F49" s="19">
        <f t="shared" si="8"/>
        <v>0.13415841584158419</v>
      </c>
      <c r="G49" s="18"/>
      <c r="H49" s="18"/>
      <c r="I49" s="20">
        <f t="shared" si="4"/>
        <v>50</v>
      </c>
      <c r="J49" s="20">
        <f t="shared" si="5"/>
        <v>25</v>
      </c>
      <c r="K49" s="21">
        <f t="shared" si="6"/>
        <v>0.4582</v>
      </c>
      <c r="L49" s="1">
        <f t="shared" si="7"/>
        <v>45</v>
      </c>
    </row>
    <row r="50" spans="2:15" ht="15" customHeight="1" x14ac:dyDescent="0.25">
      <c r="B50" s="15">
        <v>2005</v>
      </c>
      <c r="C50" s="22">
        <v>38525.854166666664</v>
      </c>
      <c r="D50" s="17">
        <v>20.47</v>
      </c>
      <c r="E50" s="18">
        <v>21.05</v>
      </c>
      <c r="F50" s="19">
        <f t="shared" si="8"/>
        <v>-8.1187254474028789E-2</v>
      </c>
      <c r="G50" s="18"/>
      <c r="H50" s="18"/>
      <c r="I50" s="20">
        <f t="shared" si="4"/>
        <v>50</v>
      </c>
      <c r="J50" s="20">
        <f t="shared" si="5"/>
        <v>25</v>
      </c>
      <c r="K50" s="21">
        <f t="shared" si="6"/>
        <v>0.42100000000000004</v>
      </c>
      <c r="L50" s="1">
        <f t="shared" si="7"/>
        <v>45</v>
      </c>
    </row>
    <row r="51" spans="2:15" ht="15" customHeight="1" x14ac:dyDescent="0.25">
      <c r="B51" s="15">
        <v>2006</v>
      </c>
      <c r="C51" s="22">
        <v>39080.927083333336</v>
      </c>
      <c r="D51" s="17">
        <v>22.89</v>
      </c>
      <c r="E51" s="18">
        <v>24.87</v>
      </c>
      <c r="F51" s="19">
        <f t="shared" si="8"/>
        <v>0.1814726840855107</v>
      </c>
      <c r="G51" s="18"/>
      <c r="H51" s="18"/>
      <c r="I51" s="20">
        <f t="shared" si="4"/>
        <v>50</v>
      </c>
      <c r="J51" s="20">
        <f t="shared" si="5"/>
        <v>25</v>
      </c>
      <c r="K51" s="21">
        <f t="shared" si="6"/>
        <v>0.49740000000000001</v>
      </c>
      <c r="L51" s="1">
        <f t="shared" si="7"/>
        <v>45</v>
      </c>
    </row>
    <row r="52" spans="2:15" ht="15" customHeight="1" x14ac:dyDescent="0.25">
      <c r="B52" s="15">
        <v>2007</v>
      </c>
      <c r="C52" s="22">
        <v>39414.864583333336</v>
      </c>
      <c r="D52" s="17">
        <v>33.299999999999997</v>
      </c>
      <c r="E52" s="18">
        <v>36.47</v>
      </c>
      <c r="F52" s="19">
        <f t="shared" si="8"/>
        <v>0.46642541214314426</v>
      </c>
      <c r="G52" s="18"/>
      <c r="H52" s="18"/>
      <c r="I52" s="20">
        <f t="shared" si="4"/>
        <v>50</v>
      </c>
      <c r="J52" s="20">
        <f t="shared" si="5"/>
        <v>25</v>
      </c>
      <c r="K52" s="21">
        <f t="shared" si="6"/>
        <v>0.72939999999999994</v>
      </c>
      <c r="L52" s="1">
        <f t="shared" si="7"/>
        <v>45</v>
      </c>
    </row>
    <row r="53" spans="2:15" ht="15" customHeight="1" x14ac:dyDescent="0.25">
      <c r="B53" s="15">
        <v>2008</v>
      </c>
      <c r="C53" s="22">
        <v>39623.864583333336</v>
      </c>
      <c r="D53" s="17">
        <v>30.51</v>
      </c>
      <c r="E53" s="18">
        <v>31.52</v>
      </c>
      <c r="F53" s="19">
        <f t="shared" si="8"/>
        <v>-0.13572799561283244</v>
      </c>
      <c r="G53" s="18"/>
      <c r="H53" s="18"/>
      <c r="I53" s="20">
        <f t="shared" si="4"/>
        <v>50</v>
      </c>
      <c r="J53" s="20">
        <f t="shared" si="5"/>
        <v>25</v>
      </c>
      <c r="K53" s="21">
        <f t="shared" si="6"/>
        <v>0.63039999999999996</v>
      </c>
      <c r="L53" s="1">
        <f t="shared" si="7"/>
        <v>45</v>
      </c>
    </row>
    <row r="54" spans="2:15" ht="15" customHeight="1" x14ac:dyDescent="0.25">
      <c r="B54" s="15">
        <v>2009</v>
      </c>
      <c r="C54" s="22">
        <v>40024.885416666664</v>
      </c>
      <c r="D54" s="17">
        <v>35.450000000000003</v>
      </c>
      <c r="E54" s="18">
        <v>36.72</v>
      </c>
      <c r="F54" s="19">
        <f t="shared" si="8"/>
        <v>0.16497461928934007</v>
      </c>
      <c r="G54" s="18"/>
      <c r="H54" s="18"/>
      <c r="I54" s="20">
        <f t="shared" si="4"/>
        <v>50</v>
      </c>
      <c r="J54" s="20">
        <f t="shared" si="5"/>
        <v>25</v>
      </c>
      <c r="K54" s="21">
        <f t="shared" si="6"/>
        <v>0.73439999999999994</v>
      </c>
      <c r="L54" s="1">
        <f t="shared" si="7"/>
        <v>45</v>
      </c>
    </row>
    <row r="55" spans="2:15" ht="15" customHeight="1" x14ac:dyDescent="0.25">
      <c r="B55" s="15">
        <v>2010</v>
      </c>
      <c r="C55" s="22">
        <v>40378.864583333336</v>
      </c>
      <c r="D55" s="17">
        <v>36.85</v>
      </c>
      <c r="E55" s="18">
        <v>37.950143306712299</v>
      </c>
      <c r="F55" s="19">
        <f t="shared" si="8"/>
        <v>3.3500634714387259E-2</v>
      </c>
      <c r="G55" s="18"/>
      <c r="H55" s="18"/>
      <c r="I55" s="20">
        <f t="shared" si="4"/>
        <v>50</v>
      </c>
      <c r="J55" s="20">
        <f t="shared" si="5"/>
        <v>25</v>
      </c>
      <c r="K55" s="21">
        <f t="shared" si="6"/>
        <v>0.75900286613424595</v>
      </c>
      <c r="L55" s="1">
        <f t="shared" si="7"/>
        <v>45</v>
      </c>
    </row>
    <row r="56" spans="2:15" ht="15" customHeight="1" x14ac:dyDescent="0.25">
      <c r="B56" s="15">
        <v>2011</v>
      </c>
      <c r="C56" s="22">
        <v>40855.895833333336</v>
      </c>
      <c r="D56" s="17">
        <v>37.03</v>
      </c>
      <c r="E56" s="18">
        <v>39.793322872763667</v>
      </c>
      <c r="F56" s="19">
        <f t="shared" si="8"/>
        <v>4.856844811243078E-2</v>
      </c>
      <c r="G56" s="140"/>
      <c r="H56" s="18"/>
      <c r="I56" s="20">
        <f t="shared" si="4"/>
        <v>50</v>
      </c>
      <c r="J56" s="20">
        <f t="shared" si="5"/>
        <v>25</v>
      </c>
      <c r="K56" s="21">
        <f t="shared" si="6"/>
        <v>0.7958664574552734</v>
      </c>
      <c r="L56" s="1">
        <f t="shared" si="7"/>
        <v>45</v>
      </c>
    </row>
    <row r="57" spans="2:15" ht="15" customHeight="1" x14ac:dyDescent="0.25">
      <c r="B57" s="15">
        <v>2012</v>
      </c>
      <c r="C57" s="22">
        <v>41067.885416666664</v>
      </c>
      <c r="D57" s="17">
        <v>37.979999999999997</v>
      </c>
      <c r="E57" s="18">
        <v>42.546175623433051</v>
      </c>
      <c r="F57" s="19">
        <f t="shared" si="8"/>
        <v>6.9178760453642824E-2</v>
      </c>
      <c r="G57" s="140"/>
      <c r="H57" s="23"/>
      <c r="I57" s="20">
        <f t="shared" si="4"/>
        <v>50</v>
      </c>
      <c r="J57" s="20">
        <f t="shared" si="5"/>
        <v>25</v>
      </c>
      <c r="K57" s="21">
        <f>E57/I57</f>
        <v>0.85092351246866105</v>
      </c>
      <c r="L57" s="1">
        <f t="shared" si="7"/>
        <v>45</v>
      </c>
    </row>
    <row r="58" spans="2:15" ht="15" customHeight="1" x14ac:dyDescent="0.25">
      <c r="B58" s="15">
        <v>2013</v>
      </c>
      <c r="C58" s="22">
        <v>41634.65625</v>
      </c>
      <c r="D58" s="17">
        <v>40.479999999999997</v>
      </c>
      <c r="E58" s="18">
        <v>43.754960152398731</v>
      </c>
      <c r="F58" s="19">
        <f t="shared" si="8"/>
        <v>2.8411120653108021E-2</v>
      </c>
      <c r="G58" s="18"/>
      <c r="H58" s="23"/>
      <c r="I58" s="20">
        <f t="shared" si="4"/>
        <v>50</v>
      </c>
      <c r="J58" s="20">
        <f t="shared" si="5"/>
        <v>25</v>
      </c>
      <c r="K58" s="21">
        <f t="shared" si="6"/>
        <v>0.87509920304797462</v>
      </c>
      <c r="L58" s="1">
        <f t="shared" si="7"/>
        <v>45</v>
      </c>
    </row>
    <row r="59" spans="2:15" ht="15" customHeight="1" x14ac:dyDescent="0.25">
      <c r="B59" s="15">
        <v>2014</v>
      </c>
      <c r="C59" s="24">
        <v>41662.635416666664</v>
      </c>
      <c r="D59" s="17">
        <v>42.87</v>
      </c>
      <c r="E59" s="18">
        <v>45.848508334208688</v>
      </c>
      <c r="F59" s="19">
        <f t="shared" si="8"/>
        <v>4.7847105208600797E-2</v>
      </c>
      <c r="G59" s="18"/>
      <c r="H59" s="23"/>
      <c r="I59" s="20">
        <f t="shared" si="4"/>
        <v>50</v>
      </c>
      <c r="J59" s="20">
        <f t="shared" si="5"/>
        <v>25</v>
      </c>
      <c r="K59" s="25">
        <f t="shared" si="6"/>
        <v>0.91697016668417375</v>
      </c>
      <c r="L59" s="1">
        <f t="shared" si="7"/>
        <v>45</v>
      </c>
      <c r="M59" s="2">
        <f>45/50</f>
        <v>0.9</v>
      </c>
    </row>
    <row r="60" spans="2:15" ht="15" customHeight="1" x14ac:dyDescent="0.25">
      <c r="B60" s="15">
        <v>2015</v>
      </c>
      <c r="C60" s="24">
        <v>42367.927083333336</v>
      </c>
      <c r="D60" s="17">
        <v>39.28</v>
      </c>
      <c r="E60" s="18">
        <v>41.384108631164267</v>
      </c>
      <c r="F60" s="19">
        <f t="shared" si="8"/>
        <v>-9.7372845164374167E-2</v>
      </c>
      <c r="G60" s="18"/>
      <c r="H60" s="23"/>
      <c r="I60" s="20">
        <f t="shared" si="4"/>
        <v>50</v>
      </c>
      <c r="J60" s="20">
        <f t="shared" si="5"/>
        <v>25</v>
      </c>
      <c r="K60" s="21">
        <f t="shared" si="6"/>
        <v>0.82768217262328536</v>
      </c>
      <c r="L60" s="1">
        <f t="shared" si="7"/>
        <v>45</v>
      </c>
    </row>
    <row r="61" spans="2:15" ht="15" customHeight="1" x14ac:dyDescent="0.25">
      <c r="B61" s="15">
        <v>2016</v>
      </c>
      <c r="C61" s="24">
        <v>42735.645833333336</v>
      </c>
      <c r="D61" s="17">
        <v>44.77</v>
      </c>
      <c r="E61" s="18">
        <v>47.69</v>
      </c>
      <c r="F61" s="19">
        <f t="shared" si="8"/>
        <v>0.15237470559138935</v>
      </c>
      <c r="G61" s="18"/>
      <c r="H61" s="18"/>
      <c r="I61" s="20">
        <f t="shared" si="4"/>
        <v>50</v>
      </c>
      <c r="J61" s="20">
        <f t="shared" si="5"/>
        <v>25</v>
      </c>
      <c r="K61" s="25">
        <f t="shared" si="6"/>
        <v>0.95379999999999998</v>
      </c>
      <c r="L61" s="1">
        <f t="shared" si="7"/>
        <v>45</v>
      </c>
    </row>
    <row r="62" spans="2:15" ht="15" customHeight="1" x14ac:dyDescent="0.25">
      <c r="B62" s="15">
        <v>2017</v>
      </c>
      <c r="C62" s="24">
        <v>42796.697916666664</v>
      </c>
      <c r="D62" s="17">
        <v>45.27</v>
      </c>
      <c r="E62" s="18">
        <v>48.39</v>
      </c>
      <c r="F62" s="19">
        <f t="shared" si="8"/>
        <v>1.4678129586915556E-2</v>
      </c>
      <c r="G62" s="18"/>
      <c r="H62" s="18">
        <f>E62</f>
        <v>48.39</v>
      </c>
      <c r="I62" s="20">
        <f>1*55 + 1*55</f>
        <v>110</v>
      </c>
      <c r="J62" s="20">
        <f>I62-55</f>
        <v>55</v>
      </c>
      <c r="K62" s="25">
        <f t="shared" si="6"/>
        <v>0.43990909090909092</v>
      </c>
      <c r="L62" s="1">
        <f t="shared" si="7"/>
        <v>45</v>
      </c>
      <c r="N62">
        <f>0.043*H62</f>
        <v>2.0807699999999998</v>
      </c>
      <c r="O62" t="s">
        <v>14</v>
      </c>
    </row>
    <row r="63" spans="2:15" ht="15" customHeight="1" x14ac:dyDescent="0.25">
      <c r="B63" s="26">
        <v>2018</v>
      </c>
      <c r="C63" s="27">
        <v>2018</v>
      </c>
      <c r="D63" s="28"/>
      <c r="E63" s="29"/>
      <c r="F63" s="30"/>
      <c r="G63" s="31">
        <f>2.2155*B63-4417.4</f>
        <v>53.479000000000269</v>
      </c>
      <c r="H63" s="32">
        <f>2.22+H62</f>
        <v>50.61</v>
      </c>
      <c r="I63" s="33">
        <f>1*55+1*55</f>
        <v>110</v>
      </c>
      <c r="J63" s="33">
        <f>I63-55</f>
        <v>55</v>
      </c>
      <c r="K63" s="34">
        <f>H63/I63</f>
        <v>0.46009090909090911</v>
      </c>
      <c r="L63" s="1">
        <f t="shared" si="7"/>
        <v>45</v>
      </c>
    </row>
    <row r="64" spans="2:15" ht="15" customHeight="1" x14ac:dyDescent="0.25">
      <c r="B64" s="26">
        <v>2019</v>
      </c>
      <c r="C64" s="27">
        <v>2019</v>
      </c>
      <c r="D64" s="28"/>
      <c r="E64" s="29"/>
      <c r="F64" s="30"/>
      <c r="G64" s="31">
        <f t="shared" ref="G64:G72" si="9">2.2155*B64-4417.4</f>
        <v>55.694500000000517</v>
      </c>
      <c r="H64" s="32">
        <f>2.22+H63</f>
        <v>52.83</v>
      </c>
      <c r="I64" s="33">
        <f t="shared" ref="I64:I72" si="10">1*55+1*55</f>
        <v>110</v>
      </c>
      <c r="J64" s="33">
        <f t="shared" ref="J64:J72" si="11">I64-55</f>
        <v>55</v>
      </c>
      <c r="K64" s="34">
        <f>H64/I64</f>
        <v>0.48027272727272724</v>
      </c>
      <c r="L64" s="1">
        <f t="shared" si="7"/>
        <v>45</v>
      </c>
      <c r="M64" s="2">
        <f>G64-G63</f>
        <v>2.2155000000002474</v>
      </c>
      <c r="N64" s="35">
        <f>H64-H63</f>
        <v>2.2199999999999989</v>
      </c>
    </row>
    <row r="65" spans="2:15" ht="15" customHeight="1" x14ac:dyDescent="0.25">
      <c r="B65" s="26">
        <v>2020</v>
      </c>
      <c r="C65" s="27">
        <v>2020</v>
      </c>
      <c r="D65" s="28"/>
      <c r="E65" s="29"/>
      <c r="F65" s="30"/>
      <c r="G65" s="31">
        <f t="shared" si="9"/>
        <v>57.910000000000764</v>
      </c>
      <c r="H65" s="32">
        <f>2.22+H64-9</f>
        <v>46.05</v>
      </c>
      <c r="I65" s="33">
        <f t="shared" si="10"/>
        <v>110</v>
      </c>
      <c r="J65" s="33">
        <f t="shared" si="11"/>
        <v>55</v>
      </c>
      <c r="K65" s="34">
        <f t="shared" ref="K65:K72" si="12">H65/I65</f>
        <v>0.41863636363636358</v>
      </c>
      <c r="L65" s="1">
        <f t="shared" si="7"/>
        <v>45</v>
      </c>
      <c r="M65" s="141" t="s">
        <v>46</v>
      </c>
      <c r="N65" s="142"/>
      <c r="O65">
        <f>8/0.9</f>
        <v>8.8888888888888893</v>
      </c>
    </row>
    <row r="66" spans="2:15" ht="15" customHeight="1" x14ac:dyDescent="0.25">
      <c r="B66" s="26">
        <v>2021</v>
      </c>
      <c r="C66" s="27">
        <v>2021</v>
      </c>
      <c r="D66" s="36"/>
      <c r="E66" s="37"/>
      <c r="F66" s="36"/>
      <c r="G66" s="31">
        <f t="shared" si="9"/>
        <v>60.125500000000102</v>
      </c>
      <c r="H66" s="32">
        <f>2.22+H65</f>
        <v>48.269999999999996</v>
      </c>
      <c r="I66" s="33">
        <f t="shared" si="10"/>
        <v>110</v>
      </c>
      <c r="J66" s="33">
        <f t="shared" si="11"/>
        <v>55</v>
      </c>
      <c r="K66" s="34">
        <f t="shared" si="12"/>
        <v>0.43881818181818177</v>
      </c>
      <c r="L66" s="1">
        <f t="shared" si="7"/>
        <v>45</v>
      </c>
    </row>
    <row r="67" spans="2:15" ht="15" customHeight="1" x14ac:dyDescent="0.25">
      <c r="B67" s="26">
        <v>2022</v>
      </c>
      <c r="C67" s="27">
        <v>2022</v>
      </c>
      <c r="D67" s="36"/>
      <c r="E67" s="37"/>
      <c r="F67" s="36"/>
      <c r="G67" s="31">
        <f t="shared" si="9"/>
        <v>62.341000000000349</v>
      </c>
      <c r="H67" s="32">
        <f t="shared" ref="H67:H72" si="13">2.22+H66</f>
        <v>50.489999999999995</v>
      </c>
      <c r="I67" s="33">
        <f t="shared" si="10"/>
        <v>110</v>
      </c>
      <c r="J67" s="33">
        <f t="shared" si="11"/>
        <v>55</v>
      </c>
      <c r="K67" s="34">
        <f t="shared" si="12"/>
        <v>0.45899999999999996</v>
      </c>
      <c r="L67" s="1">
        <f t="shared" si="7"/>
        <v>45</v>
      </c>
    </row>
    <row r="68" spans="2:15" ht="15" customHeight="1" x14ac:dyDescent="0.25">
      <c r="B68" s="26">
        <v>2023</v>
      </c>
      <c r="C68" s="27">
        <v>2023</v>
      </c>
      <c r="D68" s="38"/>
      <c r="E68" s="39"/>
      <c r="F68" s="40"/>
      <c r="G68" s="31">
        <f t="shared" si="9"/>
        <v>64.556500000000597</v>
      </c>
      <c r="H68" s="32">
        <f t="shared" si="13"/>
        <v>52.709999999999994</v>
      </c>
      <c r="I68" s="33">
        <f t="shared" si="10"/>
        <v>110</v>
      </c>
      <c r="J68" s="33">
        <f t="shared" si="11"/>
        <v>55</v>
      </c>
      <c r="K68" s="34">
        <f t="shared" si="12"/>
        <v>0.4791818181818181</v>
      </c>
      <c r="L68" s="1">
        <f t="shared" si="7"/>
        <v>45</v>
      </c>
    </row>
    <row r="69" spans="2:15" ht="15" customHeight="1" x14ac:dyDescent="0.25">
      <c r="B69" s="26">
        <v>2024</v>
      </c>
      <c r="C69" s="41">
        <v>2024</v>
      </c>
      <c r="D69" s="38"/>
      <c r="E69" s="39"/>
      <c r="F69" s="40"/>
      <c r="G69" s="31">
        <f t="shared" si="9"/>
        <v>66.772000000000844</v>
      </c>
      <c r="H69" s="32">
        <f t="shared" si="13"/>
        <v>54.929999999999993</v>
      </c>
      <c r="I69" s="33">
        <f t="shared" si="10"/>
        <v>110</v>
      </c>
      <c r="J69" s="33">
        <f t="shared" si="11"/>
        <v>55</v>
      </c>
      <c r="K69" s="34">
        <f t="shared" si="12"/>
        <v>0.49936363636363629</v>
      </c>
      <c r="L69" s="1">
        <f t="shared" si="7"/>
        <v>45</v>
      </c>
    </row>
    <row r="70" spans="2:15" ht="15" customHeight="1" x14ac:dyDescent="0.25">
      <c r="B70" s="26">
        <v>2025</v>
      </c>
      <c r="C70" s="41">
        <v>2025</v>
      </c>
      <c r="D70" s="38"/>
      <c r="E70" s="39"/>
      <c r="F70" s="40"/>
      <c r="G70" s="31">
        <f t="shared" si="9"/>
        <v>68.987500000000182</v>
      </c>
      <c r="H70" s="32">
        <f t="shared" si="13"/>
        <v>57.149999999999991</v>
      </c>
      <c r="I70" s="33">
        <f t="shared" si="10"/>
        <v>110</v>
      </c>
      <c r="J70" s="33">
        <f t="shared" si="11"/>
        <v>55</v>
      </c>
      <c r="K70" s="34">
        <f t="shared" si="12"/>
        <v>0.51954545454545442</v>
      </c>
      <c r="L70" s="1">
        <f t="shared" si="7"/>
        <v>45</v>
      </c>
      <c r="N70" s="35">
        <f>H70-H69</f>
        <v>2.2199999999999989</v>
      </c>
    </row>
    <row r="71" spans="2:15" ht="15" customHeight="1" x14ac:dyDescent="0.25">
      <c r="B71" s="26">
        <v>2026</v>
      </c>
      <c r="C71" s="41">
        <v>2026</v>
      </c>
      <c r="D71" s="38"/>
      <c r="E71" s="39"/>
      <c r="F71" s="40"/>
      <c r="G71" s="31">
        <f t="shared" si="9"/>
        <v>71.203000000000429</v>
      </c>
      <c r="H71" s="32">
        <f t="shared" si="13"/>
        <v>59.36999999999999</v>
      </c>
      <c r="I71" s="33">
        <f t="shared" si="10"/>
        <v>110</v>
      </c>
      <c r="J71" s="33">
        <f t="shared" si="11"/>
        <v>55</v>
      </c>
      <c r="K71" s="34">
        <f t="shared" si="12"/>
        <v>0.53972727272727261</v>
      </c>
      <c r="L71" s="1">
        <f t="shared" si="7"/>
        <v>45</v>
      </c>
    </row>
    <row r="72" spans="2:15" ht="15" customHeight="1" thickBot="1" x14ac:dyDescent="0.3">
      <c r="B72" s="42">
        <v>2027</v>
      </c>
      <c r="C72" s="43">
        <v>2027</v>
      </c>
      <c r="D72" s="44"/>
      <c r="E72" s="45"/>
      <c r="F72" s="46"/>
      <c r="G72" s="47">
        <f t="shared" si="9"/>
        <v>73.418500000000677</v>
      </c>
      <c r="H72" s="48">
        <f t="shared" si="13"/>
        <v>61.589999999999989</v>
      </c>
      <c r="I72" s="49">
        <f t="shared" si="10"/>
        <v>110</v>
      </c>
      <c r="J72" s="49">
        <f t="shared" si="11"/>
        <v>55</v>
      </c>
      <c r="K72" s="50">
        <f t="shared" si="12"/>
        <v>0.5599090909090908</v>
      </c>
      <c r="L72" s="1">
        <f t="shared" si="7"/>
        <v>45</v>
      </c>
    </row>
    <row r="73" spans="2:15" ht="15" customHeight="1" x14ac:dyDescent="0.25">
      <c r="D73" t="s">
        <v>15</v>
      </c>
      <c r="E73" s="35">
        <f>(E62-E43)/19</f>
        <v>2.2877417018637605</v>
      </c>
      <c r="F73" s="3">
        <f>E73/E43</f>
        <v>0.46471351033454072</v>
      </c>
      <c r="H73">
        <f>0.043*H62</f>
        <v>2.0807699999999998</v>
      </c>
    </row>
    <row r="74" spans="2:15" x14ac:dyDescent="0.25">
      <c r="D74" s="51">
        <f>B62-B43</f>
        <v>19</v>
      </c>
      <c r="E74" s="51">
        <f>E73*19+E43</f>
        <v>48.39</v>
      </c>
      <c r="F74" s="51"/>
    </row>
    <row r="75" spans="2:15" x14ac:dyDescent="0.25">
      <c r="C75" s="51"/>
    </row>
    <row r="76" spans="2:15" x14ac:dyDescent="0.25">
      <c r="C76" s="51"/>
    </row>
    <row r="77" spans="2:15" x14ac:dyDescent="0.25">
      <c r="C77" s="51"/>
    </row>
    <row r="86" spans="15:16" x14ac:dyDescent="0.25">
      <c r="O86">
        <v>2021</v>
      </c>
      <c r="P86" s="35">
        <v>0</v>
      </c>
    </row>
    <row r="87" spans="15:16" x14ac:dyDescent="0.25">
      <c r="O87">
        <v>2021</v>
      </c>
      <c r="P87" s="35">
        <v>10</v>
      </c>
    </row>
    <row r="88" spans="15:16" x14ac:dyDescent="0.25">
      <c r="O88">
        <v>2021</v>
      </c>
      <c r="P88" s="35">
        <v>20</v>
      </c>
    </row>
    <row r="89" spans="15:16" x14ac:dyDescent="0.25">
      <c r="O89">
        <v>2021</v>
      </c>
      <c r="P89" s="35">
        <v>30</v>
      </c>
    </row>
    <row r="90" spans="15:16" x14ac:dyDescent="0.25">
      <c r="O90">
        <v>2021</v>
      </c>
      <c r="P90" s="35">
        <v>40</v>
      </c>
    </row>
    <row r="91" spans="15:16" x14ac:dyDescent="0.25">
      <c r="O91">
        <v>2021</v>
      </c>
      <c r="P91" s="35">
        <v>50</v>
      </c>
    </row>
    <row r="92" spans="15:16" x14ac:dyDescent="0.25">
      <c r="O92">
        <v>2021</v>
      </c>
      <c r="P92" s="35">
        <v>60</v>
      </c>
    </row>
    <row r="93" spans="15:16" x14ac:dyDescent="0.25">
      <c r="O93">
        <v>2021</v>
      </c>
      <c r="P93" s="35">
        <v>70</v>
      </c>
    </row>
    <row r="107" spans="1:21" s="1" customFormat="1" ht="18" x14ac:dyDescent="0.25">
      <c r="A107" s="226" t="s">
        <v>16</v>
      </c>
      <c r="B107" s="226"/>
      <c r="C107" s="226"/>
      <c r="D107" s="226"/>
      <c r="E107" s="226"/>
      <c r="F107" s="226"/>
      <c r="G107" s="226"/>
      <c r="H107" s="226"/>
      <c r="I107" s="226"/>
      <c r="J107" s="226"/>
      <c r="K107" s="226"/>
      <c r="L107" s="226"/>
      <c r="M107" s="226"/>
      <c r="N107" s="226"/>
      <c r="O107" s="226"/>
      <c r="P107" s="226"/>
      <c r="Q107" s="226"/>
      <c r="R107" s="226"/>
      <c r="S107" s="226"/>
      <c r="T107" s="226"/>
      <c r="U107" s="52"/>
    </row>
    <row r="108" spans="1:21" s="1" customFormat="1" ht="18" x14ac:dyDescent="0.25">
      <c r="A108" s="227" t="s">
        <v>17</v>
      </c>
      <c r="B108" s="227"/>
      <c r="C108" s="227"/>
      <c r="D108" s="227"/>
      <c r="E108" s="227"/>
      <c r="F108" s="227"/>
      <c r="G108" s="227"/>
      <c r="H108" s="227"/>
      <c r="I108" s="227"/>
      <c r="J108" s="227"/>
      <c r="K108" s="227"/>
      <c r="L108" s="227"/>
      <c r="M108" s="227"/>
      <c r="N108" s="227"/>
      <c r="O108" s="227"/>
      <c r="P108" s="227"/>
      <c r="Q108" s="227"/>
      <c r="R108" s="227"/>
      <c r="S108" s="227"/>
      <c r="T108" s="227"/>
      <c r="U108" s="52"/>
    </row>
    <row r="109" spans="1:21" s="1" customFormat="1" ht="12.95" customHeight="1" thickBot="1" x14ac:dyDescent="0.3">
      <c r="A109" s="53"/>
      <c r="B109" s="53"/>
      <c r="C109" s="53"/>
      <c r="D109" s="53"/>
      <c r="E109" s="53"/>
      <c r="F109" s="53"/>
      <c r="G109" s="53"/>
      <c r="H109" s="54"/>
      <c r="I109" s="53"/>
      <c r="J109" s="55"/>
      <c r="K109" s="54"/>
      <c r="L109" s="53"/>
      <c r="M109" s="55"/>
      <c r="N109" s="54"/>
      <c r="O109" s="53"/>
      <c r="P109" s="55"/>
      <c r="Q109" s="54"/>
      <c r="R109" s="53"/>
      <c r="S109" s="56"/>
      <c r="T109" s="57"/>
      <c r="U109" s="52"/>
    </row>
    <row r="110" spans="1:21" s="1" customFormat="1" ht="15.75" customHeight="1" x14ac:dyDescent="0.25">
      <c r="A110" s="254" t="s">
        <v>18</v>
      </c>
      <c r="B110" s="257" t="s">
        <v>19</v>
      </c>
      <c r="C110" s="260" t="s">
        <v>20</v>
      </c>
      <c r="D110" s="263" t="s">
        <v>21</v>
      </c>
      <c r="E110" s="250"/>
      <c r="F110" s="248">
        <v>2017</v>
      </c>
      <c r="G110" s="249"/>
      <c r="H110" s="266"/>
      <c r="I110" s="263">
        <f>+F110+1</f>
        <v>2018</v>
      </c>
      <c r="J110" s="249"/>
      <c r="K110" s="250"/>
      <c r="L110" s="248">
        <f>+I110+1</f>
        <v>2019</v>
      </c>
      <c r="M110" s="249"/>
      <c r="N110" s="266"/>
      <c r="O110" s="263">
        <f>+L110+1</f>
        <v>2020</v>
      </c>
      <c r="P110" s="249"/>
      <c r="Q110" s="250"/>
      <c r="R110" s="248">
        <f>+O110+1</f>
        <v>2021</v>
      </c>
      <c r="S110" s="249"/>
      <c r="T110" s="250"/>
      <c r="U110" s="58"/>
    </row>
    <row r="111" spans="1:21" s="1" customFormat="1" ht="18" customHeight="1" x14ac:dyDescent="0.25">
      <c r="A111" s="255"/>
      <c r="B111" s="258"/>
      <c r="C111" s="261"/>
      <c r="D111" s="264"/>
      <c r="E111" s="265"/>
      <c r="F111" s="60" t="s">
        <v>22</v>
      </c>
      <c r="G111" s="251" t="s">
        <v>23</v>
      </c>
      <c r="H111" s="252"/>
      <c r="I111" s="59" t="s">
        <v>22</v>
      </c>
      <c r="J111" s="251" t="s">
        <v>23</v>
      </c>
      <c r="K111" s="253"/>
      <c r="L111" s="60" t="s">
        <v>22</v>
      </c>
      <c r="M111" s="251" t="s">
        <v>23</v>
      </c>
      <c r="N111" s="252"/>
      <c r="O111" s="59" t="s">
        <v>22</v>
      </c>
      <c r="P111" s="251" t="s">
        <v>23</v>
      </c>
      <c r="Q111" s="253"/>
      <c r="R111" s="60" t="s">
        <v>22</v>
      </c>
      <c r="S111" s="251" t="s">
        <v>23</v>
      </c>
      <c r="T111" s="253"/>
      <c r="U111" s="58"/>
    </row>
    <row r="112" spans="1:21" s="1" customFormat="1" ht="19.5" customHeight="1" thickBot="1" x14ac:dyDescent="0.3">
      <c r="A112" s="256"/>
      <c r="B112" s="259"/>
      <c r="C112" s="262"/>
      <c r="D112" s="267" t="s">
        <v>24</v>
      </c>
      <c r="E112" s="268"/>
      <c r="F112" s="61" t="s">
        <v>24</v>
      </c>
      <c r="G112" s="62" t="s">
        <v>24</v>
      </c>
      <c r="H112" s="63" t="s">
        <v>25</v>
      </c>
      <c r="I112" s="64" t="s">
        <v>24</v>
      </c>
      <c r="J112" s="65" t="s">
        <v>24</v>
      </c>
      <c r="K112" s="66" t="s">
        <v>25</v>
      </c>
      <c r="L112" s="61" t="s">
        <v>24</v>
      </c>
      <c r="M112" s="65" t="s">
        <v>24</v>
      </c>
      <c r="N112" s="63" t="s">
        <v>25</v>
      </c>
      <c r="O112" s="64" t="s">
        <v>24</v>
      </c>
      <c r="P112" s="65" t="s">
        <v>24</v>
      </c>
      <c r="Q112" s="66" t="s">
        <v>25</v>
      </c>
      <c r="R112" s="61" t="s">
        <v>24</v>
      </c>
      <c r="S112" s="65" t="s">
        <v>24</v>
      </c>
      <c r="T112" s="66" t="s">
        <v>25</v>
      </c>
      <c r="U112" s="58"/>
    </row>
    <row r="113" spans="2:20" x14ac:dyDescent="0.25">
      <c r="B113" s="236" t="s">
        <v>47</v>
      </c>
      <c r="C113" s="67" t="s">
        <v>48</v>
      </c>
      <c r="D113" s="68">
        <v>25</v>
      </c>
      <c r="E113" s="239">
        <v>50</v>
      </c>
      <c r="F113" s="240">
        <v>50</v>
      </c>
      <c r="G113" s="241">
        <v>45.244344594859584</v>
      </c>
      <c r="H113" s="242">
        <v>0.90488689189719163</v>
      </c>
      <c r="I113" s="240">
        <v>50</v>
      </c>
      <c r="J113" s="241">
        <v>43.967730123985802</v>
      </c>
      <c r="K113" s="242">
        <v>0.87935460247971609</v>
      </c>
      <c r="L113" s="243">
        <v>50</v>
      </c>
      <c r="M113" s="245">
        <v>45.858342519317198</v>
      </c>
      <c r="N113" s="242">
        <v>0.91716685038634382</v>
      </c>
      <c r="O113" s="243">
        <v>50</v>
      </c>
      <c r="P113" s="245">
        <v>47.83025124764783</v>
      </c>
      <c r="Q113" s="242">
        <v>0.95660502495295663</v>
      </c>
      <c r="R113" s="247">
        <v>50</v>
      </c>
      <c r="S113" s="241">
        <v>49.886952051296682</v>
      </c>
      <c r="T113" s="242">
        <v>0.99773904102593358</v>
      </c>
    </row>
    <row r="114" spans="2:20" x14ac:dyDescent="0.25">
      <c r="B114" s="237"/>
      <c r="C114" s="67" t="s">
        <v>48</v>
      </c>
      <c r="D114" s="68">
        <v>25</v>
      </c>
      <c r="E114" s="239"/>
      <c r="F114" s="240"/>
      <c r="G114" s="241"/>
      <c r="H114" s="242"/>
      <c r="I114" s="240"/>
      <c r="J114" s="241"/>
      <c r="K114" s="242"/>
      <c r="L114" s="244"/>
      <c r="M114" s="246"/>
      <c r="N114" s="242"/>
      <c r="O114" s="244"/>
      <c r="P114" s="246"/>
      <c r="Q114" s="242"/>
      <c r="R114" s="247"/>
      <c r="S114" s="241"/>
      <c r="T114" s="242"/>
    </row>
    <row r="115" spans="2:20" x14ac:dyDescent="0.25">
      <c r="B115" s="238"/>
      <c r="C115" s="72" t="s">
        <v>49</v>
      </c>
      <c r="D115" s="68">
        <v>30</v>
      </c>
      <c r="E115" s="69">
        <v>30</v>
      </c>
      <c r="F115" s="70">
        <v>30</v>
      </c>
      <c r="G115" s="73">
        <v>29.79</v>
      </c>
      <c r="H115" s="71">
        <v>0.99299999999999999</v>
      </c>
      <c r="I115" s="70">
        <v>30</v>
      </c>
      <c r="J115" s="73">
        <v>29.79</v>
      </c>
      <c r="K115" s="71">
        <v>0.99299999999999999</v>
      </c>
      <c r="L115" s="70">
        <v>30</v>
      </c>
      <c r="M115" s="73">
        <v>29.79</v>
      </c>
      <c r="N115" s="71">
        <v>0.99299999999999999</v>
      </c>
      <c r="O115" s="70">
        <v>30</v>
      </c>
      <c r="P115" s="73">
        <v>29.79</v>
      </c>
      <c r="Q115" s="71">
        <v>0.99299999999999999</v>
      </c>
      <c r="R115" s="68">
        <v>30</v>
      </c>
      <c r="S115" s="73">
        <v>29.79</v>
      </c>
      <c r="T115" s="71">
        <v>0.99299999999999999</v>
      </c>
    </row>
    <row r="117" spans="2:20" x14ac:dyDescent="0.25">
      <c r="J117">
        <f>1.043*G113</f>
        <v>47.189851412438543</v>
      </c>
      <c r="M117" s="2">
        <f>1.043*J113</f>
        <v>45.858342519317191</v>
      </c>
      <c r="P117">
        <f>1.043*M113</f>
        <v>47.830251247647837</v>
      </c>
      <c r="S117">
        <f>1.043*P113</f>
        <v>49.886952051296682</v>
      </c>
    </row>
    <row r="118" spans="2:20" x14ac:dyDescent="0.25">
      <c r="E118" s="35"/>
    </row>
    <row r="119" spans="2:20" x14ac:dyDescent="0.25">
      <c r="D119">
        <v>2017</v>
      </c>
      <c r="E119" s="143"/>
      <c r="J119" s="235" t="s">
        <v>50</v>
      </c>
      <c r="K119" s="235"/>
      <c r="L119" s="235"/>
      <c r="M119" s="235"/>
      <c r="N119" s="235"/>
    </row>
    <row r="120" spans="2:20" x14ac:dyDescent="0.25">
      <c r="D120">
        <v>2018</v>
      </c>
      <c r="E120" s="143">
        <v>43.967730123985802</v>
      </c>
    </row>
    <row r="121" spans="2:20" x14ac:dyDescent="0.25">
      <c r="D121">
        <v>2019</v>
      </c>
      <c r="E121" s="35">
        <v>45.858342519317198</v>
      </c>
    </row>
    <row r="122" spans="2:20" x14ac:dyDescent="0.25">
      <c r="D122">
        <v>2020</v>
      </c>
      <c r="E122" s="35">
        <f>P113</f>
        <v>47.83025124764783</v>
      </c>
    </row>
    <row r="123" spans="2:20" x14ac:dyDescent="0.25">
      <c r="D123">
        <v>2021</v>
      </c>
      <c r="E123" s="74">
        <f>S113</f>
        <v>49.886952051296682</v>
      </c>
    </row>
    <row r="190" spans="2:11" ht="15.75" thickBot="1" x14ac:dyDescent="0.3"/>
    <row r="191" spans="2:11" ht="16.5" thickBot="1" x14ac:dyDescent="0.3">
      <c r="B191"/>
      <c r="C191" s="212" t="s">
        <v>3</v>
      </c>
      <c r="D191" s="213"/>
      <c r="E191" s="213"/>
      <c r="F191" s="213"/>
      <c r="G191" s="213"/>
      <c r="H191" s="213"/>
      <c r="I191" s="213"/>
      <c r="J191" s="213"/>
      <c r="K191" s="214"/>
    </row>
    <row r="192" spans="2:11" ht="15.75" thickBot="1" x14ac:dyDescent="0.3">
      <c r="B192"/>
      <c r="C192" s="215" t="s">
        <v>4</v>
      </c>
      <c r="D192" s="216"/>
      <c r="E192" s="216"/>
      <c r="F192" s="216"/>
      <c r="G192" s="216"/>
      <c r="H192" s="216"/>
      <c r="I192" s="216"/>
      <c r="J192" s="216"/>
      <c r="K192" s="217"/>
    </row>
    <row r="193" spans="2:11" ht="15.75" thickBot="1" x14ac:dyDescent="0.3">
      <c r="B193" s="218" t="s">
        <v>0</v>
      </c>
      <c r="C193" s="219" t="s">
        <v>5</v>
      </c>
      <c r="D193" s="221" t="s">
        <v>1</v>
      </c>
      <c r="E193" s="222"/>
      <c r="F193" s="223"/>
      <c r="G193" s="221" t="s">
        <v>2</v>
      </c>
      <c r="H193" s="223"/>
      <c r="I193" s="219" t="s">
        <v>6</v>
      </c>
      <c r="J193" s="219" t="s">
        <v>7</v>
      </c>
      <c r="K193" s="224" t="s">
        <v>8</v>
      </c>
    </row>
    <row r="194" spans="2:11" ht="34.5" thickBot="1" x14ac:dyDescent="0.3">
      <c r="B194" s="218"/>
      <c r="C194" s="220"/>
      <c r="D194" s="5" t="s">
        <v>9</v>
      </c>
      <c r="E194" s="5" t="s">
        <v>10</v>
      </c>
      <c r="F194" s="5" t="s">
        <v>11</v>
      </c>
      <c r="G194" s="6" t="s">
        <v>12</v>
      </c>
      <c r="H194" s="7" t="s">
        <v>13</v>
      </c>
      <c r="I194" s="220"/>
      <c r="J194" s="220"/>
      <c r="K194" s="225"/>
    </row>
    <row r="195" spans="2:11" x14ac:dyDescent="0.25">
      <c r="B195" s="8">
        <v>1998</v>
      </c>
      <c r="C195" s="9">
        <v>1998</v>
      </c>
      <c r="D195" s="10">
        <v>4.75</v>
      </c>
      <c r="E195" s="11">
        <v>4.922907664588549</v>
      </c>
      <c r="F195" s="12"/>
      <c r="G195" s="31">
        <f t="shared" ref="G195:G214" si="14">2.2155*B195-4417.4</f>
        <v>9.1690000000007785</v>
      </c>
      <c r="H195" s="11"/>
      <c r="I195" s="13">
        <f>2*25</f>
        <v>50</v>
      </c>
      <c r="J195" s="13">
        <f>I195-25</f>
        <v>25</v>
      </c>
      <c r="K195" s="14">
        <f>E195/I195</f>
        <v>9.8458153291770975E-2</v>
      </c>
    </row>
    <row r="196" spans="2:11" x14ac:dyDescent="0.25">
      <c r="B196" s="15">
        <v>1999</v>
      </c>
      <c r="C196" s="16">
        <v>1999</v>
      </c>
      <c r="D196" s="17">
        <v>15.5</v>
      </c>
      <c r="E196" s="18">
        <v>16.064225010762634</v>
      </c>
      <c r="F196" s="19">
        <f>(E196-E195)/E195</f>
        <v>2.263157894736842</v>
      </c>
      <c r="G196" s="31">
        <f t="shared" si="14"/>
        <v>11.384500000000116</v>
      </c>
      <c r="H196" s="18"/>
      <c r="I196" s="20">
        <f t="shared" ref="I196:I213" si="15">2*25</f>
        <v>50</v>
      </c>
      <c r="J196" s="20">
        <f t="shared" ref="J196:J213" si="16">I196-25</f>
        <v>25</v>
      </c>
      <c r="K196" s="21">
        <f t="shared" ref="K196:K214" si="17">E196/I196</f>
        <v>0.32128450021525268</v>
      </c>
    </row>
    <row r="197" spans="2:11" x14ac:dyDescent="0.25">
      <c r="B197" s="15">
        <v>2000</v>
      </c>
      <c r="C197" s="16">
        <v>2000</v>
      </c>
      <c r="D197" s="17">
        <v>12.1</v>
      </c>
      <c r="E197" s="18">
        <v>12.54045952453083</v>
      </c>
      <c r="F197" s="19">
        <f t="shared" ref="F197:F214" si="18">(E197-E196)/E196</f>
        <v>-0.21935483870967745</v>
      </c>
      <c r="G197" s="31">
        <f t="shared" si="14"/>
        <v>13.600000000000364</v>
      </c>
      <c r="H197" s="18"/>
      <c r="I197" s="20">
        <f t="shared" si="15"/>
        <v>50</v>
      </c>
      <c r="J197" s="20">
        <f t="shared" si="16"/>
        <v>25</v>
      </c>
      <c r="K197" s="21">
        <f t="shared" si="17"/>
        <v>0.25080919049061662</v>
      </c>
    </row>
    <row r="198" spans="2:11" x14ac:dyDescent="0.25">
      <c r="B198" s="15">
        <v>2001</v>
      </c>
      <c r="C198" s="16">
        <v>2001</v>
      </c>
      <c r="D198" s="17">
        <v>12.38</v>
      </c>
      <c r="E198" s="18">
        <v>12.830651976338157</v>
      </c>
      <c r="F198" s="19">
        <f t="shared" si="18"/>
        <v>2.3140495867768746E-2</v>
      </c>
      <c r="G198" s="31">
        <f t="shared" si="14"/>
        <v>15.815500000000611</v>
      </c>
      <c r="H198" s="18"/>
      <c r="I198" s="20">
        <f t="shared" si="15"/>
        <v>50</v>
      </c>
      <c r="J198" s="20">
        <f t="shared" si="16"/>
        <v>25</v>
      </c>
      <c r="K198" s="21">
        <f t="shared" si="17"/>
        <v>0.25661303952676312</v>
      </c>
    </row>
    <row r="199" spans="2:11" x14ac:dyDescent="0.25">
      <c r="B199" s="15">
        <v>2002</v>
      </c>
      <c r="C199" s="16">
        <v>2002</v>
      </c>
      <c r="D199" s="17">
        <v>17.059999999999999</v>
      </c>
      <c r="E199" s="18">
        <v>17.681011527974871</v>
      </c>
      <c r="F199" s="19">
        <f t="shared" si="18"/>
        <v>0.37802907915993506</v>
      </c>
      <c r="G199" s="31">
        <f t="shared" si="14"/>
        <v>18.031000000000859</v>
      </c>
      <c r="H199" s="18"/>
      <c r="I199" s="20">
        <f t="shared" si="15"/>
        <v>50</v>
      </c>
      <c r="J199" s="20">
        <f t="shared" si="16"/>
        <v>25</v>
      </c>
      <c r="K199" s="21">
        <f t="shared" si="17"/>
        <v>0.35362023055949743</v>
      </c>
    </row>
    <row r="200" spans="2:11" x14ac:dyDescent="0.25">
      <c r="B200" s="15">
        <v>2003</v>
      </c>
      <c r="C200" s="22">
        <v>37860.875</v>
      </c>
      <c r="D200" s="17">
        <v>19.52</v>
      </c>
      <c r="E200" s="18">
        <v>20.2</v>
      </c>
      <c r="F200" s="19">
        <f t="shared" si="18"/>
        <v>0.14246857245919378</v>
      </c>
      <c r="G200" s="31">
        <f t="shared" si="14"/>
        <v>20.246500000000196</v>
      </c>
      <c r="H200" s="18"/>
      <c r="I200" s="20">
        <f t="shared" si="15"/>
        <v>50</v>
      </c>
      <c r="J200" s="20">
        <f t="shared" si="16"/>
        <v>25</v>
      </c>
      <c r="K200" s="21">
        <f t="shared" si="17"/>
        <v>0.40399999999999997</v>
      </c>
    </row>
    <row r="201" spans="2:11" x14ac:dyDescent="0.25">
      <c r="B201" s="15">
        <v>2004</v>
      </c>
      <c r="C201" s="22">
        <v>38216.885416666664</v>
      </c>
      <c r="D201" s="17">
        <v>22.13</v>
      </c>
      <c r="E201" s="18">
        <v>22.91</v>
      </c>
      <c r="F201" s="19">
        <f t="shared" si="18"/>
        <v>0.13415841584158419</v>
      </c>
      <c r="G201" s="31">
        <f t="shared" si="14"/>
        <v>22.462000000000444</v>
      </c>
      <c r="H201" s="18"/>
      <c r="I201" s="20">
        <f t="shared" si="15"/>
        <v>50</v>
      </c>
      <c r="J201" s="20">
        <f t="shared" si="16"/>
        <v>25</v>
      </c>
      <c r="K201" s="21">
        <f t="shared" si="17"/>
        <v>0.4582</v>
      </c>
    </row>
    <row r="202" spans="2:11" x14ac:dyDescent="0.25">
      <c r="B202" s="15">
        <v>2005</v>
      </c>
      <c r="C202" s="22">
        <v>38525.854166666664</v>
      </c>
      <c r="D202" s="17">
        <v>20.47</v>
      </c>
      <c r="E202" s="18">
        <v>21.05</v>
      </c>
      <c r="F202" s="19">
        <f t="shared" si="18"/>
        <v>-8.1187254474028789E-2</v>
      </c>
      <c r="G202" s="31">
        <f t="shared" si="14"/>
        <v>24.677500000000691</v>
      </c>
      <c r="H202" s="18"/>
      <c r="I202" s="20">
        <f t="shared" si="15"/>
        <v>50</v>
      </c>
      <c r="J202" s="20">
        <f t="shared" si="16"/>
        <v>25</v>
      </c>
      <c r="K202" s="21">
        <f t="shared" si="17"/>
        <v>0.42100000000000004</v>
      </c>
    </row>
    <row r="203" spans="2:11" x14ac:dyDescent="0.25">
      <c r="B203" s="15">
        <v>2006</v>
      </c>
      <c r="C203" s="22">
        <v>39080.927083333336</v>
      </c>
      <c r="D203" s="17">
        <v>22.89</v>
      </c>
      <c r="E203" s="18">
        <v>24.87</v>
      </c>
      <c r="F203" s="19">
        <f t="shared" si="18"/>
        <v>0.1814726840855107</v>
      </c>
      <c r="G203" s="31">
        <f t="shared" si="14"/>
        <v>26.893000000000029</v>
      </c>
      <c r="H203" s="18"/>
      <c r="I203" s="20">
        <f t="shared" si="15"/>
        <v>50</v>
      </c>
      <c r="J203" s="20">
        <f t="shared" si="16"/>
        <v>25</v>
      </c>
      <c r="K203" s="21">
        <f t="shared" si="17"/>
        <v>0.49740000000000001</v>
      </c>
    </row>
    <row r="204" spans="2:11" x14ac:dyDescent="0.25">
      <c r="B204" s="15">
        <v>2007</v>
      </c>
      <c r="C204" s="22">
        <v>39414.864583333336</v>
      </c>
      <c r="D204" s="17">
        <v>33.299999999999997</v>
      </c>
      <c r="E204" s="18">
        <v>36.47</v>
      </c>
      <c r="F204" s="19">
        <f t="shared" si="18"/>
        <v>0.46642541214314426</v>
      </c>
      <c r="G204" s="31">
        <f t="shared" si="14"/>
        <v>29.108500000000276</v>
      </c>
      <c r="H204" s="18"/>
      <c r="I204" s="20">
        <f t="shared" si="15"/>
        <v>50</v>
      </c>
      <c r="J204" s="20">
        <f t="shared" si="16"/>
        <v>25</v>
      </c>
      <c r="K204" s="21">
        <f t="shared" si="17"/>
        <v>0.72939999999999994</v>
      </c>
    </row>
    <row r="205" spans="2:11" x14ac:dyDescent="0.25">
      <c r="B205" s="15">
        <v>2008</v>
      </c>
      <c r="C205" s="22">
        <v>39623.864583333336</v>
      </c>
      <c r="D205" s="17">
        <v>30.51</v>
      </c>
      <c r="E205" s="18">
        <v>31.52</v>
      </c>
      <c r="F205" s="19">
        <f t="shared" si="18"/>
        <v>-0.13572799561283244</v>
      </c>
      <c r="G205" s="31">
        <f t="shared" si="14"/>
        <v>31.324000000000524</v>
      </c>
      <c r="H205" s="18"/>
      <c r="I205" s="20">
        <f t="shared" si="15"/>
        <v>50</v>
      </c>
      <c r="J205" s="20">
        <f t="shared" si="16"/>
        <v>25</v>
      </c>
      <c r="K205" s="21">
        <f t="shared" si="17"/>
        <v>0.63039999999999996</v>
      </c>
    </row>
    <row r="206" spans="2:11" x14ac:dyDescent="0.25">
      <c r="B206" s="15">
        <v>2009</v>
      </c>
      <c r="C206" s="22">
        <v>40024.885416666664</v>
      </c>
      <c r="D206" s="17">
        <v>35.450000000000003</v>
      </c>
      <c r="E206" s="18">
        <v>36.72</v>
      </c>
      <c r="F206" s="19">
        <f t="shared" si="18"/>
        <v>0.16497461928934007</v>
      </c>
      <c r="G206" s="31">
        <f t="shared" si="14"/>
        <v>33.539500000000771</v>
      </c>
      <c r="H206" s="18"/>
      <c r="I206" s="20">
        <f t="shared" si="15"/>
        <v>50</v>
      </c>
      <c r="J206" s="20">
        <f t="shared" si="16"/>
        <v>25</v>
      </c>
      <c r="K206" s="21">
        <f t="shared" si="17"/>
        <v>0.73439999999999994</v>
      </c>
    </row>
    <row r="207" spans="2:11" x14ac:dyDescent="0.25">
      <c r="B207" s="15">
        <v>2010</v>
      </c>
      <c r="C207" s="22">
        <v>40378.864583333336</v>
      </c>
      <c r="D207" s="17">
        <v>36.85</v>
      </c>
      <c r="E207" s="18">
        <v>37.950143306712299</v>
      </c>
      <c r="F207" s="19">
        <f t="shared" si="18"/>
        <v>3.3500634714387259E-2</v>
      </c>
      <c r="G207" s="31">
        <f t="shared" si="14"/>
        <v>35.755000000000109</v>
      </c>
      <c r="H207" s="18"/>
      <c r="I207" s="20">
        <f t="shared" si="15"/>
        <v>50</v>
      </c>
      <c r="J207" s="20">
        <f t="shared" si="16"/>
        <v>25</v>
      </c>
      <c r="K207" s="21">
        <f t="shared" si="17"/>
        <v>0.75900286613424595</v>
      </c>
    </row>
    <row r="208" spans="2:11" x14ac:dyDescent="0.25">
      <c r="B208" s="15">
        <v>2011</v>
      </c>
      <c r="C208" s="22">
        <v>40855.895833333336</v>
      </c>
      <c r="D208" s="17">
        <v>37.03</v>
      </c>
      <c r="E208" s="18">
        <v>39.793322872763667</v>
      </c>
      <c r="F208" s="19">
        <f t="shared" si="18"/>
        <v>4.856844811243078E-2</v>
      </c>
      <c r="G208" s="31">
        <f t="shared" si="14"/>
        <v>37.970500000000357</v>
      </c>
      <c r="H208" s="18"/>
      <c r="I208" s="20">
        <f t="shared" si="15"/>
        <v>50</v>
      </c>
      <c r="J208" s="20">
        <f t="shared" si="16"/>
        <v>25</v>
      </c>
      <c r="K208" s="21">
        <f t="shared" si="17"/>
        <v>0.7958664574552734</v>
      </c>
    </row>
    <row r="209" spans="2:11" x14ac:dyDescent="0.25">
      <c r="B209" s="15">
        <v>2012</v>
      </c>
      <c r="C209" s="22">
        <v>41067.885416666664</v>
      </c>
      <c r="D209" s="17">
        <v>37.979999999999997</v>
      </c>
      <c r="E209" s="18">
        <v>42.546175623433051</v>
      </c>
      <c r="F209" s="19">
        <f t="shared" si="18"/>
        <v>6.9178760453642824E-2</v>
      </c>
      <c r="G209" s="31">
        <f t="shared" si="14"/>
        <v>40.186000000000604</v>
      </c>
      <c r="H209" s="23"/>
      <c r="I209" s="20">
        <f t="shared" si="15"/>
        <v>50</v>
      </c>
      <c r="J209" s="20">
        <f t="shared" si="16"/>
        <v>25</v>
      </c>
      <c r="K209" s="21">
        <f t="shared" si="17"/>
        <v>0.85092351246866105</v>
      </c>
    </row>
    <row r="210" spans="2:11" x14ac:dyDescent="0.25">
      <c r="B210" s="15">
        <v>2013</v>
      </c>
      <c r="C210" s="22">
        <v>41634.65625</v>
      </c>
      <c r="D210" s="17">
        <v>40.479999999999997</v>
      </c>
      <c r="E210" s="18">
        <v>43.754960152398731</v>
      </c>
      <c r="F210" s="19">
        <f t="shared" si="18"/>
        <v>2.8411120653108021E-2</v>
      </c>
      <c r="G210" s="31">
        <f t="shared" si="14"/>
        <v>42.401500000000851</v>
      </c>
      <c r="H210" s="23"/>
      <c r="I210" s="20">
        <f t="shared" si="15"/>
        <v>50</v>
      </c>
      <c r="J210" s="20">
        <f t="shared" si="16"/>
        <v>25</v>
      </c>
      <c r="K210" s="21">
        <f t="shared" si="17"/>
        <v>0.87509920304797462</v>
      </c>
    </row>
    <row r="211" spans="2:11" x14ac:dyDescent="0.25">
      <c r="B211" s="15">
        <v>2014</v>
      </c>
      <c r="C211" s="24">
        <v>41662.635416666664</v>
      </c>
      <c r="D211" s="17">
        <v>42.87</v>
      </c>
      <c r="E211" s="18">
        <v>45.848508334208688</v>
      </c>
      <c r="F211" s="19">
        <f t="shared" si="18"/>
        <v>4.7847105208600797E-2</v>
      </c>
      <c r="G211" s="31">
        <f t="shared" si="14"/>
        <v>44.617000000000189</v>
      </c>
      <c r="H211" s="23"/>
      <c r="I211" s="20">
        <f t="shared" si="15"/>
        <v>50</v>
      </c>
      <c r="J211" s="20">
        <f t="shared" si="16"/>
        <v>25</v>
      </c>
      <c r="K211" s="25">
        <f t="shared" si="17"/>
        <v>0.91697016668417375</v>
      </c>
    </row>
    <row r="212" spans="2:11" x14ac:dyDescent="0.25">
      <c r="B212" s="15">
        <v>2015</v>
      </c>
      <c r="C212" s="24">
        <v>42367.927083333336</v>
      </c>
      <c r="D212" s="17">
        <v>39.28</v>
      </c>
      <c r="E212" s="18">
        <v>41.384108631164267</v>
      </c>
      <c r="F212" s="19">
        <f t="shared" si="18"/>
        <v>-9.7372845164374167E-2</v>
      </c>
      <c r="G212" s="31">
        <f t="shared" si="14"/>
        <v>46.832500000000437</v>
      </c>
      <c r="H212" s="23"/>
      <c r="I212" s="20">
        <f t="shared" si="15"/>
        <v>50</v>
      </c>
      <c r="J212" s="20">
        <f t="shared" si="16"/>
        <v>25</v>
      </c>
      <c r="K212" s="21">
        <f t="shared" si="17"/>
        <v>0.82768217262328536</v>
      </c>
    </row>
    <row r="213" spans="2:11" x14ac:dyDescent="0.25">
      <c r="B213" s="15">
        <v>2016</v>
      </c>
      <c r="C213" s="24">
        <v>42735.645833333336</v>
      </c>
      <c r="D213" s="17">
        <v>44.77</v>
      </c>
      <c r="E213" s="18">
        <v>47.69</v>
      </c>
      <c r="F213" s="19">
        <f t="shared" si="18"/>
        <v>0.15237470559138935</v>
      </c>
      <c r="G213" s="31">
        <f t="shared" si="14"/>
        <v>49.048000000000684</v>
      </c>
      <c r="H213" s="18"/>
      <c r="I213" s="20">
        <f t="shared" si="15"/>
        <v>50</v>
      </c>
      <c r="J213" s="20">
        <f t="shared" si="16"/>
        <v>25</v>
      </c>
      <c r="K213" s="25">
        <f t="shared" si="17"/>
        <v>0.95379999999999998</v>
      </c>
    </row>
    <row r="214" spans="2:11" x14ac:dyDescent="0.25">
      <c r="B214" s="15">
        <v>2017</v>
      </c>
      <c r="C214" s="24">
        <v>42796.697916666664</v>
      </c>
      <c r="D214" s="17">
        <v>45.27</v>
      </c>
      <c r="E214" s="18">
        <v>48.39</v>
      </c>
      <c r="F214" s="19">
        <f t="shared" si="18"/>
        <v>1.4678129586915556E-2</v>
      </c>
      <c r="G214" s="31">
        <f t="shared" si="14"/>
        <v>51.263500000000022</v>
      </c>
      <c r="H214" s="18">
        <f>E214</f>
        <v>48.39</v>
      </c>
      <c r="I214" s="20">
        <f>1*55 + 1*55</f>
        <v>110</v>
      </c>
      <c r="J214" s="20">
        <f>I214-55</f>
        <v>55</v>
      </c>
      <c r="K214" s="25">
        <f t="shared" si="17"/>
        <v>0.43990909090909092</v>
      </c>
    </row>
    <row r="215" spans="2:11" x14ac:dyDescent="0.25">
      <c r="B215" s="26">
        <v>2018</v>
      </c>
      <c r="C215" s="27">
        <v>2018</v>
      </c>
      <c r="D215" s="28"/>
      <c r="E215" s="29"/>
      <c r="F215" s="30"/>
      <c r="G215" s="31">
        <f>2.2155*B215-4417.4</f>
        <v>53.479000000000269</v>
      </c>
      <c r="H215" s="32">
        <f>0.043*H214+H214</f>
        <v>50.470770000000002</v>
      </c>
      <c r="I215" s="33">
        <f>1*55+1*55</f>
        <v>110</v>
      </c>
      <c r="J215" s="33">
        <f>I215-55</f>
        <v>55</v>
      </c>
      <c r="K215" s="34">
        <f>H215/I215</f>
        <v>0.45882518181818183</v>
      </c>
    </row>
    <row r="216" spans="2:11" x14ac:dyDescent="0.25">
      <c r="B216" s="26">
        <v>2019</v>
      </c>
      <c r="C216" s="27">
        <v>2019</v>
      </c>
      <c r="D216" s="28"/>
      <c r="E216" s="29"/>
      <c r="F216" s="30"/>
      <c r="G216" s="31">
        <f t="shared" ref="G216:G224" si="19">2.2155*B216-4417.4</f>
        <v>55.694500000000517</v>
      </c>
      <c r="H216" s="32">
        <f>0.043*H214+H215</f>
        <v>52.551540000000003</v>
      </c>
      <c r="I216" s="33">
        <f t="shared" ref="I216:I224" si="20">1*55+1*55</f>
        <v>110</v>
      </c>
      <c r="J216" s="33">
        <f t="shared" ref="J216:J224" si="21">I216-55</f>
        <v>55</v>
      </c>
      <c r="K216" s="34">
        <f t="shared" ref="K216:K224" si="22">H216/I216</f>
        <v>0.47774127272727274</v>
      </c>
    </row>
    <row r="217" spans="2:11" x14ac:dyDescent="0.25">
      <c r="B217" s="26">
        <v>2020</v>
      </c>
      <c r="C217" s="27">
        <v>2020</v>
      </c>
      <c r="D217" s="28"/>
      <c r="E217" s="29"/>
      <c r="F217" s="30"/>
      <c r="G217" s="31">
        <f t="shared" si="19"/>
        <v>57.910000000000764</v>
      </c>
      <c r="H217" s="32">
        <f>0.043*H214+H216-9</f>
        <v>45.632310000000004</v>
      </c>
      <c r="I217" s="33">
        <f t="shared" si="20"/>
        <v>110</v>
      </c>
      <c r="J217" s="33">
        <f t="shared" si="21"/>
        <v>55</v>
      </c>
      <c r="K217" s="34">
        <f t="shared" si="22"/>
        <v>0.41483918181818186</v>
      </c>
    </row>
    <row r="218" spans="2:11" x14ac:dyDescent="0.25">
      <c r="B218" s="26">
        <v>2021</v>
      </c>
      <c r="C218" s="27">
        <v>2021</v>
      </c>
      <c r="D218" s="36"/>
      <c r="E218" s="37"/>
      <c r="F218" s="36"/>
      <c r="G218" s="31">
        <f t="shared" si="19"/>
        <v>60.125500000000102</v>
      </c>
      <c r="H218" s="32">
        <f>0.043*H214+H217</f>
        <v>47.713080000000005</v>
      </c>
      <c r="I218" s="33">
        <f t="shared" si="20"/>
        <v>110</v>
      </c>
      <c r="J218" s="33">
        <f t="shared" si="21"/>
        <v>55</v>
      </c>
      <c r="K218" s="34">
        <f t="shared" si="22"/>
        <v>0.43375527272727277</v>
      </c>
    </row>
    <row r="219" spans="2:11" x14ac:dyDescent="0.25">
      <c r="B219" s="26">
        <v>2022</v>
      </c>
      <c r="C219" s="27">
        <v>2022</v>
      </c>
      <c r="D219" s="36"/>
      <c r="E219" s="37"/>
      <c r="F219" s="36"/>
      <c r="G219" s="31">
        <f t="shared" si="19"/>
        <v>62.341000000000349</v>
      </c>
      <c r="H219" s="32">
        <f>0.043*H214+H218</f>
        <v>49.793850000000006</v>
      </c>
      <c r="I219" s="33">
        <f t="shared" si="20"/>
        <v>110</v>
      </c>
      <c r="J219" s="33">
        <f t="shared" si="21"/>
        <v>55</v>
      </c>
      <c r="K219" s="34">
        <f t="shared" si="22"/>
        <v>0.45267136363636368</v>
      </c>
    </row>
    <row r="220" spans="2:11" x14ac:dyDescent="0.25">
      <c r="B220" s="26">
        <v>2023</v>
      </c>
      <c r="C220" s="27">
        <v>2023</v>
      </c>
      <c r="D220" s="38"/>
      <c r="E220" s="39"/>
      <c r="F220" s="40"/>
      <c r="G220" s="31">
        <f t="shared" si="19"/>
        <v>64.556500000000597</v>
      </c>
      <c r="H220" s="32">
        <f>0.043*H214+H219</f>
        <v>51.874620000000007</v>
      </c>
      <c r="I220" s="33">
        <f t="shared" si="20"/>
        <v>110</v>
      </c>
      <c r="J220" s="33">
        <f t="shared" si="21"/>
        <v>55</v>
      </c>
      <c r="K220" s="34">
        <f t="shared" si="22"/>
        <v>0.47158745454545459</v>
      </c>
    </row>
    <row r="221" spans="2:11" x14ac:dyDescent="0.25">
      <c r="B221" s="26">
        <v>2024</v>
      </c>
      <c r="C221" s="41">
        <v>2024</v>
      </c>
      <c r="D221" s="38"/>
      <c r="E221" s="39"/>
      <c r="F221" s="40"/>
      <c r="G221" s="31">
        <f t="shared" si="19"/>
        <v>66.772000000000844</v>
      </c>
      <c r="H221" s="32">
        <f>0.043*H214+H220</f>
        <v>53.955390000000008</v>
      </c>
      <c r="I221" s="33">
        <f t="shared" si="20"/>
        <v>110</v>
      </c>
      <c r="J221" s="33">
        <f t="shared" si="21"/>
        <v>55</v>
      </c>
      <c r="K221" s="34">
        <f t="shared" si="22"/>
        <v>0.49050354545454555</v>
      </c>
    </row>
    <row r="222" spans="2:11" x14ac:dyDescent="0.25">
      <c r="B222" s="26">
        <v>2025</v>
      </c>
      <c r="C222" s="41">
        <v>2025</v>
      </c>
      <c r="D222" s="38"/>
      <c r="E222" s="39"/>
      <c r="F222" s="40"/>
      <c r="G222" s="31">
        <f t="shared" si="19"/>
        <v>68.987500000000182</v>
      </c>
      <c r="H222" s="32">
        <f>0.043*H214+H221</f>
        <v>56.03616000000001</v>
      </c>
      <c r="I222" s="33">
        <f t="shared" si="20"/>
        <v>110</v>
      </c>
      <c r="J222" s="33">
        <f t="shared" si="21"/>
        <v>55</v>
      </c>
      <c r="K222" s="34">
        <f t="shared" si="22"/>
        <v>0.50941963636363641</v>
      </c>
    </row>
    <row r="223" spans="2:11" x14ac:dyDescent="0.25">
      <c r="B223" s="26">
        <v>2026</v>
      </c>
      <c r="C223" s="41">
        <v>2026</v>
      </c>
      <c r="D223" s="38"/>
      <c r="E223" s="39"/>
      <c r="F223" s="40"/>
      <c r="G223" s="31">
        <f t="shared" si="19"/>
        <v>71.203000000000429</v>
      </c>
      <c r="H223" s="32">
        <f>0.043*H214+H222</f>
        <v>58.116930000000011</v>
      </c>
      <c r="I223" s="33">
        <f t="shared" si="20"/>
        <v>110</v>
      </c>
      <c r="J223" s="33">
        <f t="shared" si="21"/>
        <v>55</v>
      </c>
      <c r="K223" s="34">
        <f t="shared" si="22"/>
        <v>0.52833572727272737</v>
      </c>
    </row>
    <row r="224" spans="2:11" ht="15.75" thickBot="1" x14ac:dyDescent="0.3">
      <c r="B224" s="42">
        <v>2027</v>
      </c>
      <c r="C224" s="43">
        <v>2027</v>
      </c>
      <c r="D224" s="44"/>
      <c r="E224" s="45"/>
      <c r="F224" s="46"/>
      <c r="G224" s="47">
        <f t="shared" si="19"/>
        <v>73.418500000000677</v>
      </c>
      <c r="H224" s="48">
        <f>0.043*H214+H223</f>
        <v>60.197700000000012</v>
      </c>
      <c r="I224" s="49">
        <f t="shared" si="20"/>
        <v>110</v>
      </c>
      <c r="J224" s="49">
        <f t="shared" si="21"/>
        <v>55</v>
      </c>
      <c r="K224" s="50">
        <f t="shared" si="22"/>
        <v>0.54725181818181834</v>
      </c>
    </row>
    <row r="225" spans="4:8" x14ac:dyDescent="0.25">
      <c r="D225" t="s">
        <v>15</v>
      </c>
      <c r="E225" s="35">
        <f>(E214-E195)/19</f>
        <v>2.2877417018637605</v>
      </c>
      <c r="F225" s="3">
        <f>E225/E195</f>
        <v>0.46471351033454072</v>
      </c>
      <c r="G225" s="35">
        <f>G214-G195</f>
        <v>42.094499999999243</v>
      </c>
    </row>
    <row r="226" spans="4:8" x14ac:dyDescent="0.25">
      <c r="D226" s="51">
        <f>B214-B195</f>
        <v>19</v>
      </c>
      <c r="E226" s="51">
        <f>E225*19+E195</f>
        <v>48.39</v>
      </c>
      <c r="F226" s="51"/>
      <c r="G226" s="31">
        <f>B214-B195</f>
        <v>19</v>
      </c>
    </row>
    <row r="227" spans="4:8" x14ac:dyDescent="0.25">
      <c r="F227" t="s">
        <v>14</v>
      </c>
      <c r="G227">
        <f>G225/G226</f>
        <v>2.2154999999999601</v>
      </c>
      <c r="H227">
        <f>G227/G195</f>
        <v>0.24162940342455796</v>
      </c>
    </row>
  </sheetData>
  <mergeCells count="61">
    <mergeCell ref="B3:K3"/>
    <mergeCell ref="B4:K4"/>
    <mergeCell ref="B5:B6"/>
    <mergeCell ref="C5:C6"/>
    <mergeCell ref="D5:F5"/>
    <mergeCell ref="G5:I5"/>
    <mergeCell ref="J5:J6"/>
    <mergeCell ref="K5:K6"/>
    <mergeCell ref="C39:K39"/>
    <mergeCell ref="C40:K40"/>
    <mergeCell ref="B41:B42"/>
    <mergeCell ref="C41:C42"/>
    <mergeCell ref="D41:F41"/>
    <mergeCell ref="G41:H41"/>
    <mergeCell ref="I41:I42"/>
    <mergeCell ref="J41:J42"/>
    <mergeCell ref="K41:K42"/>
    <mergeCell ref="A107:T107"/>
    <mergeCell ref="A108:T108"/>
    <mergeCell ref="A110:A112"/>
    <mergeCell ref="B110:B112"/>
    <mergeCell ref="C110:C112"/>
    <mergeCell ref="D110:E111"/>
    <mergeCell ref="F110:H110"/>
    <mergeCell ref="I110:K110"/>
    <mergeCell ref="L110:N110"/>
    <mergeCell ref="O110:Q110"/>
    <mergeCell ref="D112:E112"/>
    <mergeCell ref="H113:H114"/>
    <mergeCell ref="R110:T110"/>
    <mergeCell ref="G111:H111"/>
    <mergeCell ref="J111:K111"/>
    <mergeCell ref="M111:N111"/>
    <mergeCell ref="P111:Q111"/>
    <mergeCell ref="S111:T111"/>
    <mergeCell ref="B113:B115"/>
    <mergeCell ref="E113:E114"/>
    <mergeCell ref="F113:F114"/>
    <mergeCell ref="G113:G114"/>
    <mergeCell ref="T113:T114"/>
    <mergeCell ref="I113:I114"/>
    <mergeCell ref="J113:J114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S113:S114"/>
    <mergeCell ref="J119:N119"/>
    <mergeCell ref="C191:K191"/>
    <mergeCell ref="C192:K192"/>
    <mergeCell ref="B193:B194"/>
    <mergeCell ref="C193:C194"/>
    <mergeCell ref="D193:F193"/>
    <mergeCell ref="G193:H193"/>
    <mergeCell ref="I193:I194"/>
    <mergeCell ref="J193:J194"/>
    <mergeCell ref="K193:K194"/>
  </mergeCells>
  <conditionalFormatting sqref="Q113:Q115 N113:N115 H113:H115 T113:T115 K113:K115">
    <cfRule type="cellIs" dxfId="0" priority="1" operator="greaterThan">
      <formula>1</formula>
    </cfRule>
  </conditionalFormatting>
  <printOptions horizontalCentered="1" verticalCentered="1" gridLines="1"/>
  <pageMargins left="0" right="0" top="0.15748031496062992" bottom="0.15748031496062992" header="0" footer="0"/>
  <pageSetup paperSize="9"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La Calera Nueva</vt:lpstr>
      <vt:lpstr>DBOSCO</vt:lpstr>
      <vt:lpstr>DBOSCO!Área_de_impresión</vt:lpstr>
      <vt:lpstr>'La Calera Nueva'!Área_de_impresión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Busso</dc:creator>
  <cp:lastModifiedBy>Daniel Busso</cp:lastModifiedBy>
  <cp:lastPrinted>2022-09-14T15:11:47Z</cp:lastPrinted>
  <dcterms:created xsi:type="dcterms:W3CDTF">2022-09-08T15:27:07Z</dcterms:created>
  <dcterms:modified xsi:type="dcterms:W3CDTF">2022-09-22T16:18:38Z</dcterms:modified>
</cp:coreProperties>
</file>