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4.xml" ContentType="application/vnd.openxmlformats-officedocument.drawingml.chartshapes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5.xml" ContentType="application/vnd.openxmlformats-officedocument.drawingml.chart+xml"/>
  <Override PartName="/xl/theme/themeOverride12.xml" ContentType="application/vnd.openxmlformats-officedocument.themeOverride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theme/themeOverride13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7.xml" ContentType="application/vnd.openxmlformats-officedocument.drawingml.chart+xml"/>
  <Override PartName="/xl/theme/themeOverride14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8.xml" ContentType="application/vnd.openxmlformats-officedocument.drawingml.chart+xml"/>
  <Override PartName="/xl/drawings/drawing25.xml" ContentType="application/vnd.openxmlformats-officedocument.drawing+xml"/>
  <Override PartName="/xl/charts/chart19.xml" ContentType="application/vnd.openxmlformats-officedocument.drawingml.chart+xml"/>
  <Override PartName="/xl/drawings/drawing26.xml" ContentType="application/vnd.openxmlformats-officedocument.drawing+xml"/>
  <Override PartName="/xl/charts/chart20.xml" ContentType="application/vnd.openxmlformats-officedocument.drawingml.chart+xml"/>
  <Override PartName="/xl/theme/themeOverride15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1.xml" ContentType="application/vnd.openxmlformats-officedocument.drawingml.chart+xml"/>
  <Override PartName="/xl/theme/themeOverride16.xml" ContentType="application/vnd.openxmlformats-officedocument.themeOverride+xml"/>
  <Override PartName="/xl/drawings/drawing29.xml" ContentType="application/vnd.openxmlformats-officedocument.drawing+xml"/>
  <Override PartName="/xl/charts/chart22.xml" ContentType="application/vnd.openxmlformats-officedocument.drawingml.chart+xml"/>
  <Override PartName="/xl/theme/themeOverride17.xml" ContentType="application/vnd.openxmlformats-officedocument.themeOverride+xml"/>
  <Override PartName="/xl/drawings/drawing30.xml" ContentType="application/vnd.openxmlformats-officedocument.drawing+xml"/>
  <Override PartName="/xl/charts/chart23.xml" ContentType="application/vnd.openxmlformats-officedocument.drawingml.chart+xml"/>
  <Override PartName="/xl/theme/themeOverride18.xml" ContentType="application/vnd.openxmlformats-officedocument.themeOverride+xml"/>
  <Override PartName="/xl/drawings/drawing31.xml" ContentType="application/vnd.openxmlformats-officedocument.drawingml.chartshapes+xml"/>
  <Override PartName="/xl/charts/chart24.xml" ContentType="application/vnd.openxmlformats-officedocument.drawingml.chart+xml"/>
  <Override PartName="/xl/theme/themeOverride19.xml" ContentType="application/vnd.openxmlformats-officedocument.themeOverrid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5.xml" ContentType="application/vnd.openxmlformats-officedocument.drawingml.chart+xml"/>
  <Override PartName="/xl/theme/themeOverride20.xml" ContentType="application/vnd.openxmlformats-officedocument.themeOverride+xml"/>
  <Override PartName="/xl/drawings/drawing34.xml" ContentType="application/vnd.openxmlformats-officedocument.drawing+xml"/>
  <Override PartName="/xl/charts/chart26.xml" ContentType="application/vnd.openxmlformats-officedocument.drawingml.chart+xml"/>
  <Override PartName="/xl/theme/themeOverride21.xml" ContentType="application/vnd.openxmlformats-officedocument.themeOverride+xml"/>
  <Override PartName="/xl/charts/chart27.xml" ContentType="application/vnd.openxmlformats-officedocument.drawingml.chart+xml"/>
  <Override PartName="/xl/theme/themeOverride22.xml" ContentType="application/vnd.openxmlformats-officedocument.themeOverride+xml"/>
  <Override PartName="/xl/drawings/drawing35.xml" ContentType="application/vnd.openxmlformats-officedocument.drawing+xml"/>
  <Override PartName="/xl/charts/chart28.xml" ContentType="application/vnd.openxmlformats-officedocument.drawingml.chart+xml"/>
  <Override PartName="/xl/theme/themeOverride23.xml" ContentType="application/vnd.openxmlformats-officedocument.themeOverride+xml"/>
  <Override PartName="/xl/drawings/drawing36.xml" ContentType="application/vnd.openxmlformats-officedocument.drawingml.chartshapes+xml"/>
  <Override PartName="/xl/charts/chart29.xml" ContentType="application/vnd.openxmlformats-officedocument.drawingml.chart+xml"/>
  <Override PartName="/xl/theme/themeOverride24.xml" ContentType="application/vnd.openxmlformats-officedocument.themeOverrid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30.xml" ContentType="application/vnd.openxmlformats-officedocument.drawingml.chart+xml"/>
  <Override PartName="/xl/theme/themeOverride25.xml" ContentType="application/vnd.openxmlformats-officedocument.themeOverride+xml"/>
  <Override PartName="/xl/charts/chart31.xml" ContentType="application/vnd.openxmlformats-officedocument.drawingml.chart+xml"/>
  <Override PartName="/xl/theme/themeOverride26.xml" ContentType="application/vnd.openxmlformats-officedocument.themeOverride+xml"/>
  <Override PartName="/xl/drawings/drawing39.xml" ContentType="application/vnd.openxmlformats-officedocument.drawing+xml"/>
  <Override PartName="/xl/charts/chart32.xml" ContentType="application/vnd.openxmlformats-officedocument.drawingml.chart+xml"/>
  <Override PartName="/xl/theme/themeOverride27.xml" ContentType="application/vnd.openxmlformats-officedocument.themeOverrid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33.xml" ContentType="application/vnd.openxmlformats-officedocument.drawingml.chart+xml"/>
  <Override PartName="/xl/theme/themeOverride28.xml" ContentType="application/vnd.openxmlformats-officedocument.themeOverride+xml"/>
  <Override PartName="/xl/drawings/drawing42.xml" ContentType="application/vnd.openxmlformats-officedocument.drawing+xml"/>
  <Override PartName="/xl/charts/chart34.xml" ContentType="application/vnd.openxmlformats-officedocument.drawingml.chart+xml"/>
  <Override PartName="/xl/theme/themeOverride29.xml" ContentType="application/vnd.openxmlformats-officedocument.themeOverride+xml"/>
  <Override PartName="/xl/drawings/drawing43.xml" ContentType="application/vnd.openxmlformats-officedocument.drawing+xml"/>
  <Override PartName="/xl/charts/chart35.xml" ContentType="application/vnd.openxmlformats-officedocument.drawingml.chart+xml"/>
  <Override PartName="/xl/theme/themeOverride30.xml" ContentType="application/vnd.openxmlformats-officedocument.themeOverride+xml"/>
  <Override PartName="/xl/drawings/drawing44.xml" ContentType="application/vnd.openxmlformats-officedocument.drawing+xml"/>
  <Override PartName="/xl/charts/chart36.xml" ContentType="application/vnd.openxmlformats-officedocument.drawingml.chart+xml"/>
  <Override PartName="/xl/theme/themeOverride31.xml" ContentType="application/vnd.openxmlformats-officedocument.themeOverride+xml"/>
  <Override PartName="/xl/charts/chart3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8.xml" ContentType="application/vnd.openxmlformats-officedocument.drawingml.chart+xml"/>
  <Override PartName="/xl/theme/themeOverride32.xml" ContentType="application/vnd.openxmlformats-officedocument.themeOverride+xml"/>
  <Override PartName="/xl/charts/chart39.xml" ContentType="application/vnd.openxmlformats-officedocument.drawingml.chart+xml"/>
  <Override PartName="/xl/theme/themeOverride33.xml" ContentType="application/vnd.openxmlformats-officedocument.themeOverride+xml"/>
  <Override PartName="/xl/drawings/drawing45.xml" ContentType="application/vnd.openxmlformats-officedocument.drawing+xml"/>
  <Override PartName="/xl/charts/chart40.xml" ContentType="application/vnd.openxmlformats-officedocument.drawingml.chart+xml"/>
  <Override PartName="/xl/theme/themeOverride34.xml" ContentType="application/vnd.openxmlformats-officedocument.themeOverride+xml"/>
  <Override PartName="/xl/charts/chart41.xml" ContentType="application/vnd.openxmlformats-officedocument.drawingml.chart+xml"/>
  <Override PartName="/xl/theme/themeOverride35.xml" ContentType="application/vnd.openxmlformats-officedocument.themeOverride+xml"/>
  <Override PartName="/xl/drawings/drawing46.xml" ContentType="application/vnd.openxmlformats-officedocument.drawing+xml"/>
  <Override PartName="/xl/charts/chart42.xml" ContentType="application/vnd.openxmlformats-officedocument.drawingml.chart+xml"/>
  <Override PartName="/xl/theme/themeOverride36.xml" ContentType="application/vnd.openxmlformats-officedocument.themeOverride+xml"/>
  <Override PartName="/xl/charts/chart43.xml" ContentType="application/vnd.openxmlformats-officedocument.drawingml.chart+xml"/>
  <Override PartName="/xl/theme/themeOverride37.xml" ContentType="application/vnd.openxmlformats-officedocument.themeOverride+xml"/>
  <Override PartName="/xl/drawings/drawing47.xml" ContentType="application/vnd.openxmlformats-officedocument.drawing+xml"/>
  <Override PartName="/xl/charts/chart44.xml" ContentType="application/vnd.openxmlformats-officedocument.drawingml.chart+xml"/>
  <Override PartName="/xl/theme/themeOverride38.xml" ContentType="application/vnd.openxmlformats-officedocument.themeOverride+xml"/>
  <Override PartName="/xl/drawings/drawing48.xml" ContentType="application/vnd.openxmlformats-officedocument.drawing+xml"/>
  <Override PartName="/xl/charts/chart45.xml" ContentType="application/vnd.openxmlformats-officedocument.drawingml.chart+xml"/>
  <Override PartName="/xl/theme/themeOverride39.xml" ContentType="application/vnd.openxmlformats-officedocument.themeOverride+xml"/>
  <Override PartName="/xl/drawings/drawing49.xml" ContentType="application/vnd.openxmlformats-officedocument.drawing+xml"/>
  <Override PartName="/xl/charts/chart46.xml" ContentType="application/vnd.openxmlformats-officedocument.drawingml.chart+xml"/>
  <Override PartName="/xl/theme/themeOverride40.xml" ContentType="application/vnd.openxmlformats-officedocument.themeOverride+xml"/>
  <Override PartName="/xl/drawings/drawing50.xml" ContentType="application/vnd.openxmlformats-officedocument.drawing+xml"/>
  <Override PartName="/xl/charts/chart4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41.xml" ContentType="application/vnd.openxmlformats-officedocument.themeOverride+xml"/>
  <Override PartName="/xl/drawings/drawing5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 tabRatio="860" firstSheet="2" activeTab="8"/>
  </bookViews>
  <sheets>
    <sheet name="Seguimiento" sheetId="21" r:id="rId1"/>
    <sheet name="Resumen" sheetId="1" r:id="rId2"/>
    <sheet name="Zona A" sheetId="44" r:id="rId3"/>
    <sheet name="NORTE" sheetId="48" r:id="rId4"/>
    <sheet name="NORTE (2)" sheetId="61" r:id="rId5"/>
    <sheet name="OESTE" sheetId="41" r:id="rId6"/>
    <sheet name="DBOSCO" sheetId="49" r:id="rId7"/>
    <sheet name="SUROES" sheetId="39" r:id="rId8"/>
    <sheet name="SUROES (2)" sheetId="63" r:id="rId9"/>
    <sheet name="SUR" sheetId="38" r:id="rId10"/>
    <sheet name="ESTE" sheetId="28" r:id="rId11"/>
    <sheet name="ESTE (2)" sheetId="64" r:id="rId12"/>
    <sheet name="JARDIN" sheetId="31" r:id="rId13"/>
    <sheet name="CENTRO" sheetId="47" r:id="rId14"/>
    <sheet name="RBUSTO" sheetId="37" r:id="rId15"/>
    <sheet name="MABAST" sheetId="32" r:id="rId16"/>
    <sheet name="GUINIA" sheetId="30" r:id="rId17"/>
    <sheet name="NVACBA" sheetId="35" r:id="rId18"/>
    <sheet name="TABLADA" sheetId="17" r:id="rId19"/>
    <sheet name="FIAT" sheetId="29" r:id="rId20"/>
    <sheet name="INTERFABRICAS" sheetId="53" r:id="rId21"/>
    <sheet name="MCRISTO" sheetId="19" r:id="rId22"/>
    <sheet name="MCRISTO NUEVA" sheetId="62" r:id="rId23"/>
    <sheet name="BOWER" sheetId="24" r:id="rId24"/>
    <sheet name="YOCSINA" sheetId="40" r:id="rId25"/>
    <sheet name="MALAGE" sheetId="33" r:id="rId26"/>
    <sheet name="FIAT AUTO" sheetId="57" r:id="rId27"/>
    <sheet name="CORCEMAR" sheetId="51" r:id="rId28"/>
    <sheet name="MINETTI" sheetId="52" r:id="rId29"/>
    <sheet name="CALASANZ" sheetId="54" r:id="rId30"/>
    <sheet name="SANTA ANA" sheetId="55" r:id="rId31"/>
    <sheet name="ARGUELLO" sheetId="56" r:id="rId32"/>
    <sheet name="modelo" sheetId="45" r:id="rId33"/>
    <sheet name="Demandas Max" sheetId="58" r:id="rId34"/>
    <sheet name="CURA BROCHERO" sheetId="59" r:id="rId35"/>
    <sheet name="Dominguez" sheetId="60" r:id="rId36"/>
  </sheets>
  <definedNames>
    <definedName name="_xlnm.Print_Area" localSheetId="23">BOWER!$C$3:$K$29</definedName>
    <definedName name="_xlnm.Print_Area" localSheetId="13">CENTRO!$B$3:$K$35</definedName>
    <definedName name="_xlnm.Print_Area" localSheetId="27">CORCEMAR!$B$3:$K$29</definedName>
    <definedName name="_xlnm.Print_Area" localSheetId="34">'CURA BROCHERO'!$C$3:$K$29</definedName>
    <definedName name="_xlnm.Print_Area" localSheetId="6">DBOSCO!$C$39:$K$72</definedName>
    <definedName name="_xlnm.Print_Area" localSheetId="35">Dominguez!$B$1:$G$19</definedName>
    <definedName name="_xlnm.Print_Area" localSheetId="10">ESTE!$C$5:$F$35</definedName>
    <definedName name="_xlnm.Print_Area" localSheetId="11">'ESTE (2)'!$C$5:$F$35</definedName>
    <definedName name="_xlnm.Print_Area" localSheetId="19">FIAT!$B$3:$K$35</definedName>
    <definedName name="_xlnm.Print_Area" localSheetId="26">'FIAT AUTO'!$B$3:$K$29</definedName>
    <definedName name="_xlnm.Print_Area" localSheetId="16">GUINIA!$B$5:$F$31</definedName>
    <definedName name="_xlnm.Print_Area" localSheetId="12">JARDIN!$B$3:$K$35</definedName>
    <definedName name="_xlnm.Print_Area" localSheetId="25">MALAGE!$C$3:$K$29</definedName>
    <definedName name="_xlnm.Print_Area" localSheetId="21">MCRISTO!$C$3:$K$29</definedName>
    <definedName name="_xlnm.Print_Area" localSheetId="22">'MCRISTO NUEVA'!#REF!</definedName>
    <definedName name="_xlnm.Print_Area" localSheetId="32">modelo!$B$6:$D$26</definedName>
    <definedName name="_xlnm.Print_Area" localSheetId="3">NORTE!$B$39:$K$71</definedName>
    <definedName name="_xlnm.Print_Area" localSheetId="4">'NORTE (2)'!$B$39:$K$71</definedName>
    <definedName name="_xlnm.Print_Area" localSheetId="5">OESTE!$C$45:$K$80</definedName>
    <definedName name="_xlnm.Print_Area" localSheetId="9">SUR!$C$4:$K$35</definedName>
    <definedName name="_xlnm.Print_Area" localSheetId="7">SUROES!$C$3:$K$35</definedName>
    <definedName name="_xlnm.Print_Area" localSheetId="8">'SUROES (2)'!$C$3:$K$35</definedName>
    <definedName name="_xlnm.Print_Area" localSheetId="18">TABLADA!$C$3:$K$12</definedName>
    <definedName name="_xlnm.Print_Area" localSheetId="24">YOCSINA!$C$3:$K$35</definedName>
    <definedName name="_xlnm.Print_Area" localSheetId="2">'Zona A'!$O$178:$Q$200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6" i="28" l="1"/>
  <c r="P201" i="44"/>
  <c r="G76" i="31" l="1"/>
  <c r="P302" i="61"/>
  <c r="P300" i="61"/>
  <c r="P299" i="61"/>
  <c r="G41" i="30" l="1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H72" i="32"/>
  <c r="H81" i="41" l="1"/>
  <c r="N154" i="44" l="1"/>
  <c r="N151" i="44"/>
  <c r="N152" i="44"/>
  <c r="N153" i="44"/>
  <c r="N155" i="44"/>
  <c r="N156" i="44"/>
  <c r="N157" i="44"/>
  <c r="N158" i="44"/>
  <c r="N159" i="44"/>
  <c r="N160" i="44"/>
  <c r="N150" i="44"/>
  <c r="I78" i="38" l="1"/>
  <c r="H78" i="38"/>
  <c r="P44" i="63" l="1"/>
  <c r="O46" i="63"/>
  <c r="O47" i="63"/>
  <c r="O54" i="63"/>
  <c r="O55" i="63"/>
  <c r="O62" i="63"/>
  <c r="O63" i="63"/>
  <c r="N46" i="63"/>
  <c r="N47" i="63"/>
  <c r="N48" i="63"/>
  <c r="O48" i="63" s="1"/>
  <c r="N49" i="63"/>
  <c r="O49" i="63" s="1"/>
  <c r="N50" i="63"/>
  <c r="O50" i="63" s="1"/>
  <c r="N54" i="63"/>
  <c r="N55" i="63"/>
  <c r="N56" i="63"/>
  <c r="O56" i="63" s="1"/>
  <c r="N57" i="63"/>
  <c r="O57" i="63" s="1"/>
  <c r="N58" i="63"/>
  <c r="O58" i="63" s="1"/>
  <c r="N62" i="63"/>
  <c r="N63" i="63"/>
  <c r="N64" i="63"/>
  <c r="O64" i="63" s="1"/>
  <c r="G44" i="63"/>
  <c r="N44" i="63" s="1"/>
  <c r="O44" i="63" s="1"/>
  <c r="G45" i="63"/>
  <c r="N45" i="63" s="1"/>
  <c r="O45" i="63" s="1"/>
  <c r="G46" i="63"/>
  <c r="G47" i="63"/>
  <c r="G48" i="63"/>
  <c r="G49" i="63"/>
  <c r="G50" i="63"/>
  <c r="G51" i="63"/>
  <c r="N51" i="63" s="1"/>
  <c r="O51" i="63" s="1"/>
  <c r="G52" i="63"/>
  <c r="N52" i="63" s="1"/>
  <c r="O52" i="63" s="1"/>
  <c r="G53" i="63"/>
  <c r="N53" i="63" s="1"/>
  <c r="O53" i="63" s="1"/>
  <c r="G54" i="63"/>
  <c r="G55" i="63"/>
  <c r="G56" i="63"/>
  <c r="G57" i="63"/>
  <c r="G58" i="63"/>
  <c r="G59" i="63"/>
  <c r="N59" i="63" s="1"/>
  <c r="O59" i="63" s="1"/>
  <c r="G60" i="63"/>
  <c r="N60" i="63" s="1"/>
  <c r="O60" i="63" s="1"/>
  <c r="G61" i="63"/>
  <c r="N61" i="63" s="1"/>
  <c r="O61" i="63" s="1"/>
  <c r="G62" i="63"/>
  <c r="G63" i="63"/>
  <c r="G64" i="63"/>
  <c r="N44" i="64"/>
  <c r="L44" i="64"/>
  <c r="M44" i="64" s="1"/>
  <c r="L61" i="64"/>
  <c r="M61" i="64" s="1"/>
  <c r="L62" i="64"/>
  <c r="M62" i="64" s="1"/>
  <c r="L63" i="64"/>
  <c r="M63" i="64" s="1"/>
  <c r="G44" i="64"/>
  <c r="G45" i="64"/>
  <c r="L45" i="64" s="1"/>
  <c r="M45" i="64" s="1"/>
  <c r="G46" i="64"/>
  <c r="G47" i="64"/>
  <c r="G48" i="64"/>
  <c r="L48" i="64" s="1"/>
  <c r="M48" i="64" s="1"/>
  <c r="G49" i="64"/>
  <c r="G50" i="64"/>
  <c r="G51" i="64"/>
  <c r="L51" i="64" s="1"/>
  <c r="M51" i="64" s="1"/>
  <c r="G52" i="64"/>
  <c r="L52" i="64" s="1"/>
  <c r="M52" i="64" s="1"/>
  <c r="G53" i="64"/>
  <c r="L53" i="64" s="1"/>
  <c r="M53" i="64" s="1"/>
  <c r="G54" i="64"/>
  <c r="G55" i="64"/>
  <c r="L55" i="64" s="1"/>
  <c r="M55" i="64" s="1"/>
  <c r="G56" i="64"/>
  <c r="L56" i="64" s="1"/>
  <c r="M56" i="64" s="1"/>
  <c r="G57" i="64"/>
  <c r="G58" i="64"/>
  <c r="G59" i="64"/>
  <c r="G60" i="64"/>
  <c r="L60" i="64" s="1"/>
  <c r="M60" i="64" s="1"/>
  <c r="G61" i="64"/>
  <c r="G62" i="64"/>
  <c r="G63" i="64"/>
  <c r="G64" i="64"/>
  <c r="L64" i="64" s="1"/>
  <c r="M64" i="64" s="1"/>
  <c r="L58" i="64"/>
  <c r="M58" i="64" s="1"/>
  <c r="L57" i="64"/>
  <c r="M57" i="64" s="1"/>
  <c r="L54" i="64"/>
  <c r="M54" i="64" s="1"/>
  <c r="L50" i="64"/>
  <c r="M50" i="64" s="1"/>
  <c r="L49" i="64"/>
  <c r="M49" i="64" s="1"/>
  <c r="L47" i="64"/>
  <c r="M47" i="64" s="1"/>
  <c r="L46" i="64"/>
  <c r="M46" i="64" s="1"/>
  <c r="R44" i="28"/>
  <c r="R45" i="28" s="1"/>
  <c r="R46" i="28" s="1"/>
  <c r="R47" i="28" s="1"/>
  <c r="R48" i="28" s="1"/>
  <c r="R49" i="28" s="1"/>
  <c r="R50" i="28" s="1"/>
  <c r="R51" i="28" s="1"/>
  <c r="R52" i="28" s="1"/>
  <c r="R53" i="28" s="1"/>
  <c r="R54" i="28" s="1"/>
  <c r="R55" i="28" s="1"/>
  <c r="R56" i="28" s="1"/>
  <c r="R57" i="28" s="1"/>
  <c r="R58" i="28" s="1"/>
  <c r="R59" i="28" s="1"/>
  <c r="R60" i="28" s="1"/>
  <c r="R61" i="28" s="1"/>
  <c r="R62" i="28" s="1"/>
  <c r="R63" i="28" s="1"/>
  <c r="R64" i="28" s="1"/>
  <c r="R65" i="28" s="1"/>
  <c r="R66" i="28" s="1"/>
  <c r="R67" i="28" s="1"/>
  <c r="R68" i="28" s="1"/>
  <c r="R69" i="28" s="1"/>
  <c r="R70" i="28" s="1"/>
  <c r="R71" i="28" s="1"/>
  <c r="R72" i="28" s="1"/>
  <c r="R73" i="28" s="1"/>
  <c r="R74" i="28" s="1"/>
  <c r="Q44" i="28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Q70" i="28" s="1"/>
  <c r="Q71" i="28" s="1"/>
  <c r="Q72" i="28" s="1"/>
  <c r="Q73" i="28" s="1"/>
  <c r="Q74" i="28" s="1"/>
  <c r="P44" i="28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O65" i="63" l="1"/>
  <c r="O66" i="63" s="1"/>
  <c r="O67" i="63" s="1"/>
  <c r="O68" i="63" s="1"/>
  <c r="L59" i="64"/>
  <c r="M59" i="64" s="1"/>
  <c r="M65" i="64" s="1"/>
  <c r="M66" i="64" s="1"/>
  <c r="M67" i="64" s="1"/>
  <c r="M68" i="64" s="1"/>
  <c r="G75" i="28" l="1"/>
  <c r="E75" i="63" l="1"/>
  <c r="E77" i="63" s="1"/>
  <c r="E60" i="53"/>
  <c r="E63" i="62"/>
  <c r="G54" i="24"/>
  <c r="F127" i="64"/>
  <c r="F126" i="64"/>
  <c r="F125" i="64"/>
  <c r="F124" i="64"/>
  <c r="F123" i="64"/>
  <c r="S121" i="64"/>
  <c r="P121" i="64"/>
  <c r="M121" i="64"/>
  <c r="J121" i="64"/>
  <c r="I115" i="64"/>
  <c r="L115" i="64" s="1"/>
  <c r="O115" i="64" s="1"/>
  <c r="R115" i="64" s="1"/>
  <c r="I74" i="64"/>
  <c r="J74" i="64" s="1"/>
  <c r="G74" i="64"/>
  <c r="I73" i="64"/>
  <c r="J73" i="64" s="1"/>
  <c r="G73" i="64"/>
  <c r="I72" i="64"/>
  <c r="J72" i="64" s="1"/>
  <c r="G72" i="64"/>
  <c r="I71" i="64"/>
  <c r="J71" i="64" s="1"/>
  <c r="G71" i="64"/>
  <c r="J70" i="64"/>
  <c r="I70" i="64"/>
  <c r="G70" i="64"/>
  <c r="I69" i="64"/>
  <c r="J69" i="64" s="1"/>
  <c r="G69" i="64"/>
  <c r="I68" i="64"/>
  <c r="J68" i="64" s="1"/>
  <c r="G68" i="64"/>
  <c r="I67" i="64"/>
  <c r="J67" i="64" s="1"/>
  <c r="G67" i="64"/>
  <c r="I66" i="64"/>
  <c r="J66" i="64" s="1"/>
  <c r="G66" i="64"/>
  <c r="I65" i="64"/>
  <c r="J65" i="64" s="1"/>
  <c r="G65" i="64"/>
  <c r="I64" i="64"/>
  <c r="J64" i="64" s="1"/>
  <c r="H64" i="64"/>
  <c r="F64" i="64"/>
  <c r="I63" i="64"/>
  <c r="K63" i="64" s="1"/>
  <c r="F63" i="64"/>
  <c r="I62" i="64"/>
  <c r="K62" i="64" s="1"/>
  <c r="F62" i="64"/>
  <c r="I61" i="64"/>
  <c r="K61" i="64" s="1"/>
  <c r="F61" i="64"/>
  <c r="I60" i="64"/>
  <c r="K60" i="64" s="1"/>
  <c r="F60" i="64"/>
  <c r="J59" i="64"/>
  <c r="I59" i="64"/>
  <c r="K59" i="64" s="1"/>
  <c r="F59" i="64"/>
  <c r="I58" i="64"/>
  <c r="K58" i="64" s="1"/>
  <c r="F58" i="64"/>
  <c r="I57" i="64"/>
  <c r="K57" i="64" s="1"/>
  <c r="F57" i="64"/>
  <c r="I56" i="64"/>
  <c r="K56" i="64" s="1"/>
  <c r="F56" i="64"/>
  <c r="I55" i="64"/>
  <c r="K55" i="64" s="1"/>
  <c r="F55" i="64"/>
  <c r="I54" i="64"/>
  <c r="K54" i="64" s="1"/>
  <c r="F54" i="64"/>
  <c r="I53" i="64"/>
  <c r="K53" i="64" s="1"/>
  <c r="F53" i="64"/>
  <c r="I52" i="64"/>
  <c r="K52" i="64" s="1"/>
  <c r="F52" i="64"/>
  <c r="J51" i="64"/>
  <c r="I51" i="64"/>
  <c r="K51" i="64" s="1"/>
  <c r="F51" i="64"/>
  <c r="I50" i="64"/>
  <c r="K50" i="64" s="1"/>
  <c r="F50" i="64"/>
  <c r="I49" i="64"/>
  <c r="K49" i="64" s="1"/>
  <c r="F49" i="64"/>
  <c r="I48" i="64"/>
  <c r="K48" i="64" s="1"/>
  <c r="F48" i="64"/>
  <c r="I47" i="64"/>
  <c r="K47" i="64" s="1"/>
  <c r="F47" i="64"/>
  <c r="I46" i="64"/>
  <c r="K46" i="64" s="1"/>
  <c r="F46" i="64"/>
  <c r="I45" i="64"/>
  <c r="K45" i="64" s="1"/>
  <c r="F45" i="64"/>
  <c r="I44" i="64"/>
  <c r="K44" i="64" s="1"/>
  <c r="K37" i="64"/>
  <c r="N36" i="64"/>
  <c r="K36" i="64"/>
  <c r="N35" i="64"/>
  <c r="K35" i="64"/>
  <c r="N34" i="64"/>
  <c r="K34" i="64"/>
  <c r="N33" i="64"/>
  <c r="K33" i="64"/>
  <c r="N32" i="64"/>
  <c r="K32" i="64"/>
  <c r="N31" i="64"/>
  <c r="K31" i="64"/>
  <c r="O30" i="64"/>
  <c r="N30" i="64"/>
  <c r="K30" i="64"/>
  <c r="O29" i="64"/>
  <c r="N29" i="64"/>
  <c r="K29" i="64"/>
  <c r="N28" i="64"/>
  <c r="K28" i="64"/>
  <c r="N27" i="64"/>
  <c r="K27" i="64"/>
  <c r="I27" i="64"/>
  <c r="I28" i="64" s="1"/>
  <c r="I29" i="64" s="1"/>
  <c r="I30" i="64" s="1"/>
  <c r="I31" i="64" s="1"/>
  <c r="I32" i="64" s="1"/>
  <c r="I33" i="64" s="1"/>
  <c r="I34" i="64" s="1"/>
  <c r="I35" i="64" s="1"/>
  <c r="I36" i="64" s="1"/>
  <c r="I37" i="64" s="1"/>
  <c r="H27" i="64"/>
  <c r="F27" i="64"/>
  <c r="O26" i="64"/>
  <c r="L26" i="64"/>
  <c r="K26" i="64"/>
  <c r="F26" i="64"/>
  <c r="K25" i="64"/>
  <c r="F25" i="64"/>
  <c r="K24" i="64"/>
  <c r="F24" i="64"/>
  <c r="K23" i="64"/>
  <c r="F23" i="64"/>
  <c r="K22" i="64"/>
  <c r="F22" i="64"/>
  <c r="K21" i="64"/>
  <c r="F21" i="64"/>
  <c r="K20" i="64"/>
  <c r="F20" i="64"/>
  <c r="K19" i="64"/>
  <c r="F19" i="64"/>
  <c r="K18" i="64"/>
  <c r="F18" i="64"/>
  <c r="K17" i="64"/>
  <c r="F17" i="64"/>
  <c r="K16" i="64"/>
  <c r="F16" i="64"/>
  <c r="K15" i="64"/>
  <c r="F15" i="64"/>
  <c r="K14" i="64"/>
  <c r="F14" i="64"/>
  <c r="K13" i="64"/>
  <c r="K12" i="64"/>
  <c r="E12" i="64"/>
  <c r="K11" i="64"/>
  <c r="E11" i="64"/>
  <c r="K10" i="64"/>
  <c r="E10" i="64"/>
  <c r="K9" i="64"/>
  <c r="E9" i="64"/>
  <c r="F9" i="64" s="1"/>
  <c r="K8" i="64"/>
  <c r="E8" i="64"/>
  <c r="K7" i="64"/>
  <c r="E7" i="64"/>
  <c r="D172" i="44"/>
  <c r="D171" i="44"/>
  <c r="J46" i="64" l="1"/>
  <c r="J49" i="64"/>
  <c r="J52" i="64"/>
  <c r="F75" i="64"/>
  <c r="J47" i="64"/>
  <c r="J63" i="64"/>
  <c r="F10" i="64"/>
  <c r="J50" i="64"/>
  <c r="J58" i="64"/>
  <c r="J54" i="64"/>
  <c r="J62" i="64"/>
  <c r="J57" i="64"/>
  <c r="J44" i="64"/>
  <c r="J60" i="64"/>
  <c r="J55" i="64"/>
  <c r="J45" i="64"/>
  <c r="J53" i="64"/>
  <c r="J61" i="64"/>
  <c r="O64" i="64"/>
  <c r="N64" i="64"/>
  <c r="H65" i="64"/>
  <c r="H75" i="64"/>
  <c r="H76" i="64" s="1"/>
  <c r="E76" i="63"/>
  <c r="J48" i="64"/>
  <c r="J56" i="64"/>
  <c r="F8" i="64"/>
  <c r="F11" i="64"/>
  <c r="F13" i="64"/>
  <c r="F12" i="64"/>
  <c r="O28" i="64"/>
  <c r="O27" i="64"/>
  <c r="O36" i="64" s="1"/>
  <c r="K64" i="64"/>
  <c r="F126" i="63"/>
  <c r="F125" i="63"/>
  <c r="F124" i="63"/>
  <c r="F123" i="63"/>
  <c r="F122" i="63"/>
  <c r="S120" i="63"/>
  <c r="P120" i="63"/>
  <c r="M120" i="63"/>
  <c r="J120" i="63"/>
  <c r="I114" i="63"/>
  <c r="L114" i="63" s="1"/>
  <c r="O114" i="63" s="1"/>
  <c r="R114" i="63" s="1"/>
  <c r="I74" i="63"/>
  <c r="J74" i="63" s="1"/>
  <c r="G74" i="63"/>
  <c r="I73" i="63"/>
  <c r="J73" i="63" s="1"/>
  <c r="G73" i="63"/>
  <c r="I72" i="63"/>
  <c r="J72" i="63" s="1"/>
  <c r="G72" i="63"/>
  <c r="I71" i="63"/>
  <c r="J71" i="63" s="1"/>
  <c r="G71" i="63"/>
  <c r="I70" i="63"/>
  <c r="J70" i="63" s="1"/>
  <c r="G70" i="63"/>
  <c r="J69" i="63"/>
  <c r="I69" i="63"/>
  <c r="G69" i="63"/>
  <c r="I68" i="63"/>
  <c r="J68" i="63" s="1"/>
  <c r="G68" i="63"/>
  <c r="I67" i="63"/>
  <c r="J67" i="63" s="1"/>
  <c r="G67" i="63"/>
  <c r="I66" i="63"/>
  <c r="J66" i="63" s="1"/>
  <c r="G66" i="63"/>
  <c r="I65" i="63"/>
  <c r="J65" i="63" s="1"/>
  <c r="G65" i="63"/>
  <c r="I64" i="63"/>
  <c r="K64" i="63" s="1"/>
  <c r="H64" i="63"/>
  <c r="H65" i="63" s="1"/>
  <c r="F64" i="63"/>
  <c r="K63" i="63"/>
  <c r="I63" i="63"/>
  <c r="J63" i="63" s="1"/>
  <c r="F63" i="63"/>
  <c r="I62" i="63"/>
  <c r="J62" i="63" s="1"/>
  <c r="F62" i="63"/>
  <c r="I61" i="63"/>
  <c r="J61" i="63" s="1"/>
  <c r="F61" i="63"/>
  <c r="I60" i="63"/>
  <c r="J60" i="63" s="1"/>
  <c r="F60" i="63"/>
  <c r="I59" i="63"/>
  <c r="J59" i="63" s="1"/>
  <c r="F59" i="63"/>
  <c r="I58" i="63"/>
  <c r="J58" i="63" s="1"/>
  <c r="F58" i="63"/>
  <c r="I57" i="63"/>
  <c r="J57" i="63" s="1"/>
  <c r="F57" i="63"/>
  <c r="I56" i="63"/>
  <c r="J56" i="63" s="1"/>
  <c r="F56" i="63"/>
  <c r="K55" i="63"/>
  <c r="I55" i="63"/>
  <c r="J55" i="63" s="1"/>
  <c r="F55" i="63"/>
  <c r="I54" i="63"/>
  <c r="J54" i="63" s="1"/>
  <c r="F54" i="63"/>
  <c r="I53" i="63"/>
  <c r="J53" i="63" s="1"/>
  <c r="F53" i="63"/>
  <c r="I52" i="63"/>
  <c r="J52" i="63" s="1"/>
  <c r="F52" i="63"/>
  <c r="I51" i="63"/>
  <c r="J51" i="63" s="1"/>
  <c r="F51" i="63"/>
  <c r="I50" i="63"/>
  <c r="J50" i="63" s="1"/>
  <c r="F50" i="63"/>
  <c r="I49" i="63"/>
  <c r="J49" i="63" s="1"/>
  <c r="F49" i="63"/>
  <c r="I48" i="63"/>
  <c r="J48" i="63" s="1"/>
  <c r="F48" i="63"/>
  <c r="K47" i="63"/>
  <c r="I47" i="63"/>
  <c r="J47" i="63" s="1"/>
  <c r="F47" i="63"/>
  <c r="I46" i="63"/>
  <c r="J46" i="63" s="1"/>
  <c r="F46" i="63"/>
  <c r="I45" i="63"/>
  <c r="J45" i="63" s="1"/>
  <c r="F45" i="63"/>
  <c r="K44" i="63"/>
  <c r="I44" i="63"/>
  <c r="J44" i="63" s="1"/>
  <c r="J37" i="63"/>
  <c r="K37" i="63" s="1"/>
  <c r="N36" i="63"/>
  <c r="J36" i="63"/>
  <c r="K36" i="63" s="1"/>
  <c r="N35" i="63"/>
  <c r="J35" i="63"/>
  <c r="K35" i="63" s="1"/>
  <c r="N34" i="63"/>
  <c r="J34" i="63"/>
  <c r="K34" i="63" s="1"/>
  <c r="N33" i="63"/>
  <c r="J33" i="63"/>
  <c r="K33" i="63" s="1"/>
  <c r="N32" i="63"/>
  <c r="J32" i="63"/>
  <c r="K32" i="63" s="1"/>
  <c r="N31" i="63"/>
  <c r="J31" i="63"/>
  <c r="K31" i="63" s="1"/>
  <c r="O30" i="63"/>
  <c r="N30" i="63"/>
  <c r="J30" i="63"/>
  <c r="K30" i="63" s="1"/>
  <c r="O29" i="63"/>
  <c r="N29" i="63"/>
  <c r="J29" i="63"/>
  <c r="K29" i="63" s="1"/>
  <c r="P28" i="63"/>
  <c r="N28" i="63"/>
  <c r="J28" i="63"/>
  <c r="K28" i="63" s="1"/>
  <c r="P27" i="63"/>
  <c r="N27" i="63"/>
  <c r="J27" i="63"/>
  <c r="K27" i="63" s="1"/>
  <c r="I27" i="63"/>
  <c r="I28" i="63" s="1"/>
  <c r="I29" i="63" s="1"/>
  <c r="I30" i="63" s="1"/>
  <c r="I31" i="63" s="1"/>
  <c r="I32" i="63" s="1"/>
  <c r="I33" i="63" s="1"/>
  <c r="I34" i="63" s="1"/>
  <c r="I35" i="63" s="1"/>
  <c r="I36" i="63" s="1"/>
  <c r="I37" i="63" s="1"/>
  <c r="H27" i="63"/>
  <c r="O28" i="63" s="1"/>
  <c r="F27" i="63"/>
  <c r="P26" i="63"/>
  <c r="O26" i="63"/>
  <c r="M26" i="63"/>
  <c r="D24" i="63" s="1"/>
  <c r="J26" i="63"/>
  <c r="K26" i="63" s="1"/>
  <c r="F26" i="63"/>
  <c r="P25" i="63"/>
  <c r="J25" i="63"/>
  <c r="K25" i="63" s="1"/>
  <c r="F25" i="63"/>
  <c r="P24" i="63"/>
  <c r="J24" i="63"/>
  <c r="K24" i="63" s="1"/>
  <c r="F24" i="63"/>
  <c r="P23" i="63"/>
  <c r="J23" i="63"/>
  <c r="K23" i="63" s="1"/>
  <c r="F23" i="63"/>
  <c r="P22" i="63"/>
  <c r="J22" i="63"/>
  <c r="K22" i="63" s="1"/>
  <c r="F22" i="63"/>
  <c r="P21" i="63"/>
  <c r="J21" i="63"/>
  <c r="K21" i="63" s="1"/>
  <c r="F21" i="63"/>
  <c r="P20" i="63"/>
  <c r="J20" i="63"/>
  <c r="K20" i="63" s="1"/>
  <c r="F20" i="63"/>
  <c r="P19" i="63"/>
  <c r="J19" i="63"/>
  <c r="K19" i="63" s="1"/>
  <c r="F19" i="63"/>
  <c r="P18" i="63"/>
  <c r="J18" i="63"/>
  <c r="K18" i="63" s="1"/>
  <c r="F18" i="63"/>
  <c r="P17" i="63"/>
  <c r="J17" i="63"/>
  <c r="K17" i="63" s="1"/>
  <c r="F17" i="63"/>
  <c r="P16" i="63"/>
  <c r="J16" i="63"/>
  <c r="K16" i="63" s="1"/>
  <c r="F16" i="63"/>
  <c r="P15" i="63"/>
  <c r="J15" i="63"/>
  <c r="K15" i="63" s="1"/>
  <c r="F15" i="63"/>
  <c r="P14" i="63"/>
  <c r="J14" i="63"/>
  <c r="K14" i="63" s="1"/>
  <c r="F14" i="63"/>
  <c r="P13" i="63"/>
  <c r="J13" i="63"/>
  <c r="K13" i="63" s="1"/>
  <c r="P12" i="63"/>
  <c r="J12" i="63"/>
  <c r="K12" i="63" s="1"/>
  <c r="E12" i="63"/>
  <c r="F13" i="63" s="1"/>
  <c r="P11" i="63"/>
  <c r="J11" i="63"/>
  <c r="K11" i="63" s="1"/>
  <c r="P10" i="63"/>
  <c r="J10" i="63"/>
  <c r="K10" i="63" s="1"/>
  <c r="P9" i="63"/>
  <c r="J9" i="63"/>
  <c r="K9" i="63" s="1"/>
  <c r="E9" i="63"/>
  <c r="P8" i="63"/>
  <c r="J8" i="63"/>
  <c r="K8" i="63" s="1"/>
  <c r="P7" i="63"/>
  <c r="J7" i="63"/>
  <c r="K7" i="63" s="1"/>
  <c r="E7" i="63"/>
  <c r="E76" i="47"/>
  <c r="E75" i="37"/>
  <c r="E76" i="37" s="1"/>
  <c r="E81" i="41"/>
  <c r="E82" i="41" s="1"/>
  <c r="N40" i="35"/>
  <c r="L42" i="35"/>
  <c r="M42" i="35" s="1"/>
  <c r="L43" i="35"/>
  <c r="M43" i="35" s="1"/>
  <c r="L50" i="35"/>
  <c r="M50" i="35" s="1"/>
  <c r="L51" i="35"/>
  <c r="M51" i="35" s="1"/>
  <c r="G40" i="35"/>
  <c r="L40" i="35" s="1"/>
  <c r="M40" i="35" s="1"/>
  <c r="G41" i="35"/>
  <c r="L41" i="35" s="1"/>
  <c r="M41" i="35" s="1"/>
  <c r="G42" i="35"/>
  <c r="G43" i="35"/>
  <c r="G44" i="35"/>
  <c r="L44" i="35" s="1"/>
  <c r="M44" i="35" s="1"/>
  <c r="G45" i="35"/>
  <c r="L45" i="35" s="1"/>
  <c r="M45" i="35" s="1"/>
  <c r="G46" i="35"/>
  <c r="L46" i="35" s="1"/>
  <c r="M46" i="35" s="1"/>
  <c r="G47" i="35"/>
  <c r="L47" i="35" s="1"/>
  <c r="M47" i="35" s="1"/>
  <c r="G48" i="35"/>
  <c r="L48" i="35" s="1"/>
  <c r="M48" i="35" s="1"/>
  <c r="G49" i="35"/>
  <c r="L49" i="35" s="1"/>
  <c r="M49" i="35" s="1"/>
  <c r="G50" i="35"/>
  <c r="G51" i="35"/>
  <c r="G52" i="35"/>
  <c r="L52" i="35" s="1"/>
  <c r="M52" i="35" s="1"/>
  <c r="G53" i="35"/>
  <c r="L53" i="35" s="1"/>
  <c r="M53" i="35" s="1"/>
  <c r="G54" i="35"/>
  <c r="L54" i="35" s="1"/>
  <c r="M54" i="35" s="1"/>
  <c r="G55" i="35"/>
  <c r="L55" i="35" s="1"/>
  <c r="M55" i="35" s="1"/>
  <c r="G56" i="35"/>
  <c r="L56" i="35" s="1"/>
  <c r="M56" i="35" s="1"/>
  <c r="E67" i="35"/>
  <c r="E68" i="35"/>
  <c r="E69" i="35" s="1"/>
  <c r="E299" i="61"/>
  <c r="F299" i="61" s="1"/>
  <c r="N299" i="61"/>
  <c r="M57" i="35" l="1"/>
  <c r="M58" i="35" s="1"/>
  <c r="M59" i="35" s="1"/>
  <c r="M60" i="35" s="1"/>
  <c r="K45" i="63"/>
  <c r="K48" i="63"/>
  <c r="N65" i="64"/>
  <c r="O65" i="64"/>
  <c r="H66" i="64"/>
  <c r="K65" i="64"/>
  <c r="K59" i="63"/>
  <c r="K46" i="63"/>
  <c r="K54" i="63"/>
  <c r="K62" i="63"/>
  <c r="K50" i="63"/>
  <c r="Q65" i="63"/>
  <c r="P65" i="63"/>
  <c r="K56" i="63"/>
  <c r="K51" i="63"/>
  <c r="E10" i="63"/>
  <c r="F10" i="63" s="1"/>
  <c r="K49" i="63"/>
  <c r="K57" i="63"/>
  <c r="K58" i="63"/>
  <c r="K53" i="63"/>
  <c r="K61" i="63"/>
  <c r="J64" i="63"/>
  <c r="E8" i="63"/>
  <c r="F8" i="63" s="1"/>
  <c r="D21" i="63"/>
  <c r="D23" i="63"/>
  <c r="D25" i="63"/>
  <c r="K52" i="63"/>
  <c r="K60" i="63"/>
  <c r="F38" i="64"/>
  <c r="H66" i="63"/>
  <c r="K65" i="63"/>
  <c r="E11" i="63"/>
  <c r="F11" i="63" s="1"/>
  <c r="D22" i="63"/>
  <c r="O27" i="63"/>
  <c r="O36" i="63" s="1"/>
  <c r="F12" i="63"/>
  <c r="D20" i="63"/>
  <c r="K299" i="61"/>
  <c r="J299" i="61"/>
  <c r="H299" i="61"/>
  <c r="I299" i="61" s="1"/>
  <c r="I297" i="61"/>
  <c r="J297" i="61" s="1"/>
  <c r="G297" i="61"/>
  <c r="I296" i="61"/>
  <c r="J296" i="61" s="1"/>
  <c r="G296" i="61"/>
  <c r="I295" i="61"/>
  <c r="J295" i="61" s="1"/>
  <c r="G295" i="61"/>
  <c r="I294" i="61"/>
  <c r="J294" i="61" s="1"/>
  <c r="G294" i="61"/>
  <c r="I293" i="61"/>
  <c r="J293" i="61" s="1"/>
  <c r="G293" i="61"/>
  <c r="J292" i="61"/>
  <c r="I292" i="61"/>
  <c r="G292" i="61"/>
  <c r="I291" i="61"/>
  <c r="J291" i="61" s="1"/>
  <c r="G291" i="61"/>
  <c r="I290" i="61"/>
  <c r="J290" i="61" s="1"/>
  <c r="G290" i="61"/>
  <c r="I289" i="61"/>
  <c r="J289" i="61" s="1"/>
  <c r="G289" i="61"/>
  <c r="J288" i="61"/>
  <c r="I288" i="61"/>
  <c r="G288" i="61"/>
  <c r="I287" i="61"/>
  <c r="K287" i="61" s="1"/>
  <c r="G287" i="61"/>
  <c r="F287" i="61"/>
  <c r="K286" i="61"/>
  <c r="I286" i="61"/>
  <c r="J286" i="61" s="1"/>
  <c r="G286" i="61"/>
  <c r="F286" i="61"/>
  <c r="I285" i="61"/>
  <c r="J285" i="61" s="1"/>
  <c r="G285" i="61"/>
  <c r="F285" i="61"/>
  <c r="I284" i="61"/>
  <c r="K284" i="61" s="1"/>
  <c r="G284" i="61"/>
  <c r="F284" i="61"/>
  <c r="I283" i="61"/>
  <c r="J283" i="61" s="1"/>
  <c r="G283" i="61"/>
  <c r="F283" i="61"/>
  <c r="K282" i="61"/>
  <c r="I282" i="61"/>
  <c r="J282" i="61" s="1"/>
  <c r="G282" i="61"/>
  <c r="F282" i="61"/>
  <c r="I281" i="61"/>
  <c r="J281" i="61" s="1"/>
  <c r="G281" i="61"/>
  <c r="F281" i="61"/>
  <c r="I280" i="61"/>
  <c r="K280" i="61" s="1"/>
  <c r="G280" i="61"/>
  <c r="F280" i="61"/>
  <c r="I279" i="61"/>
  <c r="K279" i="61" s="1"/>
  <c r="G279" i="61"/>
  <c r="F279" i="61"/>
  <c r="K278" i="61"/>
  <c r="J278" i="61"/>
  <c r="I278" i="61"/>
  <c r="G278" i="61"/>
  <c r="F278" i="61"/>
  <c r="I277" i="61"/>
  <c r="J277" i="61" s="1"/>
  <c r="G277" i="61"/>
  <c r="F277" i="61"/>
  <c r="I276" i="61"/>
  <c r="K276" i="61" s="1"/>
  <c r="G276" i="61"/>
  <c r="F276" i="61"/>
  <c r="I275" i="61"/>
  <c r="J275" i="61" s="1"/>
  <c r="G275" i="61"/>
  <c r="F275" i="61"/>
  <c r="I274" i="61"/>
  <c r="K274" i="61" s="1"/>
  <c r="G274" i="61"/>
  <c r="F274" i="61"/>
  <c r="I273" i="61"/>
  <c r="K273" i="61" s="1"/>
  <c r="G273" i="61"/>
  <c r="F273" i="61"/>
  <c r="I272" i="61"/>
  <c r="K272" i="61" s="1"/>
  <c r="G272" i="61"/>
  <c r="F272" i="61"/>
  <c r="I271" i="61"/>
  <c r="K271" i="61" s="1"/>
  <c r="G271" i="61"/>
  <c r="F271" i="61"/>
  <c r="I270" i="61"/>
  <c r="K270" i="61" s="1"/>
  <c r="G270" i="61"/>
  <c r="F270" i="61"/>
  <c r="I269" i="61"/>
  <c r="J269" i="61" s="1"/>
  <c r="G269" i="61"/>
  <c r="M76" i="48"/>
  <c r="L76" i="48"/>
  <c r="L75" i="48"/>
  <c r="L74" i="48"/>
  <c r="F74" i="48"/>
  <c r="I74" i="48" s="1"/>
  <c r="I75" i="48" s="1"/>
  <c r="J74" i="48"/>
  <c r="I73" i="48"/>
  <c r="G73" i="48"/>
  <c r="G74" i="48"/>
  <c r="G43" i="48"/>
  <c r="G44" i="48"/>
  <c r="G45" i="48"/>
  <c r="G46" i="48"/>
  <c r="G47" i="48"/>
  <c r="G48" i="48"/>
  <c r="G49" i="48"/>
  <c r="G50" i="48"/>
  <c r="G51" i="48"/>
  <c r="G52" i="48"/>
  <c r="G53" i="48"/>
  <c r="G54" i="48"/>
  <c r="G55" i="48"/>
  <c r="G56" i="48"/>
  <c r="G57" i="48"/>
  <c r="G58" i="48"/>
  <c r="G59" i="48"/>
  <c r="G60" i="48"/>
  <c r="G61" i="48"/>
  <c r="K147" i="61"/>
  <c r="V45" i="61"/>
  <c r="J274" i="61" l="1"/>
  <c r="K285" i="61"/>
  <c r="J273" i="61"/>
  <c r="K277" i="61"/>
  <c r="K269" i="61"/>
  <c r="J270" i="61"/>
  <c r="H67" i="64"/>
  <c r="K67" i="64" s="1"/>
  <c r="O66" i="64"/>
  <c r="N66" i="64"/>
  <c r="K281" i="61"/>
  <c r="F9" i="63"/>
  <c r="F38" i="63" s="1"/>
  <c r="Q66" i="63"/>
  <c r="P66" i="63"/>
  <c r="K66" i="64"/>
  <c r="H67" i="63"/>
  <c r="K66" i="63"/>
  <c r="J271" i="61"/>
  <c r="J279" i="61"/>
  <c r="K288" i="61"/>
  <c r="J272" i="61"/>
  <c r="K275" i="61"/>
  <c r="J276" i="61"/>
  <c r="J280" i="61"/>
  <c r="K283" i="61"/>
  <c r="J284" i="61"/>
  <c r="J287" i="61"/>
  <c r="K289" i="61"/>
  <c r="P67" i="63" l="1"/>
  <c r="Q67" i="63"/>
  <c r="H68" i="64"/>
  <c r="O67" i="64"/>
  <c r="N67" i="64"/>
  <c r="K68" i="64"/>
  <c r="H68" i="63"/>
  <c r="K67" i="63"/>
  <c r="K290" i="61"/>
  <c r="P68" i="63" l="1"/>
  <c r="Q68" i="63"/>
  <c r="H69" i="64"/>
  <c r="N68" i="64"/>
  <c r="O68" i="64"/>
  <c r="K69" i="64"/>
  <c r="H69" i="63"/>
  <c r="K68" i="63"/>
  <c r="K291" i="61"/>
  <c r="P69" i="63" l="1"/>
  <c r="Q69" i="63"/>
  <c r="H70" i="64"/>
  <c r="N69" i="64"/>
  <c r="O69" i="64"/>
  <c r="K70" i="64"/>
  <c r="H70" i="63"/>
  <c r="K69" i="63"/>
  <c r="K292" i="61"/>
  <c r="Q70" i="63" l="1"/>
  <c r="P70" i="63"/>
  <c r="H71" i="64"/>
  <c r="O70" i="64"/>
  <c r="N70" i="64"/>
  <c r="K71" i="64"/>
  <c r="K70" i="63"/>
  <c r="H71" i="63"/>
  <c r="K293" i="61"/>
  <c r="H72" i="64" l="1"/>
  <c r="K72" i="64" s="1"/>
  <c r="O71" i="64"/>
  <c r="N71" i="64"/>
  <c r="Q71" i="63"/>
  <c r="P71" i="63"/>
  <c r="K71" i="63"/>
  <c r="H72" i="63"/>
  <c r="K294" i="61"/>
  <c r="P72" i="63" l="1"/>
  <c r="Q72" i="63"/>
  <c r="H73" i="64"/>
  <c r="O72" i="64"/>
  <c r="N72" i="64"/>
  <c r="K73" i="64"/>
  <c r="H73" i="63"/>
  <c r="K72" i="63"/>
  <c r="K295" i="61"/>
  <c r="Q73" i="63" l="1"/>
  <c r="P73" i="63"/>
  <c r="H74" i="64"/>
  <c r="O73" i="64"/>
  <c r="N73" i="64"/>
  <c r="K74" i="64"/>
  <c r="H74" i="63"/>
  <c r="K73" i="63"/>
  <c r="K296" i="61"/>
  <c r="K297" i="61"/>
  <c r="K74" i="63" l="1"/>
  <c r="P74" i="63"/>
  <c r="Q74" i="63"/>
  <c r="O74" i="64"/>
  <c r="N74" i="64"/>
  <c r="N74" i="28"/>
  <c r="U46" i="61"/>
  <c r="G162" i="44" l="1"/>
  <c r="G163" i="44"/>
  <c r="G164" i="44"/>
  <c r="G165" i="44"/>
  <c r="G166" i="44"/>
  <c r="G167" i="44"/>
  <c r="G168" i="44"/>
  <c r="G169" i="44"/>
  <c r="G170" i="44"/>
  <c r="G161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H160" i="44" s="1"/>
  <c r="H161" i="44" s="1"/>
  <c r="H162" i="44" s="1"/>
  <c r="H163" i="44" s="1"/>
  <c r="H164" i="44" s="1"/>
  <c r="H165" i="44" s="1"/>
  <c r="H166" i="44" s="1"/>
  <c r="H167" i="44" s="1"/>
  <c r="H168" i="44" s="1"/>
  <c r="H169" i="44" s="1"/>
  <c r="H170" i="44" s="1"/>
  <c r="E148" i="44"/>
  <c r="F150" i="44"/>
  <c r="F151" i="44"/>
  <c r="F152" i="44"/>
  <c r="F153" i="44"/>
  <c r="F154" i="44"/>
  <c r="F155" i="44"/>
  <c r="F156" i="44"/>
  <c r="F157" i="44"/>
  <c r="F158" i="44"/>
  <c r="F159" i="44"/>
  <c r="F160" i="44"/>
  <c r="F149" i="44"/>
  <c r="H120" i="44"/>
  <c r="M109" i="44"/>
  <c r="M110" i="44"/>
  <c r="M111" i="44"/>
  <c r="M112" i="44"/>
  <c r="M113" i="44"/>
  <c r="M114" i="44"/>
  <c r="M115" i="44"/>
  <c r="M116" i="44"/>
  <c r="M117" i="44"/>
  <c r="M118" i="44"/>
  <c r="M119" i="44"/>
  <c r="M120" i="44"/>
  <c r="M121" i="44"/>
  <c r="M108" i="44"/>
  <c r="F171" i="44" l="1"/>
  <c r="L147" i="61"/>
  <c r="M147" i="61" s="1"/>
  <c r="L136" i="61"/>
  <c r="M136" i="61" s="1"/>
  <c r="G165" i="61"/>
  <c r="E165" i="61"/>
  <c r="F165" i="61" s="1"/>
  <c r="G164" i="61"/>
  <c r="G163" i="61"/>
  <c r="G162" i="61"/>
  <c r="G161" i="61"/>
  <c r="G160" i="61"/>
  <c r="G159" i="61"/>
  <c r="G158" i="61"/>
  <c r="G157" i="61"/>
  <c r="G156" i="61"/>
  <c r="G155" i="61"/>
  <c r="K154" i="61"/>
  <c r="H154" i="61"/>
  <c r="G154" i="61"/>
  <c r="F154" i="61"/>
  <c r="K153" i="61"/>
  <c r="G153" i="61"/>
  <c r="L153" i="61" s="1"/>
  <c r="M153" i="61" s="1"/>
  <c r="F153" i="61"/>
  <c r="K152" i="61"/>
  <c r="G152" i="61"/>
  <c r="I152" i="61" s="1"/>
  <c r="F152" i="61"/>
  <c r="K151" i="61"/>
  <c r="G151" i="61"/>
  <c r="J151" i="61" s="1"/>
  <c r="F151" i="61"/>
  <c r="K150" i="61"/>
  <c r="G150" i="61"/>
  <c r="I150" i="61" s="1"/>
  <c r="F150" i="61"/>
  <c r="K149" i="61"/>
  <c r="G149" i="61"/>
  <c r="J149" i="61" s="1"/>
  <c r="F149" i="61"/>
  <c r="K148" i="61"/>
  <c r="G148" i="61"/>
  <c r="L148" i="61" s="1"/>
  <c r="M148" i="61" s="1"/>
  <c r="F148" i="61"/>
  <c r="G147" i="61"/>
  <c r="J147" i="61" s="1"/>
  <c r="F147" i="61"/>
  <c r="K146" i="61"/>
  <c r="G146" i="61"/>
  <c r="I146" i="61" s="1"/>
  <c r="F146" i="61"/>
  <c r="K145" i="61"/>
  <c r="G145" i="61"/>
  <c r="J145" i="61" s="1"/>
  <c r="F145" i="61"/>
  <c r="K144" i="61"/>
  <c r="G144" i="61"/>
  <c r="I144" i="61" s="1"/>
  <c r="F144" i="61"/>
  <c r="G143" i="61"/>
  <c r="I143" i="61" s="1"/>
  <c r="F143" i="61"/>
  <c r="G142" i="61"/>
  <c r="I142" i="61" s="1"/>
  <c r="F142" i="61"/>
  <c r="G141" i="61"/>
  <c r="I141" i="61" s="1"/>
  <c r="F141" i="61"/>
  <c r="G140" i="61"/>
  <c r="I140" i="61" s="1"/>
  <c r="F140" i="61"/>
  <c r="G139" i="61"/>
  <c r="I139" i="61" s="1"/>
  <c r="F139" i="61"/>
  <c r="G138" i="61"/>
  <c r="I138" i="61" s="1"/>
  <c r="F138" i="61"/>
  <c r="G137" i="61"/>
  <c r="I137" i="61" s="1"/>
  <c r="F137" i="61"/>
  <c r="G136" i="61"/>
  <c r="G81" i="61"/>
  <c r="E72" i="61"/>
  <c r="F72" i="61" s="1"/>
  <c r="F46" i="61"/>
  <c r="F81" i="61"/>
  <c r="V50" i="61"/>
  <c r="J138" i="61" l="1"/>
  <c r="J142" i="61"/>
  <c r="J154" i="61"/>
  <c r="G166" i="61"/>
  <c r="L151" i="61"/>
  <c r="M151" i="61" s="1"/>
  <c r="Q154" i="61"/>
  <c r="R154" i="61"/>
  <c r="R155" i="61" s="1"/>
  <c r="R156" i="61" s="1"/>
  <c r="R157" i="61" s="1"/>
  <c r="R158" i="61" s="1"/>
  <c r="R159" i="61" s="1"/>
  <c r="R160" i="61" s="1"/>
  <c r="R161" i="61" s="1"/>
  <c r="R162" i="61" s="1"/>
  <c r="R163" i="61" s="1"/>
  <c r="R164" i="61" s="1"/>
  <c r="L143" i="61"/>
  <c r="M143" i="61" s="1"/>
  <c r="L139" i="61"/>
  <c r="M139" i="61" s="1"/>
  <c r="J137" i="61"/>
  <c r="J141" i="61"/>
  <c r="I148" i="61"/>
  <c r="J152" i="61"/>
  <c r="I153" i="61"/>
  <c r="L154" i="61"/>
  <c r="M154" i="61" s="1"/>
  <c r="L150" i="61"/>
  <c r="M150" i="61" s="1"/>
  <c r="L146" i="61"/>
  <c r="M146" i="61" s="1"/>
  <c r="L142" i="61"/>
  <c r="M142" i="61" s="1"/>
  <c r="L138" i="61"/>
  <c r="M138" i="61" s="1"/>
  <c r="J140" i="61"/>
  <c r="J144" i="61"/>
  <c r="I145" i="61"/>
  <c r="J148" i="61"/>
  <c r="I149" i="61"/>
  <c r="J153" i="61"/>
  <c r="L149" i="61"/>
  <c r="M149" i="61" s="1"/>
  <c r="L145" i="61"/>
  <c r="M145" i="61" s="1"/>
  <c r="L141" i="61"/>
  <c r="M141" i="61" s="1"/>
  <c r="L137" i="61"/>
  <c r="M137" i="61" s="1"/>
  <c r="M160" i="61"/>
  <c r="P154" i="61"/>
  <c r="J139" i="61"/>
  <c r="J143" i="61"/>
  <c r="L152" i="61"/>
  <c r="M152" i="61" s="1"/>
  <c r="L144" i="61"/>
  <c r="M144" i="61" s="1"/>
  <c r="L140" i="61"/>
  <c r="M140" i="61" s="1"/>
  <c r="O154" i="61"/>
  <c r="O155" i="61" s="1"/>
  <c r="P155" i="61"/>
  <c r="J146" i="61"/>
  <c r="I147" i="61"/>
  <c r="J150" i="61"/>
  <c r="I151" i="61"/>
  <c r="I154" i="61"/>
  <c r="H155" i="61"/>
  <c r="H156" i="61" s="1"/>
  <c r="H157" i="61" s="1"/>
  <c r="H158" i="61" s="1"/>
  <c r="H159" i="61" s="1"/>
  <c r="H160" i="61" s="1"/>
  <c r="H161" i="61" s="1"/>
  <c r="H162" i="61" s="1"/>
  <c r="H163" i="61" s="1"/>
  <c r="H164" i="61" s="1"/>
  <c r="I165" i="61" l="1"/>
  <c r="M155" i="61"/>
  <c r="M156" i="61" s="1"/>
  <c r="M157" i="61" s="1"/>
  <c r="M158" i="61" s="1"/>
  <c r="M159" i="61" s="1"/>
  <c r="Q155" i="61"/>
  <c r="O156" i="61"/>
  <c r="V61" i="61"/>
  <c r="V65" i="61" s="1"/>
  <c r="V60" i="61"/>
  <c r="V59" i="61"/>
  <c r="V58" i="61"/>
  <c r="V57" i="61"/>
  <c r="V56" i="61"/>
  <c r="V55" i="61"/>
  <c r="V54" i="61"/>
  <c r="V53" i="61"/>
  <c r="V52" i="61"/>
  <c r="V51" i="61"/>
  <c r="V49" i="61"/>
  <c r="V48" i="61"/>
  <c r="V47" i="61"/>
  <c r="V46" i="61"/>
  <c r="V44" i="61"/>
  <c r="V43" i="61"/>
  <c r="U43" i="61"/>
  <c r="U61" i="61"/>
  <c r="U60" i="61"/>
  <c r="U59" i="61"/>
  <c r="U58" i="61"/>
  <c r="U57" i="61"/>
  <c r="U56" i="61"/>
  <c r="U55" i="61"/>
  <c r="U54" i="61"/>
  <c r="U53" i="61"/>
  <c r="U52" i="61"/>
  <c r="U51" i="61"/>
  <c r="U50" i="61"/>
  <c r="U49" i="61"/>
  <c r="U48" i="61"/>
  <c r="U47" i="61"/>
  <c r="U45" i="61"/>
  <c r="U44" i="61"/>
  <c r="U62" i="61" s="1"/>
  <c r="U63" i="61" s="1"/>
  <c r="V62" i="61" l="1"/>
  <c r="V63" i="61" s="1"/>
  <c r="O157" i="61"/>
  <c r="P156" i="61"/>
  <c r="Q156" i="61"/>
  <c r="K60" i="61"/>
  <c r="K61" i="61"/>
  <c r="K59" i="61"/>
  <c r="K58" i="61"/>
  <c r="K57" i="61"/>
  <c r="K56" i="61"/>
  <c r="K55" i="61"/>
  <c r="K54" i="61"/>
  <c r="K52" i="61"/>
  <c r="K53" i="61"/>
  <c r="K51" i="61"/>
  <c r="F80" i="41"/>
  <c r="O158" i="61" l="1"/>
  <c r="P157" i="61"/>
  <c r="Q157" i="61"/>
  <c r="G82" i="61"/>
  <c r="G83" i="61" s="1"/>
  <c r="F82" i="61"/>
  <c r="F83" i="61" s="1"/>
  <c r="G77" i="61"/>
  <c r="O159" i="61" l="1"/>
  <c r="P158" i="61"/>
  <c r="Q158" i="61"/>
  <c r="H24" i="44"/>
  <c r="H25" i="44" s="1"/>
  <c r="H26" i="44" s="1"/>
  <c r="I74" i="61"/>
  <c r="J74" i="61" s="1"/>
  <c r="K74" i="61" s="1"/>
  <c r="K75" i="61" s="1"/>
  <c r="O160" i="61" l="1"/>
  <c r="Q159" i="61"/>
  <c r="P159" i="61"/>
  <c r="O161" i="61" l="1"/>
  <c r="P160" i="61"/>
  <c r="Q160" i="61"/>
  <c r="K29" i="53"/>
  <c r="K37" i="53"/>
  <c r="K41" i="53"/>
  <c r="K45" i="53"/>
  <c r="I29" i="53"/>
  <c r="I30" i="53"/>
  <c r="K30" i="53" s="1"/>
  <c r="I31" i="53"/>
  <c r="K31" i="53" s="1"/>
  <c r="I32" i="53"/>
  <c r="J32" i="53" s="1"/>
  <c r="I33" i="53"/>
  <c r="K33" i="53" s="1"/>
  <c r="I34" i="53"/>
  <c r="K34" i="53" s="1"/>
  <c r="I35" i="53"/>
  <c r="K35" i="53" s="1"/>
  <c r="I36" i="53"/>
  <c r="J36" i="53" s="1"/>
  <c r="I37" i="53"/>
  <c r="I38" i="53"/>
  <c r="K38" i="53" s="1"/>
  <c r="I39" i="53"/>
  <c r="K39" i="53" s="1"/>
  <c r="I40" i="53"/>
  <c r="J40" i="53" s="1"/>
  <c r="I41" i="53"/>
  <c r="J41" i="53" s="1"/>
  <c r="I42" i="53"/>
  <c r="K42" i="53" s="1"/>
  <c r="I43" i="53"/>
  <c r="K43" i="53" s="1"/>
  <c r="I44" i="53"/>
  <c r="J44" i="53" s="1"/>
  <c r="I45" i="53"/>
  <c r="I28" i="53"/>
  <c r="J28" i="53" s="1"/>
  <c r="J29" i="53"/>
  <c r="J30" i="53"/>
  <c r="J31" i="53"/>
  <c r="J33" i="53"/>
  <c r="J34" i="53"/>
  <c r="J37" i="53"/>
  <c r="J39" i="53"/>
  <c r="J45" i="53"/>
  <c r="G50" i="53"/>
  <c r="G51" i="53"/>
  <c r="G52" i="53"/>
  <c r="G53" i="53"/>
  <c r="G54" i="53"/>
  <c r="G55" i="53"/>
  <c r="G56" i="53"/>
  <c r="G57" i="53"/>
  <c r="G58" i="53"/>
  <c r="G49" i="53"/>
  <c r="F30" i="53"/>
  <c r="F31" i="53"/>
  <c r="F32" i="53"/>
  <c r="F33" i="53"/>
  <c r="F34" i="53"/>
  <c r="F35" i="53"/>
  <c r="F36" i="53"/>
  <c r="F37" i="53"/>
  <c r="F38" i="53"/>
  <c r="F39" i="53"/>
  <c r="F40" i="53"/>
  <c r="F41" i="53"/>
  <c r="F42" i="53"/>
  <c r="F43" i="53"/>
  <c r="F44" i="53"/>
  <c r="F45" i="53"/>
  <c r="F46" i="53"/>
  <c r="F47" i="53"/>
  <c r="F48" i="53"/>
  <c r="F29" i="53"/>
  <c r="J42" i="53" l="1"/>
  <c r="J43" i="53"/>
  <c r="J38" i="53"/>
  <c r="J35" i="53"/>
  <c r="K28" i="53"/>
  <c r="K44" i="53"/>
  <c r="K40" i="53"/>
  <c r="K36" i="53"/>
  <c r="K32" i="53"/>
  <c r="O162" i="61"/>
  <c r="P161" i="61"/>
  <c r="Q161" i="61"/>
  <c r="H51" i="62"/>
  <c r="S108" i="62"/>
  <c r="P108" i="62"/>
  <c r="M108" i="62"/>
  <c r="I104" i="62"/>
  <c r="L104" i="62" s="1"/>
  <c r="O104" i="62" s="1"/>
  <c r="R104" i="62" s="1"/>
  <c r="I61" i="62"/>
  <c r="J61" i="62" s="1"/>
  <c r="G61" i="62"/>
  <c r="I60" i="62"/>
  <c r="J60" i="62" s="1"/>
  <c r="G60" i="62"/>
  <c r="I59" i="62"/>
  <c r="J59" i="62" s="1"/>
  <c r="G59" i="62"/>
  <c r="L59" i="62" s="1"/>
  <c r="I58" i="62"/>
  <c r="J58" i="62" s="1"/>
  <c r="G58" i="62"/>
  <c r="I57" i="62"/>
  <c r="J57" i="62" s="1"/>
  <c r="G57" i="62"/>
  <c r="I56" i="62"/>
  <c r="J56" i="62" s="1"/>
  <c r="G56" i="62"/>
  <c r="I55" i="62"/>
  <c r="J55" i="62" s="1"/>
  <c r="G55" i="62"/>
  <c r="I54" i="62"/>
  <c r="J54" i="62" s="1"/>
  <c r="G54" i="62"/>
  <c r="I53" i="62"/>
  <c r="J53" i="62" s="1"/>
  <c r="G53" i="62"/>
  <c r="I52" i="62"/>
  <c r="J52" i="62" s="1"/>
  <c r="G52" i="62"/>
  <c r="K51" i="62"/>
  <c r="J51" i="62"/>
  <c r="F51" i="62"/>
  <c r="I50" i="62"/>
  <c r="K50" i="62" s="1"/>
  <c r="F50" i="62"/>
  <c r="I49" i="62"/>
  <c r="K49" i="62" s="1"/>
  <c r="F49" i="62"/>
  <c r="I48" i="62"/>
  <c r="K48" i="62" s="1"/>
  <c r="F48" i="62"/>
  <c r="I47" i="62"/>
  <c r="K47" i="62" s="1"/>
  <c r="F47" i="62"/>
  <c r="I46" i="62"/>
  <c r="K46" i="62" s="1"/>
  <c r="F46" i="62"/>
  <c r="I45" i="62"/>
  <c r="K45" i="62" s="1"/>
  <c r="F45" i="62"/>
  <c r="I44" i="62"/>
  <c r="K44" i="62" s="1"/>
  <c r="F44" i="62"/>
  <c r="I43" i="62"/>
  <c r="K43" i="62" s="1"/>
  <c r="F43" i="62"/>
  <c r="I42" i="62"/>
  <c r="K42" i="62" s="1"/>
  <c r="F42" i="62"/>
  <c r="I41" i="62"/>
  <c r="K41" i="62" s="1"/>
  <c r="F41" i="62"/>
  <c r="I40" i="62"/>
  <c r="K40" i="62" s="1"/>
  <c r="F40" i="62"/>
  <c r="I39" i="62"/>
  <c r="K39" i="62" s="1"/>
  <c r="F39" i="62"/>
  <c r="I38" i="62"/>
  <c r="K38" i="62" s="1"/>
  <c r="F38" i="62"/>
  <c r="J37" i="62"/>
  <c r="I37" i="62"/>
  <c r="K37" i="62" s="1"/>
  <c r="K30" i="62"/>
  <c r="K29" i="62"/>
  <c r="M28" i="62"/>
  <c r="K28" i="62"/>
  <c r="M27" i="62"/>
  <c r="K27" i="62"/>
  <c r="M26" i="62"/>
  <c r="K26" i="62"/>
  <c r="M25" i="62"/>
  <c r="K25" i="62"/>
  <c r="M24" i="62"/>
  <c r="K24" i="62"/>
  <c r="M23" i="62"/>
  <c r="K23" i="62"/>
  <c r="M22" i="62"/>
  <c r="K22" i="62"/>
  <c r="M21" i="62"/>
  <c r="K21" i="62"/>
  <c r="M20" i="62"/>
  <c r="M29" i="62" s="1"/>
  <c r="K20" i="62"/>
  <c r="I20" i="62"/>
  <c r="I21" i="62" s="1"/>
  <c r="I22" i="62" s="1"/>
  <c r="I23" i="62" s="1"/>
  <c r="I24" i="62" s="1"/>
  <c r="I25" i="62" s="1"/>
  <c r="I26" i="62" s="1"/>
  <c r="I27" i="62" s="1"/>
  <c r="I28" i="62" s="1"/>
  <c r="I29" i="62" s="1"/>
  <c r="I30" i="62" s="1"/>
  <c r="H20" i="62"/>
  <c r="F20" i="62"/>
  <c r="N19" i="62"/>
  <c r="K19" i="62"/>
  <c r="F19" i="62"/>
  <c r="K18" i="62"/>
  <c r="F18" i="62"/>
  <c r="K17" i="62"/>
  <c r="K16" i="62"/>
  <c r="K15" i="62"/>
  <c r="K14" i="62"/>
  <c r="L13" i="62"/>
  <c r="E16" i="62" s="1"/>
  <c r="K13" i="62"/>
  <c r="K12" i="62"/>
  <c r="F12" i="62"/>
  <c r="K11" i="62"/>
  <c r="F11" i="62"/>
  <c r="K10" i="62"/>
  <c r="F10" i="62"/>
  <c r="K9" i="62"/>
  <c r="F9" i="62"/>
  <c r="K8" i="62"/>
  <c r="F8" i="62"/>
  <c r="K7" i="62"/>
  <c r="F7" i="62"/>
  <c r="K6" i="62"/>
  <c r="H52" i="62" l="1"/>
  <c r="H53" i="62" s="1"/>
  <c r="H54" i="62" s="1"/>
  <c r="H55" i="62" s="1"/>
  <c r="H56" i="62" s="1"/>
  <c r="H57" i="62" s="1"/>
  <c r="H58" i="62" s="1"/>
  <c r="H59" i="62" s="1"/>
  <c r="H60" i="62" s="1"/>
  <c r="H61" i="62" s="1"/>
  <c r="H62" i="62"/>
  <c r="J47" i="62"/>
  <c r="J50" i="62"/>
  <c r="L57" i="62"/>
  <c r="J43" i="62"/>
  <c r="L54" i="62"/>
  <c r="J49" i="62"/>
  <c r="J38" i="62"/>
  <c r="J39" i="62"/>
  <c r="J42" i="62"/>
  <c r="J45" i="62"/>
  <c r="J46" i="62"/>
  <c r="J41" i="62"/>
  <c r="J40" i="62"/>
  <c r="J44" i="62"/>
  <c r="J48" i="62"/>
  <c r="L53" i="62"/>
  <c r="L56" i="62"/>
  <c r="L61" i="62"/>
  <c r="L55" i="62"/>
  <c r="L58" i="62"/>
  <c r="M53" i="62"/>
  <c r="L60" i="62"/>
  <c r="O163" i="61"/>
  <c r="P162" i="61"/>
  <c r="Q162" i="61"/>
  <c r="F17" i="62"/>
  <c r="E15" i="62"/>
  <c r="F16" i="62" s="1"/>
  <c r="E13" i="62"/>
  <c r="F13" i="62" s="1"/>
  <c r="E14" i="62"/>
  <c r="F14" i="62" s="1"/>
  <c r="D17" i="62"/>
  <c r="J123" i="31"/>
  <c r="O164" i="61" l="1"/>
  <c r="P163" i="61"/>
  <c r="Q163" i="61"/>
  <c r="F15" i="62"/>
  <c r="F31" i="62" s="1"/>
  <c r="Q164" i="61" l="1"/>
  <c r="P164" i="61"/>
  <c r="M54" i="62"/>
  <c r="F80" i="48"/>
  <c r="F78" i="48"/>
  <c r="G78" i="48" s="1"/>
  <c r="M55" i="62" l="1"/>
  <c r="F79" i="48"/>
  <c r="H76" i="48"/>
  <c r="M56" i="62" l="1"/>
  <c r="G72" i="40"/>
  <c r="G73" i="40"/>
  <c r="G74" i="40"/>
  <c r="G75" i="40"/>
  <c r="G76" i="40"/>
  <c r="G77" i="40"/>
  <c r="G78" i="40"/>
  <c r="G79" i="40"/>
  <c r="G80" i="40"/>
  <c r="G71" i="40"/>
  <c r="G226" i="49"/>
  <c r="G195" i="49"/>
  <c r="G196" i="49"/>
  <c r="G197" i="49"/>
  <c r="G198" i="49"/>
  <c r="G199" i="49"/>
  <c r="G200" i="49"/>
  <c r="G201" i="49"/>
  <c r="G202" i="49"/>
  <c r="G203" i="49"/>
  <c r="G204" i="49"/>
  <c r="G205" i="49"/>
  <c r="G206" i="49"/>
  <c r="G207" i="49"/>
  <c r="G208" i="49"/>
  <c r="G209" i="49"/>
  <c r="G210" i="49"/>
  <c r="G211" i="49"/>
  <c r="G212" i="49"/>
  <c r="G213" i="49"/>
  <c r="G214" i="49"/>
  <c r="G225" i="49" s="1"/>
  <c r="G227" i="49" s="1"/>
  <c r="H227" i="49" s="1"/>
  <c r="D226" i="49"/>
  <c r="E225" i="49"/>
  <c r="F225" i="49" s="1"/>
  <c r="I224" i="49"/>
  <c r="J224" i="49" s="1"/>
  <c r="G224" i="49"/>
  <c r="I223" i="49"/>
  <c r="J223" i="49" s="1"/>
  <c r="G223" i="49"/>
  <c r="I222" i="49"/>
  <c r="J222" i="49" s="1"/>
  <c r="G222" i="49"/>
  <c r="I221" i="49"/>
  <c r="J221" i="49" s="1"/>
  <c r="G221" i="49"/>
  <c r="I220" i="49"/>
  <c r="J220" i="49" s="1"/>
  <c r="G220" i="49"/>
  <c r="I219" i="49"/>
  <c r="J219" i="49" s="1"/>
  <c r="G219" i="49"/>
  <c r="I218" i="49"/>
  <c r="J218" i="49" s="1"/>
  <c r="G218" i="49"/>
  <c r="J217" i="49"/>
  <c r="I217" i="49"/>
  <c r="G217" i="49"/>
  <c r="I216" i="49"/>
  <c r="J216" i="49" s="1"/>
  <c r="G216" i="49"/>
  <c r="I215" i="49"/>
  <c r="J215" i="49" s="1"/>
  <c r="G215" i="49"/>
  <c r="I214" i="49"/>
  <c r="K214" i="49" s="1"/>
  <c r="H214" i="49"/>
  <c r="H215" i="49" s="1"/>
  <c r="F214" i="49"/>
  <c r="I213" i="49"/>
  <c r="K213" i="49" s="1"/>
  <c r="F213" i="49"/>
  <c r="K212" i="49"/>
  <c r="J212" i="49"/>
  <c r="I212" i="49"/>
  <c r="F212" i="49"/>
  <c r="I211" i="49"/>
  <c r="K211" i="49" s="1"/>
  <c r="F211" i="49"/>
  <c r="K210" i="49"/>
  <c r="J210" i="49"/>
  <c r="I210" i="49"/>
  <c r="F210" i="49"/>
  <c r="I209" i="49"/>
  <c r="K209" i="49" s="1"/>
  <c r="F209" i="49"/>
  <c r="K208" i="49"/>
  <c r="J208" i="49"/>
  <c r="I208" i="49"/>
  <c r="F208" i="49"/>
  <c r="I207" i="49"/>
  <c r="K207" i="49" s="1"/>
  <c r="F207" i="49"/>
  <c r="K206" i="49"/>
  <c r="J206" i="49"/>
  <c r="I206" i="49"/>
  <c r="F206" i="49"/>
  <c r="I205" i="49"/>
  <c r="K205" i="49" s="1"/>
  <c r="F205" i="49"/>
  <c r="K204" i="49"/>
  <c r="J204" i="49"/>
  <c r="I204" i="49"/>
  <c r="F204" i="49"/>
  <c r="I203" i="49"/>
  <c r="K203" i="49" s="1"/>
  <c r="F203" i="49"/>
  <c r="K202" i="49"/>
  <c r="J202" i="49"/>
  <c r="I202" i="49"/>
  <c r="F202" i="49"/>
  <c r="I201" i="49"/>
  <c r="K201" i="49" s="1"/>
  <c r="F201" i="49"/>
  <c r="K200" i="49"/>
  <c r="J200" i="49"/>
  <c r="I200" i="49"/>
  <c r="F200" i="49"/>
  <c r="I199" i="49"/>
  <c r="K199" i="49" s="1"/>
  <c r="F199" i="49"/>
  <c r="K198" i="49"/>
  <c r="J198" i="49"/>
  <c r="I198" i="49"/>
  <c r="F198" i="49"/>
  <c r="I197" i="49"/>
  <c r="K197" i="49" s="1"/>
  <c r="F197" i="49"/>
  <c r="K196" i="49"/>
  <c r="J196" i="49"/>
  <c r="I196" i="49"/>
  <c r="F196" i="49"/>
  <c r="I195" i="49"/>
  <c r="K195" i="49" s="1"/>
  <c r="U62" i="48"/>
  <c r="F76" i="48"/>
  <c r="G43" i="61"/>
  <c r="W43" i="61" s="1"/>
  <c r="G44" i="61"/>
  <c r="G45" i="61"/>
  <c r="G46" i="61"/>
  <c r="G47" i="61"/>
  <c r="G48" i="61"/>
  <c r="G49" i="61"/>
  <c r="G50" i="61"/>
  <c r="G51" i="61"/>
  <c r="G52" i="61"/>
  <c r="G53" i="61"/>
  <c r="G54" i="61"/>
  <c r="G55" i="61"/>
  <c r="G56" i="61"/>
  <c r="G57" i="61"/>
  <c r="G58" i="61"/>
  <c r="G59" i="61"/>
  <c r="G60" i="61"/>
  <c r="G61" i="61"/>
  <c r="S130" i="61"/>
  <c r="P130" i="61"/>
  <c r="M130" i="61"/>
  <c r="J130" i="61"/>
  <c r="I126" i="61"/>
  <c r="L126" i="61" s="1"/>
  <c r="O126" i="61" s="1"/>
  <c r="R126" i="61" s="1"/>
  <c r="F75" i="61"/>
  <c r="H74" i="61"/>
  <c r="F74" i="61"/>
  <c r="G74" i="61" s="1"/>
  <c r="D74" i="61"/>
  <c r="G72" i="61"/>
  <c r="G71" i="61"/>
  <c r="G70" i="61"/>
  <c r="G69" i="61"/>
  <c r="Q68" i="61"/>
  <c r="P68" i="61"/>
  <c r="O68" i="61"/>
  <c r="G68" i="61"/>
  <c r="G67" i="61"/>
  <c r="G66" i="61"/>
  <c r="G65" i="61"/>
  <c r="G64" i="61"/>
  <c r="G63" i="61"/>
  <c r="S62" i="61"/>
  <c r="G62" i="61"/>
  <c r="O61" i="61"/>
  <c r="H61" i="61"/>
  <c r="M81" i="61" s="1"/>
  <c r="F61" i="61"/>
  <c r="O60" i="61"/>
  <c r="F60" i="61"/>
  <c r="O59" i="61"/>
  <c r="F59" i="61"/>
  <c r="O58" i="61"/>
  <c r="F58" i="61"/>
  <c r="O57" i="61"/>
  <c r="F57" i="61"/>
  <c r="O56" i="61"/>
  <c r="F56" i="61"/>
  <c r="O55" i="61"/>
  <c r="F55" i="61"/>
  <c r="O54" i="61"/>
  <c r="F54" i="61"/>
  <c r="O53" i="61"/>
  <c r="F53" i="61"/>
  <c r="O52" i="61"/>
  <c r="F52" i="61"/>
  <c r="O51" i="61"/>
  <c r="F51" i="61"/>
  <c r="O50" i="61"/>
  <c r="F50" i="61"/>
  <c r="O49" i="61"/>
  <c r="F49" i="61"/>
  <c r="O48" i="61"/>
  <c r="F48" i="61"/>
  <c r="O47" i="61"/>
  <c r="F47" i="61"/>
  <c r="O46" i="61"/>
  <c r="O45" i="61"/>
  <c r="F45" i="61"/>
  <c r="O44" i="61"/>
  <c r="F44" i="61"/>
  <c r="Q43" i="61"/>
  <c r="Q44" i="61" s="1"/>
  <c r="Q45" i="61" s="1"/>
  <c r="Q46" i="61" s="1"/>
  <c r="Q47" i="61" s="1"/>
  <c r="Q48" i="61" s="1"/>
  <c r="Q49" i="61" s="1"/>
  <c r="Q50" i="61" s="1"/>
  <c r="Q51" i="61" s="1"/>
  <c r="Q52" i="61" s="1"/>
  <c r="Q53" i="61" s="1"/>
  <c r="Q54" i="61" s="1"/>
  <c r="Q55" i="61" s="1"/>
  <c r="Q56" i="61" s="1"/>
  <c r="Q57" i="61" s="1"/>
  <c r="Q58" i="61" s="1"/>
  <c r="Q59" i="61" s="1"/>
  <c r="Q60" i="61" s="1"/>
  <c r="Q61" i="61" s="1"/>
  <c r="P43" i="61"/>
  <c r="P44" i="61" s="1"/>
  <c r="N43" i="61"/>
  <c r="N57" i="61" s="1"/>
  <c r="M43" i="61"/>
  <c r="M44" i="61" s="1"/>
  <c r="M45" i="61" s="1"/>
  <c r="M46" i="61" s="1"/>
  <c r="M47" i="61" s="1"/>
  <c r="M48" i="61" s="1"/>
  <c r="M49" i="61" s="1"/>
  <c r="M50" i="61" s="1"/>
  <c r="M51" i="61" s="1"/>
  <c r="M52" i="61" s="1"/>
  <c r="M53" i="61" s="1"/>
  <c r="M54" i="61" s="1"/>
  <c r="M55" i="61" s="1"/>
  <c r="M56" i="61" s="1"/>
  <c r="M57" i="61" s="1"/>
  <c r="M58" i="61" s="1"/>
  <c r="M59" i="61" s="1"/>
  <c r="M60" i="61" s="1"/>
  <c r="M61" i="61" s="1"/>
  <c r="J35" i="61"/>
  <c r="K35" i="61" s="1"/>
  <c r="J34" i="61"/>
  <c r="K34" i="61" s="1"/>
  <c r="M33" i="61"/>
  <c r="J33" i="61"/>
  <c r="K33" i="61" s="1"/>
  <c r="M32" i="61"/>
  <c r="J32" i="61"/>
  <c r="K32" i="61" s="1"/>
  <c r="M31" i="61"/>
  <c r="J31" i="61"/>
  <c r="K31" i="61" s="1"/>
  <c r="M30" i="61"/>
  <c r="J30" i="61"/>
  <c r="K30" i="61" s="1"/>
  <c r="P29" i="61"/>
  <c r="M29" i="61"/>
  <c r="J29" i="61"/>
  <c r="K29" i="61" s="1"/>
  <c r="P28" i="61"/>
  <c r="N28" i="61"/>
  <c r="M28" i="61"/>
  <c r="J28" i="61"/>
  <c r="K28" i="61" s="1"/>
  <c r="P27" i="61"/>
  <c r="N27" i="61"/>
  <c r="M27" i="61"/>
  <c r="J27" i="61"/>
  <c r="K27" i="61" s="1"/>
  <c r="P26" i="61"/>
  <c r="M26" i="61"/>
  <c r="J26" i="61"/>
  <c r="K26" i="61" s="1"/>
  <c r="P25" i="61"/>
  <c r="M25" i="61"/>
  <c r="M34" i="61" s="1"/>
  <c r="J25" i="61"/>
  <c r="K25" i="61" s="1"/>
  <c r="I25" i="61"/>
  <c r="I26" i="61" s="1"/>
  <c r="I27" i="61" s="1"/>
  <c r="I28" i="61" s="1"/>
  <c r="I29" i="61" s="1"/>
  <c r="I30" i="61" s="1"/>
  <c r="I31" i="61" s="1"/>
  <c r="I32" i="61" s="1"/>
  <c r="I33" i="61" s="1"/>
  <c r="I34" i="61" s="1"/>
  <c r="I35" i="61" s="1"/>
  <c r="H25" i="61"/>
  <c r="N26" i="61" s="1"/>
  <c r="F25" i="61"/>
  <c r="P24" i="61"/>
  <c r="N24" i="61"/>
  <c r="L24" i="61"/>
  <c r="D23" i="61" s="1"/>
  <c r="K24" i="61"/>
  <c r="F24" i="61"/>
  <c r="P23" i="61"/>
  <c r="K23" i="61"/>
  <c r="F23" i="61"/>
  <c r="P22" i="61"/>
  <c r="K22" i="61"/>
  <c r="F22" i="61"/>
  <c r="P21" i="61"/>
  <c r="K21" i="61"/>
  <c r="F21" i="61"/>
  <c r="P20" i="61"/>
  <c r="K20" i="61"/>
  <c r="F20" i="61"/>
  <c r="P19" i="61"/>
  <c r="K19" i="61"/>
  <c r="F19" i="61"/>
  <c r="P18" i="61"/>
  <c r="K18" i="61"/>
  <c r="F18" i="61"/>
  <c r="P17" i="61"/>
  <c r="K17" i="61"/>
  <c r="F17" i="61"/>
  <c r="P16" i="61"/>
  <c r="K16" i="61"/>
  <c r="F16" i="61"/>
  <c r="P15" i="61"/>
  <c r="K15" i="61"/>
  <c r="F15" i="61"/>
  <c r="P14" i="61"/>
  <c r="K14" i="61"/>
  <c r="F14" i="61"/>
  <c r="P13" i="61"/>
  <c r="K13" i="61"/>
  <c r="F13" i="61"/>
  <c r="P12" i="61"/>
  <c r="K12" i="61"/>
  <c r="F12" i="61"/>
  <c r="P11" i="61"/>
  <c r="K11" i="61"/>
  <c r="P10" i="61"/>
  <c r="K10" i="61"/>
  <c r="P9" i="61"/>
  <c r="K9" i="61"/>
  <c r="P8" i="61"/>
  <c r="K8" i="61"/>
  <c r="P7" i="61"/>
  <c r="K7" i="61"/>
  <c r="H74" i="48"/>
  <c r="G80" i="41"/>
  <c r="D74" i="49"/>
  <c r="D74" i="48"/>
  <c r="E73" i="49"/>
  <c r="E74" i="49" s="1"/>
  <c r="F51" i="41"/>
  <c r="F52" i="41"/>
  <c r="F53" i="41"/>
  <c r="F54" i="41"/>
  <c r="F55" i="41"/>
  <c r="F56" i="41"/>
  <c r="F57" i="41"/>
  <c r="F58" i="41"/>
  <c r="F59" i="41"/>
  <c r="F60" i="41"/>
  <c r="F61" i="41"/>
  <c r="F62" i="41"/>
  <c r="F63" i="41"/>
  <c r="F64" i="41"/>
  <c r="F65" i="41"/>
  <c r="F66" i="41"/>
  <c r="F67" i="41"/>
  <c r="F68" i="41"/>
  <c r="F69" i="41"/>
  <c r="F50" i="41"/>
  <c r="F45" i="48"/>
  <c r="F46" i="48"/>
  <c r="F47" i="48"/>
  <c r="F48" i="48"/>
  <c r="F49" i="48"/>
  <c r="F50" i="48"/>
  <c r="F51" i="48"/>
  <c r="F52" i="48"/>
  <c r="F53" i="48"/>
  <c r="F54" i="48"/>
  <c r="F55" i="48"/>
  <c r="F56" i="48"/>
  <c r="F57" i="48"/>
  <c r="F58" i="48"/>
  <c r="F59" i="48"/>
  <c r="F60" i="48"/>
  <c r="F61" i="48"/>
  <c r="F44" i="48"/>
  <c r="E72" i="48"/>
  <c r="F72" i="48" s="1"/>
  <c r="F44" i="49"/>
  <c r="F81" i="41"/>
  <c r="F73" i="48" l="1"/>
  <c r="W48" i="61"/>
  <c r="E7" i="61"/>
  <c r="W47" i="61"/>
  <c r="J195" i="49"/>
  <c r="J197" i="49"/>
  <c r="J199" i="49"/>
  <c r="J201" i="49"/>
  <c r="J203" i="49"/>
  <c r="J205" i="49"/>
  <c r="J207" i="49"/>
  <c r="J209" i="49"/>
  <c r="J211" i="49"/>
  <c r="J213" i="49"/>
  <c r="S47" i="61"/>
  <c r="S49" i="61" s="1"/>
  <c r="X45" i="61"/>
  <c r="W45" i="61"/>
  <c r="W50" i="61"/>
  <c r="X50" i="61" s="1"/>
  <c r="W49" i="61"/>
  <c r="W44" i="61"/>
  <c r="X44" i="61" s="1"/>
  <c r="K215" i="49"/>
  <c r="W61" i="61"/>
  <c r="J83" i="61"/>
  <c r="Y61" i="61"/>
  <c r="J81" i="61"/>
  <c r="J82" i="61" s="1"/>
  <c r="L81" i="61"/>
  <c r="L82" i="61" s="1"/>
  <c r="Y57" i="61"/>
  <c r="W57" i="61"/>
  <c r="Y53" i="61"/>
  <c r="W53" i="61"/>
  <c r="W60" i="61"/>
  <c r="Y60" i="61"/>
  <c r="Z60" i="61" s="1"/>
  <c r="Y56" i="61"/>
  <c r="W56" i="61"/>
  <c r="Y52" i="61"/>
  <c r="W52" i="61"/>
  <c r="F73" i="49"/>
  <c r="W59" i="61"/>
  <c r="Y59" i="61"/>
  <c r="W55" i="61"/>
  <c r="X55" i="61" s="1"/>
  <c r="Y55" i="61"/>
  <c r="W51" i="61"/>
  <c r="X51" i="61" s="1"/>
  <c r="Y51" i="61"/>
  <c r="E226" i="49"/>
  <c r="M57" i="62"/>
  <c r="N46" i="61"/>
  <c r="W58" i="61"/>
  <c r="Y58" i="61"/>
  <c r="Z58" i="61" s="1"/>
  <c r="W54" i="61"/>
  <c r="Y54" i="61"/>
  <c r="W46" i="61"/>
  <c r="X46" i="61" s="1"/>
  <c r="N25" i="61"/>
  <c r="N34" i="61" s="1"/>
  <c r="J58" i="61"/>
  <c r="I58" i="61"/>
  <c r="J46" i="61"/>
  <c r="I46" i="61"/>
  <c r="E10" i="61"/>
  <c r="F11" i="61" s="1"/>
  <c r="N50" i="61"/>
  <c r="J61" i="61"/>
  <c r="I61" i="61"/>
  <c r="G76" i="61"/>
  <c r="G78" i="61" s="1"/>
  <c r="H78" i="61" s="1"/>
  <c r="G80" i="61"/>
  <c r="H80" i="61" s="1"/>
  <c r="J57" i="61"/>
  <c r="I57" i="61"/>
  <c r="J53" i="61"/>
  <c r="I53" i="61"/>
  <c r="J49" i="61"/>
  <c r="I49" i="61"/>
  <c r="J45" i="61"/>
  <c r="I45" i="61"/>
  <c r="J50" i="61"/>
  <c r="I50" i="61"/>
  <c r="E9" i="61"/>
  <c r="N54" i="61"/>
  <c r="J60" i="61"/>
  <c r="I60" i="61"/>
  <c r="J56" i="61"/>
  <c r="I56" i="61"/>
  <c r="J52" i="61"/>
  <c r="I52" i="61"/>
  <c r="J48" i="61"/>
  <c r="I48" i="61"/>
  <c r="J44" i="61"/>
  <c r="I44" i="61"/>
  <c r="J54" i="61"/>
  <c r="I54" i="61"/>
  <c r="E8" i="61"/>
  <c r="F8" i="61" s="1"/>
  <c r="N58" i="61"/>
  <c r="N61" i="61"/>
  <c r="J59" i="61"/>
  <c r="I59" i="61"/>
  <c r="J55" i="61"/>
  <c r="I55" i="61"/>
  <c r="J51" i="61"/>
  <c r="I51" i="61"/>
  <c r="J47" i="61"/>
  <c r="I47" i="61"/>
  <c r="J214" i="49"/>
  <c r="H216" i="49"/>
  <c r="F10" i="61"/>
  <c r="D18" i="61"/>
  <c r="D19" i="61"/>
  <c r="D20" i="61"/>
  <c r="D21" i="61"/>
  <c r="D22" i="61"/>
  <c r="P45" i="61"/>
  <c r="P46" i="61" s="1"/>
  <c r="P47" i="61" s="1"/>
  <c r="P48" i="61" s="1"/>
  <c r="P49" i="61" s="1"/>
  <c r="P50" i="61" s="1"/>
  <c r="P51" i="61" s="1"/>
  <c r="P52" i="61" s="1"/>
  <c r="P53" i="61" s="1"/>
  <c r="P54" i="61" s="1"/>
  <c r="P55" i="61" s="1"/>
  <c r="P56" i="61" s="1"/>
  <c r="P57" i="61" s="1"/>
  <c r="P58" i="61" s="1"/>
  <c r="P59" i="61" s="1"/>
  <c r="P60" i="61" s="1"/>
  <c r="P61" i="61" s="1"/>
  <c r="N47" i="61"/>
  <c r="N51" i="61"/>
  <c r="N55" i="61"/>
  <c r="N59" i="61"/>
  <c r="H62" i="61"/>
  <c r="N44" i="61"/>
  <c r="N48" i="61"/>
  <c r="N52" i="61"/>
  <c r="N56" i="61"/>
  <c r="N60" i="61"/>
  <c r="T62" i="61"/>
  <c r="N45" i="61"/>
  <c r="N49" i="61"/>
  <c r="N53" i="61"/>
  <c r="Q43" i="48"/>
  <c r="Q44" i="48" s="1"/>
  <c r="Q45" i="48" s="1"/>
  <c r="Q46" i="48" s="1"/>
  <c r="Q47" i="48" s="1"/>
  <c r="Q48" i="48" s="1"/>
  <c r="Q49" i="48" s="1"/>
  <c r="Q50" i="48" s="1"/>
  <c r="Q51" i="48" s="1"/>
  <c r="Q52" i="48" s="1"/>
  <c r="Q53" i="48" s="1"/>
  <c r="Q54" i="48" s="1"/>
  <c r="Q55" i="48" s="1"/>
  <c r="Q56" i="48" s="1"/>
  <c r="Q57" i="48" s="1"/>
  <c r="Q58" i="48" s="1"/>
  <c r="Q59" i="48" s="1"/>
  <c r="Q60" i="48" s="1"/>
  <c r="Q61" i="48" s="1"/>
  <c r="P43" i="48"/>
  <c r="X49" i="61" l="1"/>
  <c r="Z54" i="61"/>
  <c r="X48" i="61"/>
  <c r="X59" i="61"/>
  <c r="P44" i="48"/>
  <c r="P45" i="48" s="1"/>
  <c r="P46" i="48" s="1"/>
  <c r="P47" i="48" s="1"/>
  <c r="P48" i="48" s="1"/>
  <c r="P49" i="48" s="1"/>
  <c r="P50" i="48" s="1"/>
  <c r="P51" i="48" s="1"/>
  <c r="P52" i="48" s="1"/>
  <c r="P53" i="48" s="1"/>
  <c r="P54" i="48" s="1"/>
  <c r="P55" i="48" s="1"/>
  <c r="P56" i="48" s="1"/>
  <c r="P57" i="48" s="1"/>
  <c r="P58" i="48" s="1"/>
  <c r="P59" i="48" s="1"/>
  <c r="P60" i="48" s="1"/>
  <c r="P61" i="48" s="1"/>
  <c r="F9" i="61"/>
  <c r="F36" i="61" s="1"/>
  <c r="X58" i="61"/>
  <c r="Z55" i="61"/>
  <c r="Z56" i="61"/>
  <c r="Z53" i="61"/>
  <c r="J85" i="61"/>
  <c r="J84" i="61"/>
  <c r="X47" i="61"/>
  <c r="X52" i="61"/>
  <c r="X57" i="61"/>
  <c r="Y65" i="61"/>
  <c r="Z61" i="61"/>
  <c r="I72" i="61"/>
  <c r="X54" i="61"/>
  <c r="M58" i="62"/>
  <c r="Z59" i="61"/>
  <c r="Z52" i="61"/>
  <c r="X60" i="61"/>
  <c r="Z57" i="61"/>
  <c r="X56" i="61"/>
  <c r="X53" i="61"/>
  <c r="W65" i="61"/>
  <c r="X61" i="61"/>
  <c r="T47" i="61"/>
  <c r="T49" i="61" s="1"/>
  <c r="T51" i="61" s="1"/>
  <c r="H217" i="49"/>
  <c r="K216" i="49"/>
  <c r="H63" i="61"/>
  <c r="T63" i="61"/>
  <c r="F75" i="48"/>
  <c r="O49" i="48"/>
  <c r="O45" i="48"/>
  <c r="O46" i="48"/>
  <c r="O47" i="48"/>
  <c r="O48" i="48"/>
  <c r="O50" i="48"/>
  <c r="O51" i="48"/>
  <c r="O52" i="48"/>
  <c r="O53" i="48"/>
  <c r="O54" i="48"/>
  <c r="O55" i="48"/>
  <c r="O56" i="48"/>
  <c r="O57" i="48"/>
  <c r="O58" i="48"/>
  <c r="O59" i="48"/>
  <c r="O60" i="48"/>
  <c r="O61" i="48"/>
  <c r="O44" i="48"/>
  <c r="M59" i="62" l="1"/>
  <c r="K217" i="49"/>
  <c r="H218" i="49"/>
  <c r="T64" i="61"/>
  <c r="H64" i="61"/>
  <c r="M60" i="62" l="1"/>
  <c r="K218" i="49"/>
  <c r="H219" i="49"/>
  <c r="H65" i="61"/>
  <c r="T65" i="61"/>
  <c r="M61" i="62" l="1"/>
  <c r="H63" i="62"/>
  <c r="I63" i="62" s="1"/>
  <c r="K219" i="49"/>
  <c r="H220" i="49"/>
  <c r="T66" i="61"/>
  <c r="H66" i="61"/>
  <c r="N44" i="48"/>
  <c r="Q68" i="48"/>
  <c r="P68" i="48"/>
  <c r="N43" i="48"/>
  <c r="O68" i="48"/>
  <c r="M43" i="48"/>
  <c r="M44" i="48" s="1"/>
  <c r="M45" i="48" s="1"/>
  <c r="M46" i="48" s="1"/>
  <c r="M47" i="48" s="1"/>
  <c r="M48" i="48" s="1"/>
  <c r="M49" i="48" s="1"/>
  <c r="M50" i="48" s="1"/>
  <c r="M51" i="48" s="1"/>
  <c r="M52" i="48" s="1"/>
  <c r="M53" i="48" s="1"/>
  <c r="M54" i="48" s="1"/>
  <c r="M55" i="48" s="1"/>
  <c r="M56" i="48" s="1"/>
  <c r="M57" i="48" s="1"/>
  <c r="M58" i="48" s="1"/>
  <c r="M59" i="48" s="1"/>
  <c r="M60" i="48" s="1"/>
  <c r="M61" i="48" s="1"/>
  <c r="G72" i="48"/>
  <c r="S15" i="44"/>
  <c r="S16" i="44"/>
  <c r="P16" i="44"/>
  <c r="Q16" i="44" s="1"/>
  <c r="N58" i="48" l="1"/>
  <c r="N54" i="48"/>
  <c r="N50" i="48"/>
  <c r="N46" i="48"/>
  <c r="N61" i="48"/>
  <c r="N57" i="48"/>
  <c r="N53" i="48"/>
  <c r="N49" i="48"/>
  <c r="N45" i="48"/>
  <c r="N60" i="48"/>
  <c r="N56" i="48"/>
  <c r="N52" i="48"/>
  <c r="N48" i="48"/>
  <c r="N59" i="48"/>
  <c r="N55" i="48"/>
  <c r="N51" i="48"/>
  <c r="N47" i="48"/>
  <c r="R16" i="44"/>
  <c r="H221" i="49"/>
  <c r="K220" i="49"/>
  <c r="H67" i="61"/>
  <c r="T67" i="61"/>
  <c r="H108" i="44"/>
  <c r="H110" i="44"/>
  <c r="H111" i="44"/>
  <c r="H112" i="44"/>
  <c r="H113" i="44"/>
  <c r="H114" i="44"/>
  <c r="H115" i="44"/>
  <c r="H116" i="44"/>
  <c r="H117" i="44"/>
  <c r="H118" i="44"/>
  <c r="H119" i="44"/>
  <c r="H109" i="44"/>
  <c r="K221" i="49" l="1"/>
  <c r="H222" i="49"/>
  <c r="T68" i="61"/>
  <c r="H68" i="61"/>
  <c r="G110" i="44"/>
  <c r="G111" i="44"/>
  <c r="G112" i="44"/>
  <c r="G113" i="44"/>
  <c r="G114" i="44"/>
  <c r="G115" i="44"/>
  <c r="G116" i="44"/>
  <c r="G117" i="44"/>
  <c r="G118" i="44"/>
  <c r="G119" i="44"/>
  <c r="G109" i="44"/>
  <c r="F114" i="44"/>
  <c r="G133" i="44" l="1"/>
  <c r="K222" i="49"/>
  <c r="H223" i="49"/>
  <c r="T69" i="61"/>
  <c r="H69" i="61"/>
  <c r="K170" i="44"/>
  <c r="K169" i="44"/>
  <c r="K168" i="44"/>
  <c r="K167" i="44"/>
  <c r="K166" i="44"/>
  <c r="K165" i="44"/>
  <c r="K164" i="44"/>
  <c r="K163" i="44"/>
  <c r="K162" i="44"/>
  <c r="K161" i="44"/>
  <c r="K160" i="44"/>
  <c r="K159" i="44"/>
  <c r="K158" i="44"/>
  <c r="K157" i="44"/>
  <c r="K156" i="44"/>
  <c r="K155" i="44"/>
  <c r="K154" i="44"/>
  <c r="K153" i="44"/>
  <c r="K152" i="44"/>
  <c r="K151" i="44"/>
  <c r="K150" i="44"/>
  <c r="K149" i="44"/>
  <c r="K148" i="44"/>
  <c r="K147" i="44"/>
  <c r="K146" i="44"/>
  <c r="K145" i="44"/>
  <c r="K144" i="44"/>
  <c r="K143" i="44"/>
  <c r="K142" i="44"/>
  <c r="K223" i="49" l="1"/>
  <c r="H224" i="49"/>
  <c r="K224" i="49" s="1"/>
  <c r="T70" i="61"/>
  <c r="H70" i="61"/>
  <c r="K122" i="44"/>
  <c r="H122" i="44"/>
  <c r="K121" i="44"/>
  <c r="K120" i="44"/>
  <c r="K119" i="44"/>
  <c r="F119" i="44"/>
  <c r="K118" i="44"/>
  <c r="F118" i="44"/>
  <c r="K117" i="44"/>
  <c r="F117" i="44"/>
  <c r="K116" i="44"/>
  <c r="F116" i="44"/>
  <c r="K115" i="44"/>
  <c r="F115" i="44"/>
  <c r="K114" i="44"/>
  <c r="K113" i="44"/>
  <c r="F113" i="44"/>
  <c r="K112" i="44"/>
  <c r="F112" i="44"/>
  <c r="K111" i="44"/>
  <c r="F111" i="44"/>
  <c r="K110" i="44"/>
  <c r="F110" i="44"/>
  <c r="K109" i="44"/>
  <c r="F109" i="44"/>
  <c r="K108" i="44"/>
  <c r="K107" i="44"/>
  <c r="K106" i="44"/>
  <c r="K105" i="44"/>
  <c r="K104" i="44"/>
  <c r="T71" i="61" l="1"/>
  <c r="H71" i="61"/>
  <c r="K123" i="44"/>
  <c r="M119" i="32"/>
  <c r="P119" i="32"/>
  <c r="S119" i="32"/>
  <c r="J119" i="32"/>
  <c r="P72" i="41"/>
  <c r="U67" i="37"/>
  <c r="M120" i="47"/>
  <c r="P120" i="47"/>
  <c r="S120" i="47"/>
  <c r="J120" i="47"/>
  <c r="M123" i="31"/>
  <c r="P123" i="31"/>
  <c r="S123" i="31"/>
  <c r="S62" i="48"/>
  <c r="M124" i="38"/>
  <c r="P124" i="38"/>
  <c r="S124" i="38"/>
  <c r="J124" i="38"/>
  <c r="N67" i="39"/>
  <c r="I62" i="49"/>
  <c r="J62" i="49" s="1"/>
  <c r="I63" i="49"/>
  <c r="O65" i="49"/>
  <c r="Q70" i="41"/>
  <c r="K124" i="44" l="1"/>
  <c r="K125" i="44" l="1"/>
  <c r="K126" i="44" l="1"/>
  <c r="G55" i="33"/>
  <c r="G56" i="33"/>
  <c r="G57" i="33"/>
  <c r="G58" i="33"/>
  <c r="G59" i="33"/>
  <c r="G60" i="33"/>
  <c r="G61" i="33"/>
  <c r="G62" i="33"/>
  <c r="G63" i="33"/>
  <c r="G54" i="33"/>
  <c r="G55" i="24"/>
  <c r="G56" i="24"/>
  <c r="G57" i="24"/>
  <c r="G58" i="24"/>
  <c r="G59" i="24"/>
  <c r="G60" i="24"/>
  <c r="G61" i="24"/>
  <c r="G62" i="24"/>
  <c r="G63" i="24"/>
  <c r="G45" i="17"/>
  <c r="G46" i="17"/>
  <c r="G47" i="17"/>
  <c r="G48" i="17"/>
  <c r="G49" i="17"/>
  <c r="G50" i="17"/>
  <c r="G51" i="17"/>
  <c r="G52" i="17"/>
  <c r="G53" i="17"/>
  <c r="G44" i="17"/>
  <c r="K127" i="44" l="1"/>
  <c r="G58" i="35"/>
  <c r="G59" i="35"/>
  <c r="G60" i="35"/>
  <c r="G61" i="35"/>
  <c r="G62" i="35"/>
  <c r="G63" i="35"/>
  <c r="G64" i="35"/>
  <c r="G65" i="35"/>
  <c r="G66" i="35"/>
  <c r="G57" i="35"/>
  <c r="G59" i="30"/>
  <c r="G60" i="30"/>
  <c r="G61" i="30"/>
  <c r="G62" i="30"/>
  <c r="G63" i="30"/>
  <c r="G64" i="30"/>
  <c r="G65" i="30"/>
  <c r="G66" i="30"/>
  <c r="G67" i="30"/>
  <c r="G58" i="30"/>
  <c r="G62" i="32"/>
  <c r="G63" i="32"/>
  <c r="G64" i="32"/>
  <c r="G65" i="32"/>
  <c r="G66" i="32"/>
  <c r="G67" i="32"/>
  <c r="G68" i="32"/>
  <c r="G69" i="32"/>
  <c r="G70" i="32"/>
  <c r="G61" i="32"/>
  <c r="G66" i="37"/>
  <c r="G67" i="37"/>
  <c r="G68" i="37"/>
  <c r="G69" i="37"/>
  <c r="G70" i="37"/>
  <c r="G71" i="37"/>
  <c r="G72" i="37"/>
  <c r="G73" i="37"/>
  <c r="G74" i="37"/>
  <c r="G76" i="37" s="1"/>
  <c r="G77" i="37" s="1"/>
  <c r="G65" i="37"/>
  <c r="G67" i="47"/>
  <c r="G68" i="47"/>
  <c r="G69" i="47"/>
  <c r="G70" i="47"/>
  <c r="G71" i="47"/>
  <c r="G72" i="47"/>
  <c r="G73" i="47"/>
  <c r="G74" i="47"/>
  <c r="G75" i="47"/>
  <c r="G66" i="47"/>
  <c r="G69" i="30" l="1"/>
  <c r="G68" i="30"/>
  <c r="G75" i="37"/>
  <c r="K128" i="44"/>
  <c r="G67" i="31"/>
  <c r="G68" i="31"/>
  <c r="G69" i="31"/>
  <c r="G70" i="31"/>
  <c r="G71" i="31"/>
  <c r="G72" i="31"/>
  <c r="G73" i="31"/>
  <c r="G74" i="31"/>
  <c r="G75" i="31"/>
  <c r="G66" i="31"/>
  <c r="K129" i="44" l="1"/>
  <c r="M121" i="28"/>
  <c r="P121" i="28"/>
  <c r="S121" i="28"/>
  <c r="J121" i="28"/>
  <c r="K130" i="44" l="1"/>
  <c r="P120" i="39"/>
  <c r="S120" i="39"/>
  <c r="M120" i="39"/>
  <c r="J120" i="39"/>
  <c r="S117" i="49"/>
  <c r="G68" i="38"/>
  <c r="G69" i="38"/>
  <c r="G70" i="38"/>
  <c r="G71" i="38"/>
  <c r="G72" i="38"/>
  <c r="M72" i="38" s="1"/>
  <c r="G73" i="38"/>
  <c r="G74" i="38"/>
  <c r="M74" i="38" s="1"/>
  <c r="G75" i="38"/>
  <c r="G76" i="38"/>
  <c r="M76" i="38" s="1"/>
  <c r="G67" i="38"/>
  <c r="J63" i="49"/>
  <c r="I64" i="49"/>
  <c r="J64" i="49" s="1"/>
  <c r="I65" i="49"/>
  <c r="J65" i="49" s="1"/>
  <c r="I66" i="49"/>
  <c r="J66" i="49" s="1"/>
  <c r="I67" i="49"/>
  <c r="J67" i="49" s="1"/>
  <c r="I68" i="49"/>
  <c r="J68" i="49" s="1"/>
  <c r="I69" i="49"/>
  <c r="J69" i="49" s="1"/>
  <c r="I70" i="49"/>
  <c r="J70" i="49" s="1"/>
  <c r="I71" i="49"/>
  <c r="J71" i="49" s="1"/>
  <c r="I72" i="49"/>
  <c r="J72" i="49" s="1"/>
  <c r="M68" i="38" l="1"/>
  <c r="M70" i="38"/>
  <c r="M75" i="38"/>
  <c r="M71" i="38"/>
  <c r="M73" i="38"/>
  <c r="M69" i="38"/>
  <c r="K132" i="44"/>
  <c r="K131" i="44"/>
  <c r="P27" i="48"/>
  <c r="P28" i="48"/>
  <c r="P29" i="48"/>
  <c r="P26" i="48"/>
  <c r="I65" i="48"/>
  <c r="I63" i="48"/>
  <c r="I64" i="48"/>
  <c r="I62" i="48"/>
  <c r="I61" i="48" l="1"/>
  <c r="J61" i="48" s="1"/>
  <c r="J27" i="39" l="1"/>
  <c r="K27" i="39" s="1"/>
  <c r="P28" i="39"/>
  <c r="I64" i="39"/>
  <c r="J64" i="39" s="1"/>
  <c r="I40" i="24" l="1"/>
  <c r="J40" i="24" s="1"/>
  <c r="I41" i="24"/>
  <c r="J41" i="24" s="1"/>
  <c r="I42" i="24"/>
  <c r="J42" i="24" s="1"/>
  <c r="I43" i="24"/>
  <c r="J43" i="24" s="1"/>
  <c r="I44" i="24"/>
  <c r="J44" i="24" s="1"/>
  <c r="I45" i="24"/>
  <c r="J45" i="24" s="1"/>
  <c r="I46" i="24"/>
  <c r="J46" i="24" s="1"/>
  <c r="I47" i="24"/>
  <c r="J47" i="24" s="1"/>
  <c r="I48" i="24"/>
  <c r="J48" i="24" s="1"/>
  <c r="I49" i="24"/>
  <c r="J49" i="24" s="1"/>
  <c r="I50" i="24"/>
  <c r="J50" i="24" s="1"/>
  <c r="I51" i="24"/>
  <c r="J51" i="24" s="1"/>
  <c r="I52" i="24"/>
  <c r="J52" i="24" s="1"/>
  <c r="I53" i="24"/>
  <c r="J53" i="24" s="1"/>
  <c r="I54" i="24"/>
  <c r="J54" i="24" s="1"/>
  <c r="I55" i="24"/>
  <c r="J55" i="24" s="1"/>
  <c r="I56" i="24"/>
  <c r="J56" i="24" s="1"/>
  <c r="I57" i="24"/>
  <c r="J57" i="24" s="1"/>
  <c r="I58" i="24"/>
  <c r="J58" i="24" s="1"/>
  <c r="I59" i="24"/>
  <c r="J59" i="24" s="1"/>
  <c r="I60" i="24"/>
  <c r="J60" i="24" s="1"/>
  <c r="I61" i="24"/>
  <c r="J61" i="24" s="1"/>
  <c r="I62" i="24"/>
  <c r="J62" i="24" s="1"/>
  <c r="I63" i="24"/>
  <c r="J63" i="24" s="1"/>
  <c r="I39" i="24"/>
  <c r="J39" i="24" s="1"/>
  <c r="P126" i="41"/>
  <c r="S126" i="41"/>
  <c r="M126" i="41"/>
  <c r="J126" i="41"/>
  <c r="J127" i="41" s="1"/>
  <c r="M130" i="48"/>
  <c r="P130" i="48"/>
  <c r="S130" i="48"/>
  <c r="P106" i="33" l="1"/>
  <c r="M106" i="33"/>
  <c r="S106" i="33"/>
  <c r="J106" i="33"/>
  <c r="H53" i="33"/>
  <c r="H54" i="33" l="1"/>
  <c r="H55" i="33" s="1"/>
  <c r="H56" i="33" s="1"/>
  <c r="H57" i="33" s="1"/>
  <c r="H58" i="33" s="1"/>
  <c r="H59" i="33" s="1"/>
  <c r="H60" i="33" s="1"/>
  <c r="H61" i="33" s="1"/>
  <c r="H62" i="33" s="1"/>
  <c r="H63" i="33" s="1"/>
  <c r="H64" i="33"/>
  <c r="J44" i="33"/>
  <c r="J50" i="33"/>
  <c r="J56" i="33"/>
  <c r="J60" i="33"/>
  <c r="I40" i="33"/>
  <c r="J40" i="33" s="1"/>
  <c r="I41" i="33"/>
  <c r="J41" i="33" s="1"/>
  <c r="I42" i="33"/>
  <c r="J42" i="33" s="1"/>
  <c r="I43" i="33"/>
  <c r="J43" i="33" s="1"/>
  <c r="I44" i="33"/>
  <c r="I45" i="33"/>
  <c r="J45" i="33" s="1"/>
  <c r="I46" i="33"/>
  <c r="J46" i="33" s="1"/>
  <c r="I47" i="33"/>
  <c r="J47" i="33" s="1"/>
  <c r="I48" i="33"/>
  <c r="J48" i="33" s="1"/>
  <c r="I49" i="33"/>
  <c r="J49" i="33" s="1"/>
  <c r="I50" i="33"/>
  <c r="I51" i="33"/>
  <c r="J51" i="33" s="1"/>
  <c r="I52" i="33"/>
  <c r="J52" i="33" s="1"/>
  <c r="I53" i="33"/>
  <c r="J53" i="33" s="1"/>
  <c r="I54" i="33"/>
  <c r="J54" i="33" s="1"/>
  <c r="I55" i="33"/>
  <c r="J55" i="33" s="1"/>
  <c r="I56" i="33"/>
  <c r="I57" i="33"/>
  <c r="J57" i="33" s="1"/>
  <c r="I58" i="33"/>
  <c r="J58" i="33" s="1"/>
  <c r="I59" i="33"/>
  <c r="J59" i="33" s="1"/>
  <c r="I60" i="33"/>
  <c r="I61" i="33"/>
  <c r="J61" i="33" s="1"/>
  <c r="I62" i="33"/>
  <c r="J62" i="33" s="1"/>
  <c r="I63" i="33"/>
  <c r="J63" i="33" s="1"/>
  <c r="I39" i="33"/>
  <c r="J39" i="33" s="1"/>
  <c r="K55" i="33" l="1"/>
  <c r="K54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40" i="33"/>
  <c r="F64" i="33" s="1"/>
  <c r="K56" i="33" l="1"/>
  <c r="S125" i="40"/>
  <c r="P125" i="40"/>
  <c r="M125" i="40"/>
  <c r="J125" i="40"/>
  <c r="H70" i="40"/>
  <c r="H71" i="40" s="1"/>
  <c r="H72" i="40" s="1"/>
  <c r="H73" i="40" s="1"/>
  <c r="H74" i="40" s="1"/>
  <c r="H75" i="40" s="1"/>
  <c r="H76" i="40" s="1"/>
  <c r="H77" i="40" s="1"/>
  <c r="H78" i="40" s="1"/>
  <c r="H79" i="40" s="1"/>
  <c r="H80" i="40" s="1"/>
  <c r="K57" i="33" l="1"/>
  <c r="J69" i="40"/>
  <c r="J77" i="40"/>
  <c r="I51" i="40"/>
  <c r="J51" i="40" s="1"/>
  <c r="I52" i="40"/>
  <c r="J52" i="40" s="1"/>
  <c r="I53" i="40"/>
  <c r="J53" i="40" s="1"/>
  <c r="I54" i="40"/>
  <c r="J54" i="40" s="1"/>
  <c r="I55" i="40"/>
  <c r="J55" i="40" s="1"/>
  <c r="I56" i="40"/>
  <c r="J56" i="40" s="1"/>
  <c r="I57" i="40"/>
  <c r="J57" i="40" s="1"/>
  <c r="I58" i="40"/>
  <c r="J58" i="40" s="1"/>
  <c r="I59" i="40"/>
  <c r="J59" i="40" s="1"/>
  <c r="I60" i="40"/>
  <c r="J60" i="40" s="1"/>
  <c r="I61" i="40"/>
  <c r="J61" i="40" s="1"/>
  <c r="I62" i="40"/>
  <c r="J62" i="40" s="1"/>
  <c r="I63" i="40"/>
  <c r="J63" i="40" s="1"/>
  <c r="I64" i="40"/>
  <c r="J64" i="40" s="1"/>
  <c r="I65" i="40"/>
  <c r="J65" i="40" s="1"/>
  <c r="I66" i="40"/>
  <c r="J66" i="40" s="1"/>
  <c r="I67" i="40"/>
  <c r="J67" i="40" s="1"/>
  <c r="I68" i="40"/>
  <c r="J68" i="40" s="1"/>
  <c r="I69" i="40"/>
  <c r="K69" i="40" s="1"/>
  <c r="I70" i="40"/>
  <c r="K70" i="40" s="1"/>
  <c r="I71" i="40"/>
  <c r="K71" i="40" s="1"/>
  <c r="I72" i="40"/>
  <c r="J72" i="40" s="1"/>
  <c r="I73" i="40"/>
  <c r="J73" i="40" s="1"/>
  <c r="I74" i="40"/>
  <c r="J74" i="40" s="1"/>
  <c r="I75" i="40"/>
  <c r="J75" i="40" s="1"/>
  <c r="I76" i="40"/>
  <c r="J76" i="40" s="1"/>
  <c r="I77" i="40"/>
  <c r="I78" i="40"/>
  <c r="I79" i="40"/>
  <c r="J79" i="40" s="1"/>
  <c r="I80" i="40"/>
  <c r="I50" i="40"/>
  <c r="J50" i="40" s="1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51" i="40"/>
  <c r="M105" i="24"/>
  <c r="J105" i="24"/>
  <c r="H53" i="24"/>
  <c r="H54" i="24" s="1"/>
  <c r="H55" i="24" s="1"/>
  <c r="H56" i="24" s="1"/>
  <c r="H57" i="24" s="1"/>
  <c r="H58" i="24" s="1"/>
  <c r="H59" i="24" s="1"/>
  <c r="H60" i="24" s="1"/>
  <c r="H61" i="24" s="1"/>
  <c r="H62" i="24" s="1"/>
  <c r="H63" i="24" s="1"/>
  <c r="K54" i="24" l="1"/>
  <c r="K78" i="40"/>
  <c r="F81" i="40"/>
  <c r="J78" i="40"/>
  <c r="J70" i="40"/>
  <c r="K80" i="40"/>
  <c r="K68" i="40"/>
  <c r="K72" i="40"/>
  <c r="K58" i="33"/>
  <c r="J80" i="40"/>
  <c r="K79" i="40"/>
  <c r="J71" i="40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40" i="24"/>
  <c r="K59" i="33" l="1"/>
  <c r="F64" i="24"/>
  <c r="J105" i="53"/>
  <c r="M105" i="53" s="1"/>
  <c r="P105" i="53" s="1"/>
  <c r="S105" i="53" s="1"/>
  <c r="H48" i="53"/>
  <c r="J46" i="53"/>
  <c r="J50" i="53"/>
  <c r="J54" i="53"/>
  <c r="J58" i="53"/>
  <c r="I46" i="53"/>
  <c r="K46" i="53" s="1"/>
  <c r="I47" i="53"/>
  <c r="I48" i="53"/>
  <c r="K48" i="53" s="1"/>
  <c r="I49" i="53"/>
  <c r="J49" i="53" s="1"/>
  <c r="I50" i="53"/>
  <c r="I51" i="53"/>
  <c r="J51" i="53" s="1"/>
  <c r="I52" i="53"/>
  <c r="J52" i="53" s="1"/>
  <c r="I53" i="53"/>
  <c r="J53" i="53" s="1"/>
  <c r="I54" i="53"/>
  <c r="I55" i="53"/>
  <c r="J55" i="53" s="1"/>
  <c r="I56" i="53"/>
  <c r="J56" i="53" s="1"/>
  <c r="I57" i="53"/>
  <c r="J57" i="53" s="1"/>
  <c r="I58" i="53"/>
  <c r="S98" i="17"/>
  <c r="P98" i="17"/>
  <c r="J53" i="17"/>
  <c r="I52" i="17"/>
  <c r="J52" i="17" s="1"/>
  <c r="I53" i="17"/>
  <c r="I37" i="17"/>
  <c r="J37" i="17" s="1"/>
  <c r="I38" i="17"/>
  <c r="J38" i="17" s="1"/>
  <c r="I39" i="17"/>
  <c r="J39" i="17" s="1"/>
  <c r="I40" i="17"/>
  <c r="J40" i="17" s="1"/>
  <c r="I41" i="17"/>
  <c r="J41" i="17" s="1"/>
  <c r="I42" i="17"/>
  <c r="J42" i="17" s="1"/>
  <c r="I43" i="17"/>
  <c r="J43" i="17" s="1"/>
  <c r="I44" i="17"/>
  <c r="J44" i="17" s="1"/>
  <c r="I45" i="17"/>
  <c r="J45" i="17" s="1"/>
  <c r="I46" i="17"/>
  <c r="J46" i="17" s="1"/>
  <c r="I47" i="17"/>
  <c r="J47" i="17" s="1"/>
  <c r="I48" i="17"/>
  <c r="J48" i="17" s="1"/>
  <c r="I49" i="17"/>
  <c r="J49" i="17" s="1"/>
  <c r="I50" i="17"/>
  <c r="J50" i="17" s="1"/>
  <c r="I51" i="17"/>
  <c r="J51" i="17" s="1"/>
  <c r="I36" i="17"/>
  <c r="J36" i="17" s="1"/>
  <c r="H43" i="17"/>
  <c r="H54" i="17" s="1"/>
  <c r="F38" i="17"/>
  <c r="F39" i="17"/>
  <c r="F40" i="17"/>
  <c r="F41" i="17"/>
  <c r="F42" i="17"/>
  <c r="F43" i="17"/>
  <c r="F37" i="17"/>
  <c r="H59" i="53" l="1"/>
  <c r="H49" i="53"/>
  <c r="H50" i="53" s="1"/>
  <c r="H51" i="53" s="1"/>
  <c r="H52" i="53" s="1"/>
  <c r="H53" i="53" s="1"/>
  <c r="H54" i="53" s="1"/>
  <c r="H55" i="53" s="1"/>
  <c r="H56" i="53" s="1"/>
  <c r="H57" i="53" s="1"/>
  <c r="H58" i="53" s="1"/>
  <c r="F54" i="17"/>
  <c r="K60" i="33"/>
  <c r="K55" i="24"/>
  <c r="J48" i="53"/>
  <c r="H44" i="17"/>
  <c r="K44" i="17" s="1"/>
  <c r="J47" i="53"/>
  <c r="K47" i="53"/>
  <c r="M98" i="17"/>
  <c r="J98" i="17"/>
  <c r="H45" i="17" l="1"/>
  <c r="H46" i="17" s="1"/>
  <c r="H47" i="17" s="1"/>
  <c r="H48" i="17" s="1"/>
  <c r="H49" i="17" s="1"/>
  <c r="H50" i="17" s="1"/>
  <c r="H51" i="17" s="1"/>
  <c r="H52" i="17" s="1"/>
  <c r="H53" i="17" s="1"/>
  <c r="K50" i="53"/>
  <c r="H60" i="53"/>
  <c r="H61" i="53" s="1"/>
  <c r="K56" i="24"/>
  <c r="K61" i="33"/>
  <c r="K49" i="53"/>
  <c r="K51" i="53"/>
  <c r="L118" i="35"/>
  <c r="L117" i="35"/>
  <c r="L116" i="35"/>
  <c r="L115" i="35"/>
  <c r="S112" i="35"/>
  <c r="P112" i="35"/>
  <c r="J112" i="35"/>
  <c r="M112" i="35"/>
  <c r="J47" i="35"/>
  <c r="I41" i="35"/>
  <c r="J41" i="35" s="1"/>
  <c r="I42" i="35"/>
  <c r="J42" i="35" s="1"/>
  <c r="I43" i="35"/>
  <c r="J43" i="35" s="1"/>
  <c r="I44" i="35"/>
  <c r="J44" i="35" s="1"/>
  <c r="I45" i="35"/>
  <c r="J45" i="35" s="1"/>
  <c r="I46" i="35"/>
  <c r="J46" i="35" s="1"/>
  <c r="I47" i="35"/>
  <c r="I48" i="35"/>
  <c r="J48" i="35" s="1"/>
  <c r="I49" i="35"/>
  <c r="J49" i="35" s="1"/>
  <c r="I50" i="35"/>
  <c r="J50" i="35" s="1"/>
  <c r="I51" i="35"/>
  <c r="J51" i="35" s="1"/>
  <c r="I52" i="35"/>
  <c r="J52" i="35" s="1"/>
  <c r="I53" i="35"/>
  <c r="J53" i="35" s="1"/>
  <c r="I54" i="35"/>
  <c r="J54" i="35" s="1"/>
  <c r="I55" i="35"/>
  <c r="J55" i="35" s="1"/>
  <c r="I56" i="35"/>
  <c r="J56" i="35" s="1"/>
  <c r="I57" i="35"/>
  <c r="J57" i="35" s="1"/>
  <c r="I58" i="35"/>
  <c r="J58" i="35" s="1"/>
  <c r="I59" i="35"/>
  <c r="J59" i="35" s="1"/>
  <c r="I60" i="35"/>
  <c r="I61" i="35"/>
  <c r="I62" i="35"/>
  <c r="J62" i="35" s="1"/>
  <c r="I63" i="35"/>
  <c r="J63" i="35" s="1"/>
  <c r="I64" i="35"/>
  <c r="I65" i="35"/>
  <c r="I66" i="35"/>
  <c r="J66" i="35" s="1"/>
  <c r="I40" i="35"/>
  <c r="K40" i="35" s="1"/>
  <c r="H56" i="35"/>
  <c r="F42" i="35"/>
  <c r="F43" i="35"/>
  <c r="F44" i="35"/>
  <c r="F45" i="35"/>
  <c r="F46" i="35"/>
  <c r="F47" i="35"/>
  <c r="F48" i="35"/>
  <c r="F49" i="35"/>
  <c r="F50" i="35"/>
  <c r="F51" i="35"/>
  <c r="F52" i="35"/>
  <c r="F53" i="35"/>
  <c r="F54" i="35"/>
  <c r="F55" i="35"/>
  <c r="F56" i="35"/>
  <c r="F41" i="35"/>
  <c r="J40" i="35" l="1"/>
  <c r="F67" i="35"/>
  <c r="O56" i="35"/>
  <c r="H57" i="35"/>
  <c r="K57" i="35" s="1"/>
  <c r="N56" i="35"/>
  <c r="H67" i="35"/>
  <c r="K57" i="24"/>
  <c r="K62" i="33"/>
  <c r="K63" i="33"/>
  <c r="K52" i="53"/>
  <c r="J65" i="35"/>
  <c r="J61" i="35"/>
  <c r="J64" i="35"/>
  <c r="J60" i="35"/>
  <c r="L117" i="30"/>
  <c r="K119" i="30"/>
  <c r="K118" i="30"/>
  <c r="L119" i="30" s="1"/>
  <c r="K117" i="30"/>
  <c r="L118" i="30" s="1"/>
  <c r="K116" i="30"/>
  <c r="K115" i="30"/>
  <c r="L116" i="30" s="1"/>
  <c r="H57" i="30"/>
  <c r="I42" i="30"/>
  <c r="K42" i="30" s="1"/>
  <c r="I43" i="30"/>
  <c r="J43" i="30" s="1"/>
  <c r="I44" i="30"/>
  <c r="J44" i="30" s="1"/>
  <c r="I45" i="30"/>
  <c r="J45" i="30" s="1"/>
  <c r="I46" i="30"/>
  <c r="J46" i="30" s="1"/>
  <c r="I47" i="30"/>
  <c r="J47" i="30" s="1"/>
  <c r="I48" i="30"/>
  <c r="J48" i="30" s="1"/>
  <c r="I49" i="30"/>
  <c r="J49" i="30" s="1"/>
  <c r="I50" i="30"/>
  <c r="J50" i="30" s="1"/>
  <c r="I51" i="30"/>
  <c r="J51" i="30" s="1"/>
  <c r="I52" i="30"/>
  <c r="K52" i="30" s="1"/>
  <c r="I53" i="30"/>
  <c r="J53" i="30" s="1"/>
  <c r="I54" i="30"/>
  <c r="J54" i="30" s="1"/>
  <c r="I55" i="30"/>
  <c r="J55" i="30" s="1"/>
  <c r="I56" i="30"/>
  <c r="J56" i="30" s="1"/>
  <c r="I57" i="30"/>
  <c r="J57" i="30" s="1"/>
  <c r="I58" i="30"/>
  <c r="J58" i="30" s="1"/>
  <c r="I59" i="30"/>
  <c r="J59" i="30" s="1"/>
  <c r="I60" i="30"/>
  <c r="J60" i="30" s="1"/>
  <c r="I61" i="30"/>
  <c r="J61" i="30" s="1"/>
  <c r="I62" i="30"/>
  <c r="J62" i="30" s="1"/>
  <c r="I63" i="30"/>
  <c r="J63" i="30" s="1"/>
  <c r="I64" i="30"/>
  <c r="J64" i="30" s="1"/>
  <c r="I65" i="30"/>
  <c r="J65" i="30" s="1"/>
  <c r="I66" i="30"/>
  <c r="J66" i="30" s="1"/>
  <c r="I67" i="30"/>
  <c r="J67" i="30" s="1"/>
  <c r="I41" i="30"/>
  <c r="J41" i="30" s="1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42" i="30"/>
  <c r="H58" i="30" l="1"/>
  <c r="H68" i="30"/>
  <c r="N57" i="35"/>
  <c r="O57" i="35"/>
  <c r="H58" i="35"/>
  <c r="F68" i="30"/>
  <c r="J42" i="30"/>
  <c r="K58" i="24"/>
  <c r="K53" i="53"/>
  <c r="K41" i="30"/>
  <c r="J52" i="30"/>
  <c r="K35" i="45"/>
  <c r="K34" i="45"/>
  <c r="K33" i="45"/>
  <c r="K32" i="45"/>
  <c r="K31" i="45"/>
  <c r="K30" i="45"/>
  <c r="K29" i="45"/>
  <c r="K28" i="45"/>
  <c r="K27" i="45"/>
  <c r="K26" i="45"/>
  <c r="K25" i="45"/>
  <c r="K24" i="45"/>
  <c r="K23" i="45"/>
  <c r="K22" i="45"/>
  <c r="K21" i="45"/>
  <c r="K20" i="45"/>
  <c r="K19" i="45"/>
  <c r="K18" i="45"/>
  <c r="K17" i="45"/>
  <c r="K16" i="45"/>
  <c r="K15" i="45"/>
  <c r="K14" i="45"/>
  <c r="K13" i="45"/>
  <c r="K12" i="45"/>
  <c r="K11" i="45"/>
  <c r="K10" i="45"/>
  <c r="K9" i="45"/>
  <c r="K8" i="45"/>
  <c r="K7" i="45"/>
  <c r="K53" i="33"/>
  <c r="K52" i="33"/>
  <c r="K51" i="33"/>
  <c r="K50" i="33"/>
  <c r="K49" i="33"/>
  <c r="K48" i="33"/>
  <c r="K47" i="33"/>
  <c r="K46" i="33"/>
  <c r="K45" i="33"/>
  <c r="K44" i="33"/>
  <c r="K43" i="33"/>
  <c r="K42" i="33"/>
  <c r="K41" i="33"/>
  <c r="K40" i="33"/>
  <c r="K39" i="33"/>
  <c r="K77" i="40"/>
  <c r="K76" i="40"/>
  <c r="K75" i="40"/>
  <c r="K74" i="40"/>
  <c r="K73" i="40"/>
  <c r="K67" i="40"/>
  <c r="K66" i="40"/>
  <c r="K65" i="40"/>
  <c r="K64" i="40"/>
  <c r="K63" i="40"/>
  <c r="K62" i="40"/>
  <c r="K61" i="40"/>
  <c r="K60" i="40"/>
  <c r="K59" i="40"/>
  <c r="K58" i="40"/>
  <c r="K57" i="40"/>
  <c r="K56" i="40"/>
  <c r="K55" i="40"/>
  <c r="K54" i="40"/>
  <c r="K53" i="40"/>
  <c r="K52" i="40"/>
  <c r="K51" i="40"/>
  <c r="K50" i="40"/>
  <c r="K53" i="24"/>
  <c r="K52" i="24"/>
  <c r="K51" i="24"/>
  <c r="K50" i="24"/>
  <c r="K49" i="24"/>
  <c r="K48" i="24"/>
  <c r="K47" i="24"/>
  <c r="K46" i="24"/>
  <c r="K45" i="24"/>
  <c r="K44" i="24"/>
  <c r="K43" i="24"/>
  <c r="K42" i="24"/>
  <c r="K41" i="24"/>
  <c r="K40" i="24"/>
  <c r="K39" i="24"/>
  <c r="K53" i="17"/>
  <c r="K52" i="17"/>
  <c r="K51" i="17"/>
  <c r="K50" i="17"/>
  <c r="K49" i="17"/>
  <c r="K48" i="17"/>
  <c r="K47" i="17"/>
  <c r="K46" i="17"/>
  <c r="K45" i="17"/>
  <c r="K43" i="17"/>
  <c r="K42" i="17"/>
  <c r="K41" i="17"/>
  <c r="K40" i="17"/>
  <c r="K39" i="17"/>
  <c r="K38" i="17"/>
  <c r="K37" i="17"/>
  <c r="K36" i="17"/>
  <c r="K56" i="35"/>
  <c r="K55" i="35"/>
  <c r="K54" i="35"/>
  <c r="K53" i="35"/>
  <c r="K52" i="35"/>
  <c r="K51" i="35"/>
  <c r="K50" i="35"/>
  <c r="K49" i="35"/>
  <c r="K48" i="35"/>
  <c r="K47" i="35"/>
  <c r="K46" i="35"/>
  <c r="K45" i="35"/>
  <c r="K44" i="35"/>
  <c r="K43" i="35"/>
  <c r="K42" i="35"/>
  <c r="K41" i="35"/>
  <c r="K57" i="30"/>
  <c r="K56" i="30"/>
  <c r="K55" i="30"/>
  <c r="K54" i="30"/>
  <c r="K53" i="30"/>
  <c r="K51" i="30"/>
  <c r="K50" i="30"/>
  <c r="K49" i="30"/>
  <c r="K48" i="30"/>
  <c r="K47" i="30"/>
  <c r="K46" i="30"/>
  <c r="K45" i="30"/>
  <c r="K44" i="30"/>
  <c r="K43" i="30"/>
  <c r="H59" i="35" l="1"/>
  <c r="O58" i="35"/>
  <c r="N58" i="35"/>
  <c r="H69" i="30"/>
  <c r="H59" i="30"/>
  <c r="H60" i="30" s="1"/>
  <c r="H61" i="30" s="1"/>
  <c r="H62" i="30" s="1"/>
  <c r="H63" i="30" s="1"/>
  <c r="H64" i="30" s="1"/>
  <c r="H65" i="30" s="1"/>
  <c r="H66" i="30" s="1"/>
  <c r="H67" i="30" s="1"/>
  <c r="K58" i="35"/>
  <c r="K59" i="24"/>
  <c r="K58" i="30"/>
  <c r="K54" i="53"/>
  <c r="L122" i="32"/>
  <c r="L123" i="32" s="1"/>
  <c r="L124" i="32" s="1"/>
  <c r="L125" i="32" s="1"/>
  <c r="K125" i="32"/>
  <c r="K124" i="32"/>
  <c r="K123" i="32"/>
  <c r="K122" i="32"/>
  <c r="H60" i="35" l="1"/>
  <c r="O59" i="35"/>
  <c r="N59" i="35"/>
  <c r="K60" i="24"/>
  <c r="K59" i="35"/>
  <c r="K55" i="53"/>
  <c r="K59" i="30"/>
  <c r="I43" i="32"/>
  <c r="J43" i="32" s="1"/>
  <c r="I44" i="32"/>
  <c r="J44" i="32" s="1"/>
  <c r="I45" i="32"/>
  <c r="K45" i="32" s="1"/>
  <c r="I46" i="32"/>
  <c r="J46" i="32" s="1"/>
  <c r="I47" i="32"/>
  <c r="J47" i="32" s="1"/>
  <c r="I48" i="32"/>
  <c r="J48" i="32" s="1"/>
  <c r="I49" i="32"/>
  <c r="K49" i="32" s="1"/>
  <c r="I50" i="32"/>
  <c r="J50" i="32" s="1"/>
  <c r="I51" i="32"/>
  <c r="J51" i="32" s="1"/>
  <c r="I52" i="32"/>
  <c r="J52" i="32" s="1"/>
  <c r="I53" i="32"/>
  <c r="K53" i="32" s="1"/>
  <c r="I54" i="32"/>
  <c r="J54" i="32" s="1"/>
  <c r="I55" i="32"/>
  <c r="J55" i="32" s="1"/>
  <c r="I56" i="32"/>
  <c r="J56" i="32" s="1"/>
  <c r="I57" i="32"/>
  <c r="K57" i="32" s="1"/>
  <c r="I58" i="32"/>
  <c r="J58" i="32" s="1"/>
  <c r="I59" i="32"/>
  <c r="J59" i="32" s="1"/>
  <c r="I60" i="32"/>
  <c r="J60" i="32" s="1"/>
  <c r="I61" i="32"/>
  <c r="I62" i="32"/>
  <c r="I63" i="32"/>
  <c r="I64" i="32"/>
  <c r="J64" i="32" s="1"/>
  <c r="I65" i="32"/>
  <c r="J65" i="32" s="1"/>
  <c r="I66" i="32"/>
  <c r="I67" i="32"/>
  <c r="I68" i="32"/>
  <c r="J68" i="32" s="1"/>
  <c r="I69" i="32"/>
  <c r="I70" i="32"/>
  <c r="I42" i="32"/>
  <c r="K42" i="32" s="1"/>
  <c r="H60" i="32"/>
  <c r="H61" i="32" l="1"/>
  <c r="H62" i="32" s="1"/>
  <c r="H63" i="32" s="1"/>
  <c r="H64" i="32" s="1"/>
  <c r="H65" i="32" s="1"/>
  <c r="H66" i="32" s="1"/>
  <c r="H67" i="32" s="1"/>
  <c r="H68" i="32" s="1"/>
  <c r="H69" i="32" s="1"/>
  <c r="H70" i="32" s="1"/>
  <c r="H71" i="32"/>
  <c r="H61" i="35"/>
  <c r="O60" i="35"/>
  <c r="N60" i="35"/>
  <c r="K48" i="32"/>
  <c r="K61" i="24"/>
  <c r="K55" i="32"/>
  <c r="K47" i="32"/>
  <c r="K60" i="32"/>
  <c r="K52" i="32"/>
  <c r="K44" i="32"/>
  <c r="K60" i="35"/>
  <c r="K59" i="32"/>
  <c r="K51" i="32"/>
  <c r="K43" i="32"/>
  <c r="L60" i="32"/>
  <c r="L61" i="32" s="1"/>
  <c r="K56" i="32"/>
  <c r="K56" i="53"/>
  <c r="K60" i="30"/>
  <c r="J69" i="32"/>
  <c r="J61" i="32"/>
  <c r="J53" i="32"/>
  <c r="J45" i="32"/>
  <c r="J42" i="32"/>
  <c r="J67" i="32"/>
  <c r="J63" i="32"/>
  <c r="K58" i="32"/>
  <c r="K54" i="32"/>
  <c r="K50" i="32"/>
  <c r="K46" i="32"/>
  <c r="J57" i="32"/>
  <c r="J49" i="32"/>
  <c r="J70" i="32"/>
  <c r="J66" i="32"/>
  <c r="J62" i="32"/>
  <c r="L64" i="37"/>
  <c r="L65" i="37" s="1"/>
  <c r="L66" i="37" s="1"/>
  <c r="L67" i="37" s="1"/>
  <c r="L68" i="37" s="1"/>
  <c r="L69" i="37" s="1"/>
  <c r="L70" i="37" s="1"/>
  <c r="L71" i="37" s="1"/>
  <c r="L72" i="37" s="1"/>
  <c r="L73" i="37" s="1"/>
  <c r="L74" i="37" s="1"/>
  <c r="H65" i="47"/>
  <c r="H64" i="37"/>
  <c r="H78" i="47" l="1"/>
  <c r="H66" i="47"/>
  <c r="H67" i="47" s="1"/>
  <c r="H68" i="47" s="1"/>
  <c r="H69" i="47" s="1"/>
  <c r="H70" i="47" s="1"/>
  <c r="H71" i="47" s="1"/>
  <c r="H72" i="47" s="1"/>
  <c r="H73" i="47" s="1"/>
  <c r="H74" i="47" s="1"/>
  <c r="H75" i="47" s="1"/>
  <c r="L66" i="47"/>
  <c r="H75" i="37"/>
  <c r="H65" i="37"/>
  <c r="H66" i="37" s="1"/>
  <c r="H67" i="37" s="1"/>
  <c r="H68" i="37" s="1"/>
  <c r="H69" i="37" s="1"/>
  <c r="H70" i="37" s="1"/>
  <c r="H71" i="37" s="1"/>
  <c r="H72" i="37" s="1"/>
  <c r="H73" i="37" s="1"/>
  <c r="H74" i="37" s="1"/>
  <c r="H62" i="35"/>
  <c r="N61" i="35"/>
  <c r="O61" i="35"/>
  <c r="K62" i="32"/>
  <c r="K61" i="32"/>
  <c r="L67" i="47"/>
  <c r="K61" i="35"/>
  <c r="K63" i="24"/>
  <c r="K62" i="24"/>
  <c r="K58" i="53"/>
  <c r="K57" i="53"/>
  <c r="K61" i="30"/>
  <c r="F134" i="37"/>
  <c r="F133" i="37"/>
  <c r="F132" i="37"/>
  <c r="F131" i="37"/>
  <c r="I64" i="37"/>
  <c r="K64" i="37" s="1"/>
  <c r="I65" i="37"/>
  <c r="J65" i="37" s="1"/>
  <c r="I66" i="37"/>
  <c r="J66" i="37" s="1"/>
  <c r="I67" i="37"/>
  <c r="I68" i="37"/>
  <c r="I69" i="37"/>
  <c r="I70" i="37"/>
  <c r="J70" i="37" s="1"/>
  <c r="I71" i="37"/>
  <c r="I72" i="37"/>
  <c r="I73" i="37"/>
  <c r="I74" i="37"/>
  <c r="J74" i="37" s="1"/>
  <c r="I63" i="37"/>
  <c r="K63" i="37" s="1"/>
  <c r="I45" i="37"/>
  <c r="K45" i="37" s="1"/>
  <c r="I46" i="37"/>
  <c r="K46" i="37" s="1"/>
  <c r="I47" i="37"/>
  <c r="J47" i="37" s="1"/>
  <c r="I48" i="37"/>
  <c r="K48" i="37" s="1"/>
  <c r="I49" i="37"/>
  <c r="K49" i="37" s="1"/>
  <c r="I50" i="37"/>
  <c r="K50" i="37" s="1"/>
  <c r="I51" i="37"/>
  <c r="J51" i="37" s="1"/>
  <c r="I52" i="37"/>
  <c r="K52" i="37" s="1"/>
  <c r="I53" i="37"/>
  <c r="K53" i="37" s="1"/>
  <c r="I54" i="37"/>
  <c r="K54" i="37" s="1"/>
  <c r="I55" i="37"/>
  <c r="J55" i="37" s="1"/>
  <c r="I56" i="37"/>
  <c r="K56" i="37" s="1"/>
  <c r="I57" i="37"/>
  <c r="K57" i="37" s="1"/>
  <c r="I58" i="37"/>
  <c r="K58" i="37" s="1"/>
  <c r="I59" i="37"/>
  <c r="J59" i="37" s="1"/>
  <c r="I60" i="37"/>
  <c r="K60" i="37" s="1"/>
  <c r="I61" i="37"/>
  <c r="K61" i="37" s="1"/>
  <c r="I62" i="37"/>
  <c r="K62" i="37" s="1"/>
  <c r="H63" i="35" l="1"/>
  <c r="O62" i="35"/>
  <c r="N62" i="35"/>
  <c r="K73" i="37"/>
  <c r="K69" i="37"/>
  <c r="K65" i="37"/>
  <c r="K68" i="37"/>
  <c r="K72" i="37"/>
  <c r="J63" i="37"/>
  <c r="K71" i="37"/>
  <c r="K67" i="37"/>
  <c r="J73" i="37"/>
  <c r="K62" i="35"/>
  <c r="K63" i="32"/>
  <c r="J62" i="37"/>
  <c r="J54" i="37"/>
  <c r="J46" i="37"/>
  <c r="J72" i="37"/>
  <c r="J64" i="37"/>
  <c r="J49" i="37"/>
  <c r="J61" i="37"/>
  <c r="J53" i="37"/>
  <c r="J45" i="37"/>
  <c r="J69" i="37"/>
  <c r="J57" i="37"/>
  <c r="J58" i="37"/>
  <c r="J50" i="37"/>
  <c r="J68" i="37"/>
  <c r="K59" i="37"/>
  <c r="K51" i="37"/>
  <c r="K47" i="37"/>
  <c r="K74" i="37"/>
  <c r="K70" i="37"/>
  <c r="J60" i="37"/>
  <c r="J56" i="37"/>
  <c r="J52" i="37"/>
  <c r="J48" i="37"/>
  <c r="J71" i="37"/>
  <c r="J67" i="37"/>
  <c r="K55" i="37"/>
  <c r="K66" i="37"/>
  <c r="K62" i="30"/>
  <c r="F63" i="37"/>
  <c r="F64" i="37"/>
  <c r="I44" i="37"/>
  <c r="H64" i="35" l="1"/>
  <c r="N63" i="35"/>
  <c r="O63" i="35"/>
  <c r="K64" i="32"/>
  <c r="K63" i="35"/>
  <c r="L68" i="47"/>
  <c r="J44" i="37"/>
  <c r="K44" i="37"/>
  <c r="K63" i="30"/>
  <c r="F126" i="47"/>
  <c r="F125" i="47"/>
  <c r="F124" i="47"/>
  <c r="F123" i="47"/>
  <c r="I74" i="47"/>
  <c r="J74" i="47" s="1"/>
  <c r="I75" i="47"/>
  <c r="J75" i="47" s="1"/>
  <c r="H65" i="35" l="1"/>
  <c r="N64" i="35"/>
  <c r="O64" i="35"/>
  <c r="K64" i="35"/>
  <c r="K65" i="32"/>
  <c r="L69" i="47"/>
  <c r="K65" i="30"/>
  <c r="K64" i="30"/>
  <c r="K45" i="47"/>
  <c r="J69" i="47"/>
  <c r="J45" i="47"/>
  <c r="I65" i="47"/>
  <c r="K65" i="47" s="1"/>
  <c r="I66" i="47"/>
  <c r="J66" i="47" s="1"/>
  <c r="I67" i="47"/>
  <c r="K67" i="47" s="1"/>
  <c r="I68" i="47"/>
  <c r="J68" i="47" s="1"/>
  <c r="I69" i="47"/>
  <c r="K69" i="47" s="1"/>
  <c r="I70" i="47"/>
  <c r="J70" i="47" s="1"/>
  <c r="I71" i="47"/>
  <c r="I72" i="47"/>
  <c r="J72" i="47" s="1"/>
  <c r="I73" i="47"/>
  <c r="J73" i="47" s="1"/>
  <c r="I64" i="47"/>
  <c r="K64" i="47" s="1"/>
  <c r="I46" i="47"/>
  <c r="J46" i="47" s="1"/>
  <c r="I47" i="47"/>
  <c r="J47" i="47" s="1"/>
  <c r="I48" i="47"/>
  <c r="K48" i="47" s="1"/>
  <c r="I49" i="47"/>
  <c r="K49" i="47" s="1"/>
  <c r="I50" i="47"/>
  <c r="K50" i="47" s="1"/>
  <c r="I51" i="47"/>
  <c r="K51" i="47" s="1"/>
  <c r="I52" i="47"/>
  <c r="K52" i="47" s="1"/>
  <c r="I53" i="47"/>
  <c r="K53" i="47" s="1"/>
  <c r="I54" i="47"/>
  <c r="K54" i="47" s="1"/>
  <c r="I55" i="47"/>
  <c r="K55" i="47" s="1"/>
  <c r="I56" i="47"/>
  <c r="K56" i="47" s="1"/>
  <c r="I57" i="47"/>
  <c r="K57" i="47" s="1"/>
  <c r="I58" i="47"/>
  <c r="J58" i="47" s="1"/>
  <c r="I59" i="47"/>
  <c r="K59" i="47" s="1"/>
  <c r="I60" i="47"/>
  <c r="K60" i="47" s="1"/>
  <c r="I61" i="47"/>
  <c r="K61" i="47" s="1"/>
  <c r="I62" i="47"/>
  <c r="K62" i="47" s="1"/>
  <c r="I63" i="47"/>
  <c r="J63" i="47" s="1"/>
  <c r="I45" i="47"/>
  <c r="F64" i="47"/>
  <c r="F65" i="47"/>
  <c r="H66" i="35" l="1"/>
  <c r="O65" i="35"/>
  <c r="N65" i="35"/>
  <c r="K65" i="35"/>
  <c r="K66" i="32"/>
  <c r="J65" i="47"/>
  <c r="L70" i="47"/>
  <c r="J55" i="47"/>
  <c r="K63" i="47"/>
  <c r="K47" i="47"/>
  <c r="J54" i="47"/>
  <c r="K58" i="47"/>
  <c r="K46" i="47"/>
  <c r="J61" i="47"/>
  <c r="J57" i="47"/>
  <c r="J53" i="47"/>
  <c r="J49" i="47"/>
  <c r="J71" i="47"/>
  <c r="J67" i="47"/>
  <c r="K66" i="47"/>
  <c r="K68" i="47"/>
  <c r="J59" i="47"/>
  <c r="J51" i="47"/>
  <c r="J62" i="47"/>
  <c r="J50" i="47"/>
  <c r="J60" i="47"/>
  <c r="J56" i="47"/>
  <c r="J52" i="47"/>
  <c r="J48" i="47"/>
  <c r="J64" i="47"/>
  <c r="F128" i="31"/>
  <c r="F127" i="31"/>
  <c r="F126" i="31"/>
  <c r="F125" i="31"/>
  <c r="H65" i="31"/>
  <c r="I46" i="31"/>
  <c r="K46" i="31" s="1"/>
  <c r="I47" i="31"/>
  <c r="J47" i="31" s="1"/>
  <c r="I48" i="31"/>
  <c r="K48" i="31" s="1"/>
  <c r="I49" i="31"/>
  <c r="K49" i="31" s="1"/>
  <c r="I50" i="31"/>
  <c r="K50" i="31" s="1"/>
  <c r="I51" i="31"/>
  <c r="J51" i="31" s="1"/>
  <c r="I52" i="31"/>
  <c r="K52" i="31" s="1"/>
  <c r="I53" i="31"/>
  <c r="K53" i="31" s="1"/>
  <c r="I54" i="31"/>
  <c r="K54" i="31" s="1"/>
  <c r="I55" i="31"/>
  <c r="J55" i="31" s="1"/>
  <c r="I56" i="31"/>
  <c r="K56" i="31" s="1"/>
  <c r="I57" i="31"/>
  <c r="K57" i="31" s="1"/>
  <c r="I58" i="31"/>
  <c r="K58" i="31" s="1"/>
  <c r="I59" i="31"/>
  <c r="J59" i="31" s="1"/>
  <c r="I60" i="31"/>
  <c r="K60" i="31" s="1"/>
  <c r="I61" i="31"/>
  <c r="K61" i="31" s="1"/>
  <c r="I62" i="31"/>
  <c r="K62" i="31" s="1"/>
  <c r="I63" i="31"/>
  <c r="J63" i="31" s="1"/>
  <c r="I64" i="31"/>
  <c r="K64" i="31" s="1"/>
  <c r="I65" i="31"/>
  <c r="K65" i="31" s="1"/>
  <c r="I66" i="31"/>
  <c r="I67" i="31"/>
  <c r="I68" i="31"/>
  <c r="I69" i="31"/>
  <c r="I70" i="31"/>
  <c r="J70" i="31" s="1"/>
  <c r="I71" i="31"/>
  <c r="I72" i="31"/>
  <c r="I73" i="31"/>
  <c r="J73" i="31" s="1"/>
  <c r="I74" i="31"/>
  <c r="J74" i="31" s="1"/>
  <c r="I75" i="31"/>
  <c r="I45" i="31"/>
  <c r="K45" i="31" s="1"/>
  <c r="F64" i="31"/>
  <c r="F65" i="31"/>
  <c r="O66" i="35" l="1"/>
  <c r="N66" i="35"/>
  <c r="H68" i="35"/>
  <c r="H66" i="31"/>
  <c r="H76" i="31"/>
  <c r="K66" i="35"/>
  <c r="K67" i="32"/>
  <c r="L71" i="47"/>
  <c r="K70" i="47"/>
  <c r="K66" i="30"/>
  <c r="K67" i="30"/>
  <c r="J60" i="31"/>
  <c r="J54" i="31"/>
  <c r="J45" i="31"/>
  <c r="J49" i="31"/>
  <c r="J69" i="31"/>
  <c r="J64" i="31"/>
  <c r="J58" i="31"/>
  <c r="J53" i="31"/>
  <c r="J48" i="31"/>
  <c r="J65" i="31"/>
  <c r="J68" i="31"/>
  <c r="J62" i="31"/>
  <c r="J57" i="31"/>
  <c r="J52" i="31"/>
  <c r="J46" i="31"/>
  <c r="J72" i="31"/>
  <c r="J66" i="31"/>
  <c r="J61" i="31"/>
  <c r="J56" i="31"/>
  <c r="J50" i="31"/>
  <c r="K63" i="31"/>
  <c r="K59" i="31"/>
  <c r="K51" i="31"/>
  <c r="K47" i="31"/>
  <c r="K55" i="31"/>
  <c r="J75" i="31"/>
  <c r="J71" i="31"/>
  <c r="J67" i="31"/>
  <c r="F129" i="38"/>
  <c r="F128" i="38"/>
  <c r="F127" i="38"/>
  <c r="F126" i="38"/>
  <c r="H66" i="38"/>
  <c r="H67" i="38" l="1"/>
  <c r="H68" i="38" s="1"/>
  <c r="H69" i="38" s="1"/>
  <c r="H70" i="38" s="1"/>
  <c r="H71" i="38" s="1"/>
  <c r="H72" i="38" s="1"/>
  <c r="H73" i="38" s="1"/>
  <c r="H74" i="38" s="1"/>
  <c r="H75" i="38" s="1"/>
  <c r="H76" i="38" s="1"/>
  <c r="H77" i="38"/>
  <c r="L66" i="31"/>
  <c r="H67" i="31"/>
  <c r="H68" i="31" s="1"/>
  <c r="H69" i="31" s="1"/>
  <c r="H70" i="31" s="1"/>
  <c r="H71" i="31" s="1"/>
  <c r="H72" i="31" s="1"/>
  <c r="H73" i="31" s="1"/>
  <c r="H74" i="31" s="1"/>
  <c r="H75" i="31" s="1"/>
  <c r="K67" i="31"/>
  <c r="K68" i="32"/>
  <c r="K66" i="31"/>
  <c r="L72" i="47"/>
  <c r="K71" i="47"/>
  <c r="J50" i="38"/>
  <c r="I66" i="38"/>
  <c r="K66" i="38" s="1"/>
  <c r="I67" i="38"/>
  <c r="J67" i="38" s="1"/>
  <c r="I68" i="38"/>
  <c r="J68" i="38" s="1"/>
  <c r="I69" i="38"/>
  <c r="J69" i="38" s="1"/>
  <c r="I70" i="38"/>
  <c r="J70" i="38" s="1"/>
  <c r="I71" i="38"/>
  <c r="J71" i="38" s="1"/>
  <c r="I72" i="38"/>
  <c r="J72" i="38" s="1"/>
  <c r="I73" i="38"/>
  <c r="J73" i="38" s="1"/>
  <c r="I74" i="38"/>
  <c r="J74" i="38" s="1"/>
  <c r="I75" i="38"/>
  <c r="J75" i="38" s="1"/>
  <c r="I76" i="38"/>
  <c r="J76" i="38" s="1"/>
  <c r="I65" i="38"/>
  <c r="K65" i="38" s="1"/>
  <c r="I47" i="38"/>
  <c r="K47" i="38" s="1"/>
  <c r="I48" i="38"/>
  <c r="J48" i="38" s="1"/>
  <c r="I49" i="38"/>
  <c r="K49" i="38" s="1"/>
  <c r="I50" i="38"/>
  <c r="K50" i="38" s="1"/>
  <c r="I51" i="38"/>
  <c r="K51" i="38" s="1"/>
  <c r="I52" i="38"/>
  <c r="J52" i="38" s="1"/>
  <c r="I53" i="38"/>
  <c r="K53" i="38" s="1"/>
  <c r="I54" i="38"/>
  <c r="K54" i="38" s="1"/>
  <c r="I55" i="38"/>
  <c r="K55" i="38" s="1"/>
  <c r="I56" i="38"/>
  <c r="J56" i="38" s="1"/>
  <c r="I57" i="38"/>
  <c r="K57" i="38" s="1"/>
  <c r="I58" i="38"/>
  <c r="K58" i="38" s="1"/>
  <c r="I59" i="38"/>
  <c r="K59" i="38" s="1"/>
  <c r="I60" i="38"/>
  <c r="J60" i="38" s="1"/>
  <c r="I61" i="38"/>
  <c r="K61" i="38" s="1"/>
  <c r="I62" i="38"/>
  <c r="K62" i="38" s="1"/>
  <c r="I63" i="38"/>
  <c r="K63" i="38" s="1"/>
  <c r="I64" i="38"/>
  <c r="J64" i="38" s="1"/>
  <c r="I46" i="38"/>
  <c r="J46" i="38" s="1"/>
  <c r="F65" i="38"/>
  <c r="F66" i="38"/>
  <c r="J58" i="38" l="1"/>
  <c r="J59" i="38"/>
  <c r="K72" i="47"/>
  <c r="L73" i="47"/>
  <c r="N67" i="38"/>
  <c r="K67" i="38"/>
  <c r="K69" i="32"/>
  <c r="K70" i="32"/>
  <c r="J51" i="38"/>
  <c r="N68" i="38"/>
  <c r="K68" i="38"/>
  <c r="K68" i="31"/>
  <c r="J63" i="38"/>
  <c r="J55" i="38"/>
  <c r="J47" i="38"/>
  <c r="J62" i="38"/>
  <c r="J54" i="38"/>
  <c r="K46" i="38"/>
  <c r="K64" i="38"/>
  <c r="K60" i="38"/>
  <c r="K56" i="38"/>
  <c r="K52" i="38"/>
  <c r="K48" i="38"/>
  <c r="J66" i="38"/>
  <c r="J65" i="38"/>
  <c r="J61" i="38"/>
  <c r="J57" i="38"/>
  <c r="J53" i="38"/>
  <c r="J49" i="38"/>
  <c r="F127" i="28"/>
  <c r="F126" i="28"/>
  <c r="F125" i="28"/>
  <c r="F124" i="28"/>
  <c r="F123" i="28"/>
  <c r="N69" i="38" l="1"/>
  <c r="K69" i="38"/>
  <c r="K69" i="31"/>
  <c r="L74" i="47"/>
  <c r="K73" i="47"/>
  <c r="J74" i="28"/>
  <c r="J48" i="28"/>
  <c r="I63" i="28"/>
  <c r="K63" i="28" s="1"/>
  <c r="I64" i="28"/>
  <c r="K64" i="28" s="1"/>
  <c r="I65" i="28"/>
  <c r="J65" i="28" s="1"/>
  <c r="I66" i="28"/>
  <c r="J66" i="28" s="1"/>
  <c r="I67" i="28"/>
  <c r="J67" i="28" s="1"/>
  <c r="I68" i="28"/>
  <c r="J68" i="28" s="1"/>
  <c r="I69" i="28"/>
  <c r="J69" i="28" s="1"/>
  <c r="I70" i="28"/>
  <c r="J70" i="28" s="1"/>
  <c r="I71" i="28"/>
  <c r="J71" i="28" s="1"/>
  <c r="I72" i="28"/>
  <c r="J72" i="28" s="1"/>
  <c r="I73" i="28"/>
  <c r="J73" i="28" s="1"/>
  <c r="I74" i="28"/>
  <c r="I45" i="28"/>
  <c r="K45" i="28" s="1"/>
  <c r="I46" i="28"/>
  <c r="K46" i="28" s="1"/>
  <c r="I47" i="28"/>
  <c r="K47" i="28" s="1"/>
  <c r="I48" i="28"/>
  <c r="K48" i="28" s="1"/>
  <c r="I49" i="28"/>
  <c r="K49" i="28" s="1"/>
  <c r="I50" i="28"/>
  <c r="K50" i="28" s="1"/>
  <c r="I51" i="28"/>
  <c r="K51" i="28" s="1"/>
  <c r="I52" i="28"/>
  <c r="K52" i="28" s="1"/>
  <c r="I53" i="28"/>
  <c r="K53" i="28" s="1"/>
  <c r="I54" i="28"/>
  <c r="K54" i="28" s="1"/>
  <c r="I55" i="28"/>
  <c r="K55" i="28" s="1"/>
  <c r="I56" i="28"/>
  <c r="K56" i="28" s="1"/>
  <c r="I57" i="28"/>
  <c r="K57" i="28" s="1"/>
  <c r="I58" i="28"/>
  <c r="K58" i="28" s="1"/>
  <c r="I59" i="28"/>
  <c r="K59" i="28" s="1"/>
  <c r="I60" i="28"/>
  <c r="K60" i="28" s="1"/>
  <c r="I61" i="28"/>
  <c r="K61" i="28" s="1"/>
  <c r="I62" i="28"/>
  <c r="K62" i="28" s="1"/>
  <c r="I44" i="28"/>
  <c r="K44" i="28" s="1"/>
  <c r="G66" i="28"/>
  <c r="G67" i="28"/>
  <c r="L67" i="28" s="1"/>
  <c r="G68" i="28"/>
  <c r="G69" i="28"/>
  <c r="G70" i="28"/>
  <c r="G71" i="28"/>
  <c r="G72" i="28"/>
  <c r="G73" i="28"/>
  <c r="G74" i="28"/>
  <c r="G65" i="28"/>
  <c r="H64" i="28"/>
  <c r="F63" i="28"/>
  <c r="F64" i="28"/>
  <c r="J64" i="28" l="1"/>
  <c r="L69" i="28"/>
  <c r="J62" i="28"/>
  <c r="J46" i="28"/>
  <c r="H75" i="28"/>
  <c r="O64" i="28"/>
  <c r="O65" i="28" s="1"/>
  <c r="O66" i="28" s="1"/>
  <c r="O67" i="28" s="1"/>
  <c r="O68" i="28" s="1"/>
  <c r="O69" i="28" s="1"/>
  <c r="O70" i="28" s="1"/>
  <c r="O71" i="28" s="1"/>
  <c r="O72" i="28" s="1"/>
  <c r="O73" i="28" s="1"/>
  <c r="O74" i="28" s="1"/>
  <c r="J56" i="28"/>
  <c r="J60" i="28"/>
  <c r="J58" i="28"/>
  <c r="L73" i="28"/>
  <c r="J54" i="28"/>
  <c r="J52" i="28"/>
  <c r="L71" i="28"/>
  <c r="J50" i="28"/>
  <c r="L74" i="28"/>
  <c r="N75" i="28" s="1"/>
  <c r="L70" i="28"/>
  <c r="L66" i="28"/>
  <c r="J44" i="28"/>
  <c r="J61" i="28"/>
  <c r="J57" i="28"/>
  <c r="J53" i="28"/>
  <c r="J49" i="28"/>
  <c r="J45" i="28"/>
  <c r="K70" i="31"/>
  <c r="N70" i="38"/>
  <c r="K70" i="38"/>
  <c r="L75" i="47"/>
  <c r="K74" i="47"/>
  <c r="H65" i="28"/>
  <c r="H66" i="28" s="1"/>
  <c r="L72" i="28"/>
  <c r="L68" i="28"/>
  <c r="J63" i="28"/>
  <c r="J59" i="28"/>
  <c r="J55" i="28"/>
  <c r="J51" i="28"/>
  <c r="J47" i="28"/>
  <c r="F126" i="39"/>
  <c r="F125" i="39"/>
  <c r="F124" i="39"/>
  <c r="F123" i="39"/>
  <c r="F122" i="39"/>
  <c r="H64" i="39"/>
  <c r="H65" i="39" s="1"/>
  <c r="H66" i="39" s="1"/>
  <c r="H67" i="39" s="1"/>
  <c r="H68" i="39" s="1"/>
  <c r="H69" i="39" s="1"/>
  <c r="H70" i="39" s="1"/>
  <c r="H71" i="39" s="1"/>
  <c r="H72" i="39" s="1"/>
  <c r="H73" i="39" s="1"/>
  <c r="H74" i="39" s="1"/>
  <c r="G66" i="39"/>
  <c r="G67" i="39"/>
  <c r="G68" i="39"/>
  <c r="G69" i="39"/>
  <c r="G70" i="39"/>
  <c r="G71" i="39"/>
  <c r="G72" i="39"/>
  <c r="G73" i="39"/>
  <c r="G74" i="39"/>
  <c r="G65" i="39"/>
  <c r="I45" i="39"/>
  <c r="K45" i="39" s="1"/>
  <c r="I46" i="39"/>
  <c r="K46" i="39" s="1"/>
  <c r="I47" i="39"/>
  <c r="K47" i="39" s="1"/>
  <c r="I48" i="39"/>
  <c r="K48" i="39" s="1"/>
  <c r="I49" i="39"/>
  <c r="K49" i="39" s="1"/>
  <c r="I50" i="39"/>
  <c r="K50" i="39" s="1"/>
  <c r="I51" i="39"/>
  <c r="K51" i="39" s="1"/>
  <c r="I52" i="39"/>
  <c r="K52" i="39" s="1"/>
  <c r="I53" i="39"/>
  <c r="K53" i="39" s="1"/>
  <c r="I54" i="39"/>
  <c r="K54" i="39" s="1"/>
  <c r="I55" i="39"/>
  <c r="K55" i="39" s="1"/>
  <c r="I56" i="39"/>
  <c r="K56" i="39" s="1"/>
  <c r="I57" i="39"/>
  <c r="K57" i="39" s="1"/>
  <c r="I58" i="39"/>
  <c r="K58" i="39" s="1"/>
  <c r="I59" i="39"/>
  <c r="K59" i="39" s="1"/>
  <c r="I60" i="39"/>
  <c r="K60" i="39" s="1"/>
  <c r="I61" i="39"/>
  <c r="K61" i="39" s="1"/>
  <c r="I62" i="39"/>
  <c r="K62" i="39" s="1"/>
  <c r="I63" i="39"/>
  <c r="K63" i="39" s="1"/>
  <c r="I44" i="39"/>
  <c r="J44" i="39" s="1"/>
  <c r="I65" i="39"/>
  <c r="I66" i="39"/>
  <c r="J66" i="39" s="1"/>
  <c r="I67" i="39"/>
  <c r="I68" i="39"/>
  <c r="I69" i="39"/>
  <c r="I70" i="39"/>
  <c r="J70" i="39" s="1"/>
  <c r="I71" i="39"/>
  <c r="I72" i="39"/>
  <c r="I73" i="39"/>
  <c r="J73" i="39" s="1"/>
  <c r="I74" i="39"/>
  <c r="J74" i="39" s="1"/>
  <c r="K64" i="39"/>
  <c r="K75" i="47" l="1"/>
  <c r="H76" i="47"/>
  <c r="H77" i="47" s="1"/>
  <c r="M66" i="28"/>
  <c r="K66" i="28"/>
  <c r="H67" i="28"/>
  <c r="M65" i="28"/>
  <c r="K65" i="28"/>
  <c r="K71" i="31"/>
  <c r="N71" i="38"/>
  <c r="K71" i="38"/>
  <c r="K66" i="39"/>
  <c r="K65" i="39"/>
  <c r="J69" i="39"/>
  <c r="J65" i="39"/>
  <c r="J59" i="39"/>
  <c r="J51" i="39"/>
  <c r="J47" i="39"/>
  <c r="J62" i="39"/>
  <c r="J58" i="39"/>
  <c r="J54" i="39"/>
  <c r="J50" i="39"/>
  <c r="J46" i="39"/>
  <c r="J61" i="39"/>
  <c r="J57" i="39"/>
  <c r="J53" i="39"/>
  <c r="J49" i="39"/>
  <c r="J45" i="39"/>
  <c r="J72" i="39"/>
  <c r="J68" i="39"/>
  <c r="K44" i="39"/>
  <c r="J63" i="39"/>
  <c r="J55" i="39"/>
  <c r="J60" i="39"/>
  <c r="J56" i="39"/>
  <c r="J52" i="39"/>
  <c r="J48" i="39"/>
  <c r="J71" i="39"/>
  <c r="J67" i="39"/>
  <c r="F63" i="39"/>
  <c r="F64" i="39"/>
  <c r="K72" i="31" l="1"/>
  <c r="N72" i="38"/>
  <c r="K72" i="38"/>
  <c r="M67" i="28"/>
  <c r="K67" i="28"/>
  <c r="H68" i="28"/>
  <c r="M65" i="41"/>
  <c r="M66" i="41"/>
  <c r="M67" i="41"/>
  <c r="M68" i="41"/>
  <c r="M69" i="41"/>
  <c r="M70" i="41"/>
  <c r="M71" i="41"/>
  <c r="M72" i="41"/>
  <c r="M73" i="41"/>
  <c r="M74" i="41"/>
  <c r="M75" i="41"/>
  <c r="M76" i="41"/>
  <c r="M77" i="41"/>
  <c r="M78" i="41"/>
  <c r="M79" i="41"/>
  <c r="M50" i="41"/>
  <c r="M51" i="41"/>
  <c r="M52" i="41"/>
  <c r="M53" i="41"/>
  <c r="M54" i="41"/>
  <c r="M55" i="41"/>
  <c r="M56" i="41"/>
  <c r="M57" i="41"/>
  <c r="M58" i="41"/>
  <c r="M59" i="41"/>
  <c r="M60" i="41"/>
  <c r="M61" i="41"/>
  <c r="M62" i="41"/>
  <c r="M63" i="41"/>
  <c r="M64" i="41"/>
  <c r="M49" i="41"/>
  <c r="L44" i="49"/>
  <c r="L45" i="49"/>
  <c r="L46" i="49"/>
  <c r="L47" i="49"/>
  <c r="L48" i="49"/>
  <c r="L49" i="49"/>
  <c r="L50" i="49"/>
  <c r="L51" i="49"/>
  <c r="L52" i="49"/>
  <c r="L53" i="49"/>
  <c r="L54" i="49"/>
  <c r="L55" i="49"/>
  <c r="L56" i="49"/>
  <c r="L57" i="49"/>
  <c r="L58" i="49"/>
  <c r="L59" i="49"/>
  <c r="L60" i="49"/>
  <c r="L61" i="49"/>
  <c r="L62" i="49"/>
  <c r="L63" i="49"/>
  <c r="L64" i="49"/>
  <c r="L65" i="49"/>
  <c r="L66" i="49"/>
  <c r="L67" i="49"/>
  <c r="L68" i="49"/>
  <c r="L69" i="49"/>
  <c r="L70" i="49"/>
  <c r="L71" i="49"/>
  <c r="L72" i="49"/>
  <c r="L43" i="49"/>
  <c r="M59" i="49"/>
  <c r="M117" i="49"/>
  <c r="P117" i="49"/>
  <c r="J117" i="49"/>
  <c r="H62" i="49"/>
  <c r="H73" i="49" l="1"/>
  <c r="H63" i="49"/>
  <c r="H64" i="49" s="1"/>
  <c r="H65" i="49" s="1"/>
  <c r="H66" i="49" s="1"/>
  <c r="H67" i="49" s="1"/>
  <c r="H68" i="49" s="1"/>
  <c r="H69" i="49" s="1"/>
  <c r="H70" i="49" s="1"/>
  <c r="H71" i="49" s="1"/>
  <c r="H72" i="49" s="1"/>
  <c r="N62" i="49"/>
  <c r="N73" i="38"/>
  <c r="K73" i="38"/>
  <c r="K73" i="31"/>
  <c r="M68" i="28"/>
  <c r="K68" i="28"/>
  <c r="H69" i="28"/>
  <c r="K67" i="39"/>
  <c r="E123" i="49"/>
  <c r="E122" i="49"/>
  <c r="K63" i="49"/>
  <c r="K62" i="49"/>
  <c r="G64" i="49"/>
  <c r="G65" i="49"/>
  <c r="G66" i="49"/>
  <c r="G67" i="49"/>
  <c r="G68" i="49"/>
  <c r="G69" i="49"/>
  <c r="G70" i="49"/>
  <c r="G71" i="49"/>
  <c r="G72" i="49"/>
  <c r="G63" i="49"/>
  <c r="F62" i="49"/>
  <c r="N64" i="49" l="1"/>
  <c r="K64" i="49"/>
  <c r="K75" i="31"/>
  <c r="K74" i="31"/>
  <c r="M64" i="49"/>
  <c r="N74" i="38"/>
  <c r="K74" i="38"/>
  <c r="M69" i="28"/>
  <c r="K69" i="28"/>
  <c r="H70" i="28"/>
  <c r="K68" i="39"/>
  <c r="L69" i="41"/>
  <c r="L70" i="41" s="1"/>
  <c r="L71" i="41" s="1"/>
  <c r="L72" i="41" s="1"/>
  <c r="L73" i="41" s="1"/>
  <c r="L74" i="41" s="1"/>
  <c r="L75" i="41" s="1"/>
  <c r="L76" i="41" s="1"/>
  <c r="L77" i="41" s="1"/>
  <c r="L78" i="41" s="1"/>
  <c r="L79" i="41" s="1"/>
  <c r="M70" i="28" l="1"/>
  <c r="K70" i="28"/>
  <c r="H71" i="28"/>
  <c r="K65" i="49"/>
  <c r="K69" i="39"/>
  <c r="N75" i="38"/>
  <c r="K75" i="38"/>
  <c r="G71" i="41"/>
  <c r="G72" i="41"/>
  <c r="G73" i="41"/>
  <c r="G74" i="41"/>
  <c r="G75" i="41"/>
  <c r="G76" i="41"/>
  <c r="G77" i="41"/>
  <c r="G78" i="41"/>
  <c r="G79" i="41"/>
  <c r="G70" i="41"/>
  <c r="K66" i="49" l="1"/>
  <c r="M71" i="28"/>
  <c r="K71" i="28"/>
  <c r="H72" i="28"/>
  <c r="N76" i="38"/>
  <c r="N77" i="38" s="1"/>
  <c r="K76" i="38"/>
  <c r="K70" i="39"/>
  <c r="H69" i="41"/>
  <c r="H70" i="41" l="1"/>
  <c r="H71" i="41" s="1"/>
  <c r="H72" i="41" s="1"/>
  <c r="H73" i="41" s="1"/>
  <c r="H74" i="41" s="1"/>
  <c r="H75" i="41" s="1"/>
  <c r="H76" i="41" s="1"/>
  <c r="H77" i="41" s="1"/>
  <c r="H78" i="41" s="1"/>
  <c r="H79" i="41" s="1"/>
  <c r="H80" i="41"/>
  <c r="T70" i="41"/>
  <c r="K71" i="39"/>
  <c r="M72" i="28"/>
  <c r="K72" i="28"/>
  <c r="H73" i="28"/>
  <c r="K67" i="49"/>
  <c r="E14" i="60"/>
  <c r="E13" i="60"/>
  <c r="E12" i="60"/>
  <c r="E11" i="60"/>
  <c r="E10" i="60"/>
  <c r="E9" i="60"/>
  <c r="E8" i="60"/>
  <c r="E7" i="60"/>
  <c r="E6" i="60"/>
  <c r="E5" i="60"/>
  <c r="M73" i="28" l="1"/>
  <c r="K73" i="28"/>
  <c r="H74" i="28"/>
  <c r="K72" i="39"/>
  <c r="K68" i="49"/>
  <c r="I50" i="41"/>
  <c r="J50" i="41" s="1"/>
  <c r="I51" i="41"/>
  <c r="K51" i="41" s="1"/>
  <c r="I52" i="41"/>
  <c r="K52" i="41" s="1"/>
  <c r="I53" i="41"/>
  <c r="K53" i="41" s="1"/>
  <c r="I54" i="41"/>
  <c r="K54" i="41" s="1"/>
  <c r="I55" i="41"/>
  <c r="J55" i="41" s="1"/>
  <c r="I56" i="41"/>
  <c r="K56" i="41" s="1"/>
  <c r="I57" i="41"/>
  <c r="K57" i="41" s="1"/>
  <c r="I58" i="41"/>
  <c r="J58" i="41" s="1"/>
  <c r="I59" i="41"/>
  <c r="K59" i="41" s="1"/>
  <c r="I60" i="41"/>
  <c r="K60" i="41" s="1"/>
  <c r="I61" i="41"/>
  <c r="K61" i="41" s="1"/>
  <c r="I62" i="41"/>
  <c r="K62" i="41" s="1"/>
  <c r="I63" i="41"/>
  <c r="J63" i="41" s="1"/>
  <c r="I64" i="41"/>
  <c r="K64" i="41" s="1"/>
  <c r="I65" i="41"/>
  <c r="K65" i="41" s="1"/>
  <c r="I66" i="41"/>
  <c r="J66" i="41" s="1"/>
  <c r="I67" i="41"/>
  <c r="K67" i="41" s="1"/>
  <c r="I68" i="41"/>
  <c r="K68" i="41" s="1"/>
  <c r="I69" i="41"/>
  <c r="K69" i="41" s="1"/>
  <c r="I70" i="41"/>
  <c r="K70" i="41" s="1"/>
  <c r="I71" i="41"/>
  <c r="K71" i="41" s="1"/>
  <c r="I72" i="41"/>
  <c r="J72" i="41" s="1"/>
  <c r="I73" i="41"/>
  <c r="J73" i="41" s="1"/>
  <c r="I74" i="41"/>
  <c r="J74" i="41" s="1"/>
  <c r="I75" i="41"/>
  <c r="K75" i="41" s="1"/>
  <c r="I76" i="41"/>
  <c r="J76" i="41" s="1"/>
  <c r="I77" i="41"/>
  <c r="J77" i="41" s="1"/>
  <c r="I78" i="41"/>
  <c r="J78" i="41" s="1"/>
  <c r="I79" i="41"/>
  <c r="K79" i="41" s="1"/>
  <c r="I49" i="41"/>
  <c r="J49" i="41" s="1"/>
  <c r="J130" i="48"/>
  <c r="I126" i="48"/>
  <c r="L126" i="48" s="1"/>
  <c r="O126" i="48" s="1"/>
  <c r="R126" i="48" s="1"/>
  <c r="F140" i="59"/>
  <c r="F139" i="59"/>
  <c r="F138" i="59"/>
  <c r="F137" i="59"/>
  <c r="I129" i="59"/>
  <c r="L129" i="59" s="1"/>
  <c r="O129" i="59" s="1"/>
  <c r="R129" i="59" s="1"/>
  <c r="L74" i="59"/>
  <c r="M75" i="59" s="1"/>
  <c r="K74" i="59"/>
  <c r="K76" i="59" s="1"/>
  <c r="E73" i="59"/>
  <c r="H73" i="59" s="1"/>
  <c r="E68" i="59"/>
  <c r="I68" i="59" s="1"/>
  <c r="M68" i="59" s="1"/>
  <c r="Q68" i="59" s="1"/>
  <c r="I63" i="59"/>
  <c r="J63" i="59" s="1"/>
  <c r="G63" i="59"/>
  <c r="I62" i="59"/>
  <c r="J62" i="59" s="1"/>
  <c r="G62" i="59"/>
  <c r="I61" i="59"/>
  <c r="J61" i="59" s="1"/>
  <c r="G61" i="59"/>
  <c r="I60" i="59"/>
  <c r="J60" i="59" s="1"/>
  <c r="G60" i="59"/>
  <c r="I59" i="59"/>
  <c r="J59" i="59" s="1"/>
  <c r="G59" i="59"/>
  <c r="I58" i="59"/>
  <c r="J58" i="59" s="1"/>
  <c r="H58" i="59"/>
  <c r="H59" i="59" s="1"/>
  <c r="K59" i="59" s="1"/>
  <c r="G58" i="59"/>
  <c r="I57" i="59"/>
  <c r="K57" i="59" s="1"/>
  <c r="G57" i="59"/>
  <c r="J56" i="59"/>
  <c r="I56" i="59"/>
  <c r="K56" i="59" s="1"/>
  <c r="G56" i="59"/>
  <c r="I55" i="59"/>
  <c r="K55" i="59" s="1"/>
  <c r="G55" i="59"/>
  <c r="J54" i="59"/>
  <c r="I54" i="59"/>
  <c r="K54" i="59" s="1"/>
  <c r="G54" i="59"/>
  <c r="I53" i="59"/>
  <c r="K53" i="59" s="1"/>
  <c r="H53" i="59"/>
  <c r="F53" i="59"/>
  <c r="I52" i="59"/>
  <c r="J52" i="59" s="1"/>
  <c r="F52" i="59"/>
  <c r="I51" i="59"/>
  <c r="J51" i="59" s="1"/>
  <c r="F51" i="59"/>
  <c r="I50" i="59"/>
  <c r="J50" i="59" s="1"/>
  <c r="F50" i="59"/>
  <c r="I49" i="59"/>
  <c r="J49" i="59" s="1"/>
  <c r="F49" i="59"/>
  <c r="I48" i="59"/>
  <c r="J48" i="59" s="1"/>
  <c r="F48" i="59"/>
  <c r="I47" i="59"/>
  <c r="J47" i="59" s="1"/>
  <c r="F47" i="59"/>
  <c r="I46" i="59"/>
  <c r="J46" i="59" s="1"/>
  <c r="F46" i="59"/>
  <c r="I45" i="59"/>
  <c r="J45" i="59" s="1"/>
  <c r="F45" i="59"/>
  <c r="I44" i="59"/>
  <c r="J44" i="59" s="1"/>
  <c r="F44" i="59"/>
  <c r="I43" i="59"/>
  <c r="J43" i="59" s="1"/>
  <c r="F43" i="59"/>
  <c r="I42" i="59"/>
  <c r="K42" i="59" s="1"/>
  <c r="F42" i="59"/>
  <c r="K41" i="59"/>
  <c r="I41" i="59"/>
  <c r="J41" i="59" s="1"/>
  <c r="F41" i="59"/>
  <c r="I40" i="59"/>
  <c r="J40" i="59" s="1"/>
  <c r="F40" i="59"/>
  <c r="K39" i="59"/>
  <c r="I39" i="59"/>
  <c r="J39" i="59" s="1"/>
  <c r="J31" i="59"/>
  <c r="K31" i="59" s="1"/>
  <c r="G31" i="59"/>
  <c r="J30" i="59"/>
  <c r="K30" i="59" s="1"/>
  <c r="G30" i="59"/>
  <c r="J29" i="59"/>
  <c r="K29" i="59" s="1"/>
  <c r="G29" i="59"/>
  <c r="M29" i="59" s="1"/>
  <c r="J28" i="59"/>
  <c r="K28" i="59" s="1"/>
  <c r="G28" i="59"/>
  <c r="J27" i="59"/>
  <c r="K27" i="59" s="1"/>
  <c r="G27" i="59"/>
  <c r="J26" i="59"/>
  <c r="K26" i="59" s="1"/>
  <c r="G26" i="59"/>
  <c r="M26" i="59" s="1"/>
  <c r="N25" i="59"/>
  <c r="J25" i="59"/>
  <c r="K25" i="59" s="1"/>
  <c r="G25" i="59"/>
  <c r="N24" i="59"/>
  <c r="J24" i="59"/>
  <c r="K24" i="59" s="1"/>
  <c r="G24" i="59"/>
  <c r="N23" i="59"/>
  <c r="J23" i="59"/>
  <c r="K23" i="59" s="1"/>
  <c r="G23" i="59"/>
  <c r="M23" i="59" s="1"/>
  <c r="J22" i="59"/>
  <c r="K22" i="59" s="1"/>
  <c r="G22" i="59"/>
  <c r="M22" i="59" s="1"/>
  <c r="P21" i="59"/>
  <c r="J21" i="59"/>
  <c r="K21" i="59" s="1"/>
  <c r="I21" i="59"/>
  <c r="I22" i="59" s="1"/>
  <c r="I23" i="59" s="1"/>
  <c r="I24" i="59" s="1"/>
  <c r="I25" i="59" s="1"/>
  <c r="I26" i="59" s="1"/>
  <c r="I27" i="59" s="1"/>
  <c r="I28" i="59" s="1"/>
  <c r="I29" i="59" s="1"/>
  <c r="I30" i="59" s="1"/>
  <c r="I31" i="59" s="1"/>
  <c r="H21" i="59"/>
  <c r="N22" i="59" s="1"/>
  <c r="F21" i="59"/>
  <c r="P20" i="59"/>
  <c r="L20" i="59"/>
  <c r="K20" i="59"/>
  <c r="J20" i="59"/>
  <c r="F20" i="59"/>
  <c r="P19" i="59"/>
  <c r="J19" i="59"/>
  <c r="K19" i="59" s="1"/>
  <c r="F19" i="59"/>
  <c r="P18" i="59"/>
  <c r="K18" i="59"/>
  <c r="J18" i="59"/>
  <c r="F18" i="59"/>
  <c r="P17" i="59"/>
  <c r="J17" i="59"/>
  <c r="K17" i="59" s="1"/>
  <c r="F17" i="59"/>
  <c r="P16" i="59"/>
  <c r="K16" i="59"/>
  <c r="J16" i="59"/>
  <c r="F16" i="59"/>
  <c r="P15" i="59"/>
  <c r="J15" i="59"/>
  <c r="K15" i="59" s="1"/>
  <c r="F15" i="59"/>
  <c r="P14" i="59"/>
  <c r="K14" i="59"/>
  <c r="J14" i="59"/>
  <c r="F14" i="59"/>
  <c r="P13" i="59"/>
  <c r="J13" i="59"/>
  <c r="K13" i="59" s="1"/>
  <c r="F13" i="59"/>
  <c r="P12" i="59"/>
  <c r="K12" i="59"/>
  <c r="J12" i="59"/>
  <c r="F12" i="59"/>
  <c r="P11" i="59"/>
  <c r="J11" i="59"/>
  <c r="K11" i="59" s="1"/>
  <c r="F11" i="59"/>
  <c r="P10" i="59"/>
  <c r="K10" i="59"/>
  <c r="J10" i="59"/>
  <c r="F10" i="59"/>
  <c r="P9" i="59"/>
  <c r="J9" i="59"/>
  <c r="K9" i="59" s="1"/>
  <c r="F9" i="59"/>
  <c r="P8" i="59"/>
  <c r="K8" i="59"/>
  <c r="J8" i="59"/>
  <c r="F8" i="59"/>
  <c r="P7" i="59"/>
  <c r="J7" i="59"/>
  <c r="K7" i="59" s="1"/>
  <c r="K52" i="59" l="1"/>
  <c r="N32" i="59"/>
  <c r="K50" i="59"/>
  <c r="M31" i="59"/>
  <c r="K44" i="59"/>
  <c r="J53" i="59"/>
  <c r="F32" i="59"/>
  <c r="J57" i="59"/>
  <c r="K46" i="59"/>
  <c r="K40" i="59"/>
  <c r="J55" i="59"/>
  <c r="K48" i="59"/>
  <c r="M27" i="59"/>
  <c r="M30" i="59"/>
  <c r="K45" i="59"/>
  <c r="K49" i="59"/>
  <c r="K58" i="59"/>
  <c r="K74" i="39"/>
  <c r="K73" i="39"/>
  <c r="K69" i="49"/>
  <c r="M74" i="28"/>
  <c r="K74" i="28"/>
  <c r="M24" i="59"/>
  <c r="M25" i="59"/>
  <c r="M28" i="59"/>
  <c r="J42" i="59"/>
  <c r="K43" i="59"/>
  <c r="K47" i="59"/>
  <c r="K51" i="59"/>
  <c r="K78" i="41"/>
  <c r="K77" i="41"/>
  <c r="K74" i="41"/>
  <c r="K49" i="41"/>
  <c r="K73" i="41"/>
  <c r="J71" i="41"/>
  <c r="J67" i="41"/>
  <c r="J59" i="41"/>
  <c r="J51" i="41"/>
  <c r="K63" i="41"/>
  <c r="K55" i="41"/>
  <c r="J70" i="41"/>
  <c r="J62" i="41"/>
  <c r="J54" i="41"/>
  <c r="K66" i="41"/>
  <c r="K58" i="41"/>
  <c r="K50" i="41"/>
  <c r="J69" i="41"/>
  <c r="J65" i="41"/>
  <c r="J61" i="41"/>
  <c r="J57" i="41"/>
  <c r="J53" i="41"/>
  <c r="J79" i="41"/>
  <c r="K76" i="41"/>
  <c r="K72" i="41"/>
  <c r="J75" i="41"/>
  <c r="J68" i="41"/>
  <c r="J64" i="41"/>
  <c r="J60" i="41"/>
  <c r="J56" i="41"/>
  <c r="J52" i="41"/>
  <c r="H60" i="59"/>
  <c r="L75" i="59"/>
  <c r="L76" i="59" s="1"/>
  <c r="F73" i="59"/>
  <c r="G73" i="59" s="1"/>
  <c r="M32" i="59" l="1"/>
  <c r="N70" i="49"/>
  <c r="K70" i="49"/>
  <c r="H61" i="59"/>
  <c r="K60" i="59"/>
  <c r="K72" i="49" l="1"/>
  <c r="K71" i="49"/>
  <c r="H62" i="59"/>
  <c r="K61" i="59"/>
  <c r="K62" i="59" l="1"/>
  <c r="H63" i="59"/>
  <c r="K63" i="59" s="1"/>
  <c r="H61" i="48" l="1"/>
  <c r="I76" i="48" s="1"/>
  <c r="G63" i="48"/>
  <c r="G64" i="48"/>
  <c r="G65" i="48"/>
  <c r="G66" i="48"/>
  <c r="G67" i="48"/>
  <c r="G68" i="48"/>
  <c r="G69" i="48"/>
  <c r="G70" i="48"/>
  <c r="G71" i="48"/>
  <c r="G62" i="48"/>
  <c r="T62" i="48" l="1"/>
  <c r="H62" i="48"/>
  <c r="T63" i="48" s="1"/>
  <c r="H77" i="48"/>
  <c r="H63" i="48"/>
  <c r="T64" i="48" s="1"/>
  <c r="I44" i="49"/>
  <c r="I45" i="49"/>
  <c r="I46" i="49"/>
  <c r="I47" i="49"/>
  <c r="I48" i="49"/>
  <c r="I49" i="49"/>
  <c r="I50" i="49"/>
  <c r="I51" i="49"/>
  <c r="I52" i="49"/>
  <c r="I53" i="49"/>
  <c r="I54" i="49"/>
  <c r="I55" i="49"/>
  <c r="I56" i="49"/>
  <c r="I57" i="49"/>
  <c r="I58" i="49"/>
  <c r="I59" i="49"/>
  <c r="I60" i="49"/>
  <c r="I61" i="49"/>
  <c r="I43" i="49"/>
  <c r="J56" i="49" l="1"/>
  <c r="K56" i="49"/>
  <c r="J52" i="49"/>
  <c r="K52" i="49"/>
  <c r="J48" i="49"/>
  <c r="K48" i="49"/>
  <c r="J44" i="49"/>
  <c r="K44" i="49"/>
  <c r="J59" i="49"/>
  <c r="K59" i="49"/>
  <c r="J55" i="49"/>
  <c r="K55" i="49"/>
  <c r="J51" i="49"/>
  <c r="K51" i="49"/>
  <c r="J47" i="49"/>
  <c r="K47" i="49"/>
  <c r="H64" i="48"/>
  <c r="J58" i="49"/>
  <c r="K58" i="49"/>
  <c r="J43" i="49"/>
  <c r="K43" i="49"/>
  <c r="J54" i="49"/>
  <c r="K54" i="49"/>
  <c r="J50" i="49"/>
  <c r="K50" i="49"/>
  <c r="J46" i="49"/>
  <c r="K46" i="49"/>
  <c r="J61" i="49"/>
  <c r="K61" i="49"/>
  <c r="J57" i="49"/>
  <c r="K57" i="49"/>
  <c r="J53" i="49"/>
  <c r="K53" i="49"/>
  <c r="J49" i="49"/>
  <c r="K49" i="49"/>
  <c r="J45" i="49"/>
  <c r="K45" i="49"/>
  <c r="J60" i="49"/>
  <c r="K60" i="49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62" i="37"/>
  <c r="F61" i="37"/>
  <c r="F60" i="37"/>
  <c r="F59" i="37"/>
  <c r="F58" i="37"/>
  <c r="F57" i="37"/>
  <c r="F56" i="37"/>
  <c r="F55" i="37"/>
  <c r="F54" i="37"/>
  <c r="F53" i="37"/>
  <c r="F52" i="37"/>
  <c r="F51" i="37"/>
  <c r="F50" i="37"/>
  <c r="F49" i="37"/>
  <c r="F48" i="37"/>
  <c r="F47" i="37"/>
  <c r="F46" i="37"/>
  <c r="F45" i="37"/>
  <c r="F63" i="47"/>
  <c r="F62" i="47"/>
  <c r="F61" i="47"/>
  <c r="F60" i="47"/>
  <c r="F59" i="47"/>
  <c r="F58" i="47"/>
  <c r="F57" i="47"/>
  <c r="F56" i="47"/>
  <c r="F55" i="47"/>
  <c r="F54" i="47"/>
  <c r="F53" i="47"/>
  <c r="F52" i="47"/>
  <c r="F51" i="47"/>
  <c r="F50" i="47"/>
  <c r="F49" i="47"/>
  <c r="F48" i="47"/>
  <c r="F47" i="47"/>
  <c r="F46" i="47"/>
  <c r="F63" i="31"/>
  <c r="F62" i="31"/>
  <c r="F61" i="31"/>
  <c r="F60" i="31"/>
  <c r="F59" i="31"/>
  <c r="F58" i="31"/>
  <c r="F57" i="31"/>
  <c r="F56" i="31"/>
  <c r="F55" i="31"/>
  <c r="F54" i="31"/>
  <c r="F53" i="31"/>
  <c r="F52" i="31"/>
  <c r="F51" i="31"/>
  <c r="F50" i="31"/>
  <c r="F49" i="31"/>
  <c r="F48" i="31"/>
  <c r="F47" i="31"/>
  <c r="F46" i="31"/>
  <c r="F64" i="38"/>
  <c r="F63" i="38"/>
  <c r="F62" i="38"/>
  <c r="F61" i="38"/>
  <c r="F60" i="38"/>
  <c r="F59" i="38"/>
  <c r="F58" i="38"/>
  <c r="F57" i="38"/>
  <c r="F56" i="38"/>
  <c r="F55" i="38"/>
  <c r="F54" i="38"/>
  <c r="F53" i="38"/>
  <c r="F52" i="38"/>
  <c r="F51" i="38"/>
  <c r="F50" i="38"/>
  <c r="F49" i="38"/>
  <c r="F48" i="38"/>
  <c r="F47" i="38"/>
  <c r="F62" i="28"/>
  <c r="F61" i="28"/>
  <c r="F60" i="28"/>
  <c r="F59" i="28"/>
  <c r="F58" i="28"/>
  <c r="F57" i="28"/>
  <c r="F56" i="28"/>
  <c r="F55" i="28"/>
  <c r="F54" i="28"/>
  <c r="F53" i="28"/>
  <c r="F52" i="28"/>
  <c r="F51" i="28"/>
  <c r="F50" i="28"/>
  <c r="F49" i="28"/>
  <c r="F48" i="28"/>
  <c r="F47" i="28"/>
  <c r="F46" i="28"/>
  <c r="F45" i="28"/>
  <c r="F62" i="39"/>
  <c r="F61" i="39"/>
  <c r="F60" i="39"/>
  <c r="F59" i="39"/>
  <c r="F58" i="39"/>
  <c r="F57" i="39"/>
  <c r="F56" i="39"/>
  <c r="F55" i="39"/>
  <c r="F54" i="39"/>
  <c r="F53" i="39"/>
  <c r="F52" i="39"/>
  <c r="F51" i="39"/>
  <c r="F50" i="39"/>
  <c r="F49" i="39"/>
  <c r="F48" i="39"/>
  <c r="F47" i="39"/>
  <c r="F46" i="39"/>
  <c r="F45" i="39"/>
  <c r="F61" i="49"/>
  <c r="F60" i="49"/>
  <c r="F59" i="49"/>
  <c r="F58" i="49"/>
  <c r="F57" i="49"/>
  <c r="F56" i="49"/>
  <c r="F55" i="49"/>
  <c r="F54" i="49"/>
  <c r="F53" i="49"/>
  <c r="F52" i="49"/>
  <c r="F51" i="49"/>
  <c r="F50" i="49"/>
  <c r="F49" i="49"/>
  <c r="F48" i="49"/>
  <c r="F47" i="49"/>
  <c r="F46" i="49"/>
  <c r="F45" i="49"/>
  <c r="F76" i="47" l="1"/>
  <c r="F75" i="28"/>
  <c r="F75" i="37"/>
  <c r="T65" i="48"/>
  <c r="H65" i="48"/>
  <c r="F71" i="32"/>
  <c r="I58" i="48"/>
  <c r="K58" i="48" s="1"/>
  <c r="I44" i="48"/>
  <c r="K44" i="48" s="1"/>
  <c r="I45" i="48"/>
  <c r="K45" i="48" s="1"/>
  <c r="I46" i="48"/>
  <c r="K46" i="48" s="1"/>
  <c r="I47" i="48"/>
  <c r="I48" i="48"/>
  <c r="K48" i="48" s="1"/>
  <c r="I49" i="48"/>
  <c r="K49" i="48" s="1"/>
  <c r="I50" i="48"/>
  <c r="K50" i="48" s="1"/>
  <c r="I51" i="48"/>
  <c r="I52" i="48"/>
  <c r="K52" i="48" s="1"/>
  <c r="I53" i="48"/>
  <c r="K53" i="48" s="1"/>
  <c r="I54" i="48"/>
  <c r="K54" i="48" s="1"/>
  <c r="I55" i="48"/>
  <c r="I56" i="48"/>
  <c r="K56" i="48" s="1"/>
  <c r="I57" i="48"/>
  <c r="K57" i="48" s="1"/>
  <c r="I60" i="48"/>
  <c r="K60" i="48" s="1"/>
  <c r="I59" i="48"/>
  <c r="K59" i="48" s="1"/>
  <c r="I43" i="48"/>
  <c r="I71" i="48"/>
  <c r="I70" i="48"/>
  <c r="I69" i="48"/>
  <c r="I68" i="48"/>
  <c r="I67" i="48"/>
  <c r="I66" i="48"/>
  <c r="J53" i="48"/>
  <c r="J48" i="48"/>
  <c r="J45" i="48"/>
  <c r="J44" i="48"/>
  <c r="J56" i="48" l="1"/>
  <c r="J52" i="48"/>
  <c r="T66" i="48"/>
  <c r="H66" i="48"/>
  <c r="J49" i="48"/>
  <c r="J54" i="48"/>
  <c r="J50" i="48"/>
  <c r="J46" i="48"/>
  <c r="J57" i="48"/>
  <c r="K61" i="48"/>
  <c r="J65" i="48"/>
  <c r="K65" i="48"/>
  <c r="J69" i="48"/>
  <c r="J55" i="48"/>
  <c r="K55" i="48"/>
  <c r="J51" i="48"/>
  <c r="K51" i="48"/>
  <c r="J47" i="48"/>
  <c r="K47" i="48"/>
  <c r="J62" i="48"/>
  <c r="K62" i="48"/>
  <c r="J66" i="48"/>
  <c r="K66" i="48"/>
  <c r="J70" i="48"/>
  <c r="J60" i="48"/>
  <c r="J63" i="48"/>
  <c r="K63" i="48"/>
  <c r="J67" i="48"/>
  <c r="J71" i="48"/>
  <c r="J59" i="48"/>
  <c r="J64" i="48"/>
  <c r="K64" i="48"/>
  <c r="J68" i="48"/>
  <c r="J43" i="48"/>
  <c r="K43" i="48"/>
  <c r="J58" i="48"/>
  <c r="F20" i="33"/>
  <c r="F21" i="33"/>
  <c r="F26" i="40"/>
  <c r="F27" i="40"/>
  <c r="F20" i="24"/>
  <c r="F21" i="24"/>
  <c r="F20" i="19"/>
  <c r="F21" i="19"/>
  <c r="I21" i="19"/>
  <c r="H21" i="19"/>
  <c r="K30" i="19"/>
  <c r="K31" i="19"/>
  <c r="F10" i="53"/>
  <c r="F9" i="53"/>
  <c r="F13" i="17"/>
  <c r="F14" i="17"/>
  <c r="F22" i="35"/>
  <c r="F23" i="35"/>
  <c r="F22" i="30"/>
  <c r="F23" i="30"/>
  <c r="T67" i="48" l="1"/>
  <c r="H67" i="48"/>
  <c r="K19" i="56"/>
  <c r="K20" i="56"/>
  <c r="K19" i="55"/>
  <c r="K20" i="55"/>
  <c r="K19" i="54"/>
  <c r="K20" i="54"/>
  <c r="I21" i="33"/>
  <c r="H21" i="33"/>
  <c r="K30" i="33"/>
  <c r="K31" i="33"/>
  <c r="T68" i="48" l="1"/>
  <c r="H68" i="48"/>
  <c r="K67" i="48"/>
  <c r="F24" i="32"/>
  <c r="F25" i="32"/>
  <c r="F26" i="37"/>
  <c r="F27" i="37"/>
  <c r="F26" i="47"/>
  <c r="F27" i="47"/>
  <c r="F26" i="31"/>
  <c r="F27" i="31"/>
  <c r="F26" i="38"/>
  <c r="F27" i="38"/>
  <c r="F26" i="28"/>
  <c r="F27" i="28"/>
  <c r="F26" i="39"/>
  <c r="F27" i="39"/>
  <c r="F25" i="49"/>
  <c r="F26" i="41"/>
  <c r="F27" i="41"/>
  <c r="F24" i="48"/>
  <c r="F25" i="48"/>
  <c r="T69" i="48" l="1"/>
  <c r="H69" i="48"/>
  <c r="K68" i="48"/>
  <c r="I27" i="40"/>
  <c r="H27" i="40"/>
  <c r="K36" i="40"/>
  <c r="K37" i="40"/>
  <c r="I21" i="24"/>
  <c r="H21" i="24"/>
  <c r="K30" i="24"/>
  <c r="K31" i="24"/>
  <c r="I10" i="53"/>
  <c r="H10" i="53"/>
  <c r="J19" i="53"/>
  <c r="K19" i="53" s="1"/>
  <c r="J20" i="53"/>
  <c r="K20" i="53" s="1"/>
  <c r="I14" i="17"/>
  <c r="H14" i="17"/>
  <c r="J23" i="17"/>
  <c r="K23" i="17" s="1"/>
  <c r="J24" i="17"/>
  <c r="K24" i="17" s="1"/>
  <c r="I23" i="35"/>
  <c r="H23" i="35"/>
  <c r="K32" i="35"/>
  <c r="K33" i="35"/>
  <c r="I23" i="30"/>
  <c r="H23" i="30"/>
  <c r="J32" i="30"/>
  <c r="K32" i="30" s="1"/>
  <c r="J33" i="30"/>
  <c r="K33" i="30" s="1"/>
  <c r="I25" i="32"/>
  <c r="H25" i="32"/>
  <c r="K34" i="32"/>
  <c r="K35" i="32"/>
  <c r="H27" i="37"/>
  <c r="H27" i="47"/>
  <c r="I27" i="37"/>
  <c r="K37" i="37"/>
  <c r="J36" i="37"/>
  <c r="K36" i="37" s="1"/>
  <c r="J37" i="37"/>
  <c r="I27" i="47"/>
  <c r="J36" i="47"/>
  <c r="K36" i="47" s="1"/>
  <c r="J37" i="47"/>
  <c r="K37" i="47" s="1"/>
  <c r="J36" i="31"/>
  <c r="K36" i="31" s="1"/>
  <c r="J37" i="31"/>
  <c r="K37" i="31" s="1"/>
  <c r="H27" i="31"/>
  <c r="I27" i="31"/>
  <c r="J36" i="38"/>
  <c r="K36" i="38" s="1"/>
  <c r="J37" i="38"/>
  <c r="K37" i="38" s="1"/>
  <c r="H27" i="38"/>
  <c r="I27" i="38"/>
  <c r="T70" i="48" l="1"/>
  <c r="H70" i="48"/>
  <c r="K69" i="48"/>
  <c r="K36" i="28"/>
  <c r="K37" i="28"/>
  <c r="K37" i="39"/>
  <c r="J36" i="39"/>
  <c r="K36" i="39" s="1"/>
  <c r="J37" i="39"/>
  <c r="I27" i="28"/>
  <c r="H27" i="28"/>
  <c r="I27" i="39"/>
  <c r="H27" i="39"/>
  <c r="I26" i="49"/>
  <c r="H26" i="49"/>
  <c r="I27" i="41"/>
  <c r="H27" i="41"/>
  <c r="I25" i="48"/>
  <c r="H25" i="48"/>
  <c r="K35" i="49"/>
  <c r="K36" i="49"/>
  <c r="K36" i="41"/>
  <c r="K37" i="41"/>
  <c r="J34" i="48"/>
  <c r="K34" i="48" s="1"/>
  <c r="J35" i="48"/>
  <c r="K35" i="48" s="1"/>
  <c r="T71" i="48" l="1"/>
  <c r="H71" i="48"/>
  <c r="K71" i="48" s="1"/>
  <c r="K70" i="48"/>
  <c r="O26" i="49"/>
  <c r="P25" i="48" l="1"/>
  <c r="P24" i="48"/>
  <c r="P23" i="48"/>
  <c r="P22" i="48"/>
  <c r="P21" i="48"/>
  <c r="P20" i="48"/>
  <c r="P19" i="48"/>
  <c r="P18" i="48"/>
  <c r="P17" i="48"/>
  <c r="P16" i="48"/>
  <c r="P15" i="48"/>
  <c r="P14" i="48"/>
  <c r="P13" i="48"/>
  <c r="P12" i="48"/>
  <c r="P11" i="48"/>
  <c r="P10" i="48"/>
  <c r="P9" i="48"/>
  <c r="P8" i="48"/>
  <c r="P7" i="48"/>
  <c r="J26" i="48"/>
  <c r="K26" i="48" s="1"/>
  <c r="J27" i="48"/>
  <c r="K27" i="48" s="1"/>
  <c r="J28" i="48"/>
  <c r="K28" i="48" s="1"/>
  <c r="J29" i="48"/>
  <c r="K29" i="48" s="1"/>
  <c r="J30" i="48"/>
  <c r="K30" i="48" s="1"/>
  <c r="J31" i="48"/>
  <c r="K31" i="48" s="1"/>
  <c r="J32" i="48"/>
  <c r="K32" i="48" s="1"/>
  <c r="J33" i="48"/>
  <c r="K33" i="48" s="1"/>
  <c r="J25" i="48"/>
  <c r="K25" i="48" s="1"/>
  <c r="H20" i="57" l="1"/>
  <c r="N22" i="35"/>
  <c r="N26" i="35"/>
  <c r="N24" i="35"/>
  <c r="N23" i="35"/>
  <c r="N32" i="35" s="1"/>
  <c r="N20" i="57"/>
  <c r="H21" i="57" l="1"/>
  <c r="H22" i="57" s="1"/>
  <c r="N22" i="57" s="1"/>
  <c r="P27" i="39"/>
  <c r="P26" i="39"/>
  <c r="P25" i="39"/>
  <c r="P24" i="39"/>
  <c r="P23" i="39"/>
  <c r="P22" i="39"/>
  <c r="P21" i="39"/>
  <c r="P20" i="39"/>
  <c r="P19" i="39"/>
  <c r="P18" i="39"/>
  <c r="P17" i="39"/>
  <c r="P16" i="39"/>
  <c r="P15" i="39"/>
  <c r="P14" i="39"/>
  <c r="P13" i="39"/>
  <c r="P12" i="39"/>
  <c r="P11" i="39"/>
  <c r="P10" i="39"/>
  <c r="P9" i="39"/>
  <c r="P8" i="39"/>
  <c r="P7" i="39"/>
  <c r="J28" i="39"/>
  <c r="K28" i="39" s="1"/>
  <c r="J29" i="39"/>
  <c r="K29" i="39" s="1"/>
  <c r="J30" i="39"/>
  <c r="K30" i="39" s="1"/>
  <c r="J31" i="39"/>
  <c r="K31" i="39" s="1"/>
  <c r="J32" i="39"/>
  <c r="K32" i="39" s="1"/>
  <c r="J33" i="39"/>
  <c r="K33" i="39" s="1"/>
  <c r="J34" i="39"/>
  <c r="K34" i="39" s="1"/>
  <c r="J35" i="39"/>
  <c r="K35" i="39" s="1"/>
  <c r="H23" i="57" l="1"/>
  <c r="N21" i="57"/>
  <c r="N23" i="57"/>
  <c r="H24" i="57"/>
  <c r="N24" i="57" s="1"/>
  <c r="N12" i="53"/>
  <c r="J8" i="53"/>
  <c r="K8" i="53" s="1"/>
  <c r="J9" i="53"/>
  <c r="K9" i="53" s="1"/>
  <c r="J10" i="53"/>
  <c r="K10" i="53" s="1"/>
  <c r="J11" i="53"/>
  <c r="K11" i="53" s="1"/>
  <c r="J12" i="53"/>
  <c r="K12" i="53" s="1"/>
  <c r="J13" i="53"/>
  <c r="K13" i="53" s="1"/>
  <c r="J14" i="53"/>
  <c r="K14" i="53" s="1"/>
  <c r="J15" i="53"/>
  <c r="K15" i="53" s="1"/>
  <c r="J16" i="53"/>
  <c r="K16" i="53" s="1"/>
  <c r="J17" i="53"/>
  <c r="K17" i="53" s="1"/>
  <c r="J18" i="53"/>
  <c r="K18" i="53" s="1"/>
  <c r="N24" i="30"/>
  <c r="N23" i="30"/>
  <c r="N22" i="30"/>
  <c r="M31" i="30"/>
  <c r="S29" i="37"/>
  <c r="Q28" i="47"/>
  <c r="Q26" i="47"/>
  <c r="O28" i="28"/>
  <c r="R28" i="38"/>
  <c r="O27" i="39"/>
  <c r="O36" i="39" s="1"/>
  <c r="O26" i="39"/>
  <c r="O30" i="39"/>
  <c r="P25" i="49"/>
  <c r="N30" i="57" l="1"/>
  <c r="P28" i="49"/>
  <c r="P29" i="49"/>
  <c r="I80" i="56"/>
  <c r="L80" i="56" s="1"/>
  <c r="O80" i="56" s="1"/>
  <c r="R80" i="56" s="1"/>
  <c r="I80" i="55"/>
  <c r="L80" i="55" s="1"/>
  <c r="O80" i="55" s="1"/>
  <c r="R80" i="55" s="1"/>
  <c r="I83" i="54"/>
  <c r="L83" i="54" s="1"/>
  <c r="O83" i="54" s="1"/>
  <c r="R83" i="54" s="1"/>
  <c r="I121" i="52"/>
  <c r="L121" i="52" s="1"/>
  <c r="O121" i="52" s="1"/>
  <c r="R121" i="52" s="1"/>
  <c r="I102" i="33"/>
  <c r="L102" i="33" s="1"/>
  <c r="O102" i="33" s="1"/>
  <c r="R102" i="33" s="1"/>
  <c r="I128" i="51"/>
  <c r="L128" i="51" s="1"/>
  <c r="O128" i="51" s="1"/>
  <c r="R128" i="51" s="1"/>
  <c r="I121" i="40"/>
  <c r="L121" i="40" s="1"/>
  <c r="O121" i="40" s="1"/>
  <c r="R121" i="40" s="1"/>
  <c r="I101" i="24"/>
  <c r="L101" i="24" s="1"/>
  <c r="O101" i="24" s="1"/>
  <c r="R101" i="24" s="1"/>
  <c r="I121" i="19"/>
  <c r="L121" i="19" s="1"/>
  <c r="O121" i="19" s="1"/>
  <c r="R121" i="19" s="1"/>
  <c r="I190" i="57"/>
  <c r="L190" i="57" s="1"/>
  <c r="O190" i="57" s="1"/>
  <c r="R190" i="57" s="1"/>
  <c r="I132" i="29"/>
  <c r="L132" i="29" s="1"/>
  <c r="O132" i="29" s="1"/>
  <c r="R132" i="29" s="1"/>
  <c r="I100" i="53"/>
  <c r="L100" i="53" s="1"/>
  <c r="O100" i="53" s="1"/>
  <c r="R100" i="53" s="1"/>
  <c r="I93" i="17"/>
  <c r="L93" i="17" s="1"/>
  <c r="O93" i="17" s="1"/>
  <c r="R93" i="17" s="1"/>
  <c r="I107" i="35"/>
  <c r="L107" i="35" s="1"/>
  <c r="O107" i="35" s="1"/>
  <c r="R107" i="35" s="1"/>
  <c r="I108" i="30"/>
  <c r="L108" i="30" s="1"/>
  <c r="O108" i="30" s="1"/>
  <c r="R108" i="30" s="1"/>
  <c r="I114" i="32"/>
  <c r="L114" i="32" s="1"/>
  <c r="O114" i="32" s="1"/>
  <c r="R114" i="32" s="1"/>
  <c r="I121" i="37"/>
  <c r="L121" i="37" s="1"/>
  <c r="O121" i="37" s="1"/>
  <c r="R121" i="37" s="1"/>
  <c r="I114" i="47"/>
  <c r="L114" i="47" s="1"/>
  <c r="O114" i="47" s="1"/>
  <c r="R114" i="47" s="1"/>
  <c r="I115" i="31"/>
  <c r="L115" i="31" s="1"/>
  <c r="O115" i="31" s="1"/>
  <c r="R115" i="31" s="1"/>
  <c r="I115" i="28"/>
  <c r="L115" i="28" s="1"/>
  <c r="O115" i="28" s="1"/>
  <c r="R115" i="28" s="1"/>
  <c r="I116" i="38"/>
  <c r="L116" i="38" s="1"/>
  <c r="O116" i="38" s="1"/>
  <c r="R116" i="38" s="1"/>
  <c r="I110" i="49"/>
  <c r="L110" i="49" s="1"/>
  <c r="O110" i="49" s="1"/>
  <c r="R110" i="49" s="1"/>
  <c r="I114" i="39"/>
  <c r="L114" i="39" s="1"/>
  <c r="O114" i="39" s="1"/>
  <c r="R114" i="39" s="1"/>
  <c r="I112" i="48"/>
  <c r="L112" i="48" s="1"/>
  <c r="O112" i="48" s="1"/>
  <c r="R112" i="48" s="1"/>
  <c r="N28" i="41"/>
  <c r="N29" i="41"/>
  <c r="O25" i="41"/>
  <c r="I118" i="41"/>
  <c r="L118" i="41" s="1"/>
  <c r="O118" i="41" s="1"/>
  <c r="R118" i="41" s="1"/>
  <c r="M26" i="24" l="1"/>
  <c r="M22" i="24"/>
  <c r="M21" i="24" l="1"/>
  <c r="M30" i="24" s="1"/>
  <c r="J27" i="37" l="1"/>
  <c r="K27" i="37" s="1"/>
  <c r="J28" i="37"/>
  <c r="K28" i="37" s="1"/>
  <c r="J29" i="37"/>
  <c r="K29" i="37" s="1"/>
  <c r="J30" i="37"/>
  <c r="K30" i="37" s="1"/>
  <c r="J31" i="37"/>
  <c r="K31" i="37" s="1"/>
  <c r="J32" i="37"/>
  <c r="K32" i="37" s="1"/>
  <c r="J33" i="37"/>
  <c r="K33" i="37" s="1"/>
  <c r="J34" i="37"/>
  <c r="K34" i="37" s="1"/>
  <c r="J35" i="37"/>
  <c r="K35" i="37" s="1"/>
  <c r="J26" i="37"/>
  <c r="K26" i="37" s="1"/>
  <c r="J25" i="37"/>
  <c r="L26" i="47"/>
  <c r="J25" i="47"/>
  <c r="J27" i="47"/>
  <c r="K27" i="47" s="1"/>
  <c r="J28" i="47"/>
  <c r="K28" i="47" s="1"/>
  <c r="J29" i="47"/>
  <c r="K29" i="47" s="1"/>
  <c r="J30" i="47"/>
  <c r="K30" i="47" s="1"/>
  <c r="J31" i="47"/>
  <c r="K31" i="47" s="1"/>
  <c r="J32" i="47"/>
  <c r="K32" i="47" s="1"/>
  <c r="J33" i="47"/>
  <c r="K33" i="47" s="1"/>
  <c r="J34" i="47"/>
  <c r="K34" i="47" s="1"/>
  <c r="J35" i="47"/>
  <c r="K35" i="47" s="1"/>
  <c r="J26" i="47"/>
  <c r="K26" i="47" s="1"/>
  <c r="P14" i="17" l="1"/>
  <c r="O34" i="29"/>
  <c r="H25" i="29"/>
  <c r="N9" i="53"/>
  <c r="N10" i="53"/>
  <c r="N19" i="53" s="1"/>
  <c r="N11" i="53"/>
  <c r="N13" i="53"/>
  <c r="I11" i="53"/>
  <c r="I12" i="53" s="1"/>
  <c r="I13" i="53" s="1"/>
  <c r="I14" i="53" s="1"/>
  <c r="I15" i="53" s="1"/>
  <c r="I16" i="53" s="1"/>
  <c r="I17" i="53" s="1"/>
  <c r="I18" i="53" s="1"/>
  <c r="I19" i="53" s="1"/>
  <c r="I20" i="53" s="1"/>
  <c r="M22" i="56"/>
  <c r="M21" i="56"/>
  <c r="M20" i="56"/>
  <c r="M19" i="56"/>
  <c r="M18" i="56"/>
  <c r="N17" i="56"/>
  <c r="M17" i="56"/>
  <c r="N16" i="56"/>
  <c r="M16" i="56"/>
  <c r="N15" i="56"/>
  <c r="M15" i="56"/>
  <c r="N14" i="56"/>
  <c r="N23" i="56" s="1"/>
  <c r="M14" i="56"/>
  <c r="M23" i="56" s="1"/>
  <c r="N13" i="56"/>
  <c r="M22" i="55"/>
  <c r="M21" i="55"/>
  <c r="M20" i="55"/>
  <c r="M19" i="55"/>
  <c r="M18" i="55"/>
  <c r="N17" i="55"/>
  <c r="M17" i="55"/>
  <c r="N16" i="55"/>
  <c r="M16" i="55"/>
  <c r="N15" i="55"/>
  <c r="M15" i="55"/>
  <c r="N14" i="55"/>
  <c r="N23" i="55" s="1"/>
  <c r="M14" i="55"/>
  <c r="M23" i="55" s="1"/>
  <c r="N13" i="55"/>
  <c r="M22" i="54"/>
  <c r="M21" i="54"/>
  <c r="M20" i="54"/>
  <c r="M19" i="54"/>
  <c r="M18" i="54"/>
  <c r="N17" i="54"/>
  <c r="M17" i="54"/>
  <c r="N16" i="54"/>
  <c r="M16" i="54"/>
  <c r="N15" i="54"/>
  <c r="M15" i="54"/>
  <c r="N14" i="54"/>
  <c r="N23" i="54" s="1"/>
  <c r="M14" i="54"/>
  <c r="M23" i="54" s="1"/>
  <c r="N13" i="54"/>
  <c r="M22" i="53"/>
  <c r="M21" i="53"/>
  <c r="M20" i="53"/>
  <c r="M19" i="53"/>
  <c r="M18" i="53"/>
  <c r="M17" i="53"/>
  <c r="M16" i="53"/>
  <c r="M15" i="53"/>
  <c r="M14" i="53"/>
  <c r="M23" i="53" s="1"/>
  <c r="P17" i="17"/>
  <c r="P16" i="17"/>
  <c r="P15" i="17"/>
  <c r="P23" i="17" s="1"/>
  <c r="P13" i="17"/>
  <c r="H19" i="52"/>
  <c r="H20" i="52" s="1"/>
  <c r="H21" i="52" s="1"/>
  <c r="H22" i="52" s="1"/>
  <c r="H23" i="52" s="1"/>
  <c r="H24" i="52" s="1"/>
  <c r="N24" i="52" s="1"/>
  <c r="D18" i="52"/>
  <c r="L14" i="52"/>
  <c r="D19" i="52" s="1"/>
  <c r="O21" i="33"/>
  <c r="O30" i="33" s="1"/>
  <c r="O22" i="33"/>
  <c r="O23" i="33"/>
  <c r="O24" i="33"/>
  <c r="O20" i="33"/>
  <c r="N30" i="33"/>
  <c r="N21" i="33"/>
  <c r="N28" i="33"/>
  <c r="N29" i="33"/>
  <c r="N27" i="33"/>
  <c r="N22" i="33"/>
  <c r="N23" i="33"/>
  <c r="N24" i="33"/>
  <c r="N25" i="33"/>
  <c r="N26" i="33"/>
  <c r="N23" i="52" l="1"/>
  <c r="N20" i="52"/>
  <c r="N21" i="52"/>
  <c r="N22" i="52"/>
  <c r="N30" i="52" s="1"/>
  <c r="I19" i="51"/>
  <c r="I20" i="51" s="1"/>
  <c r="I21" i="51" s="1"/>
  <c r="I22" i="51" s="1"/>
  <c r="I23" i="51" s="1"/>
  <c r="I24" i="51" s="1"/>
  <c r="I25" i="51" s="1"/>
  <c r="I26" i="51" s="1"/>
  <c r="I27" i="51" s="1"/>
  <c r="I28" i="51" s="1"/>
  <c r="I29" i="51" s="1"/>
  <c r="H19" i="51"/>
  <c r="H20" i="51" s="1"/>
  <c r="L20" i="51"/>
  <c r="N28" i="40"/>
  <c r="N26" i="40"/>
  <c r="N27" i="40"/>
  <c r="N29" i="40"/>
  <c r="N30" i="40"/>
  <c r="M28" i="40"/>
  <c r="M29" i="40"/>
  <c r="M30" i="40"/>
  <c r="M31" i="40"/>
  <c r="M32" i="40"/>
  <c r="M33" i="40"/>
  <c r="M34" i="40"/>
  <c r="M35" i="40"/>
  <c r="M27" i="40"/>
  <c r="M36" i="40" s="1"/>
  <c r="L26" i="40"/>
  <c r="N20" i="19"/>
  <c r="M24" i="24"/>
  <c r="M28" i="24"/>
  <c r="L30" i="24"/>
  <c r="D18" i="24" s="1"/>
  <c r="N21" i="24"/>
  <c r="N30" i="24" s="1"/>
  <c r="N22" i="24"/>
  <c r="N23" i="24"/>
  <c r="N24" i="24"/>
  <c r="M23" i="24"/>
  <c r="M27" i="24"/>
  <c r="P26" i="49"/>
  <c r="P27" i="49"/>
  <c r="L22" i="35"/>
  <c r="N25" i="35"/>
  <c r="M24" i="35"/>
  <c r="M25" i="35"/>
  <c r="M26" i="35"/>
  <c r="M27" i="35"/>
  <c r="M28" i="35"/>
  <c r="M29" i="35"/>
  <c r="M30" i="35"/>
  <c r="M31" i="35"/>
  <c r="M24" i="30"/>
  <c r="M25" i="30"/>
  <c r="M26" i="30"/>
  <c r="M27" i="30"/>
  <c r="M28" i="30"/>
  <c r="M29" i="30"/>
  <c r="M30" i="30"/>
  <c r="M23" i="35"/>
  <c r="M32" i="35" s="1"/>
  <c r="M23" i="30"/>
  <c r="M32" i="30" s="1"/>
  <c r="N25" i="30"/>
  <c r="N26" i="30"/>
  <c r="N24" i="32"/>
  <c r="M25" i="32"/>
  <c r="L22" i="30"/>
  <c r="H21" i="51" l="1"/>
  <c r="H22" i="51" s="1"/>
  <c r="N20" i="51"/>
  <c r="D19" i="24"/>
  <c r="D15" i="24"/>
  <c r="D16" i="24"/>
  <c r="D17" i="24"/>
  <c r="D14" i="24"/>
  <c r="N36" i="40"/>
  <c r="N32" i="30"/>
  <c r="P35" i="49"/>
  <c r="M29" i="24"/>
  <c r="M25" i="24"/>
  <c r="M28" i="32"/>
  <c r="M32" i="32"/>
  <c r="M26" i="32"/>
  <c r="N25" i="32"/>
  <c r="N26" i="32"/>
  <c r="N27" i="32"/>
  <c r="N28" i="32"/>
  <c r="R27" i="37"/>
  <c r="S26" i="37"/>
  <c r="M27" i="32"/>
  <c r="M29" i="32"/>
  <c r="M30" i="32"/>
  <c r="M31" i="32"/>
  <c r="M33" i="32"/>
  <c r="H23" i="51" l="1"/>
  <c r="N22" i="51"/>
  <c r="N21" i="51"/>
  <c r="N34" i="32"/>
  <c r="M34" i="32"/>
  <c r="E8" i="30"/>
  <c r="E7" i="30"/>
  <c r="L24" i="32"/>
  <c r="E8" i="32" s="1"/>
  <c r="L26" i="31"/>
  <c r="E7" i="31" s="1"/>
  <c r="H24" i="51" l="1"/>
  <c r="N24" i="51" s="1"/>
  <c r="N23" i="51"/>
  <c r="N30" i="51" s="1"/>
  <c r="E9" i="32"/>
  <c r="E10" i="32"/>
  <c r="E7" i="32"/>
  <c r="E12" i="31"/>
  <c r="E8" i="31"/>
  <c r="E10" i="31"/>
  <c r="E9" i="31"/>
  <c r="E11" i="31"/>
  <c r="S27" i="37"/>
  <c r="S36" i="37" s="1"/>
  <c r="S28" i="37"/>
  <c r="S30" i="37"/>
  <c r="R36" i="37"/>
  <c r="R28" i="37"/>
  <c r="R29" i="37"/>
  <c r="R30" i="37"/>
  <c r="R31" i="37"/>
  <c r="R32" i="37"/>
  <c r="R33" i="37"/>
  <c r="R34" i="37"/>
  <c r="R35" i="37"/>
  <c r="K25" i="37"/>
  <c r="N26" i="37"/>
  <c r="Q27" i="47"/>
  <c r="Q36" i="47" s="1"/>
  <c r="Q29" i="47"/>
  <c r="Q30" i="47"/>
  <c r="P35" i="47"/>
  <c r="P28" i="47"/>
  <c r="P29" i="47"/>
  <c r="P30" i="47"/>
  <c r="P31" i="47"/>
  <c r="P32" i="47"/>
  <c r="P33" i="47"/>
  <c r="P34" i="47"/>
  <c r="P27" i="47"/>
  <c r="P36" i="47" s="1"/>
  <c r="N29" i="31"/>
  <c r="N30" i="31"/>
  <c r="N27" i="31"/>
  <c r="N36" i="31" s="1"/>
  <c r="N28" i="31"/>
  <c r="N26" i="31"/>
  <c r="M35" i="31"/>
  <c r="M28" i="31"/>
  <c r="M29" i="31"/>
  <c r="M30" i="31"/>
  <c r="M31" i="31"/>
  <c r="M32" i="31"/>
  <c r="M33" i="31"/>
  <c r="M34" i="31"/>
  <c r="M27" i="31"/>
  <c r="M36" i="31" s="1"/>
  <c r="N30" i="41" l="1"/>
  <c r="O28" i="39"/>
  <c r="O29" i="39"/>
  <c r="N27" i="41" l="1"/>
  <c r="N26" i="41"/>
  <c r="O30" i="28"/>
  <c r="O27" i="28"/>
  <c r="O36" i="28" s="1"/>
  <c r="O29" i="28"/>
  <c r="O26" i="28"/>
  <c r="N28" i="28"/>
  <c r="N29" i="28"/>
  <c r="N30" i="28"/>
  <c r="N31" i="28"/>
  <c r="N32" i="28"/>
  <c r="N33" i="28"/>
  <c r="N34" i="28"/>
  <c r="N35" i="28"/>
  <c r="N27" i="28"/>
  <c r="N36" i="28" s="1"/>
  <c r="R26" i="38" l="1"/>
  <c r="R29" i="38"/>
  <c r="R30" i="38"/>
  <c r="R27" i="38"/>
  <c r="R36" i="38" s="1"/>
  <c r="Q35" i="38"/>
  <c r="Q28" i="38"/>
  <c r="Q29" i="38"/>
  <c r="Q30" i="38"/>
  <c r="Q31" i="38"/>
  <c r="Q32" i="38"/>
  <c r="Q33" i="38"/>
  <c r="Q34" i="38"/>
  <c r="Q27" i="38"/>
  <c r="Q36" i="38" s="1"/>
  <c r="I19" i="57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N25" i="48"/>
  <c r="N26" i="48"/>
  <c r="N27" i="48"/>
  <c r="N28" i="48"/>
  <c r="N24" i="48"/>
  <c r="N34" i="48" l="1"/>
  <c r="I58" i="56" l="1"/>
  <c r="M58" i="56" s="1"/>
  <c r="Q58" i="56" s="1"/>
  <c r="U58" i="56" s="1"/>
  <c r="I58" i="55"/>
  <c r="M58" i="55" s="1"/>
  <c r="Q58" i="55" s="1"/>
  <c r="U58" i="55" s="1"/>
  <c r="I59" i="54"/>
  <c r="M59" i="54" s="1"/>
  <c r="Q59" i="54" s="1"/>
  <c r="U59" i="54" s="1"/>
  <c r="M25" i="57" l="1"/>
  <c r="F11" i="57"/>
  <c r="G21" i="57"/>
  <c r="G22" i="57"/>
  <c r="M22" i="57" s="1"/>
  <c r="G23" i="57"/>
  <c r="G24" i="57"/>
  <c r="M24" i="57" s="1"/>
  <c r="G25" i="57"/>
  <c r="G26" i="57"/>
  <c r="M26" i="57" s="1"/>
  <c r="G27" i="57"/>
  <c r="M27" i="57" s="1"/>
  <c r="G28" i="57"/>
  <c r="M28" i="57" s="1"/>
  <c r="G29" i="57"/>
  <c r="G20" i="57"/>
  <c r="J7" i="57"/>
  <c r="K7" i="57" s="1"/>
  <c r="J8" i="57"/>
  <c r="K8" i="57" s="1"/>
  <c r="J9" i="57"/>
  <c r="K9" i="57" s="1"/>
  <c r="J10" i="57"/>
  <c r="K10" i="57" s="1"/>
  <c r="J11" i="57"/>
  <c r="K11" i="57" s="1"/>
  <c r="J12" i="57"/>
  <c r="K12" i="57" s="1"/>
  <c r="J13" i="57"/>
  <c r="K13" i="57" s="1"/>
  <c r="J14" i="57"/>
  <c r="K14" i="57" s="1"/>
  <c r="J15" i="57"/>
  <c r="K15" i="57" s="1"/>
  <c r="J16" i="57"/>
  <c r="K16" i="57" s="1"/>
  <c r="F8" i="57"/>
  <c r="F9" i="57"/>
  <c r="F10" i="57"/>
  <c r="F12" i="57"/>
  <c r="F13" i="57"/>
  <c r="F14" i="57"/>
  <c r="F15" i="57"/>
  <c r="F16" i="57"/>
  <c r="F17" i="57"/>
  <c r="M29" i="57" l="1"/>
  <c r="M21" i="57"/>
  <c r="M30" i="57" s="1"/>
  <c r="M23" i="57"/>
  <c r="F18" i="57"/>
  <c r="D17" i="57"/>
  <c r="J17" i="57"/>
  <c r="K17" i="57" s="1"/>
  <c r="J18" i="57"/>
  <c r="K18" i="57" s="1"/>
  <c r="J19" i="57"/>
  <c r="K19" i="57" s="1"/>
  <c r="J20" i="57"/>
  <c r="K20" i="57" s="1"/>
  <c r="J21" i="57"/>
  <c r="K21" i="57" s="1"/>
  <c r="J22" i="57"/>
  <c r="K22" i="57" s="1"/>
  <c r="J23" i="57"/>
  <c r="K23" i="57" s="1"/>
  <c r="J24" i="57"/>
  <c r="K24" i="57" s="1"/>
  <c r="J25" i="57"/>
  <c r="K25" i="57" s="1"/>
  <c r="J26" i="57"/>
  <c r="K26" i="57" s="1"/>
  <c r="J27" i="57"/>
  <c r="K27" i="57" s="1"/>
  <c r="J28" i="57"/>
  <c r="K28" i="57" s="1"/>
  <c r="J29" i="57"/>
  <c r="K29" i="57" s="1"/>
  <c r="D19" i="57"/>
  <c r="D18" i="57"/>
  <c r="M23" i="19" l="1"/>
  <c r="M25" i="19"/>
  <c r="M26" i="19"/>
  <c r="M27" i="19"/>
  <c r="M29" i="19"/>
  <c r="M22" i="19" l="1"/>
  <c r="M21" i="19"/>
  <c r="M28" i="19"/>
  <c r="M24" i="19"/>
  <c r="E70" i="19"/>
  <c r="D78" i="19" s="1"/>
  <c r="L14" i="19"/>
  <c r="M30" i="19" l="1"/>
  <c r="E15" i="19"/>
  <c r="E14" i="19"/>
  <c r="D18" i="19"/>
  <c r="E16" i="19"/>
  <c r="E17" i="19"/>
  <c r="K18" i="51"/>
  <c r="J7" i="51"/>
  <c r="K7" i="51" s="1"/>
  <c r="J8" i="51"/>
  <c r="K8" i="51" s="1"/>
  <c r="J9" i="51"/>
  <c r="K9" i="51" s="1"/>
  <c r="J10" i="51"/>
  <c r="K10" i="51" s="1"/>
  <c r="J11" i="51"/>
  <c r="K11" i="51" s="1"/>
  <c r="J12" i="51"/>
  <c r="K12" i="51" s="1"/>
  <c r="J13" i="51"/>
  <c r="K13" i="51" s="1"/>
  <c r="J14" i="51"/>
  <c r="K14" i="51" s="1"/>
  <c r="J15" i="51"/>
  <c r="K15" i="51" s="1"/>
  <c r="J16" i="51"/>
  <c r="K16" i="51" s="1"/>
  <c r="J17" i="51"/>
  <c r="K17" i="51" s="1"/>
  <c r="J18" i="51"/>
  <c r="J19" i="51"/>
  <c r="K19" i="51" s="1"/>
  <c r="J20" i="51"/>
  <c r="K20" i="51" s="1"/>
  <c r="J21" i="51"/>
  <c r="K21" i="51" s="1"/>
  <c r="J22" i="51"/>
  <c r="K22" i="51" s="1"/>
  <c r="J23" i="51"/>
  <c r="K23" i="51" s="1"/>
  <c r="J24" i="51"/>
  <c r="K24" i="51" s="1"/>
  <c r="J25" i="51"/>
  <c r="K25" i="51" s="1"/>
  <c r="J26" i="51"/>
  <c r="K26" i="51" s="1"/>
  <c r="J27" i="51"/>
  <c r="K27" i="51" s="1"/>
  <c r="J28" i="51"/>
  <c r="K28" i="51" s="1"/>
  <c r="J29" i="51"/>
  <c r="K29" i="51" s="1"/>
  <c r="I77" i="57" l="1"/>
  <c r="D86" i="57" s="1"/>
  <c r="M77" i="57"/>
  <c r="D87" i="57" s="1"/>
  <c r="Q77" i="57"/>
  <c r="D88" i="57" s="1"/>
  <c r="U77" i="57"/>
  <c r="D89" i="57" s="1"/>
  <c r="E77" i="57"/>
  <c r="D85" i="57" s="1"/>
  <c r="I73" i="57"/>
  <c r="M73" i="57" s="1"/>
  <c r="Q73" i="57" s="1"/>
  <c r="U73" i="57" s="1"/>
  <c r="G21" i="52"/>
  <c r="G22" i="52"/>
  <c r="M22" i="52" s="1"/>
  <c r="G23" i="52"/>
  <c r="G24" i="52"/>
  <c r="M24" i="52" s="1"/>
  <c r="G25" i="52"/>
  <c r="G26" i="52"/>
  <c r="M26" i="52" s="1"/>
  <c r="G27" i="52"/>
  <c r="G28" i="52"/>
  <c r="M28" i="52" s="1"/>
  <c r="G29" i="52"/>
  <c r="G20" i="52"/>
  <c r="D16" i="52"/>
  <c r="G31" i="52" l="1"/>
  <c r="M29" i="52"/>
  <c r="M25" i="52"/>
  <c r="M21" i="52"/>
  <c r="M27" i="52"/>
  <c r="M23" i="52"/>
  <c r="D17" i="52"/>
  <c r="D14" i="52"/>
  <c r="D15" i="52"/>
  <c r="I71" i="52"/>
  <c r="D81" i="52" s="1"/>
  <c r="M71" i="52"/>
  <c r="D82" i="52" s="1"/>
  <c r="Q71" i="52"/>
  <c r="D84" i="52" s="1"/>
  <c r="U71" i="52"/>
  <c r="E71" i="52"/>
  <c r="D80" i="52" s="1"/>
  <c r="M30" i="52" l="1"/>
  <c r="D83" i="52"/>
  <c r="F19" i="57"/>
  <c r="K18" i="56"/>
  <c r="K17" i="56"/>
  <c r="K16" i="56"/>
  <c r="K15" i="56"/>
  <c r="K14" i="56"/>
  <c r="K13" i="56"/>
  <c r="K12" i="56"/>
  <c r="K11" i="56"/>
  <c r="K10" i="56"/>
  <c r="L9" i="56"/>
  <c r="K9" i="56"/>
  <c r="K8" i="56"/>
  <c r="K7" i="56"/>
  <c r="K18" i="55"/>
  <c r="K17" i="55"/>
  <c r="K16" i="55"/>
  <c r="K15" i="55"/>
  <c r="K14" i="55"/>
  <c r="K13" i="55"/>
  <c r="K12" i="55"/>
  <c r="K11" i="55"/>
  <c r="K10" i="55"/>
  <c r="K9" i="55"/>
  <c r="K8" i="55"/>
  <c r="K7" i="55"/>
  <c r="K18" i="54"/>
  <c r="K17" i="54"/>
  <c r="K16" i="54"/>
  <c r="K15" i="54"/>
  <c r="K14" i="54"/>
  <c r="K13" i="54"/>
  <c r="K12" i="54"/>
  <c r="K11" i="54"/>
  <c r="K10" i="54"/>
  <c r="K9" i="54"/>
  <c r="K8" i="54"/>
  <c r="K7" i="54"/>
  <c r="G21" i="51" l="1"/>
  <c r="G22" i="51"/>
  <c r="M22" i="51" s="1"/>
  <c r="G23" i="51"/>
  <c r="G24" i="51"/>
  <c r="M24" i="51" s="1"/>
  <c r="G25" i="51"/>
  <c r="G26" i="51"/>
  <c r="M26" i="51" s="1"/>
  <c r="G27" i="51"/>
  <c r="M27" i="51" s="1"/>
  <c r="G28" i="51"/>
  <c r="M28" i="51" s="1"/>
  <c r="G29" i="51"/>
  <c r="G20" i="51"/>
  <c r="D19" i="51"/>
  <c r="M23" i="51" l="1"/>
  <c r="M29" i="51"/>
  <c r="M25" i="51"/>
  <c r="M21" i="51"/>
  <c r="D16" i="51"/>
  <c r="D17" i="51"/>
  <c r="D14" i="51"/>
  <c r="D18" i="51"/>
  <c r="D15" i="51"/>
  <c r="I75" i="51"/>
  <c r="D85" i="51" s="1"/>
  <c r="M75" i="51"/>
  <c r="D86" i="51" s="1"/>
  <c r="Q75" i="51"/>
  <c r="D87" i="51" s="1"/>
  <c r="U75" i="51"/>
  <c r="D88" i="51" s="1"/>
  <c r="E75" i="51"/>
  <c r="D84" i="51" s="1"/>
  <c r="J7" i="52"/>
  <c r="K7" i="52" s="1"/>
  <c r="J8" i="52"/>
  <c r="K8" i="52" s="1"/>
  <c r="J9" i="52"/>
  <c r="K9" i="52" s="1"/>
  <c r="J10" i="52"/>
  <c r="K10" i="52" s="1"/>
  <c r="J11" i="52"/>
  <c r="K11" i="52" s="1"/>
  <c r="J12" i="52"/>
  <c r="K12" i="52" s="1"/>
  <c r="J13" i="52"/>
  <c r="K13" i="52" s="1"/>
  <c r="J14" i="52"/>
  <c r="K14" i="52" s="1"/>
  <c r="J15" i="52"/>
  <c r="K15" i="52" s="1"/>
  <c r="J16" i="52"/>
  <c r="K16" i="52" s="1"/>
  <c r="J17" i="52"/>
  <c r="K17" i="52" s="1"/>
  <c r="J18" i="52"/>
  <c r="K18" i="52" s="1"/>
  <c r="J19" i="52"/>
  <c r="K19" i="52" s="1"/>
  <c r="J20" i="52"/>
  <c r="K20" i="52" s="1"/>
  <c r="J21" i="52"/>
  <c r="K21" i="52" s="1"/>
  <c r="J22" i="52"/>
  <c r="K22" i="52" s="1"/>
  <c r="J23" i="52"/>
  <c r="K23" i="52" s="1"/>
  <c r="J24" i="52"/>
  <c r="K24" i="52" s="1"/>
  <c r="J25" i="52"/>
  <c r="K25" i="52" s="1"/>
  <c r="J26" i="52"/>
  <c r="K26" i="52" s="1"/>
  <c r="J27" i="52"/>
  <c r="K27" i="52" s="1"/>
  <c r="J28" i="52"/>
  <c r="K28" i="52" s="1"/>
  <c r="J29" i="52"/>
  <c r="K29" i="52" s="1"/>
  <c r="I67" i="52"/>
  <c r="M67" i="52" s="1"/>
  <c r="Q67" i="52" s="1"/>
  <c r="U67" i="52" s="1"/>
  <c r="I19" i="52"/>
  <c r="I20" i="52" s="1"/>
  <c r="F19" i="52"/>
  <c r="F18" i="52"/>
  <c r="F17" i="52"/>
  <c r="F16" i="52"/>
  <c r="F15" i="52"/>
  <c r="F14" i="52"/>
  <c r="F13" i="52"/>
  <c r="F12" i="52"/>
  <c r="F11" i="52"/>
  <c r="F10" i="52"/>
  <c r="F9" i="52"/>
  <c r="F8" i="52"/>
  <c r="I71" i="51"/>
  <c r="M71" i="51" s="1"/>
  <c r="Q71" i="51" s="1"/>
  <c r="U71" i="51" s="1"/>
  <c r="F19" i="51"/>
  <c r="F18" i="51"/>
  <c r="F17" i="51"/>
  <c r="F16" i="51"/>
  <c r="F15" i="51"/>
  <c r="F14" i="51"/>
  <c r="F13" i="51"/>
  <c r="F12" i="51"/>
  <c r="F11" i="51"/>
  <c r="F10" i="51"/>
  <c r="F9" i="51"/>
  <c r="F8" i="51"/>
  <c r="F30" i="51" s="1"/>
  <c r="M30" i="51" l="1"/>
  <c r="F30" i="52"/>
  <c r="I21" i="52"/>
  <c r="I22" i="52" s="1"/>
  <c r="I23" i="52" s="1"/>
  <c r="I24" i="52" s="1"/>
  <c r="I25" i="52" s="1"/>
  <c r="I26" i="52" s="1"/>
  <c r="I27" i="52" s="1"/>
  <c r="I28" i="52" s="1"/>
  <c r="I29" i="52" s="1"/>
  <c r="I31" i="52" s="1"/>
  <c r="I32" i="52"/>
  <c r="O15" i="17"/>
  <c r="O17" i="17"/>
  <c r="O20" i="17"/>
  <c r="O21" i="17"/>
  <c r="O16" i="17" l="1"/>
  <c r="O22" i="17"/>
  <c r="O18" i="17"/>
  <c r="O14" i="17"/>
  <c r="O19" i="17"/>
  <c r="D8" i="17"/>
  <c r="D7" i="17"/>
  <c r="M13" i="17"/>
  <c r="N29" i="39"/>
  <c r="N31" i="39"/>
  <c r="N33" i="39"/>
  <c r="N35" i="39"/>
  <c r="M26" i="39"/>
  <c r="D24" i="39" s="1"/>
  <c r="M26" i="38"/>
  <c r="D24" i="38" s="1"/>
  <c r="M26" i="37"/>
  <c r="D23" i="38" l="1"/>
  <c r="D21" i="38"/>
  <c r="D25" i="38"/>
  <c r="D22" i="38"/>
  <c r="D20" i="38"/>
  <c r="D21" i="39"/>
  <c r="D25" i="39"/>
  <c r="O23" i="17"/>
  <c r="D22" i="39"/>
  <c r="N32" i="39"/>
  <c r="N28" i="39"/>
  <c r="D23" i="39"/>
  <c r="N27" i="39"/>
  <c r="D20" i="39"/>
  <c r="N34" i="39"/>
  <c r="N30" i="39"/>
  <c r="M28" i="41"/>
  <c r="M30" i="41"/>
  <c r="M31" i="41"/>
  <c r="M32" i="41"/>
  <c r="M34" i="41"/>
  <c r="M35" i="41"/>
  <c r="L26" i="41"/>
  <c r="D24" i="41" s="1"/>
  <c r="I24" i="35"/>
  <c r="I25" i="35" s="1"/>
  <c r="I26" i="35" s="1"/>
  <c r="I27" i="35" s="1"/>
  <c r="I28" i="35" s="1"/>
  <c r="I29" i="35" s="1"/>
  <c r="I30" i="35" s="1"/>
  <c r="I31" i="35" s="1"/>
  <c r="I32" i="35" s="1"/>
  <c r="I33" i="35" s="1"/>
  <c r="F16" i="35"/>
  <c r="F17" i="35"/>
  <c r="F18" i="35"/>
  <c r="F19" i="35"/>
  <c r="F20" i="35"/>
  <c r="F21" i="35"/>
  <c r="D21" i="35"/>
  <c r="D20" i="35"/>
  <c r="D19" i="35"/>
  <c r="D18" i="35"/>
  <c r="D17" i="35"/>
  <c r="D16" i="35"/>
  <c r="E8" i="35"/>
  <c r="E7" i="35"/>
  <c r="N36" i="39" l="1"/>
  <c r="M27" i="41"/>
  <c r="M33" i="41"/>
  <c r="M29" i="41"/>
  <c r="D25" i="41"/>
  <c r="E7" i="41"/>
  <c r="E11" i="41"/>
  <c r="D22" i="41"/>
  <c r="E10" i="41"/>
  <c r="E8" i="41"/>
  <c r="E12" i="41"/>
  <c r="D23" i="41"/>
  <c r="D21" i="41"/>
  <c r="E9" i="41"/>
  <c r="D20" i="41"/>
  <c r="M27" i="48"/>
  <c r="M28" i="48"/>
  <c r="M31" i="48"/>
  <c r="M32" i="48"/>
  <c r="M25" i="48" l="1"/>
  <c r="M26" i="48"/>
  <c r="M36" i="41"/>
  <c r="M30" i="48"/>
  <c r="M33" i="48"/>
  <c r="M29" i="48"/>
  <c r="I22" i="19"/>
  <c r="I23" i="19" s="1"/>
  <c r="I24" i="19" s="1"/>
  <c r="I25" i="19" s="1"/>
  <c r="I26" i="19" s="1"/>
  <c r="I27" i="19" s="1"/>
  <c r="I28" i="19" s="1"/>
  <c r="I29" i="19" s="1"/>
  <c r="I30" i="19" s="1"/>
  <c r="I31" i="19" s="1"/>
  <c r="M34" i="48" l="1"/>
  <c r="G27" i="29" l="1"/>
  <c r="G28" i="29"/>
  <c r="G29" i="29"/>
  <c r="G30" i="29"/>
  <c r="G31" i="29"/>
  <c r="N31" i="29" s="1"/>
  <c r="G32" i="29"/>
  <c r="G33" i="29"/>
  <c r="G34" i="29"/>
  <c r="G35" i="29"/>
  <c r="G26" i="29"/>
  <c r="L26" i="29"/>
  <c r="E11" i="29" s="1"/>
  <c r="L26" i="28"/>
  <c r="E11" i="28" s="1"/>
  <c r="N33" i="29" l="1"/>
  <c r="N29" i="29"/>
  <c r="N35" i="29"/>
  <c r="N27" i="29"/>
  <c r="N34" i="29"/>
  <c r="N30" i="29"/>
  <c r="N32" i="29"/>
  <c r="N28" i="29"/>
  <c r="N36" i="29" s="1"/>
  <c r="D25" i="29"/>
  <c r="E12" i="29"/>
  <c r="E9" i="29"/>
  <c r="E10" i="29"/>
  <c r="E8" i="29"/>
  <c r="E7" i="29"/>
  <c r="E10" i="28"/>
  <c r="E9" i="28"/>
  <c r="E7" i="28"/>
  <c r="E12" i="28"/>
  <c r="E8" i="28"/>
  <c r="N20" i="24"/>
  <c r="O28" i="49"/>
  <c r="O29" i="49"/>
  <c r="O30" i="49"/>
  <c r="O32" i="49"/>
  <c r="O34" i="49"/>
  <c r="O33" i="49" l="1"/>
  <c r="O31" i="49"/>
  <c r="O27" i="49"/>
  <c r="O35" i="49" s="1"/>
  <c r="I66" i="19"/>
  <c r="M66" i="19" s="1"/>
  <c r="Q66" i="19" s="1"/>
  <c r="U66" i="19" s="1"/>
  <c r="I79" i="29"/>
  <c r="M79" i="29" s="1"/>
  <c r="Q79" i="29" s="1"/>
  <c r="U79" i="29" s="1"/>
  <c r="K34" i="49" l="1"/>
  <c r="K33" i="49"/>
  <c r="K32" i="49"/>
  <c r="K31" i="49"/>
  <c r="K30" i="49"/>
  <c r="K29" i="49"/>
  <c r="K28" i="49"/>
  <c r="K27" i="49"/>
  <c r="K26" i="49"/>
  <c r="K25" i="49"/>
  <c r="K24" i="49"/>
  <c r="F24" i="49"/>
  <c r="K23" i="49"/>
  <c r="F23" i="49"/>
  <c r="K22" i="49"/>
  <c r="F22" i="49"/>
  <c r="K21" i="49"/>
  <c r="F21" i="49"/>
  <c r="K20" i="49"/>
  <c r="F20" i="49"/>
  <c r="K19" i="49"/>
  <c r="F19" i="49"/>
  <c r="K18" i="49"/>
  <c r="F18" i="49"/>
  <c r="K17" i="49"/>
  <c r="F17" i="49"/>
  <c r="K16" i="49"/>
  <c r="F16" i="49"/>
  <c r="K15" i="49"/>
  <c r="F15" i="49"/>
  <c r="K14" i="49"/>
  <c r="F14" i="49"/>
  <c r="K13" i="49"/>
  <c r="F13" i="49"/>
  <c r="K12" i="49"/>
  <c r="K11" i="49"/>
  <c r="K10" i="49"/>
  <c r="K9" i="49"/>
  <c r="K8" i="49"/>
  <c r="K7" i="49"/>
  <c r="L25" i="49" l="1"/>
  <c r="E11" i="49" l="1"/>
  <c r="F12" i="49" s="1"/>
  <c r="E7" i="49"/>
  <c r="E10" i="49"/>
  <c r="E9" i="49"/>
  <c r="E8" i="49"/>
  <c r="I27" i="49" l="1"/>
  <c r="F9" i="49"/>
  <c r="F8" i="49"/>
  <c r="F11" i="49"/>
  <c r="F10" i="49"/>
  <c r="F37" i="49" l="1"/>
  <c r="I28" i="49"/>
  <c r="I29" i="49" l="1"/>
  <c r="I30" i="49" l="1"/>
  <c r="K24" i="48"/>
  <c r="K23" i="48"/>
  <c r="I26" i="48"/>
  <c r="I27" i="48" s="1"/>
  <c r="I28" i="48" s="1"/>
  <c r="I29" i="48" s="1"/>
  <c r="I30" i="48" s="1"/>
  <c r="I31" i="48" s="1"/>
  <c r="I32" i="48" s="1"/>
  <c r="I33" i="48" s="1"/>
  <c r="I34" i="48" s="1"/>
  <c r="I35" i="48" s="1"/>
  <c r="F23" i="48"/>
  <c r="L24" i="48"/>
  <c r="D22" i="48" s="1"/>
  <c r="K22" i="48"/>
  <c r="K21" i="48"/>
  <c r="K20" i="48"/>
  <c r="K19" i="48"/>
  <c r="K18" i="48"/>
  <c r="K17" i="48"/>
  <c r="K16" i="48"/>
  <c r="K15" i="48"/>
  <c r="K14" i="48"/>
  <c r="K13" i="48"/>
  <c r="K12" i="48"/>
  <c r="F12" i="48"/>
  <c r="K11" i="48"/>
  <c r="K10" i="48"/>
  <c r="K9" i="48"/>
  <c r="K8" i="48"/>
  <c r="K7" i="48"/>
  <c r="I31" i="49" l="1"/>
  <c r="D21" i="48"/>
  <c r="E10" i="48"/>
  <c r="D19" i="48"/>
  <c r="D18" i="48"/>
  <c r="D20" i="48"/>
  <c r="E9" i="48"/>
  <c r="D23" i="48"/>
  <c r="E8" i="48"/>
  <c r="E7" i="48"/>
  <c r="F19" i="48"/>
  <c r="F13" i="48"/>
  <c r="I32" i="49" l="1"/>
  <c r="F16" i="48"/>
  <c r="F8" i="48"/>
  <c r="F14" i="48"/>
  <c r="F17" i="48"/>
  <c r="F10" i="48"/>
  <c r="F11" i="48"/>
  <c r="F21" i="48"/>
  <c r="F22" i="48"/>
  <c r="F15" i="48"/>
  <c r="F9" i="48"/>
  <c r="F18" i="48"/>
  <c r="F20" i="48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F9" i="17"/>
  <c r="F10" i="17"/>
  <c r="F11" i="17"/>
  <c r="F12" i="17"/>
  <c r="F8" i="17"/>
  <c r="F36" i="48" l="1"/>
  <c r="F25" i="17"/>
  <c r="I33" i="49"/>
  <c r="I34" i="49" s="1"/>
  <c r="I35" i="49" s="1"/>
  <c r="I36" i="49" s="1"/>
  <c r="E10" i="47"/>
  <c r="E11" i="47" l="1"/>
  <c r="E12" i="47"/>
  <c r="E8" i="47"/>
  <c r="E7" i="47"/>
  <c r="E9" i="47"/>
  <c r="R36" i="47"/>
  <c r="R35" i="47"/>
  <c r="R34" i="47"/>
  <c r="K25" i="47"/>
  <c r="I28" i="47"/>
  <c r="I29" i="47" s="1"/>
  <c r="I30" i="47" s="1"/>
  <c r="I31" i="47" s="1"/>
  <c r="I32" i="47" s="1"/>
  <c r="I33" i="47" s="1"/>
  <c r="I34" i="47" s="1"/>
  <c r="I35" i="47" s="1"/>
  <c r="I36" i="47" s="1"/>
  <c r="I37" i="47" s="1"/>
  <c r="F25" i="47"/>
  <c r="J24" i="47"/>
  <c r="K24" i="47" s="1"/>
  <c r="F24" i="47"/>
  <c r="J23" i="47"/>
  <c r="K23" i="47" s="1"/>
  <c r="F23" i="47"/>
  <c r="J22" i="47"/>
  <c r="K22" i="47" s="1"/>
  <c r="F22" i="47"/>
  <c r="J21" i="47"/>
  <c r="K21" i="47" s="1"/>
  <c r="F21" i="47"/>
  <c r="J20" i="47"/>
  <c r="K20" i="47" s="1"/>
  <c r="F20" i="47"/>
  <c r="J19" i="47"/>
  <c r="K19" i="47" s="1"/>
  <c r="F19" i="47"/>
  <c r="J18" i="47"/>
  <c r="K18" i="47" s="1"/>
  <c r="F18" i="47"/>
  <c r="J17" i="47"/>
  <c r="K17" i="47" s="1"/>
  <c r="F17" i="47"/>
  <c r="J16" i="47"/>
  <c r="K16" i="47" s="1"/>
  <c r="F16" i="47"/>
  <c r="J15" i="47"/>
  <c r="K15" i="47" s="1"/>
  <c r="F15" i="47"/>
  <c r="J14" i="47"/>
  <c r="K14" i="47" s="1"/>
  <c r="F14" i="47"/>
  <c r="J13" i="47"/>
  <c r="K13" i="47" s="1"/>
  <c r="J12" i="47"/>
  <c r="K12" i="47" s="1"/>
  <c r="J11" i="47"/>
  <c r="K11" i="47" s="1"/>
  <c r="J10" i="47"/>
  <c r="K10" i="47" s="1"/>
  <c r="J9" i="47"/>
  <c r="K9" i="47" s="1"/>
  <c r="J8" i="47"/>
  <c r="K8" i="47" s="1"/>
  <c r="J7" i="47"/>
  <c r="K7" i="47" s="1"/>
  <c r="I28" i="40"/>
  <c r="I29" i="40" s="1"/>
  <c r="I30" i="40" s="1"/>
  <c r="I31" i="40" s="1"/>
  <c r="I32" i="40" s="1"/>
  <c r="I33" i="40" s="1"/>
  <c r="I34" i="40" s="1"/>
  <c r="I35" i="40" s="1"/>
  <c r="I36" i="40" s="1"/>
  <c r="I37" i="40" s="1"/>
  <c r="F14" i="40"/>
  <c r="F15" i="40"/>
  <c r="F16" i="40"/>
  <c r="F17" i="40"/>
  <c r="F18" i="40"/>
  <c r="F19" i="40"/>
  <c r="F20" i="40"/>
  <c r="F21" i="40"/>
  <c r="F22" i="40"/>
  <c r="F23" i="40"/>
  <c r="F24" i="40"/>
  <c r="F25" i="40"/>
  <c r="E10" i="40"/>
  <c r="I28" i="39"/>
  <c r="I29" i="39" s="1"/>
  <c r="I30" i="39" s="1"/>
  <c r="I31" i="39" s="1"/>
  <c r="I32" i="39" s="1"/>
  <c r="I33" i="39" s="1"/>
  <c r="I34" i="39" s="1"/>
  <c r="I35" i="39" s="1"/>
  <c r="I36" i="39" s="1"/>
  <c r="I37" i="39" s="1"/>
  <c r="F14" i="39"/>
  <c r="F15" i="39"/>
  <c r="F16" i="39"/>
  <c r="F17" i="39"/>
  <c r="F18" i="39"/>
  <c r="F19" i="39"/>
  <c r="F20" i="39"/>
  <c r="F21" i="39"/>
  <c r="F22" i="39"/>
  <c r="F23" i="39"/>
  <c r="F24" i="39"/>
  <c r="F25" i="39"/>
  <c r="E9" i="39"/>
  <c r="J8" i="39"/>
  <c r="J9" i="39"/>
  <c r="J10" i="39"/>
  <c r="J11" i="39"/>
  <c r="J12" i="39"/>
  <c r="J13" i="39"/>
  <c r="J14" i="39"/>
  <c r="J15" i="39"/>
  <c r="J16" i="39"/>
  <c r="J17" i="39"/>
  <c r="J18" i="39"/>
  <c r="J19" i="39"/>
  <c r="J20" i="39"/>
  <c r="J21" i="39"/>
  <c r="J22" i="39"/>
  <c r="J23" i="39"/>
  <c r="J24" i="39"/>
  <c r="J25" i="39"/>
  <c r="J26" i="39"/>
  <c r="J7" i="39"/>
  <c r="I15" i="17" l="1"/>
  <c r="E9" i="40"/>
  <c r="F10" i="40" s="1"/>
  <c r="E11" i="40"/>
  <c r="F11" i="40" s="1"/>
  <c r="E7" i="40"/>
  <c r="E12" i="40"/>
  <c r="F13" i="40" s="1"/>
  <c r="E8" i="40"/>
  <c r="E10" i="39"/>
  <c r="F10" i="39" s="1"/>
  <c r="E7" i="39"/>
  <c r="E8" i="39"/>
  <c r="E12" i="39"/>
  <c r="E11" i="39"/>
  <c r="F8" i="47"/>
  <c r="F10" i="47"/>
  <c r="F11" i="47"/>
  <c r="P36" i="38"/>
  <c r="P26" i="38"/>
  <c r="O35" i="38"/>
  <c r="P35" i="38" s="1"/>
  <c r="O34" i="38"/>
  <c r="P34" i="38" s="1"/>
  <c r="O33" i="38"/>
  <c r="P33" i="38" s="1"/>
  <c r="O32" i="38"/>
  <c r="P32" i="38" s="1"/>
  <c r="O31" i="38"/>
  <c r="P31" i="38" s="1"/>
  <c r="O30" i="38"/>
  <c r="P30" i="38" s="1"/>
  <c r="O29" i="38"/>
  <c r="P29" i="38" s="1"/>
  <c r="O28" i="38"/>
  <c r="P28" i="38" s="1"/>
  <c r="O27" i="38"/>
  <c r="O25" i="38"/>
  <c r="P25" i="38" s="1"/>
  <c r="O24" i="38"/>
  <c r="P24" i="38" s="1"/>
  <c r="O23" i="38"/>
  <c r="P23" i="38" s="1"/>
  <c r="O22" i="38"/>
  <c r="P22" i="38" s="1"/>
  <c r="O21" i="38"/>
  <c r="P21" i="38" s="1"/>
  <c r="O20" i="38"/>
  <c r="P20" i="38" s="1"/>
  <c r="O19" i="38"/>
  <c r="P19" i="38" s="1"/>
  <c r="O18" i="38"/>
  <c r="P18" i="38" s="1"/>
  <c r="O17" i="38"/>
  <c r="P17" i="38" s="1"/>
  <c r="O16" i="38"/>
  <c r="P16" i="38" s="1"/>
  <c r="O15" i="38"/>
  <c r="P15" i="38" s="1"/>
  <c r="O14" i="38"/>
  <c r="P14" i="38" s="1"/>
  <c r="O13" i="38"/>
  <c r="P13" i="38" s="1"/>
  <c r="O12" i="38"/>
  <c r="P12" i="38" s="1"/>
  <c r="O11" i="38"/>
  <c r="P11" i="38" s="1"/>
  <c r="O10" i="38"/>
  <c r="P10" i="38" s="1"/>
  <c r="O9" i="38"/>
  <c r="P9" i="38" s="1"/>
  <c r="O8" i="38"/>
  <c r="P8" i="38" s="1"/>
  <c r="O7" i="38"/>
  <c r="P7" i="38" s="1"/>
  <c r="J26" i="38"/>
  <c r="J28" i="38"/>
  <c r="J29" i="38"/>
  <c r="J30" i="38"/>
  <c r="J31" i="38"/>
  <c r="J32" i="38"/>
  <c r="J33" i="38"/>
  <c r="J34" i="38"/>
  <c r="J35" i="38"/>
  <c r="J27" i="38"/>
  <c r="F11" i="39" l="1"/>
  <c r="F8" i="39"/>
  <c r="I16" i="17"/>
  <c r="F9" i="40"/>
  <c r="F12" i="40"/>
  <c r="F8" i="40"/>
  <c r="F12" i="39"/>
  <c r="F13" i="39"/>
  <c r="F9" i="39"/>
  <c r="F9" i="47"/>
  <c r="F12" i="47"/>
  <c r="F13" i="47"/>
  <c r="I28" i="38"/>
  <c r="I29" i="38" s="1"/>
  <c r="I30" i="38" s="1"/>
  <c r="I31" i="38" s="1"/>
  <c r="I32" i="38" s="1"/>
  <c r="I33" i="38" s="1"/>
  <c r="I34" i="38" s="1"/>
  <c r="I35" i="38" s="1"/>
  <c r="I36" i="38" s="1"/>
  <c r="I37" i="38" s="1"/>
  <c r="F14" i="38"/>
  <c r="F15" i="38"/>
  <c r="F16" i="38"/>
  <c r="F17" i="38"/>
  <c r="F18" i="38"/>
  <c r="F19" i="38"/>
  <c r="F20" i="38"/>
  <c r="F21" i="38"/>
  <c r="F22" i="38"/>
  <c r="F23" i="38"/>
  <c r="F24" i="38"/>
  <c r="F25" i="38"/>
  <c r="E12" i="38"/>
  <c r="F14" i="37"/>
  <c r="F15" i="37"/>
  <c r="F16" i="37"/>
  <c r="F17" i="37"/>
  <c r="F18" i="37"/>
  <c r="F19" i="37"/>
  <c r="F20" i="37"/>
  <c r="F21" i="37"/>
  <c r="F22" i="37"/>
  <c r="F23" i="37"/>
  <c r="F24" i="37"/>
  <c r="F25" i="37"/>
  <c r="E10" i="37"/>
  <c r="F38" i="39" l="1"/>
  <c r="F38" i="40"/>
  <c r="F38" i="47"/>
  <c r="I17" i="17"/>
  <c r="F13" i="38"/>
  <c r="E9" i="38"/>
  <c r="E10" i="38"/>
  <c r="E7" i="38"/>
  <c r="E11" i="38"/>
  <c r="E8" i="38"/>
  <c r="E12" i="37"/>
  <c r="E8" i="37"/>
  <c r="E11" i="37"/>
  <c r="F11" i="37" s="1"/>
  <c r="E7" i="37"/>
  <c r="E9" i="37"/>
  <c r="I28" i="37"/>
  <c r="I29" i="37" s="1"/>
  <c r="I30" i="37" s="1"/>
  <c r="I31" i="37" s="1"/>
  <c r="I32" i="37" s="1"/>
  <c r="I33" i="37" s="1"/>
  <c r="I34" i="37" s="1"/>
  <c r="I35" i="37" s="1"/>
  <c r="I36" i="37" s="1"/>
  <c r="I37" i="37" s="1"/>
  <c r="F11" i="38" l="1"/>
  <c r="I18" i="17"/>
  <c r="F9" i="37"/>
  <c r="F8" i="38"/>
  <c r="F9" i="38"/>
  <c r="F12" i="38"/>
  <c r="F10" i="38"/>
  <c r="F12" i="37"/>
  <c r="F13" i="37"/>
  <c r="F8" i="37"/>
  <c r="F10" i="37"/>
  <c r="I28" i="41"/>
  <c r="I29" i="41" s="1"/>
  <c r="I30" i="41" s="1"/>
  <c r="I31" i="41" s="1"/>
  <c r="I32" i="41" s="1"/>
  <c r="I33" i="41" s="1"/>
  <c r="I34" i="41" s="1"/>
  <c r="I35" i="41" s="1"/>
  <c r="I36" i="41" s="1"/>
  <c r="I37" i="41" s="1"/>
  <c r="F14" i="41"/>
  <c r="F15" i="41"/>
  <c r="F16" i="41"/>
  <c r="F17" i="41"/>
  <c r="F18" i="41"/>
  <c r="F19" i="41"/>
  <c r="F20" i="41"/>
  <c r="F21" i="41"/>
  <c r="F22" i="41"/>
  <c r="F23" i="41"/>
  <c r="F24" i="41"/>
  <c r="F25" i="41"/>
  <c r="F38" i="38" l="1"/>
  <c r="F38" i="37"/>
  <c r="I19" i="17"/>
  <c r="F10" i="35"/>
  <c r="F11" i="35"/>
  <c r="F12" i="35"/>
  <c r="F13" i="35"/>
  <c r="F14" i="35"/>
  <c r="F15" i="35"/>
  <c r="I20" i="17" l="1"/>
  <c r="F13" i="41"/>
  <c r="F9" i="41"/>
  <c r="F8" i="41"/>
  <c r="I21" i="17" l="1"/>
  <c r="I22" i="17" s="1"/>
  <c r="I23" i="17" s="1"/>
  <c r="I24" i="17" s="1"/>
  <c r="F14" i="19"/>
  <c r="F18" i="19"/>
  <c r="F11" i="41"/>
  <c r="F12" i="41"/>
  <c r="F10" i="41"/>
  <c r="F9" i="35"/>
  <c r="F8" i="35"/>
  <c r="F9" i="19"/>
  <c r="F10" i="19"/>
  <c r="F11" i="19"/>
  <c r="F12" i="19"/>
  <c r="F13" i="19"/>
  <c r="F19" i="19"/>
  <c r="F8" i="19"/>
  <c r="F34" i="35" l="1"/>
  <c r="F38" i="41"/>
  <c r="F15" i="19"/>
  <c r="F17" i="19"/>
  <c r="F16" i="19"/>
  <c r="F32" i="19" s="1"/>
  <c r="F12" i="32"/>
  <c r="F13" i="32"/>
  <c r="F14" i="32"/>
  <c r="F15" i="32"/>
  <c r="F16" i="32"/>
  <c r="F17" i="32"/>
  <c r="F18" i="32"/>
  <c r="F19" i="32"/>
  <c r="F20" i="32"/>
  <c r="F21" i="32"/>
  <c r="F22" i="32"/>
  <c r="F23" i="32"/>
  <c r="I26" i="32"/>
  <c r="I27" i="32" s="1"/>
  <c r="I28" i="32" s="1"/>
  <c r="I29" i="32" s="1"/>
  <c r="I30" i="32" s="1"/>
  <c r="I31" i="32" s="1"/>
  <c r="I32" i="32" s="1"/>
  <c r="I33" i="32" s="1"/>
  <c r="I34" i="32" s="1"/>
  <c r="I35" i="32" s="1"/>
  <c r="F9" i="33"/>
  <c r="F10" i="33"/>
  <c r="F11" i="33"/>
  <c r="F12" i="33"/>
  <c r="F13" i="33"/>
  <c r="F14" i="33"/>
  <c r="F15" i="33"/>
  <c r="F16" i="33"/>
  <c r="F17" i="33"/>
  <c r="F18" i="33"/>
  <c r="F19" i="33"/>
  <c r="F8" i="33"/>
  <c r="F32" i="33" l="1"/>
  <c r="F14" i="31"/>
  <c r="F15" i="31"/>
  <c r="F16" i="31"/>
  <c r="F17" i="31"/>
  <c r="F18" i="31"/>
  <c r="F19" i="31"/>
  <c r="F20" i="31"/>
  <c r="F21" i="31"/>
  <c r="F22" i="31"/>
  <c r="F23" i="31"/>
  <c r="F24" i="31"/>
  <c r="F25" i="31"/>
  <c r="F11" i="32" l="1"/>
  <c r="F8" i="32"/>
  <c r="F10" i="30"/>
  <c r="I22" i="33" l="1"/>
  <c r="F10" i="32"/>
  <c r="F9" i="32"/>
  <c r="F36" i="32" s="1"/>
  <c r="F12" i="31"/>
  <c r="F13" i="31"/>
  <c r="F10" i="31"/>
  <c r="F11" i="31"/>
  <c r="F8" i="30"/>
  <c r="F9" i="30"/>
  <c r="F12" i="30"/>
  <c r="F13" i="30"/>
  <c r="F14" i="30"/>
  <c r="F15" i="30"/>
  <c r="F16" i="30"/>
  <c r="F17" i="30"/>
  <c r="F18" i="30"/>
  <c r="F19" i="30"/>
  <c r="F20" i="30"/>
  <c r="F21" i="30"/>
  <c r="F11" i="30"/>
  <c r="F34" i="30" l="1"/>
  <c r="I23" i="33"/>
  <c r="I24" i="33" s="1"/>
  <c r="I25" i="33" s="1"/>
  <c r="I26" i="33" s="1"/>
  <c r="I27" i="33" s="1"/>
  <c r="I28" i="33" s="1"/>
  <c r="I29" i="33" s="1"/>
  <c r="I30" i="33" s="1"/>
  <c r="I31" i="33" s="1"/>
  <c r="F8" i="31"/>
  <c r="F9" i="31"/>
  <c r="I28" i="31"/>
  <c r="I29" i="31" s="1"/>
  <c r="I30" i="31" s="1"/>
  <c r="I31" i="31" s="1"/>
  <c r="I32" i="31" s="1"/>
  <c r="I33" i="31" s="1"/>
  <c r="I34" i="31" s="1"/>
  <c r="I35" i="31" s="1"/>
  <c r="I36" i="31" s="1"/>
  <c r="I37" i="31" s="1"/>
  <c r="F38" i="31" l="1"/>
  <c r="I24" i="30"/>
  <c r="I25" i="30" s="1"/>
  <c r="I26" i="30" s="1"/>
  <c r="I27" i="30" s="1"/>
  <c r="I28" i="30" s="1"/>
  <c r="I29" i="30" s="1"/>
  <c r="I30" i="30" s="1"/>
  <c r="I31" i="30" s="1"/>
  <c r="I32" i="30" s="1"/>
  <c r="I33" i="30" s="1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I25" i="29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F8" i="29" l="1"/>
  <c r="F12" i="29"/>
  <c r="F10" i="29"/>
  <c r="F14" i="28"/>
  <c r="F15" i="28"/>
  <c r="F16" i="28"/>
  <c r="F17" i="28"/>
  <c r="F18" i="28"/>
  <c r="F19" i="28"/>
  <c r="F20" i="28"/>
  <c r="F21" i="28"/>
  <c r="F22" i="28"/>
  <c r="F23" i="28"/>
  <c r="F24" i="28"/>
  <c r="F25" i="28"/>
  <c r="I28" i="28"/>
  <c r="I29" i="28" s="1"/>
  <c r="I30" i="28" s="1"/>
  <c r="I31" i="28" s="1"/>
  <c r="I32" i="28" s="1"/>
  <c r="I33" i="28" s="1"/>
  <c r="I34" i="28" s="1"/>
  <c r="I35" i="28" s="1"/>
  <c r="I36" i="28" s="1"/>
  <c r="I37" i="28" s="1"/>
  <c r="F9" i="29" l="1"/>
  <c r="F11" i="29"/>
  <c r="F9" i="28" l="1"/>
  <c r="F10" i="28"/>
  <c r="F12" i="28"/>
  <c r="F13" i="28"/>
  <c r="F8" i="28"/>
  <c r="F11" i="28"/>
  <c r="F38" i="28" l="1"/>
  <c r="I22" i="24" l="1"/>
  <c r="I23" i="24" s="1"/>
  <c r="I24" i="24" s="1"/>
  <c r="I25" i="24" s="1"/>
  <c r="I26" i="24" s="1"/>
  <c r="I27" i="24" s="1"/>
  <c r="I28" i="24" s="1"/>
  <c r="I29" i="24" s="1"/>
  <c r="I30" i="24" s="1"/>
  <c r="I31" i="24" s="1"/>
  <c r="F18" i="24"/>
  <c r="F19" i="24"/>
  <c r="F9" i="24"/>
  <c r="F10" i="24"/>
  <c r="F11" i="24"/>
  <c r="F12" i="24"/>
  <c r="F13" i="24"/>
  <c r="F14" i="24"/>
  <c r="F15" i="24"/>
  <c r="F16" i="24"/>
  <c r="F17" i="24"/>
  <c r="F8" i="24"/>
  <c r="F32" i="24" l="1"/>
  <c r="E28" i="1"/>
  <c r="J8" i="38"/>
  <c r="J9" i="38"/>
  <c r="J10" i="38"/>
  <c r="J11" i="38"/>
  <c r="J12" i="38"/>
  <c r="J13" i="38"/>
  <c r="J14" i="38"/>
  <c r="J15" i="38"/>
  <c r="J16" i="38"/>
  <c r="J17" i="38"/>
  <c r="J18" i="38"/>
  <c r="J19" i="38"/>
  <c r="J20" i="38"/>
  <c r="J21" i="38"/>
  <c r="J22" i="38"/>
  <c r="J23" i="38"/>
  <c r="J24" i="38"/>
  <c r="J25" i="38"/>
  <c r="J7" i="38"/>
  <c r="J8" i="37"/>
  <c r="J9" i="37"/>
  <c r="J10" i="37"/>
  <c r="J11" i="37"/>
  <c r="J12" i="37"/>
  <c r="J13" i="37"/>
  <c r="J14" i="37"/>
  <c r="J15" i="37"/>
  <c r="J16" i="37"/>
  <c r="J17" i="37"/>
  <c r="J18" i="37"/>
  <c r="J19" i="37"/>
  <c r="J20" i="37"/>
  <c r="J21" i="37"/>
  <c r="J22" i="37"/>
  <c r="J23" i="37"/>
  <c r="J24" i="37"/>
  <c r="J7" i="37"/>
  <c r="F98" i="44"/>
  <c r="E29" i="1"/>
  <c r="K36" i="44"/>
  <c r="H27" i="44"/>
  <c r="H28" i="44" s="1"/>
  <c r="H29" i="44" s="1"/>
  <c r="H30" i="44" s="1"/>
  <c r="H31" i="44" s="1"/>
  <c r="H32" i="44" s="1"/>
  <c r="H33" i="44" s="1"/>
  <c r="H34" i="44" s="1"/>
  <c r="H35" i="44" s="1"/>
  <c r="L24" i="44" l="1"/>
  <c r="L25" i="44" s="1"/>
  <c r="L26" i="44" s="1"/>
  <c r="K11" i="44"/>
  <c r="L11" i="44" s="1"/>
  <c r="M14" i="44" l="1"/>
  <c r="M15" i="44" s="1"/>
  <c r="K24" i="44"/>
  <c r="E26" i="44"/>
  <c r="E27" i="44"/>
  <c r="E28" i="44"/>
  <c r="E29" i="44"/>
  <c r="E30" i="44"/>
  <c r="E31" i="44"/>
  <c r="E32" i="44"/>
  <c r="E33" i="44"/>
  <c r="E34" i="44"/>
  <c r="E35" i="44"/>
  <c r="E25" i="44"/>
  <c r="F25" i="44" s="1"/>
  <c r="F26" i="44" l="1"/>
  <c r="F28" i="44"/>
  <c r="F30" i="44"/>
  <c r="F32" i="44"/>
  <c r="F34" i="44"/>
  <c r="F35" i="44"/>
  <c r="F33" i="44"/>
  <c r="F31" i="44"/>
  <c r="F29" i="44"/>
  <c r="F27" i="44"/>
  <c r="G24" i="44"/>
  <c r="G23" i="44"/>
  <c r="G22" i="44"/>
  <c r="G21" i="44"/>
  <c r="G20" i="44"/>
  <c r="G19" i="44"/>
  <c r="G18" i="44"/>
  <c r="G17" i="44"/>
  <c r="G16" i="44"/>
  <c r="G15" i="44"/>
  <c r="G14" i="44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7" i="40"/>
  <c r="K8" i="40"/>
  <c r="K9" i="40"/>
  <c r="K10" i="40"/>
  <c r="K11" i="40"/>
  <c r="K12" i="40"/>
  <c r="K13" i="40"/>
  <c r="K14" i="40"/>
  <c r="K15" i="40"/>
  <c r="K16" i="40"/>
  <c r="K17" i="40"/>
  <c r="K18" i="40"/>
  <c r="K19" i="40"/>
  <c r="K20" i="40"/>
  <c r="K21" i="40"/>
  <c r="K22" i="40"/>
  <c r="K23" i="40"/>
  <c r="K24" i="40"/>
  <c r="K25" i="40"/>
  <c r="K26" i="40"/>
  <c r="K27" i="40"/>
  <c r="K28" i="40"/>
  <c r="K29" i="40"/>
  <c r="K30" i="40"/>
  <c r="K31" i="40"/>
  <c r="K32" i="40"/>
  <c r="K33" i="40"/>
  <c r="K34" i="40"/>
  <c r="K35" i="40"/>
  <c r="G36" i="44" l="1"/>
  <c r="J7" i="30"/>
  <c r="K7" i="30" s="1"/>
  <c r="J8" i="30"/>
  <c r="K8" i="30" s="1"/>
  <c r="J9" i="30"/>
  <c r="K9" i="30" s="1"/>
  <c r="J10" i="30"/>
  <c r="K10" i="30" s="1"/>
  <c r="J11" i="30"/>
  <c r="K11" i="30" s="1"/>
  <c r="J12" i="30"/>
  <c r="K12" i="30" s="1"/>
  <c r="J13" i="30"/>
  <c r="K13" i="30" s="1"/>
  <c r="J14" i="30"/>
  <c r="K14" i="30" s="1"/>
  <c r="J15" i="30"/>
  <c r="K15" i="30" s="1"/>
  <c r="J16" i="30"/>
  <c r="K16" i="30" s="1"/>
  <c r="J17" i="30"/>
  <c r="K17" i="30" s="1"/>
  <c r="J18" i="30"/>
  <c r="K18" i="30" s="1"/>
  <c r="J19" i="30"/>
  <c r="K19" i="30" s="1"/>
  <c r="J20" i="30"/>
  <c r="K20" i="30" s="1"/>
  <c r="J21" i="30"/>
  <c r="K21" i="30" s="1"/>
  <c r="J22" i="30"/>
  <c r="K22" i="30" s="1"/>
  <c r="J23" i="30"/>
  <c r="K23" i="30" s="1"/>
  <c r="J24" i="30"/>
  <c r="K24" i="30" s="1"/>
  <c r="J25" i="30"/>
  <c r="K25" i="30" s="1"/>
  <c r="J26" i="30"/>
  <c r="K26" i="30" s="1"/>
  <c r="J27" i="30"/>
  <c r="K27" i="30" s="1"/>
  <c r="J28" i="30"/>
  <c r="K28" i="30" s="1"/>
  <c r="J29" i="30"/>
  <c r="K29" i="30" s="1"/>
  <c r="J30" i="30"/>
  <c r="K30" i="30" s="1"/>
  <c r="J31" i="30"/>
  <c r="K31" i="30" s="1"/>
  <c r="J7" i="31"/>
  <c r="K7" i="31" s="1"/>
  <c r="J8" i="31"/>
  <c r="K8" i="31" s="1"/>
  <c r="J9" i="31"/>
  <c r="K9" i="31" s="1"/>
  <c r="J10" i="31"/>
  <c r="K10" i="31" s="1"/>
  <c r="J11" i="31"/>
  <c r="K11" i="31" s="1"/>
  <c r="J12" i="31"/>
  <c r="K12" i="31" s="1"/>
  <c r="J13" i="31"/>
  <c r="K13" i="31" s="1"/>
  <c r="J14" i="31"/>
  <c r="K14" i="31" s="1"/>
  <c r="J15" i="31"/>
  <c r="K15" i="31" s="1"/>
  <c r="J16" i="31"/>
  <c r="K16" i="31" s="1"/>
  <c r="J17" i="31"/>
  <c r="K17" i="31" s="1"/>
  <c r="J18" i="31"/>
  <c r="K18" i="31" s="1"/>
  <c r="J19" i="31"/>
  <c r="K19" i="31" s="1"/>
  <c r="J20" i="31"/>
  <c r="K20" i="31" s="1"/>
  <c r="J21" i="31"/>
  <c r="K21" i="31" s="1"/>
  <c r="J22" i="31"/>
  <c r="K22" i="31" s="1"/>
  <c r="J23" i="31"/>
  <c r="K23" i="31" s="1"/>
  <c r="J24" i="31"/>
  <c r="K24" i="31" s="1"/>
  <c r="J25" i="31"/>
  <c r="K25" i="31" s="1"/>
  <c r="J26" i="31"/>
  <c r="K26" i="31" s="1"/>
  <c r="J27" i="31"/>
  <c r="K27" i="31" s="1"/>
  <c r="J28" i="31"/>
  <c r="K28" i="31" s="1"/>
  <c r="J29" i="31"/>
  <c r="K29" i="31" s="1"/>
  <c r="J30" i="31"/>
  <c r="K30" i="31" s="1"/>
  <c r="J31" i="31"/>
  <c r="K31" i="31" s="1"/>
  <c r="J32" i="31"/>
  <c r="K32" i="31" s="1"/>
  <c r="J33" i="31"/>
  <c r="K33" i="31" s="1"/>
  <c r="J34" i="31"/>
  <c r="K34" i="31" s="1"/>
  <c r="J35" i="31"/>
  <c r="K35" i="31" s="1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7" i="33" l="1"/>
  <c r="K8" i="33"/>
  <c r="K9" i="33"/>
  <c r="K10" i="33"/>
  <c r="K11" i="33"/>
  <c r="K12" i="33"/>
  <c r="K13" i="33"/>
  <c r="K14" i="33"/>
  <c r="K15" i="33"/>
  <c r="K16" i="33"/>
  <c r="K17" i="33"/>
  <c r="K18" i="33"/>
  <c r="K19" i="33"/>
  <c r="K20" i="33"/>
  <c r="K21" i="33"/>
  <c r="K22" i="33"/>
  <c r="K23" i="33"/>
  <c r="K24" i="33"/>
  <c r="K25" i="33"/>
  <c r="K26" i="33"/>
  <c r="K27" i="33"/>
  <c r="K28" i="33"/>
  <c r="K29" i="33"/>
  <c r="K7" i="17" l="1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8" i="39"/>
  <c r="K9" i="39"/>
  <c r="K10" i="39"/>
  <c r="K11" i="39"/>
  <c r="K12" i="39"/>
  <c r="K13" i="39"/>
  <c r="K14" i="39"/>
  <c r="K15" i="39"/>
  <c r="K16" i="39"/>
  <c r="K17" i="39"/>
  <c r="K18" i="39"/>
  <c r="K19" i="39"/>
  <c r="K20" i="39"/>
  <c r="K21" i="39"/>
  <c r="K22" i="39"/>
  <c r="K23" i="39"/>
  <c r="K24" i="39"/>
  <c r="K25" i="39"/>
  <c r="K26" i="39"/>
  <c r="K7" i="39"/>
  <c r="K8" i="38"/>
  <c r="K9" i="38"/>
  <c r="K10" i="38"/>
  <c r="K11" i="38"/>
  <c r="K12" i="38"/>
  <c r="K13" i="38"/>
  <c r="K14" i="38"/>
  <c r="K15" i="38"/>
  <c r="K16" i="38"/>
  <c r="K17" i="38"/>
  <c r="K18" i="38"/>
  <c r="K19" i="38"/>
  <c r="K20" i="38"/>
  <c r="K21" i="38"/>
  <c r="K22" i="38"/>
  <c r="K23" i="38"/>
  <c r="K24" i="38"/>
  <c r="K25" i="38"/>
  <c r="K26" i="38"/>
  <c r="K27" i="38"/>
  <c r="K28" i="38"/>
  <c r="K29" i="38"/>
  <c r="K30" i="38"/>
  <c r="K31" i="38"/>
  <c r="K32" i="38"/>
  <c r="K33" i="38"/>
  <c r="K34" i="38"/>
  <c r="K35" i="38"/>
  <c r="K7" i="38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7" i="37"/>
  <c r="K8" i="41"/>
  <c r="K9" i="41"/>
  <c r="K10" i="41"/>
  <c r="K11" i="41"/>
  <c r="K12" i="41"/>
  <c r="K13" i="41"/>
  <c r="K14" i="41"/>
  <c r="K15" i="41"/>
  <c r="K16" i="41"/>
  <c r="K17" i="41"/>
  <c r="K18" i="41"/>
  <c r="K19" i="41"/>
  <c r="K20" i="41"/>
  <c r="K21" i="41"/>
  <c r="K22" i="41"/>
  <c r="K23" i="41"/>
  <c r="K24" i="41"/>
  <c r="K25" i="41"/>
  <c r="K26" i="41"/>
  <c r="K27" i="41"/>
  <c r="K28" i="41"/>
  <c r="K29" i="41"/>
  <c r="K30" i="41"/>
  <c r="K31" i="41"/>
  <c r="K32" i="41"/>
  <c r="K33" i="41"/>
  <c r="K34" i="41"/>
  <c r="K35" i="41"/>
  <c r="K7" i="41"/>
  <c r="K7" i="35"/>
  <c r="K8" i="35"/>
  <c r="K9" i="35"/>
  <c r="K10" i="35"/>
  <c r="K11" i="35"/>
  <c r="K12" i="35"/>
  <c r="K13" i="35"/>
  <c r="K14" i="35"/>
  <c r="K15" i="35"/>
  <c r="K16" i="35"/>
  <c r="K17" i="35"/>
  <c r="K18" i="35"/>
  <c r="K19" i="35"/>
  <c r="K20" i="35"/>
  <c r="K21" i="35"/>
  <c r="K22" i="35"/>
  <c r="K23" i="35"/>
  <c r="K24" i="35"/>
  <c r="K25" i="35"/>
  <c r="K26" i="35"/>
  <c r="K27" i="35"/>
  <c r="K28" i="35"/>
  <c r="K29" i="35"/>
  <c r="K30" i="35"/>
  <c r="K31" i="35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7" i="29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7" i="28"/>
  <c r="K52" i="62" l="1"/>
  <c r="K54" i="62" l="1"/>
  <c r="K53" i="62"/>
  <c r="K55" i="62" l="1"/>
  <c r="K56" i="62" l="1"/>
  <c r="K57" i="62" l="1"/>
  <c r="K58" i="62" l="1"/>
  <c r="K59" i="62" l="1"/>
  <c r="K60" i="62" l="1"/>
  <c r="K61" i="62"/>
</calcChain>
</file>

<file path=xl/sharedStrings.xml><?xml version="1.0" encoding="utf-8"?>
<sst xmlns="http://schemas.openxmlformats.org/spreadsheetml/2006/main" count="2821" uniqueCount="396">
  <si>
    <t>DEMANDA DE ESTACIONES AT/MT DE ZONA "A"</t>
  </si>
  <si>
    <t>NORTE</t>
  </si>
  <si>
    <t>SUR</t>
  </si>
  <si>
    <t>ESTE</t>
  </si>
  <si>
    <t>OESTE</t>
  </si>
  <si>
    <t>SUROESTE</t>
  </si>
  <si>
    <t>YOCSINA</t>
  </si>
  <si>
    <t>BARRIO JARDIN</t>
  </si>
  <si>
    <t>CENTRO</t>
  </si>
  <si>
    <t>MALAGUEÑO</t>
  </si>
  <si>
    <t>RODRIGUEZ DEL BUSTO</t>
  </si>
  <si>
    <t>FIAT</t>
  </si>
  <si>
    <t>MERCADO DE ABASTO</t>
  </si>
  <si>
    <t>GUIÑAZU</t>
  </si>
  <si>
    <t>NUEVA CORDOBA</t>
  </si>
  <si>
    <t>DON BOSCO</t>
  </si>
  <si>
    <t>BOUWER</t>
  </si>
  <si>
    <t>MONTECRISTO</t>
  </si>
  <si>
    <t>RELACIÓN [kv]/[Kv]</t>
  </si>
  <si>
    <t>CRECIMIENTO (n + 1)</t>
  </si>
  <si>
    <t>3x25</t>
  </si>
  <si>
    <t>2x25</t>
  </si>
  <si>
    <t>1x10</t>
  </si>
  <si>
    <t>2x10</t>
  </si>
  <si>
    <t>132/13,2</t>
  </si>
  <si>
    <t>66/13,2</t>
  </si>
  <si>
    <t>AÑO</t>
  </si>
  <si>
    <t>CRECIMIENTO [MW]</t>
  </si>
  <si>
    <t>EP CENTRO</t>
  </si>
  <si>
    <t>EP OESTE</t>
  </si>
  <si>
    <t>NOTA: Del año 1997 al 2002 son datos extraidos del informe de Tiscornia.</t>
  </si>
  <si>
    <t>Del año 2003 en adelante son datos del SITEC.</t>
  </si>
  <si>
    <t>E.T. LA TABLADA</t>
  </si>
  <si>
    <t>EP BOWER</t>
  </si>
  <si>
    <t>EP DBOSCO</t>
  </si>
  <si>
    <t>FECHA - HORA MAXIMA</t>
  </si>
  <si>
    <t>EP ESTE</t>
  </si>
  <si>
    <t>POTENCIA INSTALADA [MVA] = 3x25</t>
  </si>
  <si>
    <t>POTENCIA INSTALADA [MVA] = 3 x 25</t>
  </si>
  <si>
    <t>POTENCIA INSTALADA [MVA] = 2 x 25</t>
  </si>
  <si>
    <t>EP GUIÑAZU</t>
  </si>
  <si>
    <t>EP BARRIO JARDIN</t>
  </si>
  <si>
    <t>EP MERCADO DE ABASTO</t>
  </si>
  <si>
    <t>EP NUEVA CORDOBA</t>
  </si>
  <si>
    <t>EP RODRIGO DEL BUSTO</t>
  </si>
  <si>
    <t>EP SUR</t>
  </si>
  <si>
    <t>EP SUROESTE</t>
  </si>
  <si>
    <t>POTENCIA INSTALADA [MVA] = 1 X 10</t>
  </si>
  <si>
    <t>POTENCIA INSTALADA [MVA] = 3 X 25</t>
  </si>
  <si>
    <t>4x30</t>
  </si>
  <si>
    <t>2x40</t>
  </si>
  <si>
    <t>2x25+1x10</t>
  </si>
  <si>
    <t>POTENCIA INSTALADA [MVA] = 2 X 40</t>
  </si>
  <si>
    <t>POTENCIA INSTALADA [MVA] = 4 x 30</t>
  </si>
  <si>
    <t>POTENCIA INSTALADA [MVA] = 2 x 40</t>
  </si>
  <si>
    <t>EP TABLADA NUEVA</t>
  </si>
  <si>
    <t>La Estación Oeste no presenta una gran tendencia de crecimiento. Aparentemente parece que se estabiliza las potencias durante el transcurso de los años. Esta estación se merece un estudio mas detallado.</t>
  </si>
  <si>
    <t>Gerencia de Planeamiento e Ingeniería</t>
  </si>
  <si>
    <t>Documento:  Pronostico de la Demanda Maxima al año 2020  Zona "A"</t>
  </si>
  <si>
    <t>Histórico de Cambios</t>
  </si>
  <si>
    <t>Fecha</t>
  </si>
  <si>
    <t>Versión</t>
  </si>
  <si>
    <t>Descripción</t>
  </si>
  <si>
    <t>Autor</t>
  </si>
  <si>
    <t>1.0</t>
  </si>
  <si>
    <t>Creación del documento</t>
  </si>
  <si>
    <t>Ing. Daniel Busso</t>
  </si>
  <si>
    <t>&lt;detalles&gt;</t>
  </si>
  <si>
    <t>&lt;nombres&gt;</t>
  </si>
  <si>
    <t>Aprobaciones</t>
  </si>
  <si>
    <t>Responsable o Cargo</t>
  </si>
  <si>
    <t>Nombre y Apellido</t>
  </si>
  <si>
    <t>TENDENCIA LINEAL  [MW]</t>
  </si>
  <si>
    <t>TENDENCIA LINEAL [%]</t>
  </si>
  <si>
    <t>PRONOSTICOS</t>
  </si>
  <si>
    <t>PRONÓSTICOS</t>
  </si>
  <si>
    <t>Correcciones y agregados de ET</t>
  </si>
  <si>
    <t>SubGerente de Planeamiento</t>
  </si>
  <si>
    <t>Alfonso Jose Díaz</t>
  </si>
  <si>
    <t>DEMANDA HISTORICA  P [MW]</t>
  </si>
  <si>
    <t>CRECIMIENTO    [ % ]</t>
  </si>
  <si>
    <t>CRECIMIENTO [ % ]</t>
  </si>
  <si>
    <t>CRECIMIENTO     [ % ]</t>
  </si>
  <si>
    <t>DEMANDA HISTORICA    P [MW]</t>
  </si>
  <si>
    <t>ET MONTECRISTO</t>
  </si>
  <si>
    <t>CRECIMIENTO 4,5%</t>
  </si>
  <si>
    <t>DEMANDAS MAXIMAS [Mw]</t>
  </si>
  <si>
    <t>POTENCIA INSTALADA  [MVA]</t>
  </si>
  <si>
    <t>ET AT/MT</t>
  </si>
  <si>
    <t>CRECIMIENTO      [ % ]</t>
  </si>
  <si>
    <t>Esta estación se estabilizo en 50 Mw y no presenta tendencia. Seguramente por distribución transfirieron carga a otra estación. Puede ser que la zona que abastece es residencial sin crecimiento. Es decir, en las zonas abastecidas no hubo construcciones de edficios o grandes centros comerciales.</t>
  </si>
  <si>
    <t>Hay poca historia porque es reciente la puesta en funcionamiento de la Estación Tablada. Se puede hacer un análisis de las demandas máximas mensuales.</t>
  </si>
  <si>
    <t>DEMANDA HISTORICA</t>
  </si>
  <si>
    <t>Proyección del Pronóstico al 2025</t>
  </si>
  <si>
    <t>POTENCIA INSTALADA [MVA] = 1 x 6,3</t>
  </si>
  <si>
    <t>POTENCIA INSTALADA [MVA] = 2 X 25 + 1 x 40</t>
  </si>
  <si>
    <t>POTENCIA INSTALADA [MVA] = 1 X 25 + 1 x 40</t>
  </si>
  <si>
    <t>1x6,3</t>
  </si>
  <si>
    <t>ZONA "A"</t>
  </si>
  <si>
    <t>CRECIMIENTO 4,5 [ % ]</t>
  </si>
  <si>
    <t>Tasa de Crecimiento anual [%]</t>
  </si>
  <si>
    <t>Se tomo el crecimiento del 4,5% a partir del año 2014. (con el valor medio de potencia) .Para no tomar el valor de potencia extraordinario del 2014.  EL SIP crece 4,5% anual pero no asi la Zona "A" que es de 0,79%. Habria que graficar buscando la fecha de maxima del SIP y luego con esa fecha y hora buscar el valor de demanda de la zona A.</t>
  </si>
  <si>
    <t>POTENCIA APARENTE    S [MVA]</t>
  </si>
  <si>
    <t>POTENCIA ACTIVA         P [MW]</t>
  </si>
  <si>
    <t>SERIES  HISTORICAS</t>
  </si>
  <si>
    <t>POTENCIA INSTALADA [MVA]</t>
  </si>
  <si>
    <t>PRECAUCIÓN (N - 1)     [MVA]</t>
  </si>
  <si>
    <t>v30</t>
  </si>
  <si>
    <t>Agregamos  años 2014 y 2015. Usamos S en lugar de P</t>
  </si>
  <si>
    <t xml:space="preserve">POTENCIA INSTALADA [MVA] = </t>
  </si>
  <si>
    <t>SERIES HISTORICAS</t>
  </si>
  <si>
    <t>DEMANDA APARENTE      S [MVA]</t>
  </si>
  <si>
    <t>PRECAUCIÓN (N - 1)      [MVA]</t>
  </si>
  <si>
    <t>TENDENCIA LINEAL [MVA]</t>
  </si>
  <si>
    <t>CRECIMIENTO 4,50 %       [MVA]</t>
  </si>
  <si>
    <t>POTENCIA ACTIVA        P [MW]</t>
  </si>
  <si>
    <t>POTENCIA APARENTE       S [MVA]</t>
  </si>
  <si>
    <t>Dominguez</t>
  </si>
  <si>
    <t>POTENCIA ACTIVA        P [MVA]</t>
  </si>
  <si>
    <t>NOVEDADES</t>
  </si>
  <si>
    <t xml:space="preserve">Esta ET fue reemplazada por ET Interfabricas a partir de Septiembre de 2015. Ahora pasara a ser una SEA. </t>
  </si>
  <si>
    <t>El SITEC no tiene datos para ET FIAT para el año 2015. El dato de Maxima del 2015 fue provisto por Nicolas Sartori. La demanda de esta ET paso a ser atendida por la nueva ET INTERFABRICAS.</t>
  </si>
  <si>
    <t>POTENCIA APARENTE        S [MVA]</t>
  </si>
  <si>
    <t>PRECAUCIÓN   (N - 1)  [MVA]</t>
  </si>
  <si>
    <t>MES DE MAX</t>
  </si>
  <si>
    <t>PRECAUCIÓN   (N - 1)        [MVA]</t>
  </si>
  <si>
    <t>En esta nueva version del informe 2016 se incluyen valores hasta diciembre de 2015.  Se modifico la tabla de valores para una mayor claridad y facilitar la compresión de los datos.  Para realizar la grafica historica y su tendencia se utilizo los valores de potencia aparente pero se mantienen en la tabla los valores de potencia activa como consulta. Se utilizaron diferentes fuentes de datos: datos antiguos del Ing. Tiscornia, datos del SITEC y datos elaborados por la División Analisis de la Demanda. Cuando se presento diferencia en los valores se le dio prioridad a los datos pertenecientes a la División Analisis de la Demanda.</t>
  </si>
  <si>
    <t>POTENCIA ACTIVA           P [MVA]</t>
  </si>
  <si>
    <t>POTENCIA APARENTE           S [MVA]</t>
  </si>
  <si>
    <t>Datos Ing. Tiscornia</t>
  </si>
  <si>
    <t>CRECIMIENTO 4,50 %        [MVA]</t>
  </si>
  <si>
    <t>TENDENCIA LINEAL       [%]</t>
  </si>
  <si>
    <t>CRECIMIENTO  4,50 %       [MVA]</t>
  </si>
  <si>
    <t>POTENCIA APARENTE      S [MVA]</t>
  </si>
  <si>
    <t>CRECIMIENTO       [ % ]</t>
  </si>
  <si>
    <t>PRECAUCIÓN (N - 1)       [MVA]</t>
  </si>
  <si>
    <t>POT.</t>
  </si>
  <si>
    <t>REL.</t>
  </si>
  <si>
    <t>INST.</t>
  </si>
  <si>
    <t>(Kv)/(kV)</t>
  </si>
  <si>
    <t>(MVA)</t>
  </si>
  <si>
    <t>3X25</t>
  </si>
  <si>
    <t>2x55 + 1x25</t>
  </si>
  <si>
    <t>BARRIO JARDÍN</t>
  </si>
  <si>
    <t>2x25 + 40</t>
  </si>
  <si>
    <t>GUIÑAZÚ</t>
  </si>
  <si>
    <t>1x40 + 1x25</t>
  </si>
  <si>
    <t>NUEVA CÓRDOBA</t>
  </si>
  <si>
    <t>BOWER</t>
  </si>
  <si>
    <t>1x4</t>
  </si>
  <si>
    <t>YOCSINA (CORCEMAR)</t>
  </si>
  <si>
    <t>MALAGUEÑO (MINETTI)</t>
  </si>
  <si>
    <t>3x15</t>
  </si>
  <si>
    <t>TABLADA</t>
  </si>
  <si>
    <t>INTERFÁBRICAS</t>
  </si>
  <si>
    <t>2x55</t>
  </si>
  <si>
    <t>MONTECRISTO NUEVA *</t>
  </si>
  <si>
    <t>1x40</t>
  </si>
  <si>
    <t>CALASANZ *</t>
  </si>
  <si>
    <t>SANTA ANA *</t>
  </si>
  <si>
    <t>ARGUELLO *</t>
  </si>
  <si>
    <t>FIAT AUTO</t>
  </si>
  <si>
    <t>MAX ANUAL</t>
  </si>
  <si>
    <t>x dia</t>
  </si>
  <si>
    <t>x año</t>
  </si>
  <si>
    <t>x mes</t>
  </si>
  <si>
    <t>VALORES</t>
  </si>
  <si>
    <t>CRECIMIENTO [%]</t>
  </si>
  <si>
    <t>PRECAUCIÓN   (N - 1)      [MVA]</t>
  </si>
  <si>
    <t>CRECIMIENTO        [ % ]</t>
  </si>
  <si>
    <t>TENDENCIA LINEAL         [MVA]</t>
  </si>
  <si>
    <t>CRECIMIENTO       4,5 %              [MVA]</t>
  </si>
  <si>
    <t>Los valores en amarillo no estan el SITEC.</t>
  </si>
  <si>
    <t>CRECIMIENTO 4,5 % [MVA]</t>
  </si>
  <si>
    <t>POTENCIA ACTIVA           P [MW]</t>
  </si>
  <si>
    <t>PRECAUCIÓN  (N - 1)        [MVA]</t>
  </si>
  <si>
    <t>No se de donde los calcule. Quizas los generé del archivo anual o mensual del SITEC.</t>
  </si>
  <si>
    <t>PRECAUCION   (N - 1)       [MVA]</t>
  </si>
  <si>
    <t>CRECIMIENTO       [%]</t>
  </si>
  <si>
    <t>PRECAUCIÓN  (N - 1) [MVA]</t>
  </si>
  <si>
    <t>POTENCIA INSTALADA       [ MVA ]</t>
  </si>
  <si>
    <t>POTENCIA ACTIVA          P [MW]</t>
  </si>
  <si>
    <t>CRECIMIENTO 4,50 %          [MVA]</t>
  </si>
  <si>
    <t>PRECAUCIÓN  (N - 1)       [MVA]</t>
  </si>
  <si>
    <t>Potencia Reaciva Q</t>
  </si>
  <si>
    <t>Cos fi</t>
  </si>
  <si>
    <t xml:space="preserve"> TENDENCIA LINEAL [MVA]</t>
  </si>
  <si>
    <t>CRECIMIENTO 4,50 %         [MVA]</t>
  </si>
  <si>
    <t>PRECAUCIÓN  (N - 1)               [MVA]</t>
  </si>
  <si>
    <t>POTENCIA ACTIVA             P [MW]</t>
  </si>
  <si>
    <t>PRECAUCIÓN (N - 1) [MVA]</t>
  </si>
  <si>
    <t>Cos Fi</t>
  </si>
  <si>
    <t>POTENCIA APARENTE              S [MVA]</t>
  </si>
  <si>
    <t>CRECIMIENTO 4,50 %                             [MVA]</t>
  </si>
  <si>
    <t>PRECAUCIÓN (N - 1)              [MVA]</t>
  </si>
  <si>
    <t>POTENCIA ACTIVA            P [MW]</t>
  </si>
  <si>
    <t>CRECIMIENTO          4,50 %                             [MVA]</t>
  </si>
  <si>
    <t>MAXIMA</t>
  </si>
  <si>
    <t>MINIMA</t>
  </si>
  <si>
    <t>P</t>
  </si>
  <si>
    <t>Q</t>
  </si>
  <si>
    <t>Demandas de potencia activa y reactiva por barra</t>
  </si>
  <si>
    <t>TENSIÓN</t>
  </si>
  <si>
    <t>ZONA</t>
  </si>
  <si>
    <t>Bus Number</t>
  </si>
  <si>
    <t>A</t>
  </si>
  <si>
    <t>cos fi</t>
  </si>
  <si>
    <t>-</t>
  </si>
  <si>
    <t>EP NORTE</t>
  </si>
  <si>
    <t>Me parece que no tiene sentido proyectar la ET FIAT porque fue reemplazada por ET Interfabricas y sera proximamente una SEA</t>
  </si>
  <si>
    <t>COS fi</t>
  </si>
  <si>
    <t>Analisis de la Demanda</t>
  </si>
  <si>
    <t>Ing. Tiscornia</t>
  </si>
  <si>
    <t>SITEC</t>
  </si>
  <si>
    <t>POTENCIA INSTALADA [MVA] = 3 X 15</t>
  </si>
  <si>
    <t>Yocsina presenta pequeña tendencia. Puede ser porque abastecido el complejo industrial, el residencial crece muy poco. ???</t>
  </si>
  <si>
    <t>El Complejo Industrial Corcemar esta finalizando sus actividades. Lo que grafique es lo que transporta la Linea de 132 KV que alimenta el Complejo.</t>
  </si>
  <si>
    <t>LIMITE TERMICO [MVA]</t>
  </si>
  <si>
    <t>EP INTERFABRICAS</t>
  </si>
  <si>
    <t>EP CALASANZ</t>
  </si>
  <si>
    <t>EP SANTA ANA</t>
  </si>
  <si>
    <t>EP ARGUELLO</t>
  </si>
  <si>
    <t xml:space="preserve">EP FIAT </t>
  </si>
  <si>
    <t>POTENCIA INSTALADA [MVA] = 2 x 10    -  66 KV</t>
  </si>
  <si>
    <t>CORCEMAR (GUMA)</t>
  </si>
  <si>
    <t>EP YOCSINA</t>
  </si>
  <si>
    <t>EP MALAGUEÑO</t>
  </si>
  <si>
    <t xml:space="preserve">EP MINETTI (GUMA) </t>
  </si>
  <si>
    <t xml:space="preserve"> (Alimentación = 132 KV)</t>
  </si>
  <si>
    <t xml:space="preserve">POTENCIA INSTALADA [MVA] = 2 X 10 </t>
  </si>
  <si>
    <t>SUMA NO SIMULTÁNEA</t>
  </si>
  <si>
    <t xml:space="preserve">  Se esta por cerrar ???</t>
  </si>
  <si>
    <t>PLANEAMIENTO 2016 - 2020 [MVA]</t>
  </si>
  <si>
    <t xml:space="preserve">EP FIAT AUTO (GUDI) </t>
  </si>
  <si>
    <t>POTENCIA INSTALADA [MVA] = 1 x 15  + 4 x 5 -  66 KV</t>
  </si>
  <si>
    <t>CALASANZ</t>
  </si>
  <si>
    <t>SANTA ANA</t>
  </si>
  <si>
    <t>ARGUELLO</t>
  </si>
  <si>
    <t>CRECIMIENTO       4,5 %        [MVA]</t>
  </si>
  <si>
    <t>TENDENCIA LINEAL          [%]</t>
  </si>
  <si>
    <t>PLANEAMIENTO 2016 - 2020 [%]</t>
  </si>
  <si>
    <t>PLANEAMIENTO 2016 - 2020        [%]</t>
  </si>
  <si>
    <t>TENDENCIA LINEAL       [MVA]</t>
  </si>
  <si>
    <t>TENDENCIA LINEAL        [MVA]</t>
  </si>
  <si>
    <t>CRECIMIENTO     4,50 %        [MVA]</t>
  </si>
  <si>
    <t xml:space="preserve">POTENCIA INSTALADA [MVA] = 2 x 40 </t>
  </si>
  <si>
    <t>POTENCIA INSTALADA [MVA] = 2 x 55 + 1 x 25</t>
  </si>
  <si>
    <t>DATOS DE TRANSFORMADORES</t>
  </si>
  <si>
    <t>TABLA 3:   Carga de Transformadores</t>
  </si>
  <si>
    <t xml:space="preserve">Código  Nombre  o Nº  </t>
  </si>
  <si>
    <t>E.T.</t>
  </si>
  <si>
    <t>Relación</t>
  </si>
  <si>
    <t>Pot.</t>
  </si>
  <si>
    <r>
      <t xml:space="preserve">Sn </t>
    </r>
    <r>
      <rPr>
        <sz val="11"/>
        <rFont val="Calibri"/>
        <family val="2"/>
      </rPr>
      <t>(1)</t>
    </r>
  </si>
  <si>
    <t>Carga (2)</t>
  </si>
  <si>
    <t>MVA</t>
  </si>
  <si>
    <t>%</t>
  </si>
  <si>
    <t>132/66</t>
  </si>
  <si>
    <t>JARDIN</t>
  </si>
  <si>
    <t>LA TABLADA</t>
  </si>
  <si>
    <t>132/13.2</t>
  </si>
  <si>
    <t>INTERFABRICAS</t>
  </si>
  <si>
    <t>POTENCIA INSTALADA [MVA] = 2 X 55</t>
  </si>
  <si>
    <t>66/13.2</t>
  </si>
  <si>
    <t>Precaucion</t>
  </si>
  <si>
    <t>Instalada</t>
  </si>
  <si>
    <t>2 x 55 + 1 x 25</t>
  </si>
  <si>
    <t>Los trafos tienen que trabajar en paralelo sobre la misma barra.</t>
  </si>
  <si>
    <t>PRECAUCIÓN  (N - 1)              [MVA]</t>
  </si>
  <si>
    <t xml:space="preserve"> % CARGA</t>
  </si>
  <si>
    <t>PLANEAMIENTO 2018 - 2027 [MVA]</t>
  </si>
  <si>
    <t>EP DON BOSCO</t>
  </si>
  <si>
    <t>ET CURA BROCHERO</t>
  </si>
  <si>
    <t>POTENCIA INSTALADA [MVA] = 1 x 10 + 1 x 6,3</t>
  </si>
  <si>
    <t>1 x 22 + 1 x 10</t>
  </si>
  <si>
    <t>PLANEAMIENTO 2018 - 2022 [MVA]</t>
  </si>
  <si>
    <r>
      <t xml:space="preserve">Sn </t>
    </r>
    <r>
      <rPr>
        <sz val="10"/>
        <rFont val="Arial"/>
        <family val="2"/>
      </rPr>
      <t>(1)</t>
    </r>
  </si>
  <si>
    <t>CURA BROCHERO</t>
  </si>
  <si>
    <t>Máximos Maximorum de ETs de la ciudad de Córdoba para el año 2016</t>
  </si>
  <si>
    <t xml:space="preserve">FECHA       </t>
  </si>
  <si>
    <t>HORA</t>
  </si>
  <si>
    <t>MVA[]</t>
  </si>
  <si>
    <t>MW []</t>
  </si>
  <si>
    <t>MVAR</t>
  </si>
  <si>
    <t xml:space="preserve">NORTE       </t>
  </si>
  <si>
    <t>22/01/16</t>
  </si>
  <si>
    <t>15:00</t>
  </si>
  <si>
    <t xml:space="preserve">OESTE    </t>
  </si>
  <si>
    <t>12/02/16</t>
  </si>
  <si>
    <t>14:30</t>
  </si>
  <si>
    <t>DBOSCO</t>
  </si>
  <si>
    <t>15:15</t>
  </si>
  <si>
    <t>14:00</t>
  </si>
  <si>
    <t xml:space="preserve">ESTE </t>
  </si>
  <si>
    <t>15:30</t>
  </si>
  <si>
    <t>23/02/16</t>
  </si>
  <si>
    <t>13:15</t>
  </si>
  <si>
    <t>14:15</t>
  </si>
  <si>
    <t>MABAST</t>
  </si>
  <si>
    <t>15:45</t>
  </si>
  <si>
    <t>EP JARDIN</t>
  </si>
  <si>
    <t>EP RODRIGUEZ DEL BUSTO</t>
  </si>
  <si>
    <t>ET ARGUELLO NORTE</t>
  </si>
  <si>
    <t>Cede 15 MVA a ET Arguello Norte</t>
  </si>
  <si>
    <t>Habria que repasar el Planeamiento 2018 - 2027 de las anteriores ET y ver las obras y como se descargan. Preguntar a Daniel Lescano.</t>
  </si>
  <si>
    <t>POTENCIA INSTALADA [MVA] = 1 x 25 + 1 x 40</t>
  </si>
  <si>
    <t xml:space="preserve">EP </t>
  </si>
  <si>
    <t>EP LA TABLADA</t>
  </si>
  <si>
    <t>POTENCIA INSTALADA [MVA] = 2 x 55</t>
  </si>
  <si>
    <t>POTENCIA INSTALADA [MVA] = 1 x 10</t>
  </si>
  <si>
    <t>v86</t>
  </si>
  <si>
    <t>2.0</t>
  </si>
  <si>
    <t>2.3</t>
  </si>
  <si>
    <t>1 x 55 +et movil</t>
  </si>
  <si>
    <t>POTENCIA INSTALADA [MVA] = 1 x 4</t>
  </si>
  <si>
    <t>Planeado = 1 x 25 + 2 x 40/55</t>
  </si>
  <si>
    <t xml:space="preserve"> * = al momento del Informe</t>
  </si>
  <si>
    <t>* = Al momento del Informe</t>
  </si>
  <si>
    <t>POTENCIA INSTALADA [MVA] = 1 x 40/55 + 1 x 40 / 55 (ET Movil)</t>
  </si>
  <si>
    <t>Para el 2018 según guia de Referencia</t>
  </si>
  <si>
    <t>Baja la carga. Debe ser por la descarga de la ET Arguello Norte</t>
  </si>
  <si>
    <t>EP MONTECRISTO NUEVA</t>
  </si>
  <si>
    <t>Planeado = 2 x 25</t>
  </si>
  <si>
    <t>POTENCIA INSTALADA [MVA] = 1 x 25 * (Planeado 2 x 25)</t>
  </si>
  <si>
    <t xml:space="preserve">Es mi deber indicar la saturación. </t>
  </si>
  <si>
    <t>POTENCIA INSTALADA [MVA] = 3 x 25   (Planeado 1 x 25 + 2 x 40/55)</t>
  </si>
  <si>
    <t>POTENCIA INSTALADA [MVA] = 3 x 25 (Planeado 1 x 25 + 2 x  40/55)</t>
  </si>
  <si>
    <t>Sin repotenciacion planeada</t>
  </si>
  <si>
    <t>POTENCIA INSTALADA [MVA] = 3 x 25 (sin Repotenciación Planeada)</t>
  </si>
  <si>
    <t>POTENCIA INSTALADA [MVA] = 1 x 25 + 2 x 40/55</t>
  </si>
  <si>
    <t>POTENCIA INSTALADA [MVA] = 2 x 25 + 1 x 40/55</t>
  </si>
  <si>
    <t>30 MVA</t>
  </si>
  <si>
    <t>Restar 28 MW == &gt; S = 28 MW /0.95 =</t>
  </si>
  <si>
    <t>Restar  24 MW</t>
  </si>
  <si>
    <t xml:space="preserve">Restar en total 8 MW </t>
  </si>
  <si>
    <t>Suma 5 MW (le quita dos distribuidores a SEA Sobremonte)</t>
  </si>
  <si>
    <t>Restar 5 MW que pasan a ET Norte</t>
  </si>
  <si>
    <t>18 MW</t>
  </si>
  <si>
    <t>32 MVA</t>
  </si>
  <si>
    <t>No me parece el crecimiento del 4,3 % . No pega con la proyeccion lineal. Ami me parece que el 4,3 % es el crecimiento anual de la zona A pero no significa que todas las ET de la zona A crescan a ese ritmo. La suma de las tasa de cada una debe dar 4,3 % .</t>
  </si>
  <si>
    <t>POTENCIA INSTALADA [MVA] =    (Planeado xx MVA)</t>
  </si>
  <si>
    <t>ZONA "A"  (SITEC)</t>
  </si>
  <si>
    <t>Van a sacar la ET Movil y queda trafo de 40/55</t>
  </si>
  <si>
    <t>CRECIMIENTO ANUAL [ % ]</t>
  </si>
  <si>
    <t>MVA/año</t>
  </si>
  <si>
    <t>MVA/anual</t>
  </si>
  <si>
    <t>CRECIMIENTO ANUAL  [ % ]</t>
  </si>
  <si>
    <t>TOMA INTERFABRICAS LA CARGA DE FIAT - ENTRADA EN SERVICIO 2015</t>
  </si>
  <si>
    <t>14 MVA en 10 años</t>
  </si>
  <si>
    <t>MVA / año</t>
  </si>
  <si>
    <t>RESIDU0 CICLICO RELATIVO</t>
  </si>
  <si>
    <t>BASE</t>
  </si>
  <si>
    <t>PORCENTAJE DE TENDENCIA</t>
  </si>
  <si>
    <t>en 18 años</t>
  </si>
  <si>
    <t>Y-Ye</t>
  </si>
  <si>
    <t>(Y-Ye)^2</t>
  </si>
  <si>
    <t>Ye</t>
  </si>
  <si>
    <t>Ye - 2S'</t>
  </si>
  <si>
    <t>Ye + 2 S'</t>
  </si>
  <si>
    <t>No es para todas las ET 0.043 o 1.043</t>
  </si>
  <si>
    <t>Cada una tiene su propio crecimiento en MVA x año + la carga o descargas</t>
  </si>
  <si>
    <t>La Sumatoria de los crecimientos de cada ET debe ser el crecimiento de la Zona A Capital</t>
  </si>
  <si>
    <t>95,5  %'</t>
  </si>
  <si>
    <t>ZONA "A"   (Datos Div. Operaciones)</t>
  </si>
  <si>
    <t>Largar del anio 99</t>
  </si>
  <si>
    <t>Linea no suavizada</t>
  </si>
  <si>
    <t>Cuando descargan las ET se introduce una perturbacion no considerada o contemplada</t>
  </si>
  <si>
    <t>Pot_Inst_2021_2027</t>
  </si>
  <si>
    <t>Este es el analisis</t>
  </si>
  <si>
    <t>SUMA</t>
  </si>
  <si>
    <t>SUMA/n-2</t>
  </si>
  <si>
    <t>Desviación</t>
  </si>
  <si>
    <t>2 S</t>
  </si>
  <si>
    <t>SUMA/N-2</t>
  </si>
  <si>
    <t>N</t>
  </si>
  <si>
    <t>+2 S</t>
  </si>
  <si>
    <t>-2  S</t>
  </si>
  <si>
    <t>Y = 2.2625 X - 4502</t>
  </si>
  <si>
    <t>0,0941*B71-185,82</t>
  </si>
  <si>
    <t>0,0734*B54-146,07</t>
  </si>
  <si>
    <t>Crec. 10 años</t>
  </si>
  <si>
    <t>MW</t>
  </si>
  <si>
    <t>Se ve que cuando la ET no esta perturbada por cambios de carga o descargas, la ET crece con menos variaciones.</t>
  </si>
  <si>
    <t>RBUSTO</t>
  </si>
  <si>
    <t>ABASTO</t>
  </si>
  <si>
    <t>MCRISTO NUEVA</t>
  </si>
  <si>
    <t xml:space="preserve">ESTACION </t>
  </si>
  <si>
    <t>CRECIMIENTO LINEAL [%]</t>
  </si>
  <si>
    <t>NVACBA</t>
  </si>
  <si>
    <t>INTERFABRICA</t>
  </si>
  <si>
    <t>LOS OMBUES</t>
  </si>
  <si>
    <t>CRECIMIENTO LINEAL [MVA/año]</t>
  </si>
  <si>
    <t>--------</t>
  </si>
  <si>
    <t>------</t>
  </si>
  <si>
    <t>-------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</si>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</sst>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00"/>
    <numFmt numFmtId="166" formatCode="0.0000"/>
    <numFmt numFmtId="167" formatCode="0.0%"/>
    <numFmt numFmtId="168" formatCode="0.0"/>
    <numFmt numFmtId="169" formatCode="dd/mm/yy;@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indexed="64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1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Arial"/>
      <family val="2"/>
    </font>
    <font>
      <sz val="9"/>
      <color indexed="8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DC8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5" fillId="0" borderId="0"/>
    <xf numFmtId="0" fontId="27" fillId="24" borderId="74" applyNumberFormat="0" applyAlignment="0" applyProtection="0"/>
  </cellStyleXfs>
  <cellXfs count="13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0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10" fontId="0" fillId="0" borderId="0" xfId="0" applyNumberFormat="1"/>
    <xf numFmtId="14" fontId="0" fillId="0" borderId="0" xfId="0" applyNumberFormat="1" applyAlignment="1">
      <alignment horizontal="center"/>
    </xf>
    <xf numFmtId="14" fontId="0" fillId="5" borderId="6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4" fontId="0" fillId="2" borderId="7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 vertical="center"/>
    </xf>
    <xf numFmtId="0" fontId="1" fillId="0" borderId="8" xfId="0" applyFon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7" fillId="0" borderId="13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3" xfId="0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10" fontId="7" fillId="2" borderId="4" xfId="0" applyNumberFormat="1" applyFont="1" applyFill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2" fontId="7" fillId="0" borderId="15" xfId="0" applyNumberFormat="1" applyFont="1" applyBorder="1" applyAlignment="1">
      <alignment horizontal="center" vertical="center" wrapText="1"/>
    </xf>
    <xf numFmtId="2" fontId="7" fillId="0" borderId="8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 wrapText="1"/>
    </xf>
    <xf numFmtId="1" fontId="7" fillId="2" borderId="13" xfId="0" applyNumberFormat="1" applyFont="1" applyFill="1" applyBorder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10" fontId="7" fillId="4" borderId="0" xfId="0" applyNumberFormat="1" applyFont="1" applyFill="1" applyAlignment="1">
      <alignment horizontal="center" vertical="center"/>
    </xf>
    <xf numFmtId="1" fontId="7" fillId="2" borderId="13" xfId="0" applyNumberFormat="1" applyFont="1" applyFill="1" applyBorder="1" applyAlignment="1">
      <alignment horizontal="center"/>
    </xf>
    <xf numFmtId="10" fontId="7" fillId="4" borderId="4" xfId="0" applyNumberFormat="1" applyFont="1" applyFill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7" fillId="0" borderId="15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10" fontId="7" fillId="0" borderId="5" xfId="0" applyNumberFormat="1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 wrapText="1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/>
    <xf numFmtId="2" fontId="7" fillId="0" borderId="0" xfId="0" applyNumberFormat="1" applyFont="1"/>
    <xf numFmtId="0" fontId="9" fillId="0" borderId="0" xfId="0" applyFont="1"/>
    <xf numFmtId="2" fontId="0" fillId="0" borderId="0" xfId="0" applyNumberFormat="1" applyAlignment="1">
      <alignment vertical="center" wrapText="1"/>
    </xf>
    <xf numFmtId="2" fontId="7" fillId="0" borderId="13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0" fontId="7" fillId="0" borderId="11" xfId="0" applyFont="1" applyBorder="1"/>
    <xf numFmtId="0" fontId="7" fillId="0" borderId="8" xfId="0" applyFont="1" applyBorder="1"/>
    <xf numFmtId="0" fontId="7" fillId="0" borderId="10" xfId="0" applyFont="1" applyBorder="1"/>
    <xf numFmtId="2" fontId="7" fillId="0" borderId="1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5" xfId="0" applyFont="1" applyBorder="1"/>
    <xf numFmtId="0" fontId="7" fillId="0" borderId="12" xfId="0" applyFont="1" applyBorder="1"/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left" wrapText="1"/>
    </xf>
    <xf numFmtId="0" fontId="7" fillId="0" borderId="1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22" fontId="7" fillId="0" borderId="15" xfId="0" applyNumberFormat="1" applyFont="1" applyBorder="1" applyAlignment="1">
      <alignment horizontal="center"/>
    </xf>
    <xf numFmtId="22" fontId="7" fillId="0" borderId="7" xfId="0" applyNumberFormat="1" applyFont="1" applyBorder="1" applyAlignment="1">
      <alignment horizontal="center"/>
    </xf>
    <xf numFmtId="22" fontId="7" fillId="2" borderId="7" xfId="0" applyNumberFormat="1" applyFont="1" applyFill="1" applyBorder="1" applyAlignment="1">
      <alignment horizontal="center"/>
    </xf>
    <xf numFmtId="22" fontId="0" fillId="2" borderId="7" xfId="0" applyNumberFormat="1" applyFill="1" applyBorder="1"/>
    <xf numFmtId="22" fontId="0" fillId="2" borderId="9" xfId="0" applyNumberFormat="1" applyFill="1" applyBorder="1"/>
    <xf numFmtId="2" fontId="7" fillId="0" borderId="15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2" borderId="7" xfId="0" applyFont="1" applyFill="1" applyBorder="1"/>
    <xf numFmtId="0" fontId="0" fillId="2" borderId="7" xfId="0" applyFill="1" applyBorder="1"/>
    <xf numFmtId="0" fontId="0" fillId="2" borderId="9" xfId="0" applyFill="1" applyBorder="1"/>
    <xf numFmtId="2" fontId="7" fillId="2" borderId="7" xfId="0" applyNumberFormat="1" applyFont="1" applyFill="1" applyBorder="1"/>
    <xf numFmtId="2" fontId="9" fillId="2" borderId="0" xfId="0" applyNumberFormat="1" applyFont="1" applyFill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2" fontId="7" fillId="2" borderId="7" xfId="0" applyNumberFormat="1" applyFont="1" applyFill="1" applyBorder="1" applyAlignment="1">
      <alignment horizontal="center" vertical="center"/>
    </xf>
    <xf numFmtId="2" fontId="9" fillId="2" borderId="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2" fontId="11" fillId="2" borderId="7" xfId="0" applyNumberFormat="1" applyFont="1" applyFill="1" applyBorder="1" applyAlignment="1">
      <alignment horizontal="center" vertical="center"/>
    </xf>
    <xf numFmtId="2" fontId="7" fillId="2" borderId="7" xfId="0" applyNumberFormat="1" applyFont="1" applyFill="1" applyBorder="1" applyAlignment="1">
      <alignment horizontal="center"/>
    </xf>
    <xf numFmtId="0" fontId="6" fillId="0" borderId="0" xfId="0" applyFont="1" applyAlignment="1">
      <alignment vertical="center"/>
    </xf>
    <xf numFmtId="2" fontId="7" fillId="0" borderId="12" xfId="0" applyNumberFormat="1" applyFont="1" applyBorder="1" applyAlignment="1">
      <alignment horizontal="center" vertical="center" wrapText="1"/>
    </xf>
    <xf numFmtId="2" fontId="7" fillId="0" borderId="13" xfId="0" applyNumberFormat="1" applyFont="1" applyBorder="1" applyAlignment="1">
      <alignment horizontal="center"/>
    </xf>
    <xf numFmtId="2" fontId="7" fillId="0" borderId="13" xfId="0" applyNumberFormat="1" applyFont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 vertical="center"/>
    </xf>
    <xf numFmtId="0" fontId="12" fillId="0" borderId="0" xfId="0" applyFont="1"/>
    <xf numFmtId="0" fontId="6" fillId="0" borderId="13" xfId="0" applyFont="1" applyBorder="1"/>
    <xf numFmtId="0" fontId="6" fillId="0" borderId="14" xfId="0" applyFont="1" applyBorder="1"/>
    <xf numFmtId="0" fontId="7" fillId="0" borderId="1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/>
    </xf>
    <xf numFmtId="2" fontId="7" fillId="0" borderId="1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13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2" fontId="7" fillId="2" borderId="14" xfId="0" applyNumberFormat="1" applyFont="1" applyFill="1" applyBorder="1" applyAlignment="1">
      <alignment horizontal="center"/>
    </xf>
    <xf numFmtId="1" fontId="0" fillId="0" borderId="0" xfId="0" applyNumberFormat="1"/>
    <xf numFmtId="2" fontId="7" fillId="0" borderId="12" xfId="0" applyNumberFormat="1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2" fontId="7" fillId="4" borderId="8" xfId="0" applyNumberFormat="1" applyFont="1" applyFill="1" applyBorder="1" applyAlignment="1">
      <alignment horizontal="center"/>
    </xf>
    <xf numFmtId="2" fontId="7" fillId="4" borderId="10" xfId="0" applyNumberFormat="1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4" fillId="0" borderId="0" xfId="0" applyFont="1" applyAlignment="1">
      <alignment wrapText="1"/>
    </xf>
    <xf numFmtId="10" fontId="0" fillId="3" borderId="0" xfId="0" applyNumberFormat="1" applyFill="1"/>
    <xf numFmtId="10" fontId="9" fillId="0" borderId="0" xfId="0" applyNumberFormat="1" applyFont="1" applyAlignment="1">
      <alignment horizontal="center"/>
    </xf>
    <xf numFmtId="10" fontId="1" fillId="3" borderId="0" xfId="0" applyNumberFormat="1" applyFont="1" applyFill="1"/>
    <xf numFmtId="2" fontId="7" fillId="2" borderId="8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 vertical="center" wrapText="1"/>
    </xf>
    <xf numFmtId="10" fontId="6" fillId="0" borderId="0" xfId="0" applyNumberFormat="1" applyFont="1" applyAlignment="1">
      <alignment horizontal="center"/>
    </xf>
    <xf numFmtId="10" fontId="6" fillId="0" borderId="4" xfId="0" applyNumberFormat="1" applyFont="1" applyBorder="1" applyAlignment="1">
      <alignment horizontal="center"/>
    </xf>
    <xf numFmtId="0" fontId="6" fillId="2" borderId="13" xfId="0" applyFont="1" applyFill="1" applyBorder="1"/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/>
    <xf numFmtId="0" fontId="6" fillId="2" borderId="8" xfId="0" applyFont="1" applyFill="1" applyBorder="1" applyAlignment="1">
      <alignment horizontal="center" vertical="center" wrapText="1"/>
    </xf>
    <xf numFmtId="0" fontId="6" fillId="3" borderId="13" xfId="0" applyFont="1" applyFill="1" applyBorder="1"/>
    <xf numFmtId="0" fontId="7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/>
    <xf numFmtId="0" fontId="6" fillId="3" borderId="8" xfId="0" applyFont="1" applyFill="1" applyBorder="1" applyAlignment="1">
      <alignment horizontal="center" vertical="center" wrapText="1"/>
    </xf>
    <xf numFmtId="0" fontId="6" fillId="7" borderId="13" xfId="0" applyFont="1" applyFill="1" applyBorder="1"/>
    <xf numFmtId="0" fontId="7" fillId="7" borderId="7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/>
    </xf>
    <xf numFmtId="0" fontId="7" fillId="7" borderId="8" xfId="0" applyFont="1" applyFill="1" applyBorder="1"/>
    <xf numFmtId="0" fontId="6" fillId="7" borderId="8" xfId="0" applyFont="1" applyFill="1" applyBorder="1" applyAlignment="1">
      <alignment horizontal="center" vertical="center" wrapText="1"/>
    </xf>
    <xf numFmtId="10" fontId="12" fillId="3" borderId="0" xfId="0" applyNumberFormat="1" applyFont="1" applyFill="1" applyAlignment="1">
      <alignment horizontal="center"/>
    </xf>
    <xf numFmtId="10" fontId="6" fillId="0" borderId="12" xfId="0" applyNumberFormat="1" applyFont="1" applyBorder="1" applyAlignment="1">
      <alignment horizontal="center" vertical="center" wrapText="1"/>
    </xf>
    <xf numFmtId="10" fontId="6" fillId="7" borderId="8" xfId="0" applyNumberFormat="1" applyFont="1" applyFill="1" applyBorder="1" applyAlignment="1">
      <alignment horizontal="center"/>
    </xf>
    <xf numFmtId="10" fontId="6" fillId="7" borderId="8" xfId="0" applyNumberFormat="1" applyFont="1" applyFill="1" applyBorder="1" applyAlignment="1">
      <alignment horizontal="center" vertical="center" wrapText="1"/>
    </xf>
    <xf numFmtId="10" fontId="6" fillId="2" borderId="8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 vertical="center" wrapText="1"/>
    </xf>
    <xf numFmtId="10" fontId="6" fillId="3" borderId="8" xfId="0" applyNumberFormat="1" applyFont="1" applyFill="1" applyBorder="1" applyAlignment="1">
      <alignment horizontal="center" vertical="center" wrapText="1"/>
    </xf>
    <xf numFmtId="10" fontId="6" fillId="3" borderId="8" xfId="0" applyNumberFormat="1" applyFont="1" applyFill="1" applyBorder="1" applyAlignment="1">
      <alignment horizontal="center"/>
    </xf>
    <xf numFmtId="10" fontId="6" fillId="0" borderId="8" xfId="0" applyNumberFormat="1" applyFont="1" applyBorder="1" applyAlignment="1">
      <alignment horizontal="center"/>
    </xf>
    <xf numFmtId="10" fontId="6" fillId="0" borderId="10" xfId="0" applyNumberFormat="1" applyFont="1" applyBorder="1" applyAlignment="1">
      <alignment horizontal="center"/>
    </xf>
    <xf numFmtId="10" fontId="7" fillId="0" borderId="15" xfId="0" applyNumberFormat="1" applyFont="1" applyBorder="1" applyAlignment="1">
      <alignment horizontal="center" vertical="center"/>
    </xf>
    <xf numFmtId="10" fontId="7" fillId="0" borderId="7" xfId="0" applyNumberFormat="1" applyFont="1" applyBorder="1" applyAlignment="1">
      <alignment horizontal="center" vertical="center"/>
    </xf>
    <xf numFmtId="10" fontId="7" fillId="0" borderId="15" xfId="0" applyNumberFormat="1" applyFont="1" applyBorder="1" applyAlignment="1">
      <alignment horizontal="center"/>
    </xf>
    <xf numFmtId="10" fontId="7" fillId="0" borderId="7" xfId="0" applyNumberFormat="1" applyFont="1" applyBorder="1" applyAlignment="1">
      <alignment horizontal="center"/>
    </xf>
    <xf numFmtId="2" fontId="7" fillId="0" borderId="22" xfId="0" applyNumberFormat="1" applyFont="1" applyBorder="1" applyAlignment="1">
      <alignment horizontal="center" vertical="center"/>
    </xf>
    <xf numFmtId="2" fontId="7" fillId="0" borderId="24" xfId="0" applyNumberFormat="1" applyFont="1" applyBorder="1" applyAlignment="1">
      <alignment horizontal="center" vertical="center"/>
    </xf>
    <xf numFmtId="2" fontId="7" fillId="0" borderId="29" xfId="0" applyNumberFormat="1" applyFont="1" applyBorder="1" applyAlignment="1">
      <alignment horizontal="center" vertical="center" wrapText="1"/>
    </xf>
    <xf numFmtId="2" fontId="7" fillId="0" borderId="30" xfId="0" applyNumberFormat="1" applyFont="1" applyBorder="1" applyAlignment="1">
      <alignment horizontal="center" vertical="center"/>
    </xf>
    <xf numFmtId="10" fontId="7" fillId="0" borderId="7" xfId="0" applyNumberFormat="1" applyFont="1" applyBorder="1" applyAlignment="1">
      <alignment horizontal="center" vertical="center" wrapText="1"/>
    </xf>
    <xf numFmtId="2" fontId="7" fillId="0" borderId="27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0" fontId="0" fillId="0" borderId="0" xfId="0" applyNumberFormat="1" applyAlignment="1">
      <alignment horizontal="center" wrapText="1"/>
    </xf>
    <xf numFmtId="10" fontId="7" fillId="2" borderId="7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Alignment="1">
      <alignment horizontal="center" vertical="center"/>
    </xf>
    <xf numFmtId="2" fontId="0" fillId="2" borderId="7" xfId="0" applyNumberFormat="1" applyFill="1" applyBorder="1"/>
    <xf numFmtId="0" fontId="0" fillId="0" borderId="0" xfId="0" applyAlignment="1">
      <alignment horizontal="left" vertical="top" wrapText="1"/>
    </xf>
    <xf numFmtId="0" fontId="7" fillId="2" borderId="29" xfId="0" applyFont="1" applyFill="1" applyBorder="1" applyAlignment="1">
      <alignment horizontal="center"/>
    </xf>
    <xf numFmtId="2" fontId="0" fillId="2" borderId="27" xfId="0" applyNumberFormat="1" applyFill="1" applyBorder="1"/>
    <xf numFmtId="2" fontId="7" fillId="0" borderId="29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/>
    </xf>
    <xf numFmtId="165" fontId="7" fillId="0" borderId="36" xfId="0" applyNumberFormat="1" applyFont="1" applyBorder="1" applyAlignment="1">
      <alignment horizontal="center" vertical="center"/>
    </xf>
    <xf numFmtId="165" fontId="7" fillId="2" borderId="36" xfId="0" applyNumberFormat="1" applyFont="1" applyFill="1" applyBorder="1" applyAlignment="1">
      <alignment horizontal="center" vertical="center"/>
    </xf>
    <xf numFmtId="165" fontId="7" fillId="2" borderId="37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165" fontId="7" fillId="0" borderId="21" xfId="0" applyNumberFormat="1" applyFont="1" applyBorder="1" applyAlignment="1">
      <alignment horizontal="center" vertical="center"/>
    </xf>
    <xf numFmtId="165" fontId="7" fillId="2" borderId="21" xfId="0" applyNumberFormat="1" applyFont="1" applyFill="1" applyBorder="1" applyAlignment="1">
      <alignment horizontal="center" vertical="center"/>
    </xf>
    <xf numFmtId="165" fontId="7" fillId="2" borderId="26" xfId="0" applyNumberFormat="1" applyFont="1" applyFill="1" applyBorder="1" applyAlignment="1">
      <alignment horizontal="center" vertical="center"/>
    </xf>
    <xf numFmtId="2" fontId="7" fillId="0" borderId="40" xfId="0" applyNumberFormat="1" applyFont="1" applyBorder="1" applyAlignment="1">
      <alignment horizontal="center" vertical="center"/>
    </xf>
    <xf numFmtId="0" fontId="7" fillId="2" borderId="28" xfId="0" applyFont="1" applyFill="1" applyBorder="1" applyAlignment="1">
      <alignment horizontal="center"/>
    </xf>
    <xf numFmtId="2" fontId="7" fillId="0" borderId="41" xfId="0" applyNumberFormat="1" applyFont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2" fontId="7" fillId="2" borderId="28" xfId="0" applyNumberFormat="1" applyFont="1" applyFill="1" applyBorder="1" applyAlignment="1">
      <alignment horizontal="center" vertical="center"/>
    </xf>
    <xf numFmtId="1" fontId="7" fillId="2" borderId="29" xfId="0" applyNumberFormat="1" applyFont="1" applyFill="1" applyBorder="1" applyAlignment="1">
      <alignment horizontal="center" vertical="center"/>
    </xf>
    <xf numFmtId="2" fontId="7" fillId="0" borderId="27" xfId="0" applyNumberFormat="1" applyFont="1" applyBorder="1" applyAlignment="1">
      <alignment horizontal="center" vertical="center" wrapText="1"/>
    </xf>
    <xf numFmtId="0" fontId="0" fillId="0" borderId="42" xfId="0" applyBorder="1"/>
    <xf numFmtId="0" fontId="0" fillId="0" borderId="4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37" xfId="0" applyBorder="1"/>
    <xf numFmtId="0" fontId="0" fillId="0" borderId="46" xfId="0" applyBorder="1" applyAlignment="1">
      <alignment horizontal="center"/>
    </xf>
    <xf numFmtId="0" fontId="0" fillId="0" borderId="7" xfId="0" applyBorder="1"/>
    <xf numFmtId="0" fontId="0" fillId="0" borderId="47" xfId="0" applyBorder="1" applyAlignment="1">
      <alignment horizontal="center"/>
    </xf>
    <xf numFmtId="0" fontId="0" fillId="0" borderId="47" xfId="0" applyBorder="1" applyAlignment="1">
      <alignment horizontal="right"/>
    </xf>
    <xf numFmtId="0" fontId="0" fillId="0" borderId="7" xfId="0" applyBorder="1" applyAlignment="1">
      <alignment horizontal="right"/>
    </xf>
    <xf numFmtId="0" fontId="14" fillId="0" borderId="7" xfId="0" applyFont="1" applyBorder="1" applyAlignment="1">
      <alignment horizontal="center"/>
    </xf>
    <xf numFmtId="0" fontId="0" fillId="0" borderId="21" xfId="0" applyBorder="1"/>
    <xf numFmtId="0" fontId="0" fillId="9" borderId="8" xfId="0" applyFill="1" applyBorder="1"/>
    <xf numFmtId="1" fontId="1" fillId="0" borderId="15" xfId="0" applyNumberFormat="1" applyFont="1" applyBorder="1" applyAlignment="1">
      <alignment horizontal="center" vertical="center"/>
    </xf>
    <xf numFmtId="1" fontId="0" fillId="0" borderId="5" xfId="0" applyNumberFormat="1" applyBorder="1"/>
    <xf numFmtId="1" fontId="0" fillId="0" borderId="15" xfId="0" applyNumberFormat="1" applyBorder="1" applyAlignment="1">
      <alignment horizontal="center" vertical="center"/>
    </xf>
    <xf numFmtId="1" fontId="0" fillId="0" borderId="15" xfId="0" applyNumberFormat="1" applyBorder="1"/>
    <xf numFmtId="1" fontId="0" fillId="0" borderId="12" xfId="0" applyNumberFormat="1" applyBorder="1"/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7" xfId="0" applyNumberFormat="1" applyBorder="1" applyAlignment="1">
      <alignment horizontal="center" vertical="center"/>
    </xf>
    <xf numFmtId="2" fontId="0" fillId="0" borderId="7" xfId="0" applyNumberFormat="1" applyBorder="1"/>
    <xf numFmtId="2" fontId="0" fillId="0" borderId="8" xfId="0" applyNumberFormat="1" applyBorder="1"/>
    <xf numFmtId="2" fontId="13" fillId="0" borderId="0" xfId="0" applyNumberFormat="1" applyFont="1"/>
    <xf numFmtId="0" fontId="0" fillId="0" borderId="0" xfId="0" applyAlignment="1">
      <alignment horizontal="left" vertical="center"/>
    </xf>
    <xf numFmtId="0" fontId="7" fillId="7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2" fontId="9" fillId="0" borderId="7" xfId="0" applyNumberFormat="1" applyFont="1" applyBorder="1" applyAlignment="1">
      <alignment horizontal="center" vertical="center"/>
    </xf>
    <xf numFmtId="10" fontId="7" fillId="2" borderId="7" xfId="0" applyNumberFormat="1" applyFont="1" applyFill="1" applyBorder="1" applyAlignment="1">
      <alignment horizontal="center"/>
    </xf>
    <xf numFmtId="2" fontId="7" fillId="0" borderId="22" xfId="0" applyNumberFormat="1" applyFont="1" applyBorder="1" applyAlignment="1">
      <alignment horizontal="center" vertical="center" wrapText="1"/>
    </xf>
    <xf numFmtId="2" fontId="7" fillId="0" borderId="24" xfId="0" applyNumberFormat="1" applyFont="1" applyBorder="1" applyAlignment="1">
      <alignment horizontal="center" vertical="center" wrapText="1"/>
    </xf>
    <xf numFmtId="165" fontId="9" fillId="0" borderId="21" xfId="0" applyNumberFormat="1" applyFont="1" applyBorder="1" applyAlignment="1">
      <alignment horizontal="center" vertical="center"/>
    </xf>
    <xf numFmtId="165" fontId="9" fillId="2" borderId="21" xfId="0" applyNumberFormat="1" applyFont="1" applyFill="1" applyBorder="1" applyAlignment="1">
      <alignment horizontal="center" vertical="center"/>
    </xf>
    <xf numFmtId="2" fontId="7" fillId="2" borderId="27" xfId="0" applyNumberFormat="1" applyFont="1" applyFill="1" applyBorder="1" applyAlignment="1">
      <alignment horizontal="center" vertical="center"/>
    </xf>
    <xf numFmtId="2" fontId="7" fillId="0" borderId="30" xfId="0" applyNumberFormat="1" applyFont="1" applyBorder="1" applyAlignment="1">
      <alignment horizontal="center" vertical="center" wrapText="1"/>
    </xf>
    <xf numFmtId="10" fontId="7" fillId="2" borderId="7" xfId="0" applyNumberFormat="1" applyFont="1" applyFill="1" applyBorder="1" applyAlignment="1">
      <alignment horizontal="center" vertical="center" wrapText="1"/>
    </xf>
    <xf numFmtId="10" fontId="7" fillId="0" borderId="0" xfId="0" applyNumberFormat="1" applyFont="1"/>
    <xf numFmtId="0" fontId="7" fillId="2" borderId="0" xfId="0" applyFont="1" applyFill="1"/>
    <xf numFmtId="0" fontId="7" fillId="2" borderId="29" xfId="0" applyFont="1" applyFill="1" applyBorder="1" applyAlignment="1">
      <alignment horizontal="center" vertical="center"/>
    </xf>
    <xf numFmtId="10" fontId="7" fillId="2" borderId="27" xfId="0" applyNumberFormat="1" applyFont="1" applyFill="1" applyBorder="1" applyAlignment="1">
      <alignment horizontal="center" vertical="center"/>
    </xf>
    <xf numFmtId="0" fontId="7" fillId="2" borderId="27" xfId="0" applyFont="1" applyFill="1" applyBorder="1"/>
    <xf numFmtId="0" fontId="7" fillId="2" borderId="28" xfId="0" applyFont="1" applyFill="1" applyBorder="1"/>
    <xf numFmtId="2" fontId="7" fillId="2" borderId="29" xfId="0" applyNumberFormat="1" applyFont="1" applyFill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6" fontId="0" fillId="0" borderId="0" xfId="0" applyNumberFormat="1"/>
    <xf numFmtId="166" fontId="7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2" fontId="7" fillId="0" borderId="50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6" fontId="7" fillId="0" borderId="0" xfId="0" applyNumberFormat="1" applyFont="1"/>
    <xf numFmtId="166" fontId="7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7" fillId="3" borderId="0" xfId="0" applyNumberFormat="1" applyFont="1" applyFill="1" applyAlignment="1">
      <alignment horizontal="center" vertic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4" fontId="11" fillId="12" borderId="23" xfId="0" applyNumberFormat="1" applyFont="1" applyFill="1" applyBorder="1" applyAlignment="1">
      <alignment horizontal="center"/>
    </xf>
    <xf numFmtId="4" fontId="11" fillId="12" borderId="14" xfId="0" applyNumberFormat="1" applyFont="1" applyFill="1" applyBorder="1" applyAlignment="1">
      <alignment horizontal="center"/>
    </xf>
    <xf numFmtId="4" fontId="11" fillId="12" borderId="31" xfId="0" applyNumberFormat="1" applyFont="1" applyFill="1" applyBorder="1" applyAlignment="1">
      <alignment horizontal="center"/>
    </xf>
    <xf numFmtId="4" fontId="11" fillId="12" borderId="10" xfId="0" applyNumberFormat="1" applyFont="1" applyFill="1" applyBorder="1" applyAlignment="1">
      <alignment horizontal="center"/>
    </xf>
    <xf numFmtId="4" fontId="11" fillId="12" borderId="51" xfId="0" applyNumberFormat="1" applyFont="1" applyFill="1" applyBorder="1" applyAlignment="1">
      <alignment horizontal="center"/>
    </xf>
    <xf numFmtId="4" fontId="11" fillId="12" borderId="53" xfId="0" applyNumberFormat="1" applyFon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 vertical="center"/>
    </xf>
    <xf numFmtId="0" fontId="17" fillId="12" borderId="0" xfId="0" applyFont="1" applyFill="1" applyAlignment="1">
      <alignment horizontal="center" vertical="top" wrapText="1"/>
    </xf>
    <xf numFmtId="0" fontId="15" fillId="12" borderId="28" xfId="0" applyFont="1" applyFill="1" applyBorder="1"/>
    <xf numFmtId="0" fontId="15" fillId="12" borderId="28" xfId="0" applyFont="1" applyFill="1" applyBorder="1" applyAlignment="1">
      <alignment horizontal="center" vertical="center" wrapText="1"/>
    </xf>
    <xf numFmtId="0" fontId="11" fillId="12" borderId="19" xfId="0" applyFont="1" applyFill="1" applyBorder="1"/>
    <xf numFmtId="0" fontId="11" fillId="12" borderId="19" xfId="0" applyFont="1" applyFill="1" applyBorder="1" applyAlignment="1">
      <alignment horizontal="center" vertical="center"/>
    </xf>
    <xf numFmtId="0" fontId="11" fillId="12" borderId="19" xfId="0" applyFont="1" applyFill="1" applyBorder="1" applyAlignment="1">
      <alignment horizontal="left"/>
    </xf>
    <xf numFmtId="0" fontId="11" fillId="12" borderId="59" xfId="0" applyFont="1" applyFill="1" applyBorder="1" applyAlignment="1">
      <alignment horizontal="center"/>
    </xf>
    <xf numFmtId="4" fontId="11" fillId="12" borderId="60" xfId="0" applyNumberFormat="1" applyFont="1" applyFill="1" applyBorder="1" applyAlignment="1">
      <alignment horizontal="center"/>
    </xf>
    <xf numFmtId="4" fontId="11" fillId="12" borderId="1" xfId="0" applyNumberFormat="1" applyFont="1" applyFill="1" applyBorder="1" applyAlignment="1">
      <alignment horizontal="center"/>
    </xf>
    <xf numFmtId="4" fontId="11" fillId="12" borderId="61" xfId="0" applyNumberFormat="1" applyFont="1" applyFill="1" applyBorder="1" applyAlignment="1">
      <alignment horizontal="center"/>
    </xf>
    <xf numFmtId="4" fontId="11" fillId="12" borderId="3" xfId="0" applyNumberFormat="1" applyFont="1" applyFill="1" applyBorder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7" xfId="0" applyBorder="1" applyAlignment="1">
      <alignment horizontal="center" vertical="center"/>
    </xf>
    <xf numFmtId="2" fontId="9" fillId="0" borderId="0" xfId="0" applyNumberFormat="1" applyFont="1" applyAlignment="1">
      <alignment horizontal="center"/>
    </xf>
    <xf numFmtId="2" fontId="9" fillId="0" borderId="7" xfId="0" applyNumberFormat="1" applyFont="1" applyBorder="1" applyAlignment="1">
      <alignment horizontal="center"/>
    </xf>
    <xf numFmtId="2" fontId="9" fillId="0" borderId="8" xfId="0" applyNumberFormat="1" applyFont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0" fontId="7" fillId="0" borderId="8" xfId="0" applyNumberFormat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2" borderId="13" xfId="0" applyNumberFormat="1" applyFont="1" applyFill="1" applyBorder="1"/>
    <xf numFmtId="10" fontId="7" fillId="0" borderId="8" xfId="0" applyNumberFormat="1" applyFont="1" applyBorder="1" applyAlignment="1">
      <alignment horizontal="center" vertical="center"/>
    </xf>
    <xf numFmtId="2" fontId="0" fillId="2" borderId="13" xfId="0" applyNumberFormat="1" applyFill="1" applyBorder="1"/>
    <xf numFmtId="2" fontId="0" fillId="2" borderId="29" xfId="0" applyNumberFormat="1" applyFill="1" applyBorder="1"/>
    <xf numFmtId="10" fontId="7" fillId="2" borderId="8" xfId="0" applyNumberFormat="1" applyFont="1" applyFill="1" applyBorder="1"/>
    <xf numFmtId="10" fontId="0" fillId="2" borderId="8" xfId="0" applyNumberFormat="1" applyFill="1" applyBorder="1"/>
    <xf numFmtId="10" fontId="0" fillId="2" borderId="32" xfId="0" applyNumberFormat="1" applyFill="1" applyBorder="1"/>
    <xf numFmtId="166" fontId="7" fillId="0" borderId="36" xfId="0" applyNumberFormat="1" applyFont="1" applyBorder="1" applyAlignment="1">
      <alignment horizontal="center"/>
    </xf>
    <xf numFmtId="2" fontId="7" fillId="0" borderId="43" xfId="0" applyNumberFormat="1" applyFont="1" applyBorder="1" applyAlignment="1">
      <alignment horizontal="center" vertical="center"/>
    </xf>
    <xf numFmtId="2" fontId="7" fillId="0" borderId="45" xfId="0" applyNumberFormat="1" applyFont="1" applyBorder="1" applyAlignment="1">
      <alignment horizontal="center"/>
    </xf>
    <xf numFmtId="2" fontId="7" fillId="0" borderId="45" xfId="0" applyNumberFormat="1" applyFont="1" applyBorder="1" applyAlignment="1">
      <alignment horizontal="center" vertical="center"/>
    </xf>
    <xf numFmtId="2" fontId="7" fillId="0" borderId="46" xfId="0" applyNumberFormat="1" applyFont="1" applyBorder="1" applyAlignment="1">
      <alignment horizontal="center"/>
    </xf>
    <xf numFmtId="49" fontId="7" fillId="0" borderId="0" xfId="0" applyNumberFormat="1" applyFont="1"/>
    <xf numFmtId="49" fontId="7" fillId="0" borderId="13" xfId="0" applyNumberFormat="1" applyFont="1" applyBorder="1" applyAlignment="1">
      <alignment horizontal="center" vertical="center"/>
    </xf>
    <xf numFmtId="49" fontId="7" fillId="2" borderId="13" xfId="0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 wrapText="1"/>
    </xf>
    <xf numFmtId="2" fontId="9" fillId="0" borderId="15" xfId="0" applyNumberFormat="1" applyFont="1" applyBorder="1" applyAlignment="1">
      <alignment horizontal="center" vertical="center"/>
    </xf>
    <xf numFmtId="2" fontId="9" fillId="0" borderId="9" xfId="0" applyNumberFormat="1" applyFont="1" applyBorder="1" applyAlignment="1">
      <alignment horizontal="center"/>
    </xf>
    <xf numFmtId="2" fontId="9" fillId="0" borderId="0" xfId="0" applyNumberFormat="1" applyFont="1"/>
    <xf numFmtId="165" fontId="7" fillId="0" borderId="25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8" fillId="0" borderId="6" xfId="0" applyFont="1" applyBorder="1"/>
    <xf numFmtId="0" fontId="0" fillId="0" borderId="6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7" fillId="12" borderId="0" xfId="0" applyFont="1" applyFill="1" applyAlignment="1">
      <alignment horizontal="center" vertical="center" wrapText="1"/>
    </xf>
    <xf numFmtId="0" fontId="15" fillId="12" borderId="57" xfId="0" applyFont="1" applyFill="1" applyBorder="1" applyAlignment="1">
      <alignment horizontal="center" vertical="center"/>
    </xf>
    <xf numFmtId="4" fontId="11" fillId="12" borderId="61" xfId="0" applyNumberFormat="1" applyFont="1" applyFill="1" applyBorder="1" applyAlignment="1">
      <alignment horizontal="center" vertical="center"/>
    </xf>
    <xf numFmtId="0" fontId="0" fillId="3" borderId="0" xfId="0" applyFill="1"/>
    <xf numFmtId="0" fontId="7" fillId="0" borderId="11" xfId="0" applyFont="1" applyBorder="1" applyAlignment="1">
      <alignment horizontal="center"/>
    </xf>
    <xf numFmtId="2" fontId="7" fillId="0" borderId="11" xfId="0" applyNumberFormat="1" applyFont="1" applyBorder="1" applyAlignment="1">
      <alignment horizontal="center"/>
    </xf>
    <xf numFmtId="10" fontId="7" fillId="0" borderId="12" xfId="0" applyNumberFormat="1" applyFont="1" applyBorder="1" applyAlignment="1">
      <alignment horizontal="center"/>
    </xf>
    <xf numFmtId="10" fontId="7" fillId="0" borderId="8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165" fontId="7" fillId="0" borderId="21" xfId="0" applyNumberFormat="1" applyFont="1" applyBorder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/>
    </xf>
    <xf numFmtId="10" fontId="0" fillId="0" borderId="7" xfId="0" applyNumberFormat="1" applyBorder="1"/>
    <xf numFmtId="2" fontId="0" fillId="0" borderId="0" xfId="0" applyNumberFormat="1" applyAlignment="1">
      <alignment vertical="center"/>
    </xf>
    <xf numFmtId="2" fontId="1" fillId="0" borderId="0" xfId="0" applyNumberFormat="1" applyFont="1" applyAlignment="1">
      <alignment vertical="center"/>
    </xf>
    <xf numFmtId="2" fontId="17" fillId="12" borderId="0" xfId="0" applyNumberFormat="1" applyFont="1" applyFill="1" applyAlignment="1">
      <alignment horizontal="center" vertical="top" wrapText="1"/>
    </xf>
    <xf numFmtId="2" fontId="15" fillId="12" borderId="57" xfId="0" applyNumberFormat="1" applyFont="1" applyFill="1" applyBorder="1" applyAlignment="1">
      <alignment horizontal="center"/>
    </xf>
    <xf numFmtId="2" fontId="15" fillId="12" borderId="55" xfId="0" applyNumberFormat="1" applyFont="1" applyFill="1" applyBorder="1" applyAlignment="1">
      <alignment horizontal="center"/>
    </xf>
    <xf numFmtId="2" fontId="11" fillId="12" borderId="1" xfId="0" applyNumberFormat="1" applyFont="1" applyFill="1" applyBorder="1" applyAlignment="1">
      <alignment horizontal="center"/>
    </xf>
    <xf numFmtId="2" fontId="11" fillId="12" borderId="60" xfId="0" applyNumberFormat="1" applyFont="1" applyFill="1" applyBorder="1" applyAlignment="1">
      <alignment horizontal="center"/>
    </xf>
    <xf numFmtId="2" fontId="11" fillId="12" borderId="61" xfId="0" applyNumberFormat="1" applyFont="1" applyFill="1" applyBorder="1" applyAlignment="1">
      <alignment horizontal="center"/>
    </xf>
    <xf numFmtId="0" fontId="7" fillId="0" borderId="36" xfId="0" applyFont="1" applyBorder="1" applyAlignment="1">
      <alignment horizontal="center" vertical="center" wrapText="1"/>
    </xf>
    <xf numFmtId="2" fontId="7" fillId="0" borderId="40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10" fontId="0" fillId="9" borderId="0" xfId="0" applyNumberFormat="1" applyFill="1" applyAlignment="1">
      <alignment horizontal="center"/>
    </xf>
    <xf numFmtId="10" fontId="0" fillId="15" borderId="0" xfId="0" applyNumberFormat="1" applyFill="1" applyAlignment="1">
      <alignment horizontal="center" vertical="center"/>
    </xf>
    <xf numFmtId="10" fontId="7" fillId="15" borderId="0" xfId="0" applyNumberFormat="1" applyFont="1" applyFill="1" applyAlignment="1">
      <alignment horizontal="center" vertical="center"/>
    </xf>
    <xf numFmtId="2" fontId="7" fillId="2" borderId="29" xfId="0" applyNumberFormat="1" applyFont="1" applyFill="1" applyBorder="1"/>
    <xf numFmtId="2" fontId="7" fillId="2" borderId="27" xfId="0" applyNumberFormat="1" applyFont="1" applyFill="1" applyBorder="1"/>
    <xf numFmtId="10" fontId="7" fillId="2" borderId="32" xfId="0" applyNumberFormat="1" applyFont="1" applyFill="1" applyBorder="1"/>
    <xf numFmtId="2" fontId="6" fillId="10" borderId="0" xfId="0" applyNumberFormat="1" applyFont="1" applyFill="1" applyAlignment="1">
      <alignment horizontal="center"/>
    </xf>
    <xf numFmtId="2" fontId="6" fillId="10" borderId="28" xfId="0" applyNumberFormat="1" applyFont="1" applyFill="1" applyBorder="1" applyAlignment="1">
      <alignment horizontal="center"/>
    </xf>
    <xf numFmtId="2" fontId="6" fillId="7" borderId="0" xfId="0" applyNumberFormat="1" applyFont="1" applyFill="1" applyAlignment="1">
      <alignment horizontal="center"/>
    </xf>
    <xf numFmtId="2" fontId="6" fillId="7" borderId="28" xfId="0" applyNumberFormat="1" applyFont="1" applyFill="1" applyBorder="1" applyAlignment="1">
      <alignment horizontal="center"/>
    </xf>
    <xf numFmtId="2" fontId="6" fillId="11" borderId="0" xfId="0" applyNumberFormat="1" applyFont="1" applyFill="1" applyAlignment="1">
      <alignment horizontal="center"/>
    </xf>
    <xf numFmtId="2" fontId="6" fillId="11" borderId="28" xfId="0" applyNumberFormat="1" applyFont="1" applyFill="1" applyBorder="1" applyAlignment="1">
      <alignment horizontal="center"/>
    </xf>
    <xf numFmtId="2" fontId="6" fillId="10" borderId="0" xfId="0" applyNumberFormat="1" applyFont="1" applyFill="1" applyAlignment="1">
      <alignment horizontal="center" vertical="center"/>
    </xf>
    <xf numFmtId="2" fontId="6" fillId="11" borderId="0" xfId="0" applyNumberFormat="1" applyFont="1" applyFill="1" applyAlignment="1">
      <alignment horizontal="center" vertical="center"/>
    </xf>
    <xf numFmtId="2" fontId="6" fillId="10" borderId="28" xfId="0" applyNumberFormat="1" applyFont="1" applyFill="1" applyBorder="1" applyAlignment="1">
      <alignment horizontal="center" vertical="center"/>
    </xf>
    <xf numFmtId="2" fontId="6" fillId="11" borderId="28" xfId="0" applyNumberFormat="1" applyFont="1" applyFill="1" applyBorder="1" applyAlignment="1">
      <alignment horizontal="center" vertical="center"/>
    </xf>
    <xf numFmtId="10" fontId="9" fillId="0" borderId="7" xfId="0" applyNumberFormat="1" applyFont="1" applyBorder="1" applyAlignment="1">
      <alignment horizontal="center" vertical="center"/>
    </xf>
    <xf numFmtId="10" fontId="9" fillId="0" borderId="7" xfId="0" applyNumberFormat="1" applyFont="1" applyBorder="1" applyAlignment="1">
      <alignment horizontal="center"/>
    </xf>
    <xf numFmtId="10" fontId="9" fillId="16" borderId="8" xfId="0" applyNumberFormat="1" applyFont="1" applyFill="1" applyBorder="1" applyAlignment="1">
      <alignment horizontal="center"/>
    </xf>
    <xf numFmtId="10" fontId="0" fillId="16" borderId="0" xfId="0" applyNumberFormat="1" applyFill="1"/>
    <xf numFmtId="10" fontId="7" fillId="16" borderId="0" xfId="0" applyNumberFormat="1" applyFont="1" applyFill="1" applyAlignment="1">
      <alignment horizontal="center" vertical="center"/>
    </xf>
    <xf numFmtId="10" fontId="7" fillId="10" borderId="0" xfId="0" applyNumberFormat="1" applyFont="1" applyFill="1" applyAlignment="1">
      <alignment horizontal="center" vertical="center"/>
    </xf>
    <xf numFmtId="10" fontId="7" fillId="11" borderId="0" xfId="0" applyNumberFormat="1" applyFont="1" applyFill="1"/>
    <xf numFmtId="10" fontId="7" fillId="17" borderId="0" xfId="0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11" borderId="0" xfId="0" applyNumberFormat="1" applyFill="1" applyAlignment="1">
      <alignment horizontal="center" vertical="center"/>
    </xf>
    <xf numFmtId="10" fontId="0" fillId="8" borderId="0" xfId="0" applyNumberFormat="1" applyFill="1" applyAlignment="1">
      <alignment horizontal="center" vertical="center"/>
    </xf>
    <xf numFmtId="10" fontId="0" fillId="17" borderId="0" xfId="0" applyNumberFormat="1" applyFill="1" applyAlignment="1">
      <alignment horizontal="center" vertical="center"/>
    </xf>
    <xf numFmtId="10" fontId="7" fillId="11" borderId="0" xfId="0" applyNumberFormat="1" applyFont="1" applyFill="1" applyAlignment="1">
      <alignment horizontal="center" vertical="center"/>
    </xf>
    <xf numFmtId="2" fontId="6" fillId="18" borderId="8" xfId="0" applyNumberFormat="1" applyFont="1" applyFill="1" applyBorder="1" applyAlignment="1">
      <alignment horizontal="center" vertical="center"/>
    </xf>
    <xf numFmtId="2" fontId="6" fillId="18" borderId="32" xfId="0" applyNumberFormat="1" applyFont="1" applyFill="1" applyBorder="1" applyAlignment="1">
      <alignment horizontal="center" vertical="center"/>
    </xf>
    <xf numFmtId="2" fontId="6" fillId="18" borderId="0" xfId="0" applyNumberFormat="1" applyFont="1" applyFill="1" applyAlignment="1">
      <alignment horizontal="center" vertical="center"/>
    </xf>
    <xf numFmtId="2" fontId="6" fillId="18" borderId="0" xfId="0" applyNumberFormat="1" applyFont="1" applyFill="1" applyAlignment="1">
      <alignment horizontal="center"/>
    </xf>
    <xf numFmtId="2" fontId="6" fillId="18" borderId="28" xfId="0" applyNumberFormat="1" applyFont="1" applyFill="1" applyBorder="1" applyAlignment="1">
      <alignment horizontal="center"/>
    </xf>
    <xf numFmtId="2" fontId="6" fillId="18" borderId="28" xfId="0" applyNumberFormat="1" applyFont="1" applyFill="1" applyBorder="1" applyAlignment="1">
      <alignment horizontal="center" vertical="center"/>
    </xf>
    <xf numFmtId="10" fontId="7" fillId="8" borderId="0" xfId="0" applyNumberFormat="1" applyFont="1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0" fontId="7" fillId="2" borderId="7" xfId="0" applyNumberFormat="1" applyFont="1" applyFill="1" applyBorder="1"/>
    <xf numFmtId="10" fontId="7" fillId="2" borderId="27" xfId="0" applyNumberFormat="1" applyFont="1" applyFill="1" applyBorder="1"/>
    <xf numFmtId="10" fontId="7" fillId="19" borderId="0" xfId="0" applyNumberFormat="1" applyFont="1" applyFill="1" applyAlignment="1">
      <alignment horizontal="center" vertical="center"/>
    </xf>
    <xf numFmtId="10" fontId="7" fillId="16" borderId="8" xfId="0" applyNumberFormat="1" applyFont="1" applyFill="1" applyBorder="1" applyAlignment="1">
      <alignment horizontal="center" vertical="center"/>
    </xf>
    <xf numFmtId="10" fontId="7" fillId="3" borderId="0" xfId="0" applyNumberFormat="1" applyFont="1" applyFill="1" applyAlignment="1">
      <alignment horizontal="center" vertical="center"/>
    </xf>
    <xf numFmtId="10" fontId="9" fillId="17" borderId="0" xfId="0" applyNumberFormat="1" applyFont="1" applyFill="1" applyAlignment="1">
      <alignment horizontal="center"/>
    </xf>
    <xf numFmtId="10" fontId="0" fillId="20" borderId="0" xfId="0" applyNumberFormat="1" applyFill="1" applyAlignment="1">
      <alignment horizontal="center" vertical="center"/>
    </xf>
    <xf numFmtId="2" fontId="6" fillId="18" borderId="0" xfId="0" applyNumberFormat="1" applyFont="1" applyFill="1" applyAlignment="1">
      <alignment horizontal="center" vertical="center" wrapText="1"/>
    </xf>
    <xf numFmtId="2" fontId="6" fillId="18" borderId="28" xfId="0" applyNumberFormat="1" applyFont="1" applyFill="1" applyBorder="1" applyAlignment="1">
      <alignment horizontal="center" vertical="center" wrapText="1"/>
    </xf>
    <xf numFmtId="10" fontId="0" fillId="19" borderId="0" xfId="0" applyNumberFormat="1" applyFill="1" applyAlignment="1">
      <alignment horizontal="center" vertical="center"/>
    </xf>
    <xf numFmtId="10" fontId="7" fillId="3" borderId="0" xfId="0" applyNumberFormat="1" applyFont="1" applyFill="1" applyAlignment="1">
      <alignment horizontal="center" vertical="center" wrapText="1"/>
    </xf>
    <xf numFmtId="10" fontId="7" fillId="2" borderId="8" xfId="0" applyNumberFormat="1" applyFont="1" applyFill="1" applyBorder="1" applyAlignment="1">
      <alignment wrapText="1"/>
    </xf>
    <xf numFmtId="10" fontId="9" fillId="2" borderId="8" xfId="0" applyNumberFormat="1" applyFont="1" applyFill="1" applyBorder="1" applyAlignment="1">
      <alignment wrapText="1"/>
    </xf>
    <xf numFmtId="10" fontId="9" fillId="2" borderId="32" xfId="0" applyNumberFormat="1" applyFont="1" applyFill="1" applyBorder="1" applyAlignment="1">
      <alignment wrapText="1"/>
    </xf>
    <xf numFmtId="0" fontId="9" fillId="2" borderId="27" xfId="0" applyFont="1" applyFill="1" applyBorder="1" applyAlignment="1">
      <alignment horizontal="center" vertical="center"/>
    </xf>
    <xf numFmtId="10" fontId="9" fillId="8" borderId="0" xfId="0" applyNumberFormat="1" applyFont="1" applyFill="1" applyAlignment="1">
      <alignment horizontal="center"/>
    </xf>
    <xf numFmtId="10" fontId="7" fillId="18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right"/>
    </xf>
    <xf numFmtId="10" fontId="9" fillId="19" borderId="0" xfId="0" applyNumberFormat="1" applyFont="1" applyFill="1" applyAlignment="1">
      <alignment horizontal="center" vertical="center"/>
    </xf>
    <xf numFmtId="10" fontId="9" fillId="8" borderId="0" xfId="0" applyNumberFormat="1" applyFont="1" applyFill="1" applyAlignment="1">
      <alignment horizontal="center" vertical="center"/>
    </xf>
    <xf numFmtId="2" fontId="7" fillId="10" borderId="0" xfId="0" applyNumberFormat="1" applyFont="1" applyFill="1" applyAlignment="1">
      <alignment horizontal="center" vertical="center"/>
    </xf>
    <xf numFmtId="2" fontId="7" fillId="10" borderId="28" xfId="0" applyNumberFormat="1" applyFont="1" applyFill="1" applyBorder="1" applyAlignment="1">
      <alignment horizontal="center" vertical="center"/>
    </xf>
    <xf numFmtId="2" fontId="7" fillId="11" borderId="0" xfId="0" applyNumberFormat="1" applyFont="1" applyFill="1" applyAlignment="1">
      <alignment horizontal="center" vertical="center"/>
    </xf>
    <xf numFmtId="2" fontId="7" fillId="11" borderId="28" xfId="0" applyNumberFormat="1" applyFont="1" applyFill="1" applyBorder="1" applyAlignment="1">
      <alignment horizontal="center" vertical="center"/>
    </xf>
    <xf numFmtId="2" fontId="7" fillId="18" borderId="0" xfId="0" applyNumberFormat="1" applyFont="1" applyFill="1" applyAlignment="1">
      <alignment horizontal="center" vertical="center"/>
    </xf>
    <xf numFmtId="2" fontId="7" fillId="18" borderId="2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6" fillId="18" borderId="0" xfId="0" applyNumberFormat="1" applyFont="1" applyFill="1" applyAlignment="1">
      <alignment horizontal="center" vertical="center"/>
    </xf>
    <xf numFmtId="10" fontId="9" fillId="18" borderId="0" xfId="0" applyNumberFormat="1" applyFont="1" applyFill="1" applyAlignment="1">
      <alignment horizontal="center" vertical="center"/>
    </xf>
    <xf numFmtId="2" fontId="6" fillId="11" borderId="0" xfId="0" applyNumberFormat="1" applyFont="1" applyFill="1" applyAlignment="1">
      <alignment horizontal="center" vertical="center" wrapText="1"/>
    </xf>
    <xf numFmtId="2" fontId="6" fillId="11" borderId="28" xfId="0" applyNumberFormat="1" applyFont="1" applyFill="1" applyBorder="1" applyAlignment="1">
      <alignment horizontal="center" vertical="center" wrapText="1"/>
    </xf>
    <xf numFmtId="10" fontId="9" fillId="21" borderId="0" xfId="0" applyNumberFormat="1" applyFont="1" applyFill="1" applyAlignment="1">
      <alignment horizontal="center" vertical="center"/>
    </xf>
    <xf numFmtId="10" fontId="9" fillId="0" borderId="0" xfId="0" applyNumberFormat="1" applyFont="1"/>
    <xf numFmtId="2" fontId="9" fillId="14" borderId="0" xfId="0" applyNumberFormat="1" applyFont="1" applyFill="1" applyAlignment="1">
      <alignment horizontal="center"/>
    </xf>
    <xf numFmtId="2" fontId="9" fillId="14" borderId="7" xfId="0" applyNumberFormat="1" applyFont="1" applyFill="1" applyBorder="1" applyAlignment="1">
      <alignment horizontal="center"/>
    </xf>
    <xf numFmtId="2" fontId="9" fillId="14" borderId="8" xfId="0" applyNumberFormat="1" applyFont="1" applyFill="1" applyBorder="1" applyAlignment="1">
      <alignment horizontal="center"/>
    </xf>
    <xf numFmtId="10" fontId="9" fillId="17" borderId="0" xfId="0" applyNumberFormat="1" applyFont="1" applyFill="1" applyAlignment="1">
      <alignment horizontal="center" vertical="center"/>
    </xf>
    <xf numFmtId="2" fontId="6" fillId="18" borderId="32" xfId="0" applyNumberFormat="1" applyFont="1" applyFill="1" applyBorder="1" applyAlignment="1">
      <alignment horizontal="center"/>
    </xf>
    <xf numFmtId="1" fontId="7" fillId="0" borderId="0" xfId="0" applyNumberFormat="1" applyFont="1"/>
    <xf numFmtId="1" fontId="7" fillId="0" borderId="0" xfId="0" applyNumberFormat="1" applyFont="1" applyAlignment="1">
      <alignment horizontal="center" vertical="center"/>
    </xf>
    <xf numFmtId="10" fontId="0" fillId="3" borderId="0" xfId="0" applyNumberFormat="1" applyFill="1" applyAlignment="1">
      <alignment horizontal="center"/>
    </xf>
    <xf numFmtId="0" fontId="19" fillId="0" borderId="19" xfId="0" applyFont="1" applyBorder="1" applyAlignment="1">
      <alignment horizontal="center" vertical="center"/>
    </xf>
    <xf numFmtId="0" fontId="20" fillId="22" borderId="59" xfId="0" applyFont="1" applyFill="1" applyBorder="1" applyAlignment="1">
      <alignment horizontal="center" vertical="center"/>
    </xf>
    <xf numFmtId="0" fontId="20" fillId="22" borderId="3" xfId="0" applyFont="1" applyFill="1" applyBorder="1" applyAlignment="1">
      <alignment horizontal="center" vertical="center"/>
    </xf>
    <xf numFmtId="0" fontId="20" fillId="22" borderId="61" xfId="0" applyFont="1" applyFill="1" applyBorder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12" borderId="0" xfId="0" applyFill="1"/>
    <xf numFmtId="167" fontId="0" fillId="12" borderId="0" xfId="0" applyNumberFormat="1" applyFill="1"/>
    <xf numFmtId="2" fontId="0" fillId="12" borderId="0" xfId="0" applyNumberFormat="1" applyFill="1"/>
    <xf numFmtId="0" fontId="11" fillId="12" borderId="0" xfId="0" applyFont="1" applyFill="1" applyAlignment="1">
      <alignment horizontal="center" vertical="center"/>
    </xf>
    <xf numFmtId="2" fontId="0" fillId="12" borderId="0" xfId="0" applyNumberFormat="1" applyFill="1" applyAlignment="1">
      <alignment horizontal="center" vertical="center"/>
    </xf>
    <xf numFmtId="167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23" fillId="12" borderId="0" xfId="0" applyFont="1" applyFill="1" applyAlignment="1">
      <alignment horizontal="center" vertical="center" wrapText="1"/>
    </xf>
    <xf numFmtId="167" fontId="23" fillId="12" borderId="0" xfId="0" applyNumberFormat="1" applyFont="1" applyFill="1" applyAlignment="1">
      <alignment horizontal="center" vertical="center" wrapText="1"/>
    </xf>
    <xf numFmtId="2" fontId="23" fillId="12" borderId="0" xfId="0" applyNumberFormat="1" applyFont="1" applyFill="1" applyAlignment="1">
      <alignment horizontal="center" vertical="center" wrapText="1"/>
    </xf>
    <xf numFmtId="0" fontId="24" fillId="22" borderId="3" xfId="0" applyFont="1" applyFill="1" applyBorder="1" applyAlignment="1">
      <alignment horizontal="center" vertical="center"/>
    </xf>
    <xf numFmtId="0" fontId="24" fillId="22" borderId="60" xfId="0" applyFont="1" applyFill="1" applyBorder="1" applyAlignment="1">
      <alignment horizontal="center" vertical="center"/>
    </xf>
    <xf numFmtId="0" fontId="25" fillId="22" borderId="58" xfId="0" applyFont="1" applyFill="1" applyBorder="1" applyAlignment="1">
      <alignment horizontal="center" vertical="center"/>
    </xf>
    <xf numFmtId="0" fontId="25" fillId="22" borderId="64" xfId="0" applyFont="1" applyFill="1" applyBorder="1" applyAlignment="1">
      <alignment horizontal="center" vertical="center"/>
    </xf>
    <xf numFmtId="167" fontId="24" fillId="22" borderId="56" xfId="0" applyNumberFormat="1" applyFont="1" applyFill="1" applyBorder="1" applyAlignment="1">
      <alignment horizontal="center" vertical="center"/>
    </xf>
    <xf numFmtId="0" fontId="25" fillId="22" borderId="55" xfId="0" applyFont="1" applyFill="1" applyBorder="1" applyAlignment="1">
      <alignment horizontal="center" vertical="center"/>
    </xf>
    <xf numFmtId="2" fontId="25" fillId="22" borderId="64" xfId="0" applyNumberFormat="1" applyFont="1" applyFill="1" applyBorder="1" applyAlignment="1">
      <alignment horizontal="center" vertical="center"/>
    </xf>
    <xf numFmtId="167" fontId="24" fillId="22" borderId="57" xfId="0" applyNumberFormat="1" applyFont="1" applyFill="1" applyBorder="1" applyAlignment="1">
      <alignment horizontal="center" vertical="center"/>
    </xf>
    <xf numFmtId="2" fontId="7" fillId="23" borderId="0" xfId="0" applyNumberFormat="1" applyFont="1" applyFill="1" applyAlignment="1">
      <alignment horizontal="center" vertical="center"/>
    </xf>
    <xf numFmtId="2" fontId="6" fillId="8" borderId="0" xfId="0" applyNumberFormat="1" applyFont="1" applyFill="1" applyAlignment="1">
      <alignment horizontal="center" vertical="center"/>
    </xf>
    <xf numFmtId="0" fontId="20" fillId="22" borderId="60" xfId="0" applyFont="1" applyFill="1" applyBorder="1" applyAlignment="1">
      <alignment horizontal="center" vertical="center"/>
    </xf>
    <xf numFmtId="167" fontId="20" fillId="22" borderId="61" xfId="0" applyNumberFormat="1" applyFont="1" applyFill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0" fontId="7" fillId="16" borderId="7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vertical="center"/>
    </xf>
    <xf numFmtId="166" fontId="9" fillId="0" borderId="0" xfId="0" applyNumberFormat="1" applyFont="1"/>
    <xf numFmtId="10" fontId="9" fillId="0" borderId="0" xfId="0" applyNumberFormat="1" applyFont="1" applyAlignment="1">
      <alignment horizontal="center" vertical="center"/>
    </xf>
    <xf numFmtId="10" fontId="9" fillId="11" borderId="0" xfId="0" applyNumberFormat="1" applyFont="1" applyFill="1" applyAlignment="1">
      <alignment horizontal="center" vertical="center"/>
    </xf>
    <xf numFmtId="166" fontId="6" fillId="0" borderId="0" xfId="0" applyNumberFormat="1" applyFont="1" applyAlignment="1">
      <alignment vertical="center"/>
    </xf>
    <xf numFmtId="2" fontId="6" fillId="8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10" fontId="7" fillId="2" borderId="0" xfId="0" applyNumberFormat="1" applyFont="1" applyFill="1" applyAlignment="1">
      <alignment horizontal="center" vertical="center"/>
    </xf>
    <xf numFmtId="0" fontId="7" fillId="2" borderId="36" xfId="0" applyFont="1" applyFill="1" applyBorder="1"/>
    <xf numFmtId="0" fontId="7" fillId="2" borderId="37" xfId="0" applyFont="1" applyFill="1" applyBorder="1"/>
    <xf numFmtId="2" fontId="7" fillId="2" borderId="28" xfId="0" applyNumberFormat="1" applyFont="1" applyFill="1" applyBorder="1" applyAlignment="1">
      <alignment horizontal="center"/>
    </xf>
    <xf numFmtId="10" fontId="7" fillId="2" borderId="28" xfId="0" applyNumberFormat="1" applyFont="1" applyFill="1" applyBorder="1" applyAlignment="1">
      <alignment horizontal="center"/>
    </xf>
    <xf numFmtId="10" fontId="7" fillId="8" borderId="0" xfId="0" applyNumberFormat="1" applyFont="1" applyFill="1" applyAlignment="1">
      <alignment horizontal="center"/>
    </xf>
    <xf numFmtId="10" fontId="7" fillId="8" borderId="28" xfId="0" applyNumberFormat="1" applyFont="1" applyFill="1" applyBorder="1" applyAlignment="1">
      <alignment horizontal="center"/>
    </xf>
    <xf numFmtId="165" fontId="6" fillId="0" borderId="36" xfId="0" applyNumberFormat="1" applyFont="1" applyBorder="1" applyAlignment="1">
      <alignment horizontal="center" vertical="center"/>
    </xf>
    <xf numFmtId="165" fontId="7" fillId="0" borderId="36" xfId="0" applyNumberFormat="1" applyFont="1" applyBorder="1" applyAlignment="1">
      <alignment horizontal="center"/>
    </xf>
    <xf numFmtId="165" fontId="7" fillId="2" borderId="36" xfId="0" applyNumberFormat="1" applyFont="1" applyFill="1" applyBorder="1" applyAlignment="1">
      <alignment horizontal="center"/>
    </xf>
    <xf numFmtId="10" fontId="7" fillId="0" borderId="0" xfId="0" applyNumberFormat="1" applyFont="1" applyAlignment="1">
      <alignment horizontal="center" vertical="center" wrapText="1"/>
    </xf>
    <xf numFmtId="2" fontId="7" fillId="2" borderId="27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2" fontId="6" fillId="0" borderId="9" xfId="0" applyNumberFormat="1" applyFont="1" applyBorder="1" applyAlignment="1">
      <alignment horizontal="center" vertical="center" wrapText="1"/>
    </xf>
    <xf numFmtId="10" fontId="6" fillId="0" borderId="9" xfId="0" applyNumberFormat="1" applyFont="1" applyBorder="1" applyAlignment="1">
      <alignment horizontal="center" vertical="center" wrapText="1"/>
    </xf>
    <xf numFmtId="2" fontId="6" fillId="0" borderId="8" xfId="0" applyNumberFormat="1" applyFont="1" applyBorder="1" applyAlignment="1">
      <alignment horizontal="center" vertical="center"/>
    </xf>
    <xf numFmtId="10" fontId="9" fillId="2" borderId="0" xfId="0" applyNumberFormat="1" applyFont="1" applyFill="1" applyAlignment="1">
      <alignment horizontal="center" vertical="center"/>
    </xf>
    <xf numFmtId="0" fontId="0" fillId="2" borderId="36" xfId="0" applyFill="1" applyBorder="1"/>
    <xf numFmtId="0" fontId="0" fillId="2" borderId="0" xfId="0" applyFill="1"/>
    <xf numFmtId="0" fontId="0" fillId="8" borderId="0" xfId="0" applyFill="1"/>
    <xf numFmtId="0" fontId="0" fillId="2" borderId="37" xfId="0" applyFill="1" applyBorder="1"/>
    <xf numFmtId="0" fontId="0" fillId="2" borderId="28" xfId="0" applyFill="1" applyBorder="1"/>
    <xf numFmtId="0" fontId="0" fillId="8" borderId="28" xfId="0" applyFill="1" applyBorder="1"/>
    <xf numFmtId="2" fontId="7" fillId="0" borderId="28" xfId="0" applyNumberFormat="1" applyFont="1" applyBorder="1" applyAlignment="1">
      <alignment horizontal="center" vertical="center" wrapText="1"/>
    </xf>
    <xf numFmtId="0" fontId="0" fillId="2" borderId="27" xfId="0" applyFill="1" applyBorder="1"/>
    <xf numFmtId="0" fontId="0" fillId="0" borderId="6" xfId="0" applyBorder="1"/>
    <xf numFmtId="2" fontId="6" fillId="0" borderId="13" xfId="0" applyNumberFormat="1" applyFont="1" applyBorder="1" applyAlignment="1">
      <alignment horizontal="center" vertical="center"/>
    </xf>
    <xf numFmtId="2" fontId="6" fillId="10" borderId="13" xfId="0" applyNumberFormat="1" applyFont="1" applyFill="1" applyBorder="1" applyAlignment="1">
      <alignment horizontal="center" vertical="center"/>
    </xf>
    <xf numFmtId="2" fontId="6" fillId="10" borderId="29" xfId="0" applyNumberFormat="1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2" fontId="9" fillId="0" borderId="27" xfId="0" applyNumberFormat="1" applyFont="1" applyBorder="1" applyAlignment="1">
      <alignment horizontal="center" vertical="center"/>
    </xf>
    <xf numFmtId="2" fontId="7" fillId="2" borderId="0" xfId="0" applyNumberFormat="1" applyFont="1" applyFill="1"/>
    <xf numFmtId="0" fontId="0" fillId="11" borderId="0" xfId="0" applyFill="1"/>
    <xf numFmtId="0" fontId="0" fillId="11" borderId="28" xfId="0" applyFill="1" applyBorder="1"/>
    <xf numFmtId="2" fontId="6" fillId="16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2" fontId="6" fillId="16" borderId="28" xfId="0" applyNumberFormat="1" applyFont="1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165" fontId="7" fillId="0" borderId="49" xfId="0" applyNumberFormat="1" applyFont="1" applyBorder="1" applyAlignment="1">
      <alignment horizontal="center" vertical="center"/>
    </xf>
    <xf numFmtId="10" fontId="0" fillId="11" borderId="0" xfId="0" applyNumberFormat="1" applyFill="1"/>
    <xf numFmtId="10" fontId="7" fillId="0" borderId="15" xfId="0" applyNumberFormat="1" applyFont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10" fontId="9" fillId="2" borderId="7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2" fontId="0" fillId="2" borderId="28" xfId="0" applyNumberFormat="1" applyFill="1" applyBorder="1" applyAlignment="1">
      <alignment horizontal="center" vertical="center"/>
    </xf>
    <xf numFmtId="2" fontId="0" fillId="2" borderId="27" xfId="0" applyNumberFormat="1" applyFill="1" applyBorder="1" applyAlignment="1">
      <alignment horizontal="center" vertical="center"/>
    </xf>
    <xf numFmtId="2" fontId="0" fillId="11" borderId="28" xfId="0" applyNumberFormat="1" applyFill="1" applyBorder="1" applyAlignment="1">
      <alignment horizontal="center" vertical="center"/>
    </xf>
    <xf numFmtId="2" fontId="0" fillId="2" borderId="0" xfId="0" applyNumberFormat="1" applyFill="1"/>
    <xf numFmtId="2" fontId="0" fillId="2" borderId="28" xfId="0" applyNumberFormat="1" applyFill="1" applyBorder="1"/>
    <xf numFmtId="2" fontId="7" fillId="2" borderId="28" xfId="0" applyNumberFormat="1" applyFont="1" applyFill="1" applyBorder="1"/>
    <xf numFmtId="165" fontId="7" fillId="0" borderId="49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2" fontId="7" fillId="0" borderId="47" xfId="0" applyNumberFormat="1" applyFont="1" applyBorder="1" applyAlignment="1">
      <alignment horizontal="center" vertical="center"/>
    </xf>
    <xf numFmtId="2" fontId="7" fillId="0" borderId="44" xfId="0" applyNumberFormat="1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 wrapText="1"/>
    </xf>
    <xf numFmtId="9" fontId="7" fillId="0" borderId="48" xfId="0" applyNumberFormat="1" applyFont="1" applyBorder="1" applyAlignment="1">
      <alignment horizontal="center" vertical="center"/>
    </xf>
    <xf numFmtId="9" fontId="7" fillId="0" borderId="40" xfId="0" applyNumberFormat="1" applyFont="1" applyBorder="1" applyAlignment="1">
      <alignment horizontal="center" vertical="center"/>
    </xf>
    <xf numFmtId="9" fontId="7" fillId="18" borderId="40" xfId="0" applyNumberFormat="1" applyFont="1" applyFill="1" applyBorder="1" applyAlignment="1">
      <alignment horizontal="center" vertical="center"/>
    </xf>
    <xf numFmtId="2" fontId="7" fillId="0" borderId="71" xfId="0" applyNumberFormat="1" applyFont="1" applyBorder="1" applyAlignment="1">
      <alignment horizontal="center" vertical="center"/>
    </xf>
    <xf numFmtId="22" fontId="0" fillId="0" borderId="0" xfId="0" applyNumberFormat="1" applyAlignment="1">
      <alignment horizontal="center"/>
    </xf>
    <xf numFmtId="0" fontId="6" fillId="0" borderId="26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1" fontId="7" fillId="0" borderId="11" xfId="0" applyNumberFormat="1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13" xfId="0" applyNumberFormat="1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7" fillId="0" borderId="13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9" fillId="0" borderId="13" xfId="0" applyNumberFormat="1" applyFont="1" applyBorder="1"/>
    <xf numFmtId="1" fontId="9" fillId="0" borderId="0" xfId="0" applyNumberFormat="1" applyFont="1"/>
    <xf numFmtId="1" fontId="9" fillId="0" borderId="14" xfId="0" applyNumberFormat="1" applyFont="1" applyBorder="1"/>
    <xf numFmtId="1" fontId="9" fillId="0" borderId="4" xfId="0" applyNumberFormat="1" applyFont="1" applyBorder="1"/>
    <xf numFmtId="1" fontId="7" fillId="0" borderId="4" xfId="0" applyNumberFormat="1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7" fillId="2" borderId="11" xfId="0" applyNumberFormat="1" applyFont="1" applyFill="1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 wrapText="1"/>
    </xf>
    <xf numFmtId="1" fontId="7" fillId="2" borderId="12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1" fontId="9" fillId="2" borderId="13" xfId="0" applyNumberFormat="1" applyFont="1" applyFill="1" applyBorder="1" applyAlignment="1">
      <alignment horizontal="center" vertical="center"/>
    </xf>
    <xf numFmtId="1" fontId="9" fillId="2" borderId="0" xfId="0" applyNumberFormat="1" applyFont="1" applyFill="1" applyAlignment="1">
      <alignment horizontal="center" vertical="center"/>
    </xf>
    <xf numFmtId="1" fontId="9" fillId="2" borderId="13" xfId="0" applyNumberFormat="1" applyFont="1" applyFill="1" applyBorder="1" applyAlignment="1">
      <alignment horizontal="center"/>
    </xf>
    <xf numFmtId="1" fontId="9" fillId="2" borderId="0" xfId="0" applyNumberFormat="1" applyFont="1" applyFill="1" applyAlignment="1">
      <alignment horizontal="center"/>
    </xf>
    <xf numFmtId="1" fontId="9" fillId="2" borderId="8" xfId="0" applyNumberFormat="1" applyFont="1" applyFill="1" applyBorder="1" applyAlignment="1">
      <alignment horizontal="center"/>
    </xf>
    <xf numFmtId="1" fontId="7" fillId="2" borderId="14" xfId="0" applyNumberFormat="1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1" fontId="7" fillId="2" borderId="1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22" fontId="19" fillId="0" borderId="42" xfId="0" applyNumberFormat="1" applyFont="1" applyBorder="1" applyAlignment="1">
      <alignment horizontal="center" vertical="center"/>
    </xf>
    <xf numFmtId="1" fontId="19" fillId="0" borderId="47" xfId="0" applyNumberFormat="1" applyFont="1" applyBorder="1" applyAlignment="1">
      <alignment horizontal="center" vertical="center"/>
    </xf>
    <xf numFmtId="22" fontId="19" fillId="0" borderId="36" xfId="0" applyNumberFormat="1" applyFont="1" applyBorder="1" applyAlignment="1">
      <alignment horizontal="center" vertical="center"/>
    </xf>
    <xf numFmtId="1" fontId="19" fillId="0" borderId="7" xfId="0" applyNumberFormat="1" applyFont="1" applyBorder="1" applyAlignment="1">
      <alignment horizontal="center" vertical="center"/>
    </xf>
    <xf numFmtId="22" fontId="19" fillId="0" borderId="21" xfId="0" applyNumberFormat="1" applyFont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1" fontId="19" fillId="2" borderId="7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/>
    </xf>
    <xf numFmtId="1" fontId="19" fillId="2" borderId="27" xfId="0" applyNumberFormat="1" applyFont="1" applyFill="1" applyBorder="1" applyAlignment="1">
      <alignment horizontal="center" vertical="center"/>
    </xf>
    <xf numFmtId="1" fontId="19" fillId="0" borderId="44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9" fillId="2" borderId="0" xfId="0" applyNumberFormat="1" applyFont="1" applyFill="1" applyAlignment="1">
      <alignment horizontal="center" vertical="center"/>
    </xf>
    <xf numFmtId="1" fontId="19" fillId="2" borderId="28" xfId="0" applyNumberFormat="1" applyFont="1" applyFill="1" applyBorder="1" applyAlignment="1">
      <alignment horizontal="center" vertical="center"/>
    </xf>
    <xf numFmtId="9" fontId="19" fillId="0" borderId="72" xfId="0" applyNumberFormat="1" applyFont="1" applyBorder="1" applyAlignment="1">
      <alignment horizontal="center" vertical="center"/>
    </xf>
    <xf numFmtId="9" fontId="19" fillId="0" borderId="24" xfId="0" applyNumberFormat="1" applyFont="1" applyBorder="1" applyAlignment="1">
      <alignment horizontal="center" vertical="center"/>
    </xf>
    <xf numFmtId="1" fontId="7" fillId="0" borderId="70" xfId="0" applyNumberFormat="1" applyFont="1" applyBorder="1" applyAlignment="1">
      <alignment horizontal="center" vertical="center"/>
    </xf>
    <xf numFmtId="22" fontId="7" fillId="0" borderId="44" xfId="0" applyNumberFormat="1" applyFont="1" applyBorder="1" applyAlignment="1">
      <alignment horizontal="center"/>
    </xf>
    <xf numFmtId="10" fontId="7" fillId="0" borderId="44" xfId="0" applyNumberFormat="1" applyFont="1" applyBorder="1" applyAlignment="1">
      <alignment horizontal="center" vertical="center" wrapText="1"/>
    </xf>
    <xf numFmtId="2" fontId="7" fillId="0" borderId="44" xfId="0" applyNumberFormat="1" applyFont="1" applyBorder="1" applyAlignment="1">
      <alignment horizontal="center" vertical="center" wrapText="1"/>
    </xf>
    <xf numFmtId="2" fontId="7" fillId="0" borderId="72" xfId="0" applyNumberFormat="1" applyFont="1" applyBorder="1" applyAlignment="1">
      <alignment horizontal="center" vertical="center"/>
    </xf>
    <xf numFmtId="1" fontId="7" fillId="0" borderId="21" xfId="0" applyNumberFormat="1" applyFont="1" applyBorder="1" applyAlignment="1">
      <alignment horizontal="center" vertical="center"/>
    </xf>
    <xf numFmtId="22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2" fontId="11" fillId="0" borderId="13" xfId="2" applyNumberFormat="1" applyFont="1" applyFill="1" applyBorder="1" applyAlignment="1">
      <alignment horizontal="center" vertical="center"/>
    </xf>
    <xf numFmtId="2" fontId="11" fillId="0" borderId="7" xfId="2" applyNumberFormat="1" applyFont="1" applyFill="1" applyBorder="1" applyAlignment="1">
      <alignment horizontal="center" vertical="center"/>
    </xf>
    <xf numFmtId="1" fontId="7" fillId="2" borderId="21" xfId="0" applyNumberFormat="1" applyFont="1" applyFill="1" applyBorder="1" applyAlignment="1">
      <alignment horizontal="center" vertical="center"/>
    </xf>
    <xf numFmtId="22" fontId="7" fillId="2" borderId="0" xfId="0" applyNumberFormat="1" applyFont="1" applyFill="1" applyAlignment="1">
      <alignment horizontal="center"/>
    </xf>
    <xf numFmtId="2" fontId="7" fillId="10" borderId="13" xfId="0" applyNumberFormat="1" applyFont="1" applyFill="1" applyBorder="1" applyAlignment="1">
      <alignment horizontal="center" vertical="center"/>
    </xf>
    <xf numFmtId="168" fontId="7" fillId="11" borderId="0" xfId="0" applyNumberFormat="1" applyFont="1" applyFill="1" applyAlignment="1">
      <alignment horizontal="center"/>
    </xf>
    <xf numFmtId="1" fontId="7" fillId="2" borderId="21" xfId="0" applyNumberFormat="1" applyFont="1" applyFill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10" fontId="7" fillId="11" borderId="0" xfId="0" applyNumberFormat="1" applyFont="1" applyFill="1" applyAlignment="1">
      <alignment horizontal="center"/>
    </xf>
    <xf numFmtId="1" fontId="7" fillId="2" borderId="26" xfId="0" applyNumberFormat="1" applyFont="1" applyFill="1" applyBorder="1" applyAlignment="1">
      <alignment horizontal="center"/>
    </xf>
    <xf numFmtId="22" fontId="7" fillId="2" borderId="28" xfId="0" applyNumberFormat="1" applyFont="1" applyFill="1" applyBorder="1" applyAlignment="1">
      <alignment horizontal="center"/>
    </xf>
    <xf numFmtId="2" fontId="7" fillId="2" borderId="29" xfId="0" applyNumberFormat="1" applyFont="1" applyFill="1" applyBorder="1" applyAlignment="1">
      <alignment horizontal="center"/>
    </xf>
    <xf numFmtId="2" fontId="7" fillId="10" borderId="29" xfId="0" applyNumberFormat="1" applyFont="1" applyFill="1" applyBorder="1" applyAlignment="1">
      <alignment horizontal="center" vertical="center"/>
    </xf>
    <xf numFmtId="10" fontId="7" fillId="11" borderId="28" xfId="0" applyNumberFormat="1" applyFont="1" applyFill="1" applyBorder="1" applyAlignment="1">
      <alignment horizontal="center"/>
    </xf>
    <xf numFmtId="10" fontId="0" fillId="9" borderId="0" xfId="0" applyNumberFormat="1" applyFill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22" fontId="7" fillId="0" borderId="42" xfId="0" applyNumberFormat="1" applyFont="1" applyBorder="1" applyAlignment="1">
      <alignment horizontal="center"/>
    </xf>
    <xf numFmtId="10" fontId="7" fillId="0" borderId="44" xfId="0" applyNumberFormat="1" applyFont="1" applyBorder="1" applyAlignment="1">
      <alignment horizontal="center" vertical="center"/>
    </xf>
    <xf numFmtId="1" fontId="7" fillId="0" borderId="47" xfId="0" applyNumberFormat="1" applyFont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 vertical="center" wrapText="1"/>
    </xf>
    <xf numFmtId="1" fontId="7" fillId="2" borderId="36" xfId="0" applyNumberFormat="1" applyFont="1" applyFill="1" applyBorder="1" applyAlignment="1">
      <alignment horizontal="center" vertical="center"/>
    </xf>
    <xf numFmtId="1" fontId="7" fillId="2" borderId="7" xfId="0" applyNumberFormat="1" applyFont="1" applyFill="1" applyBorder="1" applyAlignment="1">
      <alignment horizontal="center" vertical="center" wrapText="1"/>
    </xf>
    <xf numFmtId="9" fontId="7" fillId="2" borderId="40" xfId="0" applyNumberFormat="1" applyFont="1" applyFill="1" applyBorder="1" applyAlignment="1">
      <alignment horizontal="center" vertical="center"/>
    </xf>
    <xf numFmtId="1" fontId="7" fillId="2" borderId="37" xfId="0" applyNumberFormat="1" applyFont="1" applyFill="1" applyBorder="1" applyAlignment="1">
      <alignment horizontal="center" vertical="center"/>
    </xf>
    <xf numFmtId="1" fontId="7" fillId="2" borderId="27" xfId="0" applyNumberFormat="1" applyFont="1" applyFill="1" applyBorder="1" applyAlignment="1">
      <alignment horizontal="center" vertical="center" wrapText="1"/>
    </xf>
    <xf numFmtId="9" fontId="7" fillId="18" borderId="41" xfId="0" applyNumberFormat="1" applyFont="1" applyFill="1" applyBorder="1" applyAlignment="1">
      <alignment horizontal="center" vertical="center"/>
    </xf>
    <xf numFmtId="4" fontId="11" fillId="12" borderId="53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22" borderId="3" xfId="0" applyFont="1" applyFill="1" applyBorder="1" applyAlignment="1">
      <alignment horizontal="center" vertical="center"/>
    </xf>
    <xf numFmtId="0" fontId="13" fillId="22" borderId="60" xfId="0" applyFont="1" applyFill="1" applyBorder="1" applyAlignment="1">
      <alignment horizontal="center" vertical="center"/>
    </xf>
    <xf numFmtId="0" fontId="14" fillId="22" borderId="58" xfId="0" applyFont="1" applyFill="1" applyBorder="1" applyAlignment="1">
      <alignment horizontal="center" vertical="center"/>
    </xf>
    <xf numFmtId="0" fontId="14" fillId="22" borderId="64" xfId="0" applyFont="1" applyFill="1" applyBorder="1" applyAlignment="1">
      <alignment horizontal="center" vertical="center"/>
    </xf>
    <xf numFmtId="167" fontId="13" fillId="22" borderId="56" xfId="0" applyNumberFormat="1" applyFont="1" applyFill="1" applyBorder="1" applyAlignment="1">
      <alignment horizontal="center" vertical="center"/>
    </xf>
    <xf numFmtId="0" fontId="14" fillId="22" borderId="55" xfId="0" applyFont="1" applyFill="1" applyBorder="1" applyAlignment="1">
      <alignment horizontal="center" vertical="center"/>
    </xf>
    <xf numFmtId="2" fontId="14" fillId="22" borderId="64" xfId="0" applyNumberFormat="1" applyFont="1" applyFill="1" applyBorder="1" applyAlignment="1">
      <alignment horizontal="center" vertical="center"/>
    </xf>
    <xf numFmtId="167" fontId="13" fillId="22" borderId="57" xfId="0" applyNumberFormat="1" applyFont="1" applyFill="1" applyBorder="1" applyAlignment="1">
      <alignment horizontal="center" vertical="center"/>
    </xf>
    <xf numFmtId="0" fontId="14" fillId="22" borderId="39" xfId="0" applyFont="1" applyFill="1" applyBorder="1" applyAlignment="1">
      <alignment horizontal="center" vertical="center" wrapText="1"/>
    </xf>
    <xf numFmtId="0" fontId="14" fillId="22" borderId="10" xfId="0" applyFont="1" applyFill="1" applyBorder="1" applyAlignment="1">
      <alignment horizontal="center" vertical="center"/>
    </xf>
    <xf numFmtId="0" fontId="14" fillId="22" borderId="20" xfId="0" applyFont="1" applyFill="1" applyBorder="1" applyAlignment="1">
      <alignment horizontal="center" vertical="center" wrapText="1"/>
    </xf>
    <xf numFmtId="0" fontId="14" fillId="22" borderId="3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10" fontId="19" fillId="0" borderId="73" xfId="0" applyNumberFormat="1" applyFont="1" applyBorder="1" applyAlignment="1">
      <alignment horizontal="right" vertical="center" wrapText="1" indent="2"/>
    </xf>
    <xf numFmtId="10" fontId="19" fillId="0" borderId="8" xfId="0" applyNumberFormat="1" applyFont="1" applyBorder="1" applyAlignment="1">
      <alignment horizontal="right" vertical="center" wrapText="1" indent="2"/>
    </xf>
    <xf numFmtId="10" fontId="19" fillId="2" borderId="8" xfId="0" applyNumberFormat="1" applyFont="1" applyFill="1" applyBorder="1" applyAlignment="1">
      <alignment horizontal="right" vertical="center" indent="2"/>
    </xf>
    <xf numFmtId="10" fontId="19" fillId="2" borderId="32" xfId="0" applyNumberFormat="1" applyFont="1" applyFill="1" applyBorder="1" applyAlignment="1">
      <alignment horizontal="right" vertical="center" indent="2"/>
    </xf>
    <xf numFmtId="2" fontId="19" fillId="0" borderId="71" xfId="0" applyNumberFormat="1" applyFont="1" applyBorder="1" applyAlignment="1">
      <alignment horizontal="right" vertical="center" indent="2"/>
    </xf>
    <xf numFmtId="2" fontId="19" fillId="0" borderId="47" xfId="0" applyNumberFormat="1" applyFont="1" applyBorder="1" applyAlignment="1">
      <alignment horizontal="right" vertical="center" indent="2"/>
    </xf>
    <xf numFmtId="2" fontId="19" fillId="0" borderId="13" xfId="0" applyNumberFormat="1" applyFont="1" applyBorder="1" applyAlignment="1">
      <alignment horizontal="right" vertical="center" indent="2"/>
    </xf>
    <xf numFmtId="2" fontId="19" fillId="0" borderId="7" xfId="0" applyNumberFormat="1" applyFont="1" applyBorder="1" applyAlignment="1">
      <alignment horizontal="right" vertical="center" indent="2"/>
    </xf>
    <xf numFmtId="2" fontId="19" fillId="2" borderId="13" xfId="0" applyNumberFormat="1" applyFont="1" applyFill="1" applyBorder="1" applyAlignment="1">
      <alignment horizontal="right" vertical="center" indent="2"/>
    </xf>
    <xf numFmtId="2" fontId="19" fillId="2" borderId="7" xfId="0" applyNumberFormat="1" applyFont="1" applyFill="1" applyBorder="1" applyAlignment="1">
      <alignment horizontal="right" vertical="center" indent="2"/>
    </xf>
    <xf numFmtId="0" fontId="19" fillId="2" borderId="13" xfId="0" applyFont="1" applyFill="1" applyBorder="1" applyAlignment="1">
      <alignment horizontal="right" vertical="center" indent="2"/>
    </xf>
    <xf numFmtId="0" fontId="19" fillId="2" borderId="7" xfId="0" applyFont="1" applyFill="1" applyBorder="1" applyAlignment="1">
      <alignment horizontal="right" vertical="center" indent="2"/>
    </xf>
    <xf numFmtId="2" fontId="19" fillId="2" borderId="29" xfId="0" applyNumberFormat="1" applyFont="1" applyFill="1" applyBorder="1" applyAlignment="1">
      <alignment horizontal="right" vertical="center" indent="2"/>
    </xf>
    <xf numFmtId="2" fontId="19" fillId="2" borderId="27" xfId="0" applyNumberFormat="1" applyFont="1" applyFill="1" applyBorder="1" applyAlignment="1">
      <alignment horizontal="right" vertical="center" indent="2"/>
    </xf>
    <xf numFmtId="2" fontId="19" fillId="0" borderId="44" xfId="0" applyNumberFormat="1" applyFont="1" applyBorder="1" applyAlignment="1">
      <alignment horizontal="right" vertical="center" indent="2"/>
    </xf>
    <xf numFmtId="2" fontId="19" fillId="0" borderId="0" xfId="0" applyNumberFormat="1" applyFont="1" applyAlignment="1">
      <alignment horizontal="right" vertical="center" indent="2"/>
    </xf>
    <xf numFmtId="2" fontId="4" fillId="0" borderId="0" xfId="0" applyNumberFormat="1" applyFont="1" applyAlignment="1">
      <alignment horizontal="right" vertical="center" indent="2"/>
    </xf>
    <xf numFmtId="2" fontId="19" fillId="10" borderId="0" xfId="0" applyNumberFormat="1" applyFont="1" applyFill="1" applyAlignment="1">
      <alignment horizontal="right" vertical="center" indent="2"/>
    </xf>
    <xf numFmtId="2" fontId="19" fillId="11" borderId="0" xfId="0" applyNumberFormat="1" applyFont="1" applyFill="1" applyAlignment="1">
      <alignment horizontal="right" vertical="center" indent="2"/>
    </xf>
    <xf numFmtId="2" fontId="19" fillId="10" borderId="28" xfId="0" applyNumberFormat="1" applyFont="1" applyFill="1" applyBorder="1" applyAlignment="1">
      <alignment horizontal="right" vertical="center" indent="2"/>
    </xf>
    <xf numFmtId="2" fontId="19" fillId="11" borderId="28" xfId="0" applyNumberFormat="1" applyFont="1" applyFill="1" applyBorder="1" applyAlignment="1">
      <alignment horizontal="right" vertical="center" indent="2"/>
    </xf>
    <xf numFmtId="9" fontId="19" fillId="18" borderId="30" xfId="0" applyNumberFormat="1" applyFont="1" applyFill="1" applyBorder="1" applyAlignment="1">
      <alignment horizontal="center" vertical="center"/>
    </xf>
    <xf numFmtId="9" fontId="19" fillId="18" borderId="24" xfId="0" applyNumberFormat="1" applyFont="1" applyFill="1" applyBorder="1" applyAlignment="1">
      <alignment horizontal="center" vertical="center"/>
    </xf>
    <xf numFmtId="0" fontId="14" fillId="22" borderId="20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right" vertical="center" indent="2"/>
    </xf>
    <xf numFmtId="1" fontId="19" fillId="0" borderId="8" xfId="0" applyNumberFormat="1" applyFont="1" applyBorder="1" applyAlignment="1">
      <alignment horizontal="center" vertical="center"/>
    </xf>
    <xf numFmtId="0" fontId="27" fillId="24" borderId="74" xfId="2"/>
    <xf numFmtId="1" fontId="27" fillId="24" borderId="74" xfId="2" applyNumberFormat="1" applyAlignment="1">
      <alignment horizontal="center"/>
    </xf>
    <xf numFmtId="2" fontId="27" fillId="24" borderId="74" xfId="2" applyNumberFormat="1"/>
    <xf numFmtId="169" fontId="27" fillId="24" borderId="74" xfId="2" applyNumberFormat="1" applyAlignment="1">
      <alignment horizontal="center"/>
    </xf>
    <xf numFmtId="20" fontId="27" fillId="24" borderId="74" xfId="2" applyNumberFormat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29" xfId="0" applyFont="1" applyFill="1" applyBorder="1" applyAlignment="1">
      <alignment horizontal="center" vertical="center"/>
    </xf>
    <xf numFmtId="1" fontId="19" fillId="0" borderId="73" xfId="0" applyNumberFormat="1" applyFont="1" applyBorder="1" applyAlignment="1">
      <alignment horizontal="center" vertical="center"/>
    </xf>
    <xf numFmtId="9" fontId="19" fillId="0" borderId="48" xfId="0" applyNumberFormat="1" applyFont="1" applyBorder="1" applyAlignment="1">
      <alignment horizontal="center" vertical="center"/>
    </xf>
    <xf numFmtId="9" fontId="19" fillId="0" borderId="40" xfId="0" applyNumberFormat="1" applyFont="1" applyBorder="1" applyAlignment="1">
      <alignment horizontal="center" vertical="center"/>
    </xf>
    <xf numFmtId="9" fontId="19" fillId="18" borderId="40" xfId="0" applyNumberFormat="1" applyFont="1" applyFill="1" applyBorder="1" applyAlignment="1">
      <alignment horizontal="center" vertical="center"/>
    </xf>
    <xf numFmtId="2" fontId="0" fillId="11" borderId="0" xfId="0" applyNumberFormat="1" applyFill="1"/>
    <xf numFmtId="1" fontId="19" fillId="2" borderId="8" xfId="0" applyNumberFormat="1" applyFont="1" applyFill="1" applyBorder="1" applyAlignment="1">
      <alignment horizontal="center" vertical="center"/>
    </xf>
    <xf numFmtId="9" fontId="19" fillId="2" borderId="40" xfId="0" applyNumberFormat="1" applyFont="1" applyFill="1" applyBorder="1" applyAlignment="1">
      <alignment horizontal="center" vertical="center"/>
    </xf>
    <xf numFmtId="1" fontId="19" fillId="2" borderId="32" xfId="0" applyNumberFormat="1" applyFont="1" applyFill="1" applyBorder="1" applyAlignment="1">
      <alignment horizontal="center" vertical="center"/>
    </xf>
    <xf numFmtId="9" fontId="19" fillId="2" borderId="41" xfId="0" applyNumberFormat="1" applyFont="1" applyFill="1" applyBorder="1" applyAlignment="1">
      <alignment horizontal="center" vertical="center"/>
    </xf>
    <xf numFmtId="9" fontId="19" fillId="2" borderId="24" xfId="0" applyNumberFormat="1" applyFont="1" applyFill="1" applyBorder="1" applyAlignment="1">
      <alignment horizontal="center" vertical="center"/>
    </xf>
    <xf numFmtId="0" fontId="14" fillId="22" borderId="61" xfId="0" applyFont="1" applyFill="1" applyBorder="1" applyAlignment="1">
      <alignment horizontal="center" vertical="center"/>
    </xf>
    <xf numFmtId="0" fontId="14" fillId="22" borderId="60" xfId="0" applyFont="1" applyFill="1" applyBorder="1" applyAlignment="1">
      <alignment horizontal="center" vertical="center"/>
    </xf>
    <xf numFmtId="168" fontId="14" fillId="22" borderId="6" xfId="0" applyNumberFormat="1" applyFont="1" applyFill="1" applyBorder="1" applyAlignment="1">
      <alignment horizontal="center" vertical="center"/>
    </xf>
    <xf numFmtId="167" fontId="14" fillId="22" borderId="61" xfId="0" applyNumberFormat="1" applyFont="1" applyFill="1" applyBorder="1" applyAlignment="1">
      <alignment horizontal="center" vertical="center"/>
    </xf>
    <xf numFmtId="2" fontId="19" fillId="0" borderId="44" xfId="0" applyNumberFormat="1" applyFont="1" applyBorder="1" applyAlignment="1">
      <alignment horizontal="center" vertical="center"/>
    </xf>
    <xf numFmtId="2" fontId="19" fillId="0" borderId="7" xfId="0" applyNumberFormat="1" applyFont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0" fontId="19" fillId="0" borderId="7" xfId="0" applyNumberFormat="1" applyFont="1" applyBorder="1" applyAlignment="1">
      <alignment horizontal="center" vertical="center" wrapText="1"/>
    </xf>
    <xf numFmtId="3" fontId="19" fillId="0" borderId="13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/>
    </xf>
    <xf numFmtId="2" fontId="19" fillId="2" borderId="7" xfId="0" applyNumberFormat="1" applyFont="1" applyFill="1" applyBorder="1" applyAlignment="1">
      <alignment horizontal="center" vertical="center"/>
    </xf>
    <xf numFmtId="2" fontId="19" fillId="2" borderId="0" xfId="0" applyNumberFormat="1" applyFont="1" applyFill="1" applyAlignment="1">
      <alignment horizontal="center" vertical="center"/>
    </xf>
    <xf numFmtId="10" fontId="19" fillId="2" borderId="7" xfId="0" applyNumberFormat="1" applyFont="1" applyFill="1" applyBorder="1" applyAlignment="1">
      <alignment horizontal="center" vertical="center"/>
    </xf>
    <xf numFmtId="2" fontId="19" fillId="10" borderId="0" xfId="0" applyNumberFormat="1" applyFont="1" applyFill="1" applyAlignment="1">
      <alignment horizontal="center" vertical="center"/>
    </xf>
    <xf numFmtId="0" fontId="19" fillId="2" borderId="7" xfId="0" applyFont="1" applyFill="1" applyBorder="1"/>
    <xf numFmtId="0" fontId="19" fillId="2" borderId="0" xfId="0" applyFont="1" applyFill="1"/>
    <xf numFmtId="2" fontId="19" fillId="2" borderId="7" xfId="0" applyNumberFormat="1" applyFont="1" applyFill="1" applyBorder="1" applyAlignment="1">
      <alignment horizontal="center"/>
    </xf>
    <xf numFmtId="2" fontId="19" fillId="2" borderId="0" xfId="0" applyNumberFormat="1" applyFont="1" applyFill="1" applyAlignment="1">
      <alignment horizontal="center"/>
    </xf>
    <xf numFmtId="10" fontId="19" fillId="2" borderId="7" xfId="0" applyNumberFormat="1" applyFont="1" applyFill="1" applyBorder="1" applyAlignment="1">
      <alignment horizontal="center"/>
    </xf>
    <xf numFmtId="0" fontId="19" fillId="2" borderId="28" xfId="0" applyFont="1" applyFill="1" applyBorder="1"/>
    <xf numFmtId="3" fontId="19" fillId="2" borderId="13" xfId="0" applyNumberFormat="1" applyFont="1" applyFill="1" applyBorder="1" applyAlignment="1">
      <alignment horizontal="center" vertical="center"/>
    </xf>
    <xf numFmtId="2" fontId="19" fillId="0" borderId="47" xfId="0" applyNumberFormat="1" applyFont="1" applyBorder="1" applyAlignment="1">
      <alignment horizontal="center" vertical="center"/>
    </xf>
    <xf numFmtId="10" fontId="19" fillId="0" borderId="47" xfId="0" applyNumberFormat="1" applyFont="1" applyBorder="1" applyAlignment="1">
      <alignment horizontal="center" vertical="center" wrapText="1"/>
    </xf>
    <xf numFmtId="3" fontId="19" fillId="0" borderId="71" xfId="0" applyNumberFormat="1" applyFont="1" applyBorder="1" applyAlignment="1">
      <alignment horizontal="center" vertical="center"/>
    </xf>
    <xf numFmtId="0" fontId="19" fillId="2" borderId="27" xfId="0" applyFont="1" applyFill="1" applyBorder="1"/>
    <xf numFmtId="10" fontId="19" fillId="2" borderId="27" xfId="0" applyNumberFormat="1" applyFont="1" applyFill="1" applyBorder="1" applyAlignment="1">
      <alignment horizontal="center" vertical="center"/>
    </xf>
    <xf numFmtId="3" fontId="19" fillId="2" borderId="29" xfId="0" applyNumberFormat="1" applyFont="1" applyFill="1" applyBorder="1" applyAlignment="1">
      <alignment horizontal="center" vertical="center"/>
    </xf>
    <xf numFmtId="2" fontId="19" fillId="10" borderId="28" xfId="0" applyNumberFormat="1" applyFont="1" applyFill="1" applyBorder="1" applyAlignment="1">
      <alignment horizontal="center" vertical="center"/>
    </xf>
    <xf numFmtId="0" fontId="14" fillId="22" borderId="50" xfId="0" applyFont="1" applyFill="1" applyBorder="1" applyAlignment="1">
      <alignment horizontal="center" vertical="center" wrapText="1"/>
    </xf>
    <xf numFmtId="168" fontId="14" fillId="22" borderId="6" xfId="0" applyNumberFormat="1" applyFont="1" applyFill="1" applyBorder="1" applyAlignment="1">
      <alignment vertical="center"/>
    </xf>
    <xf numFmtId="168" fontId="0" fillId="0" borderId="0" xfId="0" applyNumberFormat="1"/>
    <xf numFmtId="1" fontId="19" fillId="2" borderId="36" xfId="0" applyNumberFormat="1" applyFont="1" applyFill="1" applyBorder="1" applyAlignment="1">
      <alignment horizontal="center" vertical="center"/>
    </xf>
    <xf numFmtId="1" fontId="19" fillId="2" borderId="36" xfId="0" applyNumberFormat="1" applyFont="1" applyFill="1" applyBorder="1" applyAlignment="1">
      <alignment horizontal="center"/>
    </xf>
    <xf numFmtId="1" fontId="19" fillId="2" borderId="37" xfId="0" applyNumberFormat="1" applyFont="1" applyFill="1" applyBorder="1" applyAlignment="1">
      <alignment horizontal="center"/>
    </xf>
    <xf numFmtId="2" fontId="19" fillId="2" borderId="0" xfId="0" applyNumberFormat="1" applyFont="1" applyFill="1" applyAlignment="1">
      <alignment horizontal="right" vertical="center" indent="2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168" fontId="14" fillId="0" borderId="0" xfId="0" applyNumberFormat="1" applyFont="1" applyAlignment="1">
      <alignment vertical="center"/>
    </xf>
    <xf numFmtId="167" fontId="14" fillId="0" borderId="0" xfId="0" applyNumberFormat="1" applyFont="1" applyAlignment="1">
      <alignment vertical="center"/>
    </xf>
    <xf numFmtId="2" fontId="14" fillId="0" borderId="0" xfId="0" applyNumberFormat="1" applyFont="1" applyAlignment="1">
      <alignment vertical="center"/>
    </xf>
    <xf numFmtId="10" fontId="19" fillId="0" borderId="7" xfId="0" applyNumberFormat="1" applyFont="1" applyBorder="1" applyAlignment="1">
      <alignment horizontal="right" vertical="center" wrapText="1" indent="2"/>
    </xf>
    <xf numFmtId="10" fontId="19" fillId="2" borderId="7" xfId="0" applyNumberFormat="1" applyFont="1" applyFill="1" applyBorder="1" applyAlignment="1">
      <alignment horizontal="right" vertical="center" indent="2"/>
    </xf>
    <xf numFmtId="10" fontId="19" fillId="0" borderId="47" xfId="0" applyNumberFormat="1" applyFont="1" applyBorder="1" applyAlignment="1">
      <alignment horizontal="right" vertical="center" wrapText="1" indent="2"/>
    </xf>
    <xf numFmtId="22" fontId="19" fillId="0" borderId="36" xfId="0" applyNumberFormat="1" applyFont="1" applyBorder="1" applyAlignment="1">
      <alignment horizontal="center"/>
    </xf>
    <xf numFmtId="2" fontId="19" fillId="2" borderId="28" xfId="0" applyNumberFormat="1" applyFont="1" applyFill="1" applyBorder="1" applyAlignment="1">
      <alignment horizontal="right" vertical="center" indent="2"/>
    </xf>
    <xf numFmtId="10" fontId="19" fillId="2" borderId="27" xfId="0" applyNumberFormat="1" applyFont="1" applyFill="1" applyBorder="1" applyAlignment="1">
      <alignment horizontal="right" vertical="center" indent="2"/>
    </xf>
    <xf numFmtId="9" fontId="19" fillId="2" borderId="30" xfId="0" applyNumberFormat="1" applyFont="1" applyFill="1" applyBorder="1" applyAlignment="1">
      <alignment horizontal="center" vertical="center"/>
    </xf>
    <xf numFmtId="1" fontId="19" fillId="2" borderId="13" xfId="0" applyNumberFormat="1" applyFont="1" applyFill="1" applyBorder="1" applyAlignment="1">
      <alignment horizontal="center" vertical="center"/>
    </xf>
    <xf numFmtId="0" fontId="6" fillId="0" borderId="79" xfId="0" applyFont="1" applyBorder="1" applyAlignment="1">
      <alignment horizontal="center" vertical="center" wrapText="1"/>
    </xf>
    <xf numFmtId="1" fontId="19" fillId="0" borderId="11" xfId="0" applyNumberFormat="1" applyFont="1" applyBorder="1" applyAlignment="1">
      <alignment horizontal="center"/>
    </xf>
    <xf numFmtId="1" fontId="19" fillId="0" borderId="13" xfId="0" applyNumberFormat="1" applyFont="1" applyBorder="1" applyAlignment="1">
      <alignment horizontal="center"/>
    </xf>
    <xf numFmtId="1" fontId="19" fillId="0" borderId="13" xfId="0" applyNumberFormat="1" applyFont="1" applyBorder="1" applyAlignment="1">
      <alignment horizontal="center" vertical="center"/>
    </xf>
    <xf numFmtId="1" fontId="19" fillId="2" borderId="29" xfId="0" applyNumberFormat="1" applyFont="1" applyFill="1" applyBorder="1" applyAlignment="1">
      <alignment horizontal="center" vertical="center"/>
    </xf>
    <xf numFmtId="9" fontId="19" fillId="18" borderId="41" xfId="0" applyNumberFormat="1" applyFont="1" applyFill="1" applyBorder="1" applyAlignment="1">
      <alignment horizontal="center" vertical="center"/>
    </xf>
    <xf numFmtId="1" fontId="19" fillId="2" borderId="13" xfId="0" applyNumberFormat="1" applyFont="1" applyFill="1" applyBorder="1" applyAlignment="1">
      <alignment horizontal="center"/>
    </xf>
    <xf numFmtId="1" fontId="19" fillId="2" borderId="29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9" fontId="0" fillId="0" borderId="0" xfId="0" applyNumberFormat="1"/>
    <xf numFmtId="0" fontId="0" fillId="0" borderId="0" xfId="0" applyAlignment="1">
      <alignment horizontal="right" vertical="center" indent="2"/>
    </xf>
    <xf numFmtId="1" fontId="7" fillId="0" borderId="11" xfId="0" applyNumberFormat="1" applyFont="1" applyBorder="1" applyAlignment="1">
      <alignment horizontal="center" vertical="center"/>
    </xf>
    <xf numFmtId="10" fontId="0" fillId="3" borderId="0" xfId="0" applyNumberFormat="1" applyFill="1" applyAlignment="1">
      <alignment horizontal="right" vertical="center" indent="2"/>
    </xf>
    <xf numFmtId="2" fontId="19" fillId="0" borderId="44" xfId="0" applyNumberFormat="1" applyFont="1" applyBorder="1" applyAlignment="1">
      <alignment horizontal="right" vertical="center" indent="3"/>
    </xf>
    <xf numFmtId="2" fontId="19" fillId="0" borderId="0" xfId="0" applyNumberFormat="1" applyFont="1" applyAlignment="1">
      <alignment horizontal="right" vertical="center" indent="3"/>
    </xf>
    <xf numFmtId="2" fontId="4" fillId="0" borderId="0" xfId="0" applyNumberFormat="1" applyFont="1" applyAlignment="1">
      <alignment horizontal="right" vertical="center" indent="3"/>
    </xf>
    <xf numFmtId="2" fontId="19" fillId="10" borderId="0" xfId="0" applyNumberFormat="1" applyFont="1" applyFill="1" applyAlignment="1">
      <alignment horizontal="right" vertical="center" indent="3"/>
    </xf>
    <xf numFmtId="2" fontId="19" fillId="11" borderId="0" xfId="0" applyNumberFormat="1" applyFont="1" applyFill="1" applyAlignment="1">
      <alignment horizontal="right" vertical="center" indent="3"/>
    </xf>
    <xf numFmtId="2" fontId="19" fillId="10" borderId="28" xfId="0" applyNumberFormat="1" applyFont="1" applyFill="1" applyBorder="1" applyAlignment="1">
      <alignment horizontal="right" vertical="center" indent="3"/>
    </xf>
    <xf numFmtId="2" fontId="19" fillId="11" borderId="28" xfId="0" applyNumberFormat="1" applyFont="1" applyFill="1" applyBorder="1" applyAlignment="1">
      <alignment horizontal="right" vertical="center" indent="3"/>
    </xf>
    <xf numFmtId="0" fontId="0" fillId="3" borderId="0" xfId="0" applyFill="1" applyAlignment="1">
      <alignment horizontal="center" vertical="center"/>
    </xf>
    <xf numFmtId="1" fontId="28" fillId="0" borderId="0" xfId="0" applyNumberFormat="1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1" fontId="28" fillId="0" borderId="0" xfId="0" applyNumberFormat="1" applyFont="1"/>
    <xf numFmtId="2" fontId="28" fillId="0" borderId="0" xfId="0" applyNumberFormat="1" applyFont="1"/>
    <xf numFmtId="2" fontId="0" fillId="25" borderId="0" xfId="0" applyNumberFormat="1" applyFill="1"/>
    <xf numFmtId="0" fontId="19" fillId="2" borderId="36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/>
    </xf>
    <xf numFmtId="2" fontId="19" fillId="2" borderId="7" xfId="0" applyNumberFormat="1" applyFont="1" applyFill="1" applyBorder="1" applyAlignment="1">
      <alignment horizontal="right" vertical="center" wrapText="1" indent="2"/>
    </xf>
    <xf numFmtId="10" fontId="19" fillId="2" borderId="7" xfId="0" applyNumberFormat="1" applyFont="1" applyFill="1" applyBorder="1" applyAlignment="1">
      <alignment horizontal="right" vertical="center" wrapText="1" indent="2"/>
    </xf>
    <xf numFmtId="22" fontId="19" fillId="2" borderId="36" xfId="0" applyNumberFormat="1" applyFont="1" applyFill="1" applyBorder="1" applyAlignment="1">
      <alignment horizontal="center" vertical="center"/>
    </xf>
    <xf numFmtId="22" fontId="28" fillId="2" borderId="36" xfId="0" applyNumberFormat="1" applyFont="1" applyFill="1" applyBorder="1" applyAlignment="1">
      <alignment horizontal="center"/>
    </xf>
    <xf numFmtId="2" fontId="28" fillId="2" borderId="13" xfId="0" applyNumberFormat="1" applyFont="1" applyFill="1" applyBorder="1" applyAlignment="1">
      <alignment horizontal="right" vertical="center" indent="2"/>
    </xf>
    <xf numFmtId="2" fontId="28" fillId="2" borderId="7" xfId="0" applyNumberFormat="1" applyFont="1" applyFill="1" applyBorder="1" applyAlignment="1">
      <alignment horizontal="right" vertical="center" indent="2"/>
    </xf>
    <xf numFmtId="10" fontId="28" fillId="2" borderId="8" xfId="0" applyNumberFormat="1" applyFont="1" applyFill="1" applyBorder="1" applyAlignment="1">
      <alignment horizontal="right" vertical="center" indent="2"/>
    </xf>
    <xf numFmtId="2" fontId="28" fillId="10" borderId="0" xfId="0" applyNumberFormat="1" applyFont="1" applyFill="1" applyAlignment="1">
      <alignment horizontal="right" vertical="center" indent="2"/>
    </xf>
    <xf numFmtId="22" fontId="28" fillId="2" borderId="37" xfId="0" applyNumberFormat="1" applyFont="1" applyFill="1" applyBorder="1" applyAlignment="1">
      <alignment horizontal="center"/>
    </xf>
    <xf numFmtId="2" fontId="28" fillId="2" borderId="29" xfId="0" applyNumberFormat="1" applyFont="1" applyFill="1" applyBorder="1" applyAlignment="1">
      <alignment horizontal="right" vertical="center" indent="2"/>
    </xf>
    <xf numFmtId="2" fontId="28" fillId="2" borderId="27" xfId="0" applyNumberFormat="1" applyFont="1" applyFill="1" applyBorder="1" applyAlignment="1">
      <alignment horizontal="right" vertical="center" indent="2"/>
    </xf>
    <xf numFmtId="10" fontId="28" fillId="2" borderId="32" xfId="0" applyNumberFormat="1" applyFont="1" applyFill="1" applyBorder="1" applyAlignment="1">
      <alignment horizontal="right" vertical="center" indent="2"/>
    </xf>
    <xf numFmtId="2" fontId="28" fillId="10" borderId="28" xfId="0" applyNumberFormat="1" applyFont="1" applyFill="1" applyBorder="1" applyAlignment="1">
      <alignment horizontal="right" vertical="center" indent="2"/>
    </xf>
    <xf numFmtId="0" fontId="19" fillId="11" borderId="0" xfId="0" applyFont="1" applyFill="1" applyAlignment="1">
      <alignment horizontal="center" vertical="center"/>
    </xf>
    <xf numFmtId="168" fontId="19" fillId="11" borderId="0" xfId="0" applyNumberFormat="1" applyFont="1" applyFill="1" applyAlignment="1">
      <alignment horizontal="center" vertical="center"/>
    </xf>
    <xf numFmtId="1" fontId="19" fillId="0" borderId="36" xfId="0" applyNumberFormat="1" applyFont="1" applyBorder="1" applyAlignment="1">
      <alignment horizontal="center" vertical="center"/>
    </xf>
    <xf numFmtId="1" fontId="19" fillId="0" borderId="42" xfId="0" applyNumberFormat="1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1" fontId="19" fillId="0" borderId="42" xfId="0" applyNumberFormat="1" applyFont="1" applyBorder="1" applyAlignment="1">
      <alignment horizontal="center"/>
    </xf>
    <xf numFmtId="1" fontId="19" fillId="0" borderId="36" xfId="0" applyNumberFormat="1" applyFont="1" applyBorder="1" applyAlignment="1">
      <alignment horizontal="center"/>
    </xf>
    <xf numFmtId="1" fontId="7" fillId="0" borderId="42" xfId="0" applyNumberFormat="1" applyFont="1" applyBorder="1" applyAlignment="1">
      <alignment horizontal="center" vertical="center"/>
    </xf>
    <xf numFmtId="1" fontId="7" fillId="0" borderId="36" xfId="0" applyNumberFormat="1" applyFont="1" applyBorder="1" applyAlignment="1">
      <alignment horizontal="center" vertical="center"/>
    </xf>
    <xf numFmtId="2" fontId="19" fillId="2" borderId="27" xfId="0" applyNumberFormat="1" applyFont="1" applyFill="1" applyBorder="1" applyAlignment="1">
      <alignment horizontal="right" vertical="center" wrapText="1" indent="2"/>
    </xf>
    <xf numFmtId="10" fontId="19" fillId="2" borderId="27" xfId="0" applyNumberFormat="1" applyFont="1" applyFill="1" applyBorder="1" applyAlignment="1">
      <alignment horizontal="right" vertical="center" wrapText="1" indent="2"/>
    </xf>
    <xf numFmtId="0" fontId="28" fillId="0" borderId="0" xfId="0" applyFont="1" applyAlignment="1">
      <alignment horizontal="center" vertical="center"/>
    </xf>
    <xf numFmtId="168" fontId="28" fillId="0" borderId="0" xfId="0" applyNumberFormat="1" applyFont="1" applyAlignment="1">
      <alignment horizontal="center" vertical="center"/>
    </xf>
    <xf numFmtId="0" fontId="28" fillId="0" borderId="0" xfId="0" applyFont="1"/>
    <xf numFmtId="1" fontId="19" fillId="2" borderId="37" xfId="0" applyNumberFormat="1" applyFont="1" applyFill="1" applyBorder="1" applyAlignment="1">
      <alignment horizontal="center" vertical="center"/>
    </xf>
    <xf numFmtId="10" fontId="19" fillId="2" borderId="8" xfId="0" applyNumberFormat="1" applyFont="1" applyFill="1" applyBorder="1" applyAlignment="1">
      <alignment horizontal="right" vertical="center" wrapText="1" indent="2"/>
    </xf>
    <xf numFmtId="168" fontId="19" fillId="0" borderId="0" xfId="0" applyNumberFormat="1" applyFont="1" applyAlignment="1">
      <alignment horizontal="center"/>
    </xf>
    <xf numFmtId="0" fontId="14" fillId="22" borderId="59" xfId="0" applyFont="1" applyFill="1" applyBorder="1" applyAlignment="1">
      <alignment horizontal="center" vertical="center"/>
    </xf>
    <xf numFmtId="168" fontId="14" fillId="3" borderId="6" xfId="0" applyNumberFormat="1" applyFont="1" applyFill="1" applyBorder="1" applyAlignment="1">
      <alignment horizontal="center" vertical="center"/>
    </xf>
    <xf numFmtId="22" fontId="19" fillId="0" borderId="42" xfId="0" applyNumberFormat="1" applyFont="1" applyBorder="1" applyAlignment="1">
      <alignment horizontal="center"/>
    </xf>
    <xf numFmtId="2" fontId="28" fillId="2" borderId="0" xfId="0" applyNumberFormat="1" applyFont="1" applyFill="1" applyAlignment="1">
      <alignment horizontal="right" vertical="center" indent="2"/>
    </xf>
    <xf numFmtId="0" fontId="28" fillId="2" borderId="0" xfId="0" applyFont="1" applyFill="1"/>
    <xf numFmtId="0" fontId="14" fillId="22" borderId="67" xfId="0" applyFont="1" applyFill="1" applyBorder="1" applyAlignment="1">
      <alignment horizontal="center" vertical="center"/>
    </xf>
    <xf numFmtId="0" fontId="14" fillId="22" borderId="69" xfId="0" applyFont="1" applyFill="1" applyBorder="1" applyAlignment="1">
      <alignment horizontal="center" vertical="center"/>
    </xf>
    <xf numFmtId="0" fontId="14" fillId="22" borderId="57" xfId="0" applyFont="1" applyFill="1" applyBorder="1" applyAlignment="1">
      <alignment horizontal="center" vertical="center"/>
    </xf>
    <xf numFmtId="167" fontId="14" fillId="22" borderId="57" xfId="0" applyNumberFormat="1" applyFont="1" applyFill="1" applyBorder="1" applyAlignment="1">
      <alignment horizontal="center" vertical="center"/>
    </xf>
    <xf numFmtId="168" fontId="14" fillId="3" borderId="64" xfId="0" applyNumberFormat="1" applyFont="1" applyFill="1" applyBorder="1" applyAlignment="1">
      <alignment horizontal="center" vertical="center"/>
    </xf>
    <xf numFmtId="0" fontId="28" fillId="2" borderId="7" xfId="0" applyFont="1" applyFill="1" applyBorder="1"/>
    <xf numFmtId="10" fontId="28" fillId="2" borderId="7" xfId="0" applyNumberFormat="1" applyFont="1" applyFill="1" applyBorder="1" applyAlignment="1">
      <alignment horizontal="right" vertical="center" indent="2"/>
    </xf>
    <xf numFmtId="0" fontId="28" fillId="2" borderId="27" xfId="0" applyFont="1" applyFill="1" applyBorder="1"/>
    <xf numFmtId="0" fontId="28" fillId="2" borderId="28" xfId="0" applyFont="1" applyFill="1" applyBorder="1"/>
    <xf numFmtId="22" fontId="19" fillId="0" borderId="70" xfId="0" applyNumberFormat="1" applyFont="1" applyBorder="1" applyAlignment="1">
      <alignment horizontal="center" vertical="center"/>
    </xf>
    <xf numFmtId="2" fontId="0" fillId="3" borderId="0" xfId="0" applyNumberFormat="1" applyFill="1"/>
    <xf numFmtId="10" fontId="0" fillId="3" borderId="0" xfId="0" applyNumberFormat="1" applyFill="1" applyAlignment="1">
      <alignment horizontal="left" vertical="center"/>
    </xf>
    <xf numFmtId="1" fontId="1" fillId="0" borderId="0" xfId="0" applyNumberFormat="1" applyFont="1" applyAlignment="1">
      <alignment vertical="center"/>
    </xf>
    <xf numFmtId="1" fontId="6" fillId="0" borderId="0" xfId="0" applyNumberFormat="1" applyFont="1" applyAlignment="1">
      <alignment vertical="center"/>
    </xf>
    <xf numFmtId="1" fontId="7" fillId="0" borderId="24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23" fillId="12" borderId="0" xfId="0" applyNumberFormat="1" applyFont="1" applyFill="1" applyAlignment="1">
      <alignment horizontal="center" vertical="center" wrapText="1"/>
    </xf>
    <xf numFmtId="1" fontId="24" fillId="22" borderId="60" xfId="0" applyNumberFormat="1" applyFont="1" applyFill="1" applyBorder="1" applyAlignment="1">
      <alignment horizontal="center" vertical="center"/>
    </xf>
    <xf numFmtId="1" fontId="25" fillId="22" borderId="55" xfId="0" applyNumberFormat="1" applyFont="1" applyFill="1" applyBorder="1" applyAlignment="1">
      <alignment horizontal="center" vertical="center"/>
    </xf>
    <xf numFmtId="1" fontId="25" fillId="22" borderId="64" xfId="0" applyNumberFormat="1" applyFont="1" applyFill="1" applyBorder="1" applyAlignment="1">
      <alignment horizontal="center" vertical="center"/>
    </xf>
    <xf numFmtId="1" fontId="28" fillId="2" borderId="36" xfId="0" applyNumberFormat="1" applyFont="1" applyFill="1" applyBorder="1" applyAlignment="1">
      <alignment horizontal="center"/>
    </xf>
    <xf numFmtId="1" fontId="28" fillId="2" borderId="37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9" fillId="0" borderId="0" xfId="0" applyFont="1" applyAlignment="1">
      <alignment vertical="center" wrapText="1"/>
    </xf>
    <xf numFmtId="2" fontId="19" fillId="0" borderId="44" xfId="0" applyNumberFormat="1" applyFont="1" applyBorder="1" applyAlignment="1">
      <alignment horizontal="right" vertical="center" wrapText="1" indent="2"/>
    </xf>
    <xf numFmtId="2" fontId="19" fillId="0" borderId="0" xfId="0" applyNumberFormat="1" applyFont="1" applyAlignment="1">
      <alignment horizontal="right" vertical="center" wrapText="1" indent="2"/>
    </xf>
    <xf numFmtId="1" fontId="19" fillId="0" borderId="7" xfId="0" applyNumberFormat="1" applyFont="1" applyBorder="1" applyAlignment="1">
      <alignment horizontal="center" vertical="center" wrapText="1"/>
    </xf>
    <xf numFmtId="2" fontId="19" fillId="0" borderId="7" xfId="0" applyNumberFormat="1" applyFont="1" applyBorder="1" applyAlignment="1">
      <alignment horizontal="right" vertical="center" wrapText="1" indent="2"/>
    </xf>
    <xf numFmtId="1" fontId="19" fillId="0" borderId="13" xfId="0" applyNumberFormat="1" applyFont="1" applyBorder="1" applyAlignment="1">
      <alignment horizontal="center" vertical="center" wrapText="1"/>
    </xf>
    <xf numFmtId="2" fontId="19" fillId="0" borderId="47" xfId="0" applyNumberFormat="1" applyFont="1" applyBorder="1" applyAlignment="1">
      <alignment horizontal="right" vertical="center" wrapText="1" indent="2"/>
    </xf>
    <xf numFmtId="1" fontId="19" fillId="0" borderId="47" xfId="0" applyNumberFormat="1" applyFont="1" applyBorder="1" applyAlignment="1">
      <alignment horizontal="center" vertical="center" wrapText="1"/>
    </xf>
    <xf numFmtId="1" fontId="19" fillId="0" borderId="71" xfId="0" applyNumberFormat="1" applyFont="1" applyBorder="1" applyAlignment="1">
      <alignment horizontal="center" vertical="center" wrapText="1"/>
    </xf>
    <xf numFmtId="9" fontId="19" fillId="6" borderId="24" xfId="0" applyNumberFormat="1" applyFont="1" applyFill="1" applyBorder="1" applyAlignment="1">
      <alignment horizontal="center" vertical="center"/>
    </xf>
    <xf numFmtId="2" fontId="20" fillId="26" borderId="6" xfId="0" applyNumberFormat="1" applyFont="1" applyFill="1" applyBorder="1" applyAlignment="1">
      <alignment horizontal="center" vertical="center"/>
    </xf>
    <xf numFmtId="0" fontId="0" fillId="26" borderId="0" xfId="0" applyFill="1"/>
    <xf numFmtId="1" fontId="0" fillId="26" borderId="0" xfId="0" applyNumberFormat="1" applyFill="1"/>
    <xf numFmtId="2" fontId="0" fillId="3" borderId="0" xfId="0" applyNumberFormat="1" applyFill="1" applyAlignment="1">
      <alignment horizontal="left" vertical="center"/>
    </xf>
    <xf numFmtId="2" fontId="19" fillId="11" borderId="0" xfId="0" applyNumberFormat="1" applyFont="1" applyFill="1" applyAlignment="1">
      <alignment horizontal="center" vertical="center"/>
    </xf>
    <xf numFmtId="2" fontId="19" fillId="11" borderId="28" xfId="0" applyNumberFormat="1" applyFont="1" applyFill="1" applyBorder="1" applyAlignment="1">
      <alignment horizontal="center" vertical="center"/>
    </xf>
    <xf numFmtId="10" fontId="19" fillId="0" borderId="0" xfId="0" applyNumberFormat="1" applyFont="1" applyAlignment="1">
      <alignment horizontal="right" vertical="center" indent="2"/>
    </xf>
    <xf numFmtId="166" fontId="0" fillId="0" borderId="0" xfId="0" applyNumberFormat="1" applyAlignment="1">
      <alignment horizontal="center"/>
    </xf>
    <xf numFmtId="2" fontId="19" fillId="3" borderId="47" xfId="0" applyNumberFormat="1" applyFont="1" applyFill="1" applyBorder="1" applyAlignment="1">
      <alignment horizontal="center" vertical="center"/>
    </xf>
    <xf numFmtId="2" fontId="19" fillId="3" borderId="7" xfId="0" applyNumberFormat="1" applyFont="1" applyFill="1" applyBorder="1" applyAlignment="1">
      <alignment horizontal="center" vertical="center"/>
    </xf>
    <xf numFmtId="166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left"/>
    </xf>
    <xf numFmtId="2" fontId="0" fillId="6" borderId="0" xfId="0" applyNumberFormat="1" applyFill="1" applyAlignment="1">
      <alignment horizontal="center"/>
    </xf>
    <xf numFmtId="10" fontId="19" fillId="0" borderId="0" xfId="0" applyNumberFormat="1" applyFont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10" fontId="0" fillId="6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19" fillId="6" borderId="0" xfId="0" applyNumberFormat="1" applyFont="1" applyFill="1" applyAlignment="1">
      <alignment horizontal="center" vertical="center"/>
    </xf>
    <xf numFmtId="2" fontId="0" fillId="25" borderId="0" xfId="0" applyNumberFormat="1" applyFill="1" applyAlignment="1">
      <alignment horizontal="center" vertical="center"/>
    </xf>
    <xf numFmtId="2" fontId="24" fillId="22" borderId="57" xfId="0" applyNumberFormat="1" applyFont="1" applyFill="1" applyBorder="1" applyAlignment="1">
      <alignment horizontal="center" vertical="center"/>
    </xf>
    <xf numFmtId="2" fontId="0" fillId="16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0" fontId="21" fillId="12" borderId="0" xfId="0" applyFont="1" applyFill="1"/>
    <xf numFmtId="0" fontId="7" fillId="0" borderId="0" xfId="0" applyFont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22" fontId="7" fillId="0" borderId="21" xfId="0" applyNumberFormat="1" applyFont="1" applyBorder="1" applyAlignment="1">
      <alignment horizontal="center"/>
    </xf>
    <xf numFmtId="22" fontId="7" fillId="0" borderId="36" xfId="0" applyNumberFormat="1" applyFont="1" applyBorder="1" applyAlignment="1">
      <alignment horizontal="center" vertical="center" wrapText="1"/>
    </xf>
    <xf numFmtId="2" fontId="7" fillId="0" borderId="71" xfId="0" applyNumberFormat="1" applyFont="1" applyBorder="1" applyAlignment="1">
      <alignment horizontal="right" vertical="center" indent="2"/>
    </xf>
    <xf numFmtId="2" fontId="7" fillId="0" borderId="47" xfId="0" applyNumberFormat="1" applyFont="1" applyBorder="1" applyAlignment="1">
      <alignment horizontal="right" vertical="center" indent="2"/>
    </xf>
    <xf numFmtId="2" fontId="7" fillId="0" borderId="44" xfId="0" applyNumberFormat="1" applyFont="1" applyBorder="1" applyAlignment="1">
      <alignment horizontal="right" vertical="center" wrapText="1" indent="2"/>
    </xf>
    <xf numFmtId="2" fontId="7" fillId="0" borderId="13" xfId="0" applyNumberFormat="1" applyFont="1" applyBorder="1" applyAlignment="1">
      <alignment horizontal="right" vertical="center" indent="2"/>
    </xf>
    <xf numFmtId="2" fontId="7" fillId="0" borderId="7" xfId="0" applyNumberFormat="1" applyFont="1" applyBorder="1" applyAlignment="1">
      <alignment horizontal="right" vertical="center" indent="2"/>
    </xf>
    <xf numFmtId="2" fontId="7" fillId="0" borderId="0" xfId="0" applyNumberFormat="1" applyFont="1" applyAlignment="1">
      <alignment horizontal="right" vertical="center" wrapText="1" indent="2"/>
    </xf>
    <xf numFmtId="22" fontId="7" fillId="0" borderId="36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right" vertical="center" indent="2"/>
    </xf>
    <xf numFmtId="1" fontId="7" fillId="0" borderId="7" xfId="0" applyNumberFormat="1" applyFont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right" vertical="center" indent="2"/>
    </xf>
    <xf numFmtId="2" fontId="7" fillId="2" borderId="7" xfId="0" applyNumberFormat="1" applyFont="1" applyFill="1" applyBorder="1" applyAlignment="1">
      <alignment horizontal="right" vertical="center" indent="2"/>
    </xf>
    <xf numFmtId="2" fontId="7" fillId="10" borderId="0" xfId="0" applyNumberFormat="1" applyFont="1" applyFill="1" applyAlignment="1">
      <alignment horizontal="right" vertical="center" indent="2"/>
    </xf>
    <xf numFmtId="2" fontId="7" fillId="11" borderId="0" xfId="0" applyNumberFormat="1" applyFont="1" applyFill="1" applyAlignment="1">
      <alignment horizontal="right" vertical="center" indent="2"/>
    </xf>
    <xf numFmtId="1" fontId="7" fillId="2" borderId="7" xfId="0" applyNumberFormat="1" applyFont="1" applyFill="1" applyBorder="1" applyAlignment="1">
      <alignment horizontal="center" vertical="center"/>
    </xf>
    <xf numFmtId="1" fontId="7" fillId="2" borderId="26" xfId="0" applyNumberFormat="1" applyFont="1" applyFill="1" applyBorder="1" applyAlignment="1">
      <alignment horizontal="center" vertical="center"/>
    </xf>
    <xf numFmtId="2" fontId="7" fillId="2" borderId="29" xfId="0" applyNumberFormat="1" applyFont="1" applyFill="1" applyBorder="1" applyAlignment="1">
      <alignment horizontal="right" vertical="center" indent="2"/>
    </xf>
    <xf numFmtId="2" fontId="7" fillId="2" borderId="27" xfId="0" applyNumberFormat="1" applyFont="1" applyFill="1" applyBorder="1" applyAlignment="1">
      <alignment horizontal="right" vertical="center" indent="2"/>
    </xf>
    <xf numFmtId="2" fontId="7" fillId="10" borderId="28" xfId="0" applyNumberFormat="1" applyFont="1" applyFill="1" applyBorder="1" applyAlignment="1">
      <alignment horizontal="right" vertical="center" indent="2"/>
    </xf>
    <xf numFmtId="2" fontId="7" fillId="11" borderId="28" xfId="0" applyNumberFormat="1" applyFont="1" applyFill="1" applyBorder="1" applyAlignment="1">
      <alignment horizontal="right" vertical="center" indent="2"/>
    </xf>
    <xf numFmtId="1" fontId="7" fillId="2" borderId="27" xfId="0" applyNumberFormat="1" applyFon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/>
    </xf>
    <xf numFmtId="10" fontId="7" fillId="0" borderId="7" xfId="0" applyNumberFormat="1" applyFont="1" applyBorder="1" applyAlignment="1">
      <alignment horizontal="right" vertical="center" wrapText="1" indent="2"/>
    </xf>
    <xf numFmtId="10" fontId="7" fillId="2" borderId="7" xfId="0" applyNumberFormat="1" applyFont="1" applyFill="1" applyBorder="1" applyAlignment="1">
      <alignment horizontal="right" vertical="center" wrapText="1" indent="2"/>
    </xf>
    <xf numFmtId="10" fontId="7" fillId="0" borderId="47" xfId="0" applyNumberFormat="1" applyFont="1" applyBorder="1" applyAlignment="1">
      <alignment horizontal="right" vertical="center" wrapText="1" indent="2"/>
    </xf>
    <xf numFmtId="10" fontId="7" fillId="2" borderId="27" xfId="0" applyNumberFormat="1" applyFont="1" applyFill="1" applyBorder="1" applyAlignment="1">
      <alignment horizontal="right" vertical="center" wrapText="1" indent="2"/>
    </xf>
    <xf numFmtId="1" fontId="7" fillId="0" borderId="71" xfId="0" applyNumberFormat="1" applyFont="1" applyBorder="1" applyAlignment="1">
      <alignment horizontal="center" vertical="center" wrapText="1"/>
    </xf>
    <xf numFmtId="9" fontId="7" fillId="0" borderId="72" xfId="0" applyNumberFormat="1" applyFont="1" applyBorder="1" applyAlignment="1">
      <alignment horizontal="center" vertical="center"/>
    </xf>
    <xf numFmtId="9" fontId="7" fillId="0" borderId="24" xfId="0" applyNumberFormat="1" applyFont="1" applyBorder="1" applyAlignment="1">
      <alignment horizontal="center" vertical="center"/>
    </xf>
    <xf numFmtId="9" fontId="7" fillId="6" borderId="24" xfId="0" applyNumberFormat="1" applyFont="1" applyFill="1" applyBorder="1" applyAlignment="1">
      <alignment horizontal="center" vertical="center"/>
    </xf>
    <xf numFmtId="9" fontId="7" fillId="2" borderId="24" xfId="0" applyNumberFormat="1" applyFont="1" applyFill="1" applyBorder="1" applyAlignment="1">
      <alignment horizontal="center" vertical="center"/>
    </xf>
    <xf numFmtId="9" fontId="7" fillId="2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36" xfId="0" applyFont="1" applyBorder="1" applyAlignment="1">
      <alignment horizontal="center" vertical="center" wrapText="1"/>
    </xf>
    <xf numFmtId="2" fontId="0" fillId="6" borderId="0" xfId="0" applyNumberFormat="1" applyFill="1"/>
    <xf numFmtId="10" fontId="19" fillId="0" borderId="44" xfId="0" applyNumberFormat="1" applyFont="1" applyBorder="1" applyAlignment="1">
      <alignment horizontal="center" vertical="center"/>
    </xf>
    <xf numFmtId="10" fontId="19" fillId="2" borderId="0" xfId="0" applyNumberFormat="1" applyFont="1" applyFill="1" applyAlignment="1">
      <alignment horizontal="center" vertical="center"/>
    </xf>
    <xf numFmtId="10" fontId="19" fillId="2" borderId="28" xfId="0" applyNumberFormat="1" applyFont="1" applyFill="1" applyBorder="1" applyAlignment="1">
      <alignment horizontal="center" vertical="center"/>
    </xf>
    <xf numFmtId="10" fontId="19" fillId="0" borderId="47" xfId="0" applyNumberFormat="1" applyFont="1" applyBorder="1" applyAlignment="1">
      <alignment horizontal="center" vertical="center"/>
    </xf>
    <xf numFmtId="22" fontId="19" fillId="2" borderId="21" xfId="0" applyNumberFormat="1" applyFont="1" applyFill="1" applyBorder="1" applyAlignment="1">
      <alignment horizontal="center" vertical="center"/>
    </xf>
    <xf numFmtId="10" fontId="1" fillId="0" borderId="0" xfId="0" applyNumberFormat="1" applyFont="1" applyAlignment="1">
      <alignment vertical="center"/>
    </xf>
    <xf numFmtId="10" fontId="21" fillId="12" borderId="0" xfId="0" applyNumberFormat="1" applyFont="1" applyFill="1"/>
    <xf numFmtId="10" fontId="0" fillId="2" borderId="0" xfId="0" applyNumberFormat="1" applyFill="1"/>
    <xf numFmtId="10" fontId="19" fillId="6" borderId="47" xfId="0" applyNumberFormat="1" applyFont="1" applyFill="1" applyBorder="1" applyAlignment="1">
      <alignment horizontal="center" vertical="center"/>
    </xf>
    <xf numFmtId="10" fontId="0" fillId="6" borderId="0" xfId="0" applyNumberFormat="1" applyFill="1"/>
    <xf numFmtId="10" fontId="0" fillId="10" borderId="0" xfId="0" applyNumberFormat="1" applyFill="1"/>
    <xf numFmtId="0" fontId="0" fillId="10" borderId="0" xfId="0" applyFill="1"/>
    <xf numFmtId="0" fontId="30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22" fontId="0" fillId="0" borderId="0" xfId="0" applyNumberFormat="1" applyAlignment="1">
      <alignment horizontal="center" vertical="center"/>
    </xf>
    <xf numFmtId="1" fontId="31" fillId="0" borderId="0" xfId="0" applyNumberFormat="1" applyFont="1" applyAlignment="1">
      <alignment horizontal="center" vertical="center"/>
    </xf>
    <xf numFmtId="22" fontId="14" fillId="0" borderId="0" xfId="0" applyNumberFormat="1" applyFont="1" applyAlignment="1">
      <alignment horizontal="center" vertical="center"/>
    </xf>
    <xf numFmtId="22" fontId="7" fillId="0" borderId="42" xfId="0" applyNumberFormat="1" applyFont="1" applyBorder="1" applyAlignment="1">
      <alignment horizontal="center" vertical="center"/>
    </xf>
    <xf numFmtId="10" fontId="7" fillId="0" borderId="73" xfId="0" applyNumberFormat="1" applyFont="1" applyBorder="1" applyAlignment="1">
      <alignment horizontal="right" vertical="center" wrapText="1" indent="2"/>
    </xf>
    <xf numFmtId="2" fontId="7" fillId="0" borderId="44" xfId="0" applyNumberFormat="1" applyFont="1" applyBorder="1" applyAlignment="1">
      <alignment horizontal="right" vertical="center" indent="2"/>
    </xf>
    <xf numFmtId="1" fontId="7" fillId="0" borderId="47" xfId="0" applyNumberFormat="1" applyFont="1" applyBorder="1" applyAlignment="1">
      <alignment horizontal="center" vertical="center"/>
    </xf>
    <xf numFmtId="1" fontId="7" fillId="0" borderId="44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right" vertical="center" wrapText="1" indent="2"/>
    </xf>
    <xf numFmtId="9" fontId="7" fillId="18" borderId="24" xfId="0" applyNumberFormat="1" applyFont="1" applyFill="1" applyBorder="1" applyAlignment="1">
      <alignment horizontal="center" vertical="center"/>
    </xf>
    <xf numFmtId="10" fontId="7" fillId="2" borderId="8" xfId="0" applyNumberFormat="1" applyFont="1" applyFill="1" applyBorder="1" applyAlignment="1">
      <alignment horizontal="right" vertical="center" indent="2"/>
    </xf>
    <xf numFmtId="1" fontId="7" fillId="2" borderId="36" xfId="0" applyNumberFormat="1" applyFont="1" applyFill="1" applyBorder="1" applyAlignment="1">
      <alignment horizontal="center"/>
    </xf>
    <xf numFmtId="1" fontId="7" fillId="2" borderId="37" xfId="0" applyNumberFormat="1" applyFont="1" applyFill="1" applyBorder="1" applyAlignment="1">
      <alignment horizontal="center"/>
    </xf>
    <xf numFmtId="10" fontId="7" fillId="2" borderId="32" xfId="0" applyNumberFormat="1" applyFont="1" applyFill="1" applyBorder="1" applyAlignment="1">
      <alignment horizontal="right" vertical="center" indent="2"/>
    </xf>
    <xf numFmtId="1" fontId="7" fillId="2" borderId="28" xfId="0" applyNumberFormat="1" applyFont="1" applyFill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14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right" vertical="center" indent="2"/>
    </xf>
    <xf numFmtId="22" fontId="19" fillId="0" borderId="21" xfId="0" applyNumberFormat="1" applyFont="1" applyBorder="1" applyAlignment="1">
      <alignment horizontal="center"/>
    </xf>
    <xf numFmtId="22" fontId="28" fillId="22" borderId="81" xfId="0" applyNumberFormat="1" applyFont="1" applyFill="1" applyBorder="1" applyAlignment="1">
      <alignment horizontal="center" vertical="center"/>
    </xf>
    <xf numFmtId="22" fontId="20" fillId="22" borderId="81" xfId="0" applyNumberFormat="1" applyFont="1" applyFill="1" applyBorder="1" applyAlignment="1">
      <alignment horizontal="center" vertical="center"/>
    </xf>
    <xf numFmtId="2" fontId="20" fillId="22" borderId="80" xfId="0" applyNumberFormat="1" applyFont="1" applyFill="1" applyBorder="1" applyAlignment="1">
      <alignment horizontal="right" vertical="center" indent="2"/>
    </xf>
    <xf numFmtId="0" fontId="6" fillId="0" borderId="40" xfId="0" applyFont="1" applyBorder="1" applyAlignment="1">
      <alignment horizontal="center" vertical="center" wrapText="1"/>
    </xf>
    <xf numFmtId="2" fontId="0" fillId="11" borderId="0" xfId="0" applyNumberFormat="1" applyFill="1" applyAlignment="1">
      <alignment horizontal="center"/>
    </xf>
    <xf numFmtId="2" fontId="0" fillId="11" borderId="28" xfId="0" applyNumberFormat="1" applyFill="1" applyBorder="1" applyAlignment="1">
      <alignment horizontal="center"/>
    </xf>
    <xf numFmtId="164" fontId="19" fillId="2" borderId="0" xfId="0" applyNumberFormat="1" applyFont="1" applyFill="1" applyAlignment="1">
      <alignment horizontal="center" vertical="center"/>
    </xf>
    <xf numFmtId="2" fontId="0" fillId="0" borderId="36" xfId="0" applyNumberFormat="1" applyBorder="1"/>
    <xf numFmtId="2" fontId="0" fillId="0" borderId="40" xfId="0" applyNumberFormat="1" applyBorder="1"/>
    <xf numFmtId="2" fontId="0" fillId="0" borderId="37" xfId="0" applyNumberFormat="1" applyBorder="1"/>
    <xf numFmtId="2" fontId="0" fillId="0" borderId="41" xfId="0" applyNumberFormat="1" applyBorder="1"/>
    <xf numFmtId="0" fontId="0" fillId="0" borderId="41" xfId="0" quotePrefix="1" applyBorder="1" applyAlignment="1">
      <alignment horizontal="center"/>
    </xf>
    <xf numFmtId="0" fontId="1" fillId="0" borderId="79" xfId="0" applyFont="1" applyBorder="1" applyAlignment="1">
      <alignment horizontal="center" vertical="center"/>
    </xf>
    <xf numFmtId="2" fontId="19" fillId="0" borderId="42" xfId="0" applyNumberFormat="1" applyFont="1" applyBorder="1" applyAlignment="1">
      <alignment horizontal="center" vertical="center"/>
    </xf>
    <xf numFmtId="2" fontId="19" fillId="0" borderId="48" xfId="0" applyNumberFormat="1" applyFont="1" applyBorder="1" applyAlignment="1">
      <alignment horizontal="center" vertical="center"/>
    </xf>
    <xf numFmtId="0" fontId="19" fillId="0" borderId="0" xfId="0" applyFont="1"/>
    <xf numFmtId="2" fontId="4" fillId="0" borderId="61" xfId="0" quotePrefix="1" applyNumberFormat="1" applyFont="1" applyBorder="1" applyAlignment="1">
      <alignment horizontal="center" vertical="center"/>
    </xf>
    <xf numFmtId="2" fontId="19" fillId="0" borderId="24" xfId="0" applyNumberFormat="1" applyFont="1" applyBorder="1" applyAlignment="1">
      <alignment horizontal="center" vertical="center"/>
    </xf>
    <xf numFmtId="2" fontId="19" fillId="25" borderId="36" xfId="0" applyNumberFormat="1" applyFont="1" applyFill="1" applyBorder="1" applyAlignment="1">
      <alignment horizontal="center" vertical="center"/>
    </xf>
    <xf numFmtId="2" fontId="19" fillId="25" borderId="24" xfId="0" applyNumberFormat="1" applyFont="1" applyFill="1" applyBorder="1" applyAlignment="1">
      <alignment horizontal="center" vertical="center"/>
    </xf>
    <xf numFmtId="2" fontId="19" fillId="6" borderId="0" xfId="0" applyNumberFormat="1" applyFont="1" applyFill="1" applyAlignment="1">
      <alignment horizontal="center" vertical="center"/>
    </xf>
    <xf numFmtId="2" fontId="0" fillId="0" borderId="0" xfId="0" quotePrefix="1" applyNumberFormat="1"/>
    <xf numFmtId="0" fontId="19" fillId="0" borderId="0" xfId="0" applyFont="1" applyAlignment="1">
      <alignment vertical="center" wrapText="1"/>
    </xf>
    <xf numFmtId="10" fontId="19" fillId="3" borderId="0" xfId="0" applyNumberFormat="1" applyFont="1" applyFill="1" applyAlignment="1">
      <alignment vertical="center" wrapText="1"/>
    </xf>
    <xf numFmtId="2" fontId="19" fillId="0" borderId="0" xfId="0" applyNumberFormat="1" applyFont="1"/>
    <xf numFmtId="2" fontId="19" fillId="0" borderId="0" xfId="0" applyNumberFormat="1" applyFont="1" applyAlignment="1">
      <alignment vertical="center" wrapText="1"/>
    </xf>
    <xf numFmtId="2" fontId="0" fillId="0" borderId="0" xfId="0" applyNumberFormat="1" applyAlignment="1">
      <alignment horizontal="right" vertical="center" indent="2"/>
    </xf>
    <xf numFmtId="2" fontId="0" fillId="0" borderId="42" xfId="0" applyNumberFormat="1" applyBorder="1"/>
    <xf numFmtId="10" fontId="19" fillId="10" borderId="0" xfId="0" applyNumberFormat="1" applyFont="1" applyFill="1" applyAlignment="1">
      <alignment horizontal="right" vertical="center" indent="2"/>
    </xf>
    <xf numFmtId="2" fontId="19" fillId="0" borderId="42" xfId="0" applyNumberFormat="1" applyFont="1" applyBorder="1" applyAlignment="1">
      <alignment horizontal="right" vertical="center" wrapText="1" indent="2"/>
    </xf>
    <xf numFmtId="2" fontId="19" fillId="0" borderId="36" xfId="0" applyNumberFormat="1" applyFont="1" applyBorder="1" applyAlignment="1">
      <alignment horizontal="right" vertical="center" wrapText="1" indent="2"/>
    </xf>
    <xf numFmtId="2" fontId="19" fillId="0" borderId="36" xfId="0" applyNumberFormat="1" applyFont="1" applyBorder="1" applyAlignment="1">
      <alignment horizontal="right" vertical="center" indent="2"/>
    </xf>
    <xf numFmtId="2" fontId="19" fillId="2" borderId="36" xfId="0" applyNumberFormat="1" applyFont="1" applyFill="1" applyBorder="1" applyAlignment="1">
      <alignment horizontal="right" vertical="center" indent="2"/>
    </xf>
    <xf numFmtId="2" fontId="19" fillId="2" borderId="37" xfId="0" applyNumberFormat="1" applyFont="1" applyFill="1" applyBorder="1" applyAlignment="1">
      <alignment horizontal="right" vertical="center" indent="2"/>
    </xf>
    <xf numFmtId="10" fontId="0" fillId="27" borderId="0" xfId="0" applyNumberFormat="1" applyFill="1" applyAlignment="1">
      <alignment horizontal="center" vertical="center"/>
    </xf>
    <xf numFmtId="2" fontId="0" fillId="27" borderId="0" xfId="0" applyNumberFormat="1" applyFill="1"/>
    <xf numFmtId="2" fontId="0" fillId="4" borderId="0" xfId="0" applyNumberFormat="1" applyFill="1"/>
    <xf numFmtId="10" fontId="0" fillId="7" borderId="0" xfId="0" applyNumberFormat="1" applyFill="1" applyAlignment="1">
      <alignment horizontal="center" vertical="center"/>
    </xf>
    <xf numFmtId="2" fontId="0" fillId="7" borderId="0" xfId="0" applyNumberFormat="1" applyFill="1"/>
    <xf numFmtId="9" fontId="19" fillId="0" borderId="44" xfId="0" applyNumberFormat="1" applyFont="1" applyBorder="1" applyAlignment="1">
      <alignment horizontal="center" vertical="center"/>
    </xf>
    <xf numFmtId="9" fontId="19" fillId="0" borderId="0" xfId="0" applyNumberFormat="1" applyFont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19" fillId="0" borderId="36" xfId="0" applyNumberFormat="1" applyFont="1" applyBorder="1" applyAlignment="1">
      <alignment horizontal="center" vertical="center"/>
    </xf>
    <xf numFmtId="2" fontId="19" fillId="0" borderId="40" xfId="0" applyNumberFormat="1" applyFont="1" applyBorder="1" applyAlignment="1">
      <alignment horizontal="center" vertical="center"/>
    </xf>
    <xf numFmtId="2" fontId="19" fillId="0" borderId="37" xfId="0" applyNumberFormat="1" applyFont="1" applyBorder="1" applyAlignment="1">
      <alignment horizontal="center" vertical="center"/>
    </xf>
    <xf numFmtId="2" fontId="19" fillId="0" borderId="41" xfId="0" applyNumberFormat="1" applyFont="1" applyBorder="1" applyAlignment="1">
      <alignment horizontal="center" vertical="center"/>
    </xf>
    <xf numFmtId="2" fontId="4" fillId="0" borderId="19" xfId="0" quotePrefix="1" applyNumberFormat="1" applyFont="1" applyBorder="1" applyAlignment="1">
      <alignment horizontal="center" vertical="center"/>
    </xf>
    <xf numFmtId="2" fontId="19" fillId="0" borderId="30" xfId="0" applyNumberFormat="1" applyFont="1" applyBorder="1" applyAlignment="1">
      <alignment horizontal="center" vertical="center"/>
    </xf>
    <xf numFmtId="2" fontId="19" fillId="25" borderId="42" xfId="0" applyNumberFormat="1" applyFont="1" applyFill="1" applyBorder="1" applyAlignment="1">
      <alignment horizontal="center" vertical="center"/>
    </xf>
    <xf numFmtId="2" fontId="19" fillId="25" borderId="72" xfId="0" applyNumberFormat="1" applyFont="1" applyFill="1" applyBorder="1" applyAlignment="1">
      <alignment horizontal="center" vertical="center"/>
    </xf>
    <xf numFmtId="2" fontId="19" fillId="25" borderId="37" xfId="0" applyNumberFormat="1" applyFont="1" applyFill="1" applyBorder="1" applyAlignment="1">
      <alignment horizontal="center" vertical="center"/>
    </xf>
    <xf numFmtId="2" fontId="19" fillId="25" borderId="30" xfId="0" applyNumberFormat="1" applyFont="1" applyFill="1" applyBorder="1" applyAlignment="1">
      <alignment horizontal="center" vertical="center"/>
    </xf>
    <xf numFmtId="9" fontId="19" fillId="18" borderId="0" xfId="0" applyNumberFormat="1" applyFont="1" applyFill="1" applyAlignment="1">
      <alignment horizontal="center" vertical="center"/>
    </xf>
    <xf numFmtId="2" fontId="19" fillId="0" borderId="72" xfId="0" applyNumberFormat="1" applyFont="1" applyBorder="1" applyAlignment="1">
      <alignment horizontal="center" vertical="center"/>
    </xf>
    <xf numFmtId="2" fontId="19" fillId="25" borderId="48" xfId="0" applyNumberFormat="1" applyFont="1" applyFill="1" applyBorder="1" applyAlignment="1">
      <alignment horizontal="center" vertical="center"/>
    </xf>
    <xf numFmtId="2" fontId="19" fillId="25" borderId="40" xfId="0" applyNumberFormat="1" applyFont="1" applyFill="1" applyBorder="1" applyAlignment="1">
      <alignment horizontal="center" vertical="center"/>
    </xf>
    <xf numFmtId="2" fontId="19" fillId="25" borderId="41" xfId="0" applyNumberFormat="1" applyFont="1" applyFill="1" applyBorder="1" applyAlignment="1">
      <alignment horizontal="center" vertical="center"/>
    </xf>
    <xf numFmtId="2" fontId="19" fillId="25" borderId="70" xfId="0" applyNumberFormat="1" applyFont="1" applyFill="1" applyBorder="1" applyAlignment="1">
      <alignment horizontal="center" vertical="center"/>
    </xf>
    <xf numFmtId="2" fontId="19" fillId="25" borderId="21" xfId="0" applyNumberFormat="1" applyFont="1" applyFill="1" applyBorder="1" applyAlignment="1">
      <alignment horizontal="center" vertical="center"/>
    </xf>
    <xf numFmtId="2" fontId="19" fillId="25" borderId="26" xfId="0" applyNumberFormat="1" applyFont="1" applyFill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79" xfId="0" applyNumberFormat="1" applyBorder="1" applyAlignment="1">
      <alignment horizontal="center" vertical="center"/>
    </xf>
    <xf numFmtId="2" fontId="0" fillId="0" borderId="48" xfId="0" applyNumberFormat="1" applyBorder="1"/>
    <xf numFmtId="2" fontId="0" fillId="0" borderId="28" xfId="0" applyNumberFormat="1" applyBorder="1"/>
    <xf numFmtId="2" fontId="0" fillId="25" borderId="36" xfId="0" applyNumberFormat="1" applyFill="1" applyBorder="1" applyAlignment="1">
      <alignment horizontal="center" vertical="center"/>
    </xf>
    <xf numFmtId="2" fontId="0" fillId="25" borderId="40" xfId="0" applyNumberFormat="1" applyFill="1" applyBorder="1" applyAlignment="1">
      <alignment horizontal="center" vertical="center"/>
    </xf>
    <xf numFmtId="2" fontId="0" fillId="25" borderId="37" xfId="0" applyNumberFormat="1" applyFill="1" applyBorder="1" applyAlignment="1">
      <alignment horizontal="center" vertical="center"/>
    </xf>
    <xf numFmtId="2" fontId="0" fillId="25" borderId="41" xfId="0" applyNumberFormat="1" applyFill="1" applyBorder="1" applyAlignment="1">
      <alignment horizontal="center" vertical="center"/>
    </xf>
    <xf numFmtId="2" fontId="32" fillId="0" borderId="6" xfId="0" applyNumberFormat="1" applyFont="1" applyBorder="1" applyAlignment="1">
      <alignment horizontal="center"/>
    </xf>
    <xf numFmtId="2" fontId="0" fillId="0" borderId="15" xfId="0" applyNumberFormat="1" applyBorder="1"/>
    <xf numFmtId="2" fontId="32" fillId="0" borderId="7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vertical="center"/>
    </xf>
    <xf numFmtId="2" fontId="21" fillId="12" borderId="0" xfId="0" applyNumberFormat="1" applyFont="1" applyFill="1"/>
    <xf numFmtId="2" fontId="0" fillId="0" borderId="37" xfId="0" quotePrefix="1" applyNumberFormat="1" applyBorder="1" applyAlignment="1">
      <alignment horizontal="center"/>
    </xf>
    <xf numFmtId="0" fontId="0" fillId="2" borderId="6" xfId="0" applyFill="1" applyBorder="1"/>
    <xf numFmtId="0" fontId="0" fillId="2" borderId="6" xfId="0" applyFill="1" applyBorder="1" applyAlignment="1">
      <alignment horizontal="center" wrapText="1"/>
    </xf>
    <xf numFmtId="2" fontId="0" fillId="0" borderId="6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2" fontId="0" fillId="0" borderId="6" xfId="0" quotePrefix="1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top"/>
    </xf>
    <xf numFmtId="14" fontId="0" fillId="5" borderId="2" xfId="0" applyNumberFormat="1" applyFill="1" applyBorder="1" applyAlignment="1">
      <alignment horizontal="center" vertical="top"/>
    </xf>
    <xf numFmtId="0" fontId="0" fillId="0" borderId="0" xfId="0" applyAlignment="1">
      <alignment horizontal="center"/>
    </xf>
    <xf numFmtId="14" fontId="2" fillId="5" borderId="0" xfId="0" applyNumberFormat="1" applyFont="1" applyFill="1" applyAlignment="1">
      <alignment horizontal="left" vertical="center"/>
    </xf>
    <xf numFmtId="14" fontId="3" fillId="5" borderId="0" xfId="0" applyNumberFormat="1" applyFont="1" applyFill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 vertical="top" wrapText="1"/>
    </xf>
    <xf numFmtId="14" fontId="0" fillId="0" borderId="11" xfId="0" applyNumberFormat="1" applyBorder="1" applyAlignment="1">
      <alignment horizontal="center" vertical="top"/>
    </xf>
    <xf numFmtId="14" fontId="0" fillId="0" borderId="12" xfId="0" applyNumberFormat="1" applyBorder="1" applyAlignment="1">
      <alignment horizontal="center" vertical="top"/>
    </xf>
    <xf numFmtId="14" fontId="0" fillId="0" borderId="13" xfId="0" applyNumberFormat="1" applyBorder="1" applyAlignment="1">
      <alignment horizontal="center" vertical="top"/>
    </xf>
    <xf numFmtId="14" fontId="0" fillId="0" borderId="8" xfId="0" applyNumberFormat="1" applyBorder="1" applyAlignment="1">
      <alignment horizontal="center" vertical="top"/>
    </xf>
    <xf numFmtId="14" fontId="0" fillId="0" borderId="14" xfId="0" applyNumberFormat="1" applyBorder="1" applyAlignment="1">
      <alignment horizontal="center" vertical="top"/>
    </xf>
    <xf numFmtId="14" fontId="0" fillId="0" borderId="10" xfId="0" applyNumberFormat="1" applyBorder="1" applyAlignment="1">
      <alignment horizontal="center" vertical="top"/>
    </xf>
    <xf numFmtId="0" fontId="6" fillId="0" borderId="1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6" fillId="3" borderId="3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35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/>
    </xf>
    <xf numFmtId="0" fontId="8" fillId="3" borderId="34" xfId="0" applyFont="1" applyFill="1" applyBorder="1" applyAlignment="1">
      <alignment horizontal="center"/>
    </xf>
    <xf numFmtId="0" fontId="8" fillId="3" borderId="35" xfId="0" applyFont="1" applyFill="1" applyBorder="1" applyAlignment="1">
      <alignment horizontal="center"/>
    </xf>
    <xf numFmtId="0" fontId="6" fillId="0" borderId="43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3" borderId="0" xfId="0" applyFill="1" applyAlignment="1">
      <alignment horizontal="left" vertical="top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22" fontId="6" fillId="0" borderId="15" xfId="0" applyNumberFormat="1" applyFont="1" applyBorder="1" applyAlignment="1">
      <alignment horizontal="center" vertical="center" wrapText="1"/>
    </xf>
    <xf numFmtId="22" fontId="6" fillId="0" borderId="9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4" fillId="22" borderId="51" xfId="0" applyFont="1" applyFill="1" applyBorder="1" applyAlignment="1">
      <alignment horizontal="center" vertical="center"/>
    </xf>
    <xf numFmtId="0" fontId="24" fillId="22" borderId="62" xfId="0" applyFont="1" applyFill="1" applyBorder="1" applyAlignment="1">
      <alignment horizontal="center" vertical="center"/>
    </xf>
    <xf numFmtId="0" fontId="24" fillId="22" borderId="53" xfId="0" applyFont="1" applyFill="1" applyBorder="1" applyAlignment="1">
      <alignment horizontal="center" vertical="center"/>
    </xf>
    <xf numFmtId="0" fontId="24" fillId="22" borderId="54" xfId="0" applyFont="1" applyFill="1" applyBorder="1" applyAlignment="1">
      <alignment horizontal="center" vertical="center"/>
    </xf>
    <xf numFmtId="0" fontId="25" fillId="22" borderId="6" xfId="0" applyFont="1" applyFill="1" applyBorder="1" applyAlignment="1">
      <alignment horizontal="center" vertical="center"/>
    </xf>
    <xf numFmtId="0" fontId="25" fillId="22" borderId="1" xfId="0" applyFont="1" applyFill="1" applyBorder="1" applyAlignment="1">
      <alignment horizontal="center" vertical="center"/>
    </xf>
    <xf numFmtId="0" fontId="25" fillId="22" borderId="61" xfId="0" applyFont="1" applyFill="1" applyBorder="1" applyAlignment="1">
      <alignment horizontal="center" vertical="center"/>
    </xf>
    <xf numFmtId="2" fontId="20" fillId="22" borderId="12" xfId="0" applyNumberFormat="1" applyFont="1" applyFill="1" applyBorder="1" applyAlignment="1">
      <alignment horizontal="center" vertical="center"/>
    </xf>
    <xf numFmtId="2" fontId="20" fillId="22" borderId="8" xfId="0" applyNumberFormat="1" applyFont="1" applyFill="1" applyBorder="1" applyAlignment="1">
      <alignment horizontal="center" vertical="center"/>
    </xf>
    <xf numFmtId="2" fontId="20" fillId="22" borderId="10" xfId="0" applyNumberFormat="1" applyFont="1" applyFill="1" applyBorder="1" applyAlignment="1">
      <alignment horizontal="center" vertical="center"/>
    </xf>
    <xf numFmtId="2" fontId="20" fillId="22" borderId="15" xfId="0" applyNumberFormat="1" applyFont="1" applyFill="1" applyBorder="1" applyAlignment="1">
      <alignment horizontal="center" vertical="center"/>
    </xf>
    <xf numFmtId="2" fontId="20" fillId="22" borderId="7" xfId="0" applyNumberFormat="1" applyFont="1" applyFill="1" applyBorder="1" applyAlignment="1">
      <alignment horizontal="center" vertical="center"/>
    </xf>
    <xf numFmtId="2" fontId="20" fillId="22" borderId="9" xfId="0" applyNumberFormat="1" applyFont="1" applyFill="1" applyBorder="1" applyAlignment="1">
      <alignment horizontal="center" vertical="center"/>
    </xf>
    <xf numFmtId="167" fontId="20" fillId="22" borderId="22" xfId="0" applyNumberFormat="1" applyFont="1" applyFill="1" applyBorder="1" applyAlignment="1">
      <alignment horizontal="center" vertical="center"/>
    </xf>
    <xf numFmtId="167" fontId="20" fillId="22" borderId="24" xfId="0" applyNumberFormat="1" applyFont="1" applyFill="1" applyBorder="1" applyAlignment="1">
      <alignment horizontal="center" vertical="center"/>
    </xf>
    <xf numFmtId="167" fontId="20" fillId="22" borderId="31" xfId="0" applyNumberFormat="1" applyFont="1" applyFill="1" applyBorder="1" applyAlignment="1">
      <alignment horizontal="center" vertical="center"/>
    </xf>
    <xf numFmtId="1" fontId="20" fillId="22" borderId="25" xfId="0" applyNumberFormat="1" applyFont="1" applyFill="1" applyBorder="1" applyAlignment="1">
      <alignment horizontal="center" vertical="center"/>
    </xf>
    <xf numFmtId="1" fontId="20" fillId="22" borderId="21" xfId="0" applyNumberFormat="1" applyFont="1" applyFill="1" applyBorder="1" applyAlignment="1">
      <alignment horizontal="center" vertical="center"/>
    </xf>
    <xf numFmtId="1" fontId="20" fillId="22" borderId="23" xfId="0" applyNumberFormat="1" applyFont="1" applyFill="1" applyBorder="1" applyAlignment="1">
      <alignment horizontal="center" vertical="center"/>
    </xf>
    <xf numFmtId="1" fontId="20" fillId="22" borderId="15" xfId="0" applyNumberFormat="1" applyFont="1" applyFill="1" applyBorder="1" applyAlignment="1">
      <alignment horizontal="center" vertical="center"/>
    </xf>
    <xf numFmtId="1" fontId="20" fillId="22" borderId="7" xfId="0" applyNumberFormat="1" applyFont="1" applyFill="1" applyBorder="1" applyAlignment="1">
      <alignment horizontal="center" vertical="center"/>
    </xf>
    <xf numFmtId="1" fontId="20" fillId="2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0" fillId="22" borderId="59" xfId="0" applyFont="1" applyFill="1" applyBorder="1" applyAlignment="1">
      <alignment horizontal="center" vertical="center"/>
    </xf>
    <xf numFmtId="0" fontId="20" fillId="22" borderId="6" xfId="0" applyFont="1" applyFill="1" applyBorder="1" applyAlignment="1">
      <alignment horizontal="center" vertical="center"/>
    </xf>
    <xf numFmtId="0" fontId="20" fillId="22" borderId="25" xfId="0" applyFont="1" applyFill="1" applyBorder="1" applyAlignment="1">
      <alignment horizontal="center" vertical="center"/>
    </xf>
    <xf numFmtId="0" fontId="20" fillId="22" borderId="21" xfId="0" applyFont="1" applyFill="1" applyBorder="1" applyAlignment="1">
      <alignment horizontal="center" vertical="center"/>
    </xf>
    <xf numFmtId="0" fontId="20" fillId="22" borderId="23" xfId="0" applyFont="1" applyFill="1" applyBorder="1" applyAlignment="1">
      <alignment horizontal="center" vertical="center"/>
    </xf>
    <xf numFmtId="0" fontId="24" fillId="22" borderId="55" xfId="0" applyFont="1" applyFill="1" applyBorder="1" applyAlignment="1">
      <alignment horizontal="center" vertical="center" wrapText="1"/>
    </xf>
    <xf numFmtId="0" fontId="24" fillId="22" borderId="57" xfId="0" applyFont="1" applyFill="1" applyBorder="1" applyAlignment="1">
      <alignment horizontal="center" vertical="center" wrapText="1"/>
    </xf>
    <xf numFmtId="0" fontId="21" fillId="12" borderId="0" xfId="0" applyFont="1" applyFill="1" applyAlignment="1">
      <alignment horizontal="center"/>
    </xf>
    <xf numFmtId="0" fontId="22" fillId="12" borderId="0" xfId="0" applyFont="1" applyFill="1" applyAlignment="1">
      <alignment horizontal="center" vertical="top" wrapText="1"/>
    </xf>
    <xf numFmtId="0" fontId="0" fillId="12" borderId="16" xfId="0" applyFill="1" applyBorder="1" applyAlignment="1">
      <alignment horizontal="center" vertical="center" wrapText="1"/>
    </xf>
    <xf numFmtId="0" fontId="0" fillId="12" borderId="19" xfId="0" applyFill="1" applyBorder="1" applyAlignment="1">
      <alignment horizontal="center" vertical="center" wrapText="1"/>
    </xf>
    <xf numFmtId="0" fontId="0" fillId="12" borderId="63" xfId="0" applyFill="1" applyBorder="1" applyAlignment="1">
      <alignment horizontal="center" vertical="center" wrapText="1"/>
    </xf>
    <xf numFmtId="0" fontId="24" fillId="22" borderId="16" xfId="0" applyFont="1" applyFill="1" applyBorder="1" applyAlignment="1">
      <alignment horizontal="center" vertical="center" wrapText="1"/>
    </xf>
    <xf numFmtId="0" fontId="24" fillId="22" borderId="19" xfId="0" applyFont="1" applyFill="1" applyBorder="1" applyAlignment="1">
      <alignment horizontal="center" vertical="center" wrapText="1"/>
    </xf>
    <xf numFmtId="0" fontId="24" fillId="22" borderId="63" xfId="0" applyFont="1" applyFill="1" applyBorder="1" applyAlignment="1">
      <alignment horizontal="center" vertical="center" wrapText="1"/>
    </xf>
    <xf numFmtId="0" fontId="24" fillId="22" borderId="42" xfId="0" applyFont="1" applyFill="1" applyBorder="1" applyAlignment="1">
      <alignment horizontal="center" vertical="center" wrapText="1"/>
    </xf>
    <xf numFmtId="0" fontId="24" fillId="22" borderId="36" xfId="0" applyFont="1" applyFill="1" applyBorder="1" applyAlignment="1">
      <alignment horizontal="center" vertical="center" wrapText="1"/>
    </xf>
    <xf numFmtId="0" fontId="24" fillId="22" borderId="37" xfId="0" applyFont="1" applyFill="1" applyBorder="1" applyAlignment="1">
      <alignment horizontal="center" vertical="center" wrapText="1"/>
    </xf>
    <xf numFmtId="0" fontId="24" fillId="22" borderId="60" xfId="0" applyFont="1" applyFill="1" applyBorder="1" applyAlignment="1">
      <alignment horizontal="center" vertical="center"/>
    </xf>
    <xf numFmtId="0" fontId="24" fillId="22" borderId="61" xfId="0" applyFont="1" applyFill="1" applyBorder="1" applyAlignment="1">
      <alignment horizontal="center" vertical="center"/>
    </xf>
    <xf numFmtId="0" fontId="24" fillId="22" borderId="52" xfId="0" applyFont="1" applyFill="1" applyBorder="1" applyAlignment="1">
      <alignment horizontal="center" vertical="center"/>
    </xf>
    <xf numFmtId="2" fontId="20" fillId="22" borderId="25" xfId="0" applyNumberFormat="1" applyFont="1" applyFill="1" applyBorder="1" applyAlignment="1">
      <alignment horizontal="center" vertical="center"/>
    </xf>
    <xf numFmtId="2" fontId="20" fillId="22" borderId="21" xfId="0" applyNumberFormat="1" applyFont="1" applyFill="1" applyBorder="1" applyAlignment="1">
      <alignment horizontal="center" vertical="center"/>
    </xf>
    <xf numFmtId="2" fontId="20" fillId="22" borderId="23" xfId="0" applyNumberFormat="1" applyFont="1" applyFill="1" applyBorder="1" applyAlignment="1">
      <alignment horizontal="center" vertical="center"/>
    </xf>
    <xf numFmtId="10" fontId="6" fillId="0" borderId="0" xfId="0" applyNumberFormat="1" applyFont="1" applyAlignment="1">
      <alignment horizontal="center" wrapText="1"/>
    </xf>
    <xf numFmtId="2" fontId="6" fillId="0" borderId="0" xfId="0" applyNumberFormat="1" applyFont="1" applyAlignment="1">
      <alignment horizontal="center" vertical="center" wrapText="1"/>
    </xf>
    <xf numFmtId="0" fontId="8" fillId="3" borderId="16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4" fillId="3" borderId="63" xfId="0" applyFont="1" applyFill="1" applyBorder="1" applyAlignment="1">
      <alignment horizontal="center"/>
    </xf>
    <xf numFmtId="0" fontId="4" fillId="3" borderId="68" xfId="0" applyFont="1" applyFill="1" applyBorder="1" applyAlignment="1">
      <alignment horizontal="center"/>
    </xf>
    <xf numFmtId="0" fontId="4" fillId="3" borderId="69" xfId="0" applyFont="1" applyFill="1" applyBorder="1" applyAlignment="1">
      <alignment horizontal="center"/>
    </xf>
    <xf numFmtId="0" fontId="6" fillId="0" borderId="21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168" fontId="14" fillId="18" borderId="15" xfId="0" applyNumberFormat="1" applyFont="1" applyFill="1" applyBorder="1" applyAlignment="1">
      <alignment horizontal="center" vertical="center"/>
    </xf>
    <xf numFmtId="168" fontId="14" fillId="18" borderId="7" xfId="0" applyNumberFormat="1" applyFont="1" applyFill="1" applyBorder="1" applyAlignment="1">
      <alignment horizontal="center" vertical="center"/>
    </xf>
    <xf numFmtId="168" fontId="14" fillId="18" borderId="9" xfId="0" applyNumberFormat="1" applyFont="1" applyFill="1" applyBorder="1" applyAlignment="1">
      <alignment horizontal="center" vertical="center"/>
    </xf>
    <xf numFmtId="167" fontId="14" fillId="22" borderId="22" xfId="0" applyNumberFormat="1" applyFont="1" applyFill="1" applyBorder="1" applyAlignment="1">
      <alignment horizontal="center" vertical="center"/>
    </xf>
    <xf numFmtId="167" fontId="14" fillId="22" borderId="24" xfId="0" applyNumberFormat="1" applyFont="1" applyFill="1" applyBorder="1" applyAlignment="1">
      <alignment horizontal="center" vertical="center"/>
    </xf>
    <xf numFmtId="167" fontId="14" fillId="22" borderId="31" xfId="0" applyNumberFormat="1" applyFont="1" applyFill="1" applyBorder="1" applyAlignment="1">
      <alignment horizontal="center" vertical="center"/>
    </xf>
    <xf numFmtId="2" fontId="14" fillId="22" borderId="25" xfId="0" applyNumberFormat="1" applyFont="1" applyFill="1" applyBorder="1" applyAlignment="1">
      <alignment horizontal="center" vertical="center"/>
    </xf>
    <xf numFmtId="2" fontId="14" fillId="22" borderId="21" xfId="0" applyNumberFormat="1" applyFont="1" applyFill="1" applyBorder="1" applyAlignment="1">
      <alignment horizontal="center" vertical="center"/>
    </xf>
    <xf numFmtId="2" fontId="14" fillId="22" borderId="23" xfId="0" applyNumberFormat="1" applyFont="1" applyFill="1" applyBorder="1" applyAlignment="1">
      <alignment horizontal="center" vertical="center"/>
    </xf>
    <xf numFmtId="0" fontId="14" fillId="22" borderId="61" xfId="0" applyFont="1" applyFill="1" applyBorder="1" applyAlignment="1">
      <alignment horizontal="center" vertical="center"/>
    </xf>
    <xf numFmtId="0" fontId="14" fillId="22" borderId="25" xfId="0" applyFont="1" applyFill="1" applyBorder="1" applyAlignment="1">
      <alignment horizontal="center" vertical="center"/>
    </xf>
    <xf numFmtId="0" fontId="14" fillId="22" borderId="21" xfId="0" applyFont="1" applyFill="1" applyBorder="1" applyAlignment="1">
      <alignment horizontal="center" vertical="center"/>
    </xf>
    <xf numFmtId="0" fontId="14" fillId="22" borderId="23" xfId="0" applyFont="1" applyFill="1" applyBorder="1" applyAlignment="1">
      <alignment horizontal="center" vertical="center"/>
    </xf>
    <xf numFmtId="168" fontId="14" fillId="22" borderId="15" xfId="0" applyNumberFormat="1" applyFont="1" applyFill="1" applyBorder="1" applyAlignment="1">
      <alignment horizontal="center" vertical="center"/>
    </xf>
    <xf numFmtId="168" fontId="14" fillId="22" borderId="7" xfId="0" applyNumberFormat="1" applyFont="1" applyFill="1" applyBorder="1" applyAlignment="1">
      <alignment horizontal="center" vertical="center"/>
    </xf>
    <xf numFmtId="168" fontId="14" fillId="22" borderId="9" xfId="0" applyNumberFormat="1" applyFont="1" applyFill="1" applyBorder="1" applyAlignment="1">
      <alignment horizontal="center" vertical="center"/>
    </xf>
    <xf numFmtId="2" fontId="14" fillId="22" borderId="12" xfId="0" applyNumberFormat="1" applyFont="1" applyFill="1" applyBorder="1" applyAlignment="1">
      <alignment horizontal="center" vertical="center"/>
    </xf>
    <xf numFmtId="2" fontId="14" fillId="22" borderId="8" xfId="0" applyNumberFormat="1" applyFont="1" applyFill="1" applyBorder="1" applyAlignment="1">
      <alignment horizontal="center" vertical="center"/>
    </xf>
    <xf numFmtId="2" fontId="14" fillId="22" borderId="10" xfId="0" applyNumberFormat="1" applyFont="1" applyFill="1" applyBorder="1" applyAlignment="1">
      <alignment horizontal="center" vertical="center"/>
    </xf>
    <xf numFmtId="0" fontId="14" fillId="22" borderId="59" xfId="0" applyFont="1" applyFill="1" applyBorder="1" applyAlignment="1">
      <alignment horizontal="center" vertical="center"/>
    </xf>
    <xf numFmtId="1" fontId="14" fillId="22" borderId="25" xfId="0" applyNumberFormat="1" applyFont="1" applyFill="1" applyBorder="1" applyAlignment="1">
      <alignment horizontal="center" vertical="center"/>
    </xf>
    <xf numFmtId="1" fontId="14" fillId="22" borderId="21" xfId="0" applyNumberFormat="1" applyFont="1" applyFill="1" applyBorder="1" applyAlignment="1">
      <alignment horizontal="center" vertical="center"/>
    </xf>
    <xf numFmtId="1" fontId="14" fillId="22" borderId="23" xfId="0" applyNumberFormat="1" applyFont="1" applyFill="1" applyBorder="1" applyAlignment="1">
      <alignment horizontal="center" vertical="center"/>
    </xf>
    <xf numFmtId="1" fontId="14" fillId="18" borderId="15" xfId="0" applyNumberFormat="1" applyFont="1" applyFill="1" applyBorder="1" applyAlignment="1">
      <alignment horizontal="center" vertical="center"/>
    </xf>
    <xf numFmtId="1" fontId="14" fillId="18" borderId="7" xfId="0" applyNumberFormat="1" applyFont="1" applyFill="1" applyBorder="1" applyAlignment="1">
      <alignment horizontal="center" vertical="center"/>
    </xf>
    <xf numFmtId="1" fontId="14" fillId="18" borderId="9" xfId="0" applyNumberFormat="1" applyFont="1" applyFill="1" applyBorder="1" applyAlignment="1">
      <alignment horizontal="center" vertical="center"/>
    </xf>
    <xf numFmtId="164" fontId="0" fillId="0" borderId="16" xfId="0" quotePrefix="1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2" fontId="14" fillId="18" borderId="15" xfId="0" applyNumberFormat="1" applyFont="1" applyFill="1" applyBorder="1" applyAlignment="1">
      <alignment horizontal="center" vertical="center"/>
    </xf>
    <xf numFmtId="2" fontId="14" fillId="18" borderId="7" xfId="0" applyNumberFormat="1" applyFont="1" applyFill="1" applyBorder="1" applyAlignment="1">
      <alignment horizontal="center" vertical="center"/>
    </xf>
    <xf numFmtId="2" fontId="14" fillId="18" borderId="9" xfId="0" applyNumberFormat="1" applyFont="1" applyFill="1" applyBorder="1" applyAlignment="1">
      <alignment horizontal="center" vertical="center"/>
    </xf>
    <xf numFmtId="2" fontId="14" fillId="3" borderId="15" xfId="0" applyNumberFormat="1" applyFont="1" applyFill="1" applyBorder="1" applyAlignment="1">
      <alignment horizontal="center" vertical="center"/>
    </xf>
    <xf numFmtId="2" fontId="14" fillId="3" borderId="7" xfId="0" applyNumberFormat="1" applyFont="1" applyFill="1" applyBorder="1" applyAlignment="1">
      <alignment horizontal="center" vertical="center"/>
    </xf>
    <xf numFmtId="2" fontId="14" fillId="3" borderId="9" xfId="0" applyNumberFormat="1" applyFont="1" applyFill="1" applyBorder="1" applyAlignment="1">
      <alignment horizontal="center" vertical="center"/>
    </xf>
    <xf numFmtId="2" fontId="14" fillId="22" borderId="22" xfId="0" applyNumberFormat="1" applyFont="1" applyFill="1" applyBorder="1" applyAlignment="1">
      <alignment horizontal="center" vertical="center"/>
    </xf>
    <xf numFmtId="2" fontId="14" fillId="22" borderId="24" xfId="0" applyNumberFormat="1" applyFont="1" applyFill="1" applyBorder="1" applyAlignment="1">
      <alignment horizontal="center" vertical="center"/>
    </xf>
    <xf numFmtId="2" fontId="14" fillId="22" borderId="31" xfId="0" applyNumberFormat="1" applyFont="1" applyFill="1" applyBorder="1" applyAlignment="1">
      <alignment horizontal="center" vertical="center"/>
    </xf>
    <xf numFmtId="0" fontId="6" fillId="0" borderId="70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168" fontId="14" fillId="3" borderId="15" xfId="0" applyNumberFormat="1" applyFont="1" applyFill="1" applyBorder="1" applyAlignment="1">
      <alignment horizontal="center" vertical="center"/>
    </xf>
    <xf numFmtId="168" fontId="14" fillId="3" borderId="7" xfId="0" applyNumberFormat="1" applyFont="1" applyFill="1" applyBorder="1" applyAlignment="1">
      <alignment horizontal="center" vertical="center"/>
    </xf>
    <xf numFmtId="168" fontId="14" fillId="3" borderId="9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28" xfId="0" applyBorder="1" applyAlignment="1">
      <alignment horizontal="center"/>
    </xf>
    <xf numFmtId="0" fontId="6" fillId="0" borderId="45" xfId="0" applyFont="1" applyBorder="1" applyAlignment="1">
      <alignment horizontal="center" vertical="center"/>
    </xf>
    <xf numFmtId="0" fontId="26" fillId="3" borderId="33" xfId="0" applyFont="1" applyFill="1" applyBorder="1" applyAlignment="1">
      <alignment horizontal="center"/>
    </xf>
    <xf numFmtId="0" fontId="26" fillId="3" borderId="34" xfId="0" applyFont="1" applyFill="1" applyBorder="1" applyAlignment="1">
      <alignment horizontal="center"/>
    </xf>
    <xf numFmtId="0" fontId="26" fillId="3" borderId="35" xfId="0" applyFont="1" applyFill="1" applyBorder="1" applyAlignment="1">
      <alignment horizontal="center"/>
    </xf>
    <xf numFmtId="2" fontId="0" fillId="3" borderId="13" xfId="0" applyNumberFormat="1" applyFill="1" applyBorder="1" applyAlignment="1">
      <alignment horizontal="left" vertical="center" wrapText="1"/>
    </xf>
    <xf numFmtId="2" fontId="0" fillId="3" borderId="0" xfId="0" applyNumberFormat="1" applyFill="1" applyAlignment="1">
      <alignment horizontal="left" vertical="center" wrapText="1"/>
    </xf>
    <xf numFmtId="0" fontId="6" fillId="0" borderId="47" xfId="0" applyFont="1" applyBorder="1" applyAlignment="1">
      <alignment horizontal="center" vertical="center" wrapText="1"/>
    </xf>
    <xf numFmtId="0" fontId="6" fillId="0" borderId="71" xfId="0" applyFont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168" fontId="14" fillId="3" borderId="6" xfId="0" applyNumberFormat="1" applyFont="1" applyFill="1" applyBorder="1" applyAlignment="1">
      <alignment horizontal="center" vertical="center"/>
    </xf>
    <xf numFmtId="167" fontId="14" fillId="22" borderId="61" xfId="0" applyNumberFormat="1" applyFont="1" applyFill="1" applyBorder="1" applyAlignment="1">
      <alignment horizontal="center" vertical="center"/>
    </xf>
    <xf numFmtId="0" fontId="14" fillId="22" borderId="60" xfId="0" applyFont="1" applyFill="1" applyBorder="1" applyAlignment="1">
      <alignment horizontal="center" vertical="center"/>
    </xf>
    <xf numFmtId="0" fontId="14" fillId="22" borderId="3" xfId="0" applyFont="1" applyFill="1" applyBorder="1" applyAlignment="1">
      <alignment horizontal="center" vertical="center"/>
    </xf>
    <xf numFmtId="0" fontId="14" fillId="22" borderId="65" xfId="0" applyFont="1" applyFill="1" applyBorder="1" applyAlignment="1">
      <alignment horizontal="center" vertical="center"/>
    </xf>
    <xf numFmtId="0" fontId="14" fillId="22" borderId="45" xfId="0" applyFont="1" applyFill="1" applyBorder="1" applyAlignment="1">
      <alignment horizontal="center" vertical="center"/>
    </xf>
    <xf numFmtId="0" fontId="14" fillId="22" borderId="66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9" xfId="0" applyFont="1" applyFill="1" applyBorder="1" applyAlignment="1">
      <alignment horizontal="center"/>
    </xf>
    <xf numFmtId="0" fontId="6" fillId="0" borderId="2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/>
    </xf>
    <xf numFmtId="0" fontId="8" fillId="3" borderId="34" xfId="0" applyFont="1" applyFill="1" applyBorder="1" applyAlignment="1">
      <alignment horizontal="center" vertical="center"/>
    </xf>
    <xf numFmtId="0" fontId="8" fillId="3" borderId="3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wrapText="1"/>
    </xf>
    <xf numFmtId="0" fontId="8" fillId="3" borderId="17" xfId="0" applyFont="1" applyFill="1" applyBorder="1" applyAlignment="1">
      <alignment horizontal="center" wrapText="1"/>
    </xf>
    <xf numFmtId="0" fontId="8" fillId="3" borderId="18" xfId="0" applyFont="1" applyFill="1" applyBorder="1" applyAlignment="1">
      <alignment horizontal="center" wrapText="1"/>
    </xf>
    <xf numFmtId="0" fontId="4" fillId="3" borderId="19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20" xfId="0" applyFont="1" applyFill="1" applyBorder="1" applyAlignment="1">
      <alignment horizontal="center" wrapText="1"/>
    </xf>
    <xf numFmtId="2" fontId="0" fillId="0" borderId="33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0" fontId="0" fillId="3" borderId="0" xfId="0" applyFill="1" applyAlignment="1">
      <alignment horizontal="left" vertical="center"/>
    </xf>
    <xf numFmtId="0" fontId="8" fillId="3" borderId="42" xfId="0" applyFont="1" applyFill="1" applyBorder="1" applyAlignment="1">
      <alignment horizontal="center" vertical="center" wrapText="1"/>
    </xf>
    <xf numFmtId="0" fontId="8" fillId="3" borderId="44" xfId="0" applyFont="1" applyFill="1" applyBorder="1" applyAlignment="1">
      <alignment horizontal="center" vertical="center" wrapText="1"/>
    </xf>
    <xf numFmtId="0" fontId="8" fillId="3" borderId="48" xfId="0" applyFont="1" applyFill="1" applyBorder="1" applyAlignment="1">
      <alignment horizontal="center" vertical="center" wrapText="1"/>
    </xf>
    <xf numFmtId="0" fontId="4" fillId="3" borderId="63" xfId="0" applyFont="1" applyFill="1" applyBorder="1" applyAlignment="1">
      <alignment horizontal="center" wrapText="1"/>
    </xf>
    <xf numFmtId="0" fontId="4" fillId="3" borderId="68" xfId="0" applyFont="1" applyFill="1" applyBorder="1" applyAlignment="1">
      <alignment horizontal="center" wrapText="1"/>
    </xf>
    <xf numFmtId="0" fontId="4" fillId="3" borderId="69" xfId="0" applyFont="1" applyFill="1" applyBorder="1" applyAlignment="1">
      <alignment horizontal="center" wrapText="1"/>
    </xf>
    <xf numFmtId="0" fontId="6" fillId="0" borderId="5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2" fontId="4" fillId="0" borderId="16" xfId="0" quotePrefix="1" applyNumberFormat="1" applyFont="1" applyBorder="1" applyAlignment="1">
      <alignment horizontal="center" vertical="center"/>
    </xf>
    <xf numFmtId="2" fontId="4" fillId="0" borderId="18" xfId="0" quotePrefix="1" applyNumberFormat="1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 wrapText="1"/>
    </xf>
    <xf numFmtId="0" fontId="6" fillId="0" borderId="73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8" fillId="3" borderId="51" xfId="0" applyFont="1" applyFill="1" applyBorder="1" applyAlignment="1">
      <alignment horizontal="center" wrapText="1"/>
    </xf>
    <xf numFmtId="0" fontId="8" fillId="3" borderId="62" xfId="0" applyFont="1" applyFill="1" applyBorder="1" applyAlignment="1">
      <alignment horizontal="center" wrapText="1"/>
    </xf>
    <xf numFmtId="0" fontId="8" fillId="3" borderId="53" xfId="0" applyFont="1" applyFill="1" applyBorder="1" applyAlignment="1">
      <alignment horizontal="center" wrapText="1"/>
    </xf>
    <xf numFmtId="0" fontId="4" fillId="3" borderId="37" xfId="0" applyFont="1" applyFill="1" applyBorder="1" applyAlignment="1">
      <alignment horizontal="center" wrapText="1"/>
    </xf>
    <xf numFmtId="0" fontId="4" fillId="3" borderId="28" xfId="0" applyFont="1" applyFill="1" applyBorder="1" applyAlignment="1">
      <alignment horizontal="center" wrapText="1"/>
    </xf>
    <xf numFmtId="0" fontId="4" fillId="3" borderId="41" xfId="0" applyFont="1" applyFill="1" applyBorder="1" applyAlignment="1">
      <alignment horizontal="center" wrapText="1"/>
    </xf>
    <xf numFmtId="22" fontId="6" fillId="0" borderId="52" xfId="0" applyNumberFormat="1" applyFont="1" applyBorder="1" applyAlignment="1">
      <alignment horizontal="center" vertical="center" wrapText="1"/>
    </xf>
    <xf numFmtId="22" fontId="6" fillId="0" borderId="17" xfId="0" applyNumberFormat="1" applyFont="1" applyBorder="1" applyAlignment="1">
      <alignment horizontal="center" vertical="center" wrapText="1"/>
    </xf>
    <xf numFmtId="22" fontId="6" fillId="0" borderId="54" xfId="0" applyNumberFormat="1" applyFont="1" applyBorder="1" applyAlignment="1">
      <alignment horizontal="center" vertical="center" wrapText="1"/>
    </xf>
    <xf numFmtId="0" fontId="9" fillId="0" borderId="17" xfId="0" applyFont="1" applyBorder="1"/>
    <xf numFmtId="0" fontId="14" fillId="22" borderId="22" xfId="0" applyFont="1" applyFill="1" applyBorder="1" applyAlignment="1">
      <alignment horizontal="center" vertical="center"/>
    </xf>
    <xf numFmtId="0" fontId="14" fillId="22" borderId="24" xfId="0" applyFont="1" applyFill="1" applyBorder="1" applyAlignment="1">
      <alignment horizontal="center" vertical="center"/>
    </xf>
    <xf numFmtId="0" fontId="14" fillId="22" borderId="31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4" fillId="3" borderId="33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2" fontId="10" fillId="3" borderId="0" xfId="0" applyNumberFormat="1" applyFont="1" applyFill="1" applyAlignment="1">
      <alignment horizontal="left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26" borderId="0" xfId="0" applyFill="1" applyAlignment="1">
      <alignment horizontal="left" vertical="center" wrapText="1"/>
    </xf>
    <xf numFmtId="0" fontId="4" fillId="3" borderId="3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5" borderId="0" xfId="0" applyFill="1" applyAlignment="1">
      <alignment horizontal="center"/>
    </xf>
    <xf numFmtId="2" fontId="6" fillId="0" borderId="71" xfId="0" applyNumberFormat="1" applyFont="1" applyBorder="1" applyAlignment="1">
      <alignment horizontal="center" vertical="center" wrapText="1"/>
    </xf>
    <xf numFmtId="2" fontId="6" fillId="0" borderId="14" xfId="0" applyNumberFormat="1" applyFont="1" applyBorder="1" applyAlignment="1">
      <alignment horizontal="center" vertical="center" wrapText="1"/>
    </xf>
    <xf numFmtId="2" fontId="6" fillId="0" borderId="72" xfId="0" applyNumberFormat="1" applyFont="1" applyBorder="1" applyAlignment="1">
      <alignment horizontal="center" vertical="center" wrapText="1"/>
    </xf>
    <xf numFmtId="2" fontId="6" fillId="0" borderId="31" xfId="0" applyNumberFormat="1" applyFont="1" applyBorder="1" applyAlignment="1">
      <alignment horizontal="center" vertical="center" wrapText="1"/>
    </xf>
    <xf numFmtId="168" fontId="14" fillId="22" borderId="6" xfId="0" applyNumberFormat="1" applyFont="1" applyFill="1" applyBorder="1" applyAlignment="1">
      <alignment horizontal="center" vertical="center"/>
    </xf>
    <xf numFmtId="0" fontId="15" fillId="12" borderId="16" xfId="0" applyFont="1" applyFill="1" applyBorder="1" applyAlignment="1">
      <alignment horizontal="center"/>
    </xf>
    <xf numFmtId="0" fontId="15" fillId="12" borderId="18" xfId="0" applyFont="1" applyFill="1" applyBorder="1" applyAlignment="1">
      <alignment horizontal="center"/>
    </xf>
    <xf numFmtId="0" fontId="15" fillId="12" borderId="17" xfId="0" applyFont="1" applyFill="1" applyBorder="1" applyAlignment="1">
      <alignment horizontal="center"/>
    </xf>
    <xf numFmtId="0" fontId="29" fillId="3" borderId="0" xfId="0" applyFont="1" applyFill="1" applyAlignment="1">
      <alignment horizontal="center" vertical="center" wrapText="1"/>
    </xf>
    <xf numFmtId="0" fontId="16" fillId="12" borderId="33" xfId="0" applyFont="1" applyFill="1" applyBorder="1" applyAlignment="1">
      <alignment horizontal="center" vertical="top" wrapText="1"/>
    </xf>
    <xf numFmtId="0" fontId="16" fillId="12" borderId="34" xfId="0" applyFont="1" applyFill="1" applyBorder="1" applyAlignment="1">
      <alignment horizontal="center" vertical="top" wrapText="1"/>
    </xf>
    <xf numFmtId="0" fontId="16" fillId="12" borderId="35" xfId="0" applyFont="1" applyFill="1" applyBorder="1" applyAlignment="1">
      <alignment horizontal="center" vertical="top" wrapText="1"/>
    </xf>
    <xf numFmtId="0" fontId="15" fillId="12" borderId="42" xfId="0" applyFont="1" applyFill="1" applyBorder="1" applyAlignment="1">
      <alignment horizontal="center" vertical="center" textRotation="90"/>
    </xf>
    <xf numFmtId="0" fontId="15" fillId="12" borderId="36" xfId="0" applyFont="1" applyFill="1" applyBorder="1" applyAlignment="1">
      <alignment horizontal="center" vertical="center" textRotation="90"/>
    </xf>
    <xf numFmtId="0" fontId="15" fillId="12" borderId="37" xfId="0" applyFont="1" applyFill="1" applyBorder="1" applyAlignment="1">
      <alignment horizontal="center" vertical="center" textRotation="90"/>
    </xf>
    <xf numFmtId="0" fontId="15" fillId="12" borderId="33" xfId="0" applyFont="1" applyFill="1" applyBorder="1" applyAlignment="1">
      <alignment horizontal="center"/>
    </xf>
    <xf numFmtId="0" fontId="15" fillId="12" borderId="34" xfId="0" applyFont="1" applyFill="1" applyBorder="1" applyAlignment="1">
      <alignment horizontal="center"/>
    </xf>
    <xf numFmtId="0" fontId="15" fillId="12" borderId="35" xfId="0" applyFont="1" applyFill="1" applyBorder="1" applyAlignment="1">
      <alignment horizontal="center"/>
    </xf>
    <xf numFmtId="0" fontId="15" fillId="12" borderId="43" xfId="0" applyFont="1" applyFill="1" applyBorder="1" applyAlignment="1">
      <alignment horizontal="center" vertical="justify" textRotation="90" wrapText="1"/>
    </xf>
    <xf numFmtId="0" fontId="15" fillId="12" borderId="46" xfId="0" applyFont="1" applyFill="1" applyBorder="1" applyAlignment="1">
      <alignment horizontal="center" vertical="justify" textRotation="90" wrapText="1"/>
    </xf>
    <xf numFmtId="0" fontId="15" fillId="12" borderId="43" xfId="0" applyFont="1" applyFill="1" applyBorder="1" applyAlignment="1">
      <alignment horizontal="center" vertical="center" wrapText="1"/>
    </xf>
    <xf numFmtId="0" fontId="15" fillId="12" borderId="46" xfId="0" applyFont="1" applyFill="1" applyBorder="1" applyAlignment="1">
      <alignment horizontal="center" vertical="center" wrapText="1"/>
    </xf>
    <xf numFmtId="0" fontId="15" fillId="12" borderId="48" xfId="0" applyFont="1" applyFill="1" applyBorder="1" applyAlignment="1">
      <alignment horizontal="center" vertical="center" wrapText="1"/>
    </xf>
    <xf numFmtId="0" fontId="15" fillId="12" borderId="41" xfId="0" applyFont="1" applyFill="1" applyBorder="1" applyAlignment="1">
      <alignment horizontal="center" vertical="center" wrapText="1"/>
    </xf>
    <xf numFmtId="0" fontId="15" fillId="12" borderId="51" xfId="0" applyFont="1" applyFill="1" applyBorder="1" applyAlignment="1">
      <alignment horizontal="center"/>
    </xf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4" fillId="3" borderId="1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2" fontId="6" fillId="0" borderId="47" xfId="0" applyNumberFormat="1" applyFont="1" applyBorder="1" applyAlignment="1">
      <alignment horizontal="center" vertical="center" wrapText="1"/>
    </xf>
    <xf numFmtId="2" fontId="6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8" fillId="3" borderId="51" xfId="0" applyFont="1" applyFill="1" applyBorder="1" applyAlignment="1">
      <alignment horizontal="center"/>
    </xf>
    <xf numFmtId="0" fontId="8" fillId="3" borderId="62" xfId="0" applyFont="1" applyFill="1" applyBorder="1" applyAlignment="1">
      <alignment horizontal="center"/>
    </xf>
    <xf numFmtId="0" fontId="8" fillId="3" borderId="53" xfId="0" applyFont="1" applyFill="1" applyBorder="1" applyAlignment="1">
      <alignment horizontal="center"/>
    </xf>
    <xf numFmtId="0" fontId="4" fillId="3" borderId="55" xfId="0" applyFont="1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3" borderId="57" xfId="0" applyFont="1" applyFill="1" applyBorder="1" applyAlignment="1">
      <alignment horizontal="center"/>
    </xf>
    <xf numFmtId="0" fontId="4" fillId="3" borderId="3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8" fillId="3" borderId="42" xfId="0" applyFont="1" applyFill="1" applyBorder="1" applyAlignment="1">
      <alignment horizontal="center"/>
    </xf>
    <xf numFmtId="0" fontId="8" fillId="3" borderId="44" xfId="0" applyFont="1" applyFill="1" applyBorder="1" applyAlignment="1">
      <alignment horizontal="center"/>
    </xf>
    <xf numFmtId="0" fontId="8" fillId="3" borderId="48" xfId="0" applyFont="1" applyFill="1" applyBorder="1" applyAlignment="1">
      <alignment horizontal="center"/>
    </xf>
    <xf numFmtId="2" fontId="15" fillId="12" borderId="51" xfId="0" applyNumberFormat="1" applyFont="1" applyFill="1" applyBorder="1" applyAlignment="1">
      <alignment horizontal="center"/>
    </xf>
    <xf numFmtId="2" fontId="15" fillId="12" borderId="53" xfId="0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4" fillId="3" borderId="33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13" fillId="22" borderId="58" xfId="0" applyFont="1" applyFill="1" applyBorder="1" applyAlignment="1">
      <alignment horizontal="center" vertical="center" wrapText="1"/>
    </xf>
    <xf numFmtId="0" fontId="13" fillId="22" borderId="57" xfId="0" applyFont="1" applyFill="1" applyBorder="1" applyAlignment="1">
      <alignment horizontal="center" vertical="center" wrapText="1"/>
    </xf>
    <xf numFmtId="0" fontId="13" fillId="22" borderId="75" xfId="0" applyFont="1" applyFill="1" applyBorder="1" applyAlignment="1">
      <alignment horizontal="center" vertical="center" wrapText="1"/>
    </xf>
    <xf numFmtId="0" fontId="13" fillId="22" borderId="59" xfId="0" applyFont="1" applyFill="1" applyBorder="1" applyAlignment="1">
      <alignment horizontal="center" vertical="center" wrapText="1"/>
    </xf>
    <xf numFmtId="0" fontId="13" fillId="22" borderId="67" xfId="0" applyFont="1" applyFill="1" applyBorder="1" applyAlignment="1">
      <alignment horizontal="center" vertical="center" wrapText="1"/>
    </xf>
    <xf numFmtId="0" fontId="13" fillId="22" borderId="48" xfId="0" applyFont="1" applyFill="1" applyBorder="1" applyAlignment="1">
      <alignment horizontal="center" vertical="center" wrapText="1"/>
    </xf>
    <xf numFmtId="0" fontId="13" fillId="22" borderId="40" xfId="0" applyFont="1" applyFill="1" applyBorder="1" applyAlignment="1">
      <alignment horizontal="center" vertical="center" wrapText="1"/>
    </xf>
    <xf numFmtId="0" fontId="13" fillId="22" borderId="41" xfId="0" applyFont="1" applyFill="1" applyBorder="1" applyAlignment="1">
      <alignment horizontal="center" vertical="center" wrapText="1"/>
    </xf>
    <xf numFmtId="0" fontId="13" fillId="22" borderId="54" xfId="0" applyFont="1" applyFill="1" applyBorder="1" applyAlignment="1">
      <alignment horizontal="center" vertical="center"/>
    </xf>
    <xf numFmtId="0" fontId="13" fillId="22" borderId="53" xfId="0" applyFont="1" applyFill="1" applyBorder="1" applyAlignment="1">
      <alignment horizontal="center" vertical="center"/>
    </xf>
    <xf numFmtId="0" fontId="13" fillId="22" borderId="3" xfId="0" applyFont="1" applyFill="1" applyBorder="1" applyAlignment="1">
      <alignment horizontal="center" vertical="center"/>
    </xf>
    <xf numFmtId="0" fontId="13" fillId="22" borderId="61" xfId="0" applyFont="1" applyFill="1" applyBorder="1" applyAlignment="1">
      <alignment horizontal="center" vertical="center"/>
    </xf>
    <xf numFmtId="0" fontId="13" fillId="22" borderId="16" xfId="0" applyFont="1" applyFill="1" applyBorder="1" applyAlignment="1">
      <alignment horizontal="center" vertical="center"/>
    </xf>
    <xf numFmtId="0" fontId="13" fillId="22" borderId="17" xfId="0" applyFont="1" applyFill="1" applyBorder="1" applyAlignment="1">
      <alignment horizontal="center" vertical="center"/>
    </xf>
    <xf numFmtId="0" fontId="13" fillId="22" borderId="18" xfId="0" applyFont="1" applyFill="1" applyBorder="1" applyAlignment="1">
      <alignment horizontal="center" vertical="center"/>
    </xf>
    <xf numFmtId="0" fontId="13" fillId="22" borderId="62" xfId="0" applyFont="1" applyFill="1" applyBorder="1" applyAlignment="1">
      <alignment horizontal="center" vertical="center"/>
    </xf>
    <xf numFmtId="0" fontId="14" fillId="22" borderId="6" xfId="0" applyFont="1" applyFill="1" applyBorder="1" applyAlignment="1">
      <alignment horizontal="center" vertical="center"/>
    </xf>
    <xf numFmtId="0" fontId="14" fillId="22" borderId="1" xfId="0" applyFont="1" applyFill="1" applyBorder="1" applyAlignment="1">
      <alignment horizontal="center" vertical="center"/>
    </xf>
    <xf numFmtId="0" fontId="27" fillId="24" borderId="76" xfId="2" applyBorder="1" applyAlignment="1">
      <alignment horizontal="center"/>
    </xf>
    <xf numFmtId="0" fontId="27" fillId="24" borderId="77" xfId="2" applyBorder="1" applyAlignment="1">
      <alignment horizontal="center"/>
    </xf>
    <xf numFmtId="0" fontId="27" fillId="24" borderId="78" xfId="2" applyBorder="1" applyAlignment="1">
      <alignment horizontal="center"/>
    </xf>
  </cellXfs>
  <cellStyles count="3">
    <cellStyle name="Cálculo" xfId="2" builtinId="22"/>
    <cellStyle name="Normal" xfId="0" builtinId="0"/>
    <cellStyle name="Normal 2" xfId="1"/>
  </cellStyles>
  <dxfs count="25"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  <dxf>
      <font>
        <b/>
        <i val="0"/>
        <strike val="0"/>
        <color auto="1"/>
      </font>
    </dxf>
  </dxfs>
  <tableStyles count="0" defaultTableStyle="TableStyleMedium9" defaultPivotStyle="PivotStyleLight16"/>
  <colors>
    <mruColors>
      <color rgb="FFFFFF99"/>
      <color rgb="FFFFDC87"/>
      <color rgb="FFFF99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3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15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18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19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6.xml"/><Relationship Id="rId1" Type="http://schemas.openxmlformats.org/officeDocument/2006/relationships/themeOverride" Target="../theme/themeOverride23.xml"/></Relationships>
</file>

<file path=xl/charts/_rels/chart2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24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3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0.xml"/><Relationship Id="rId1" Type="http://schemas.openxmlformats.org/officeDocument/2006/relationships/themeOverride" Target="../theme/themeOverride27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7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51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Demanda historica, Tendencia y Crecimiento de Zona "A"</a:t>
            </a:r>
            <a:endParaRPr lang="es-ES"/>
          </a:p>
        </c:rich>
      </c:tx>
      <c:layout>
        <c:manualLayout>
          <c:xMode val="edge"/>
          <c:yMode val="edge"/>
          <c:x val="0.13699112810463571"/>
          <c:y val="1.486988557408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733626852061035E-2"/>
          <c:y val="9.2031026242201663E-2"/>
          <c:w val="0.90876809681960913"/>
          <c:h val="0.83931119476451466"/>
        </c:manualLayout>
      </c:layout>
      <c:scatterChart>
        <c:scatterStyle val="smoothMarker"/>
        <c:varyColors val="0"/>
        <c:ser>
          <c:idx val="0"/>
          <c:order val="0"/>
          <c:tx>
            <c:v>Demanda Histórica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trendline>
            <c:name>Tendencia lineal</c:name>
            <c:spPr>
              <a:ln w="28575" cmpd="sng">
                <a:solidFill>
                  <a:srgbClr val="4F81BD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41026184609153515"/>
                  <c:y val="-5.334580982852849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latin typeface="Arial" pitchFamily="34" charset="0"/>
                        <a:cs typeface="Arial" pitchFamily="34" charset="0"/>
                      </a:rPr>
                      <a:t>y = 6,123x - 11592
R² = 0,1316</a:t>
                    </a:r>
                    <a:endParaRPr lang="en-US">
                      <a:latin typeface="Arial" pitchFamily="34" charset="0"/>
                      <a:cs typeface="Arial" pitchFamily="34" charset="0"/>
                    </a:endParaRPr>
                  </a:p>
                </c:rich>
              </c:tx>
              <c:numFmt formatCode="General" sourceLinked="0"/>
              <c:spPr>
                <a:solidFill>
                  <a:srgbClr val="EEECE1"/>
                </a:solidFill>
              </c:spPr>
            </c:trendlineLbl>
          </c:trendline>
          <c:xVal>
            <c:numRef>
              <c:f>'Zona A'!$B$15:$B$25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'Zona A'!$D$148:$D$158</c:f>
              <c:numCache>
                <c:formatCode>0.00</c:formatCode>
                <c:ptCount val="11"/>
                <c:pt idx="0">
                  <c:v>529</c:v>
                </c:pt>
                <c:pt idx="1">
                  <c:v>520</c:v>
                </c:pt>
                <c:pt idx="2">
                  <c:v>562</c:v>
                </c:pt>
                <c:pt idx="3">
                  <c:v>562</c:v>
                </c:pt>
                <c:pt idx="4">
                  <c:v>579</c:v>
                </c:pt>
                <c:pt idx="5">
                  <c:v>607</c:v>
                </c:pt>
                <c:pt idx="6">
                  <c:v>591</c:v>
                </c:pt>
                <c:pt idx="7">
                  <c:v>617.17999999999995</c:v>
                </c:pt>
                <c:pt idx="8">
                  <c:v>639.29</c:v>
                </c:pt>
                <c:pt idx="9">
                  <c:v>713.56</c:v>
                </c:pt>
                <c:pt idx="10">
                  <c:v>742.07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34-4D8D-83D8-18592398A54F}"/>
            </c:ext>
          </c:extLst>
        </c:ser>
        <c:ser>
          <c:idx val="2"/>
          <c:order val="1"/>
          <c:tx>
            <c:v>Crecimiento 4,5%</c:v>
          </c:tx>
          <c:spPr>
            <a:ln w="28575">
              <a:solidFill>
                <a:srgbClr val="F79646"/>
              </a:solidFill>
            </a:ln>
          </c:spPr>
          <c:marker>
            <c:symbol val="diamond"/>
            <c:size val="7"/>
            <c:spPr>
              <a:solidFill>
                <a:srgbClr val="F79646"/>
              </a:solidFill>
              <a:ln>
                <a:solidFill>
                  <a:srgbClr val="F79646">
                    <a:lumMod val="50000"/>
                  </a:srgbClr>
                </a:solidFill>
              </a:ln>
            </c:spPr>
          </c:marker>
          <c:xVal>
            <c:numRef>
              <c:f>'Zona A'!$B$24:$B$35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xVal>
          <c:yVal>
            <c:numRef>
              <c:f>'Zona A'!$H$24:$H$35</c:f>
              <c:numCache>
                <c:formatCode>0.00</c:formatCode>
                <c:ptCount val="12"/>
                <c:pt idx="0">
                  <c:v>739.72199999999975</c:v>
                </c:pt>
                <c:pt idx="1">
                  <c:v>773.00948999999969</c:v>
                </c:pt>
                <c:pt idx="2">
                  <c:v>807.79491704999964</c:v>
                </c:pt>
                <c:pt idx="3">
                  <c:v>844.14568831724966</c:v>
                </c:pt>
                <c:pt idx="4">
                  <c:v>882.13224429152592</c:v>
                </c:pt>
                <c:pt idx="5">
                  <c:v>921.82819528464461</c:v>
                </c:pt>
                <c:pt idx="6">
                  <c:v>963.31046407245367</c:v>
                </c:pt>
                <c:pt idx="7">
                  <c:v>1006.6594349557141</c:v>
                </c:pt>
                <c:pt idx="8">
                  <c:v>1051.9591095287212</c:v>
                </c:pt>
                <c:pt idx="9">
                  <c:v>1099.2972694575137</c:v>
                </c:pt>
                <c:pt idx="10">
                  <c:v>1148.7656465831019</c:v>
                </c:pt>
                <c:pt idx="11">
                  <c:v>1200.4601006793414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34-4D8D-83D8-18592398A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92904"/>
        <c:axId val="497987416"/>
      </c:scatterChart>
      <c:valAx>
        <c:axId val="497992904"/>
        <c:scaling>
          <c:orientation val="minMax"/>
          <c:max val="2026"/>
          <c:min val="2002"/>
        </c:scaling>
        <c:delete val="0"/>
        <c:axPos val="b"/>
        <c:minorGridlines>
          <c:spPr>
            <a:ln>
              <a:prstDash val="dash"/>
            </a:ln>
          </c:spPr>
        </c:minorGridlines>
        <c:numFmt formatCode="General" sourceLinked="1"/>
        <c:majorTickMark val="out"/>
        <c:minorTickMark val="none"/>
        <c:tickLblPos val="nextTo"/>
        <c:crossAx val="497987416"/>
        <c:crosses val="autoZero"/>
        <c:crossBetween val="midCat"/>
        <c:majorUnit val="2"/>
        <c:minorUnit val="1"/>
      </c:valAx>
      <c:valAx>
        <c:axId val="49798741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>
                    <a:latin typeface="Arial" pitchFamily="34" charset="0"/>
                    <a:cs typeface="Arial" pitchFamily="34" charset="0"/>
                  </a:rPr>
                  <a:t>[MW]</a:t>
                </a:r>
              </a:p>
            </c:rich>
          </c:tx>
          <c:layout>
            <c:manualLayout>
              <c:xMode val="edge"/>
              <c:yMode val="edge"/>
              <c:x val="1.4943960149439602E-2"/>
              <c:y val="2.5044066310796639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497992904"/>
        <c:crosses val="autoZero"/>
        <c:crossBetween val="midCat"/>
      </c:valAx>
      <c:spPr>
        <a:ln w="25400">
          <a:solidFill>
            <a:sysClr val="window" lastClr="FFFFFF">
              <a:lumMod val="50000"/>
            </a:sysClr>
          </a:solidFill>
        </a:ln>
      </c:spPr>
    </c:plotArea>
    <c:legend>
      <c:legendPos val="r"/>
      <c:layout>
        <c:manualLayout>
          <c:xMode val="edge"/>
          <c:yMode val="edge"/>
          <c:x val="0.71094155761458266"/>
          <c:y val="0.7121699992227104"/>
          <c:w val="0.22009293406088024"/>
          <c:h val="0.1820693701105055"/>
        </c:manualLayout>
      </c:layout>
      <c:overlay val="0"/>
      <c:spPr>
        <a:solidFill>
          <a:srgbClr val="EEECE1"/>
        </a:solidFill>
      </c:spPr>
      <c:txPr>
        <a:bodyPr/>
        <a:lstStyle/>
        <a:p>
          <a:pPr>
            <a:defRPr sz="950" baseline="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2"/>
    </a:solidFill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800" b="1" i="0" baseline="0"/>
            </a:pPr>
            <a:r>
              <a:rPr lang="es-ES" sz="1800" b="1" i="0" baseline="0">
                <a:latin typeface="Arial" pitchFamily="34" charset="0"/>
                <a:cs typeface="Arial" pitchFamily="34" charset="0"/>
              </a:rPr>
              <a:t>ET Don Bosco: </a:t>
            </a:r>
            <a:r>
              <a:rPr lang="en-US" sz="18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2027</a:t>
            </a:r>
            <a:endParaRPr lang="es-ES" sz="1800" b="1" i="0" baseline="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1398196902980618"/>
          <c:y val="3.16911901163869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433249920299524E-2"/>
          <c:y val="0.11198285843012139"/>
          <c:w val="0.90170866703811692"/>
          <c:h val="0.74335127301006565"/>
        </c:manualLayout>
      </c:layout>
      <c:scatterChart>
        <c:scatterStyle val="smoothMarker"/>
        <c:varyColors val="0"/>
        <c:ser>
          <c:idx val="5"/>
          <c:order val="0"/>
          <c:tx>
            <c:v>Potencia Aparente 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</c:spPr>
          </c:marker>
          <c:dPt>
            <c:idx val="16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A7C-4514-94D9-12C18CA3DB3F}"/>
              </c:ext>
            </c:extLst>
          </c:dPt>
          <c:dPt>
            <c:idx val="18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A7C-4514-94D9-12C18CA3DB3F}"/>
              </c:ext>
            </c:extLst>
          </c:dPt>
          <c:trendline>
            <c:name>Tendencia Lineal</c:name>
            <c:spPr>
              <a:ln w="34925" cmpd="sng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1.1643755099898331E-2"/>
                  <c:y val="-2.8540700089256521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solidFill>
                        <a:schemeClr val="tx1"/>
                      </a:solidFill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DBOSCO!$B$43:$B$72</c:f>
              <c:numCache>
                <c:formatCode>General</c:formatCode>
                <c:ptCount val="3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</c:numCache>
            </c:numRef>
          </c:xVal>
          <c:yVal>
            <c:numRef>
              <c:f>DBOSCO!$E$43:$E$72</c:f>
              <c:numCache>
                <c:formatCode>0.00</c:formatCode>
                <c:ptCount val="30"/>
                <c:pt idx="0">
                  <c:v>4.922907664588549</c:v>
                </c:pt>
                <c:pt idx="1">
                  <c:v>16.064225010762634</c:v>
                </c:pt>
                <c:pt idx="2">
                  <c:v>12.54045952453083</c:v>
                </c:pt>
                <c:pt idx="3">
                  <c:v>12.830651976338157</c:v>
                </c:pt>
                <c:pt idx="4">
                  <c:v>17.681011527974871</c:v>
                </c:pt>
                <c:pt idx="5">
                  <c:v>20.2</c:v>
                </c:pt>
                <c:pt idx="6">
                  <c:v>22.91</c:v>
                </c:pt>
                <c:pt idx="7">
                  <c:v>21.05</c:v>
                </c:pt>
                <c:pt idx="8">
                  <c:v>24.87</c:v>
                </c:pt>
                <c:pt idx="9">
                  <c:v>36.47</c:v>
                </c:pt>
                <c:pt idx="10">
                  <c:v>31.52</c:v>
                </c:pt>
                <c:pt idx="11">
                  <c:v>36.72</c:v>
                </c:pt>
                <c:pt idx="12">
                  <c:v>37.950143306712299</c:v>
                </c:pt>
                <c:pt idx="13">
                  <c:v>39.793322872763667</c:v>
                </c:pt>
                <c:pt idx="14">
                  <c:v>42.546175623433051</c:v>
                </c:pt>
                <c:pt idx="15">
                  <c:v>43.754960152398731</c:v>
                </c:pt>
                <c:pt idx="16">
                  <c:v>45.848508334208688</c:v>
                </c:pt>
                <c:pt idx="17">
                  <c:v>41.384108631164267</c:v>
                </c:pt>
                <c:pt idx="18">
                  <c:v>47.69</c:v>
                </c:pt>
                <c:pt idx="19">
                  <c:v>48.39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7C-4514-94D9-12C18CA3DB3F}"/>
            </c:ext>
          </c:extLst>
        </c:ser>
        <c:ser>
          <c:idx val="1"/>
          <c:order val="1"/>
          <c:tx>
            <c:v>Potencia Instalada</c:v>
          </c:tx>
          <c:spPr>
            <a:ln w="31750" cap="sq">
              <a:solidFill>
                <a:srgbClr val="FF0000"/>
              </a:solidFill>
              <a:round/>
            </a:ln>
          </c:spPr>
          <c:marker>
            <c:symbol val="none"/>
          </c:marker>
          <c:xVal>
            <c:numRef>
              <c:f>DBOSCO!$B$43:$B$72</c:f>
              <c:numCache>
                <c:formatCode>General</c:formatCode>
                <c:ptCount val="3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</c:numCache>
            </c:numRef>
          </c:xVal>
          <c:yVal>
            <c:numRef>
              <c:f>DBOSCO!$I$43:$I$72</c:f>
              <c:numCache>
                <c:formatCode>#,##0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7C-4514-94D9-12C18CA3DB3F}"/>
            </c:ext>
          </c:extLst>
        </c:ser>
        <c:ser>
          <c:idx val="2"/>
          <c:order val="2"/>
          <c:tx>
            <c:v>Precaución (N - 1)</c:v>
          </c:tx>
          <c:spPr>
            <a:ln w="317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DBOSCO!$B$43:$B$72</c:f>
              <c:numCache>
                <c:formatCode>General</c:formatCode>
                <c:ptCount val="3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</c:numCache>
            </c:numRef>
          </c:xVal>
          <c:yVal>
            <c:numRef>
              <c:f>DBOSCO!$J$43:$J$72</c:f>
              <c:numCache>
                <c:formatCode>#,##0</c:formatCode>
                <c:ptCount val="3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7C-4514-94D9-12C18CA3DB3F}"/>
            </c:ext>
          </c:extLst>
        </c:ser>
        <c:ser>
          <c:idx val="0"/>
          <c:order val="3"/>
          <c:tx>
            <c:v>Planeamiento 2018 - 2027</c:v>
          </c:tx>
          <c:spPr>
            <a:ln w="34925"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rgbClr val="9BBB59">
                    <a:lumMod val="75000"/>
                    <a:alpha val="99000"/>
                  </a:srgbClr>
                </a:solidFill>
              </a:ln>
            </c:spPr>
          </c:marker>
          <c:dPt>
            <c:idx val="0"/>
            <c:marker>
              <c:spPr>
                <a:solidFill>
                  <a:srgbClr val="F79646"/>
                </a:solidFill>
                <a:ln w="15875">
                  <a:solidFill>
                    <a:srgbClr val="9BBB59">
                      <a:lumMod val="75000"/>
                      <a:alpha val="99000"/>
                    </a:srgb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A7C-4514-94D9-12C18CA3DB3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6-7A7C-4514-94D9-12C18CA3DB3F}"/>
              </c:ext>
            </c:extLst>
          </c:dPt>
          <c:xVal>
            <c:numRef>
              <c:f>DBOSCO!$B$62:$B$72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DBOSCO!$H$62:$H$72</c:f>
              <c:numCache>
                <c:formatCode>0.00</c:formatCode>
                <c:ptCount val="11"/>
                <c:pt idx="0">
                  <c:v>48.39</c:v>
                </c:pt>
                <c:pt idx="1">
                  <c:v>50.61</c:v>
                </c:pt>
                <c:pt idx="2">
                  <c:v>52.83</c:v>
                </c:pt>
                <c:pt idx="3">
                  <c:v>46.05</c:v>
                </c:pt>
                <c:pt idx="4">
                  <c:v>48.269999999999996</c:v>
                </c:pt>
                <c:pt idx="5">
                  <c:v>50.489999999999995</c:v>
                </c:pt>
                <c:pt idx="6">
                  <c:v>52.709999999999994</c:v>
                </c:pt>
                <c:pt idx="7">
                  <c:v>54.929999999999993</c:v>
                </c:pt>
                <c:pt idx="8">
                  <c:v>57.149999999999991</c:v>
                </c:pt>
                <c:pt idx="9">
                  <c:v>59.36999999999999</c:v>
                </c:pt>
                <c:pt idx="10">
                  <c:v>61.589999999999989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7C-4514-94D9-12C18CA3D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9888"/>
        <c:axId val="442774984"/>
      </c:scatterChart>
      <c:valAx>
        <c:axId val="442769888"/>
        <c:scaling>
          <c:orientation val="minMax"/>
          <c:max val="2028"/>
          <c:min val="1997"/>
        </c:scaling>
        <c:delete val="0"/>
        <c:axPos val="b"/>
        <c:majorGridlines>
          <c:spPr>
            <a:ln w="6350">
              <a:prstDash val="dash"/>
            </a:ln>
          </c:spPr>
        </c:majorGridlines>
        <c:minorGridlines>
          <c:spPr>
            <a:ln w="6350">
              <a:solidFill>
                <a:sysClr val="window" lastClr="FFFFFF">
                  <a:lumMod val="85000"/>
                </a:sysClr>
              </a:solidFill>
              <a:prstDash val="solid"/>
            </a:ln>
          </c:spPr>
        </c:min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42774984"/>
        <c:crosses val="autoZero"/>
        <c:crossBetween val="midCat"/>
        <c:majorUnit val="5"/>
        <c:minorUnit val="1"/>
      </c:valAx>
      <c:valAx>
        <c:axId val="442774984"/>
        <c:scaling>
          <c:orientation val="minMax"/>
        </c:scaling>
        <c:delete val="0"/>
        <c:axPos val="l"/>
        <c:majorGridlines>
          <c:spPr>
            <a:ln w="6350"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aseline="0"/>
                </a:pPr>
                <a:r>
                  <a:rPr lang="es-ES" sz="1000" baseline="0">
                    <a:latin typeface="Arial" pitchFamily="34" charset="0"/>
                    <a:cs typeface="Arial" pitchFamily="34" charset="0"/>
                  </a:rPr>
                  <a:t>[MVA]</a:t>
                </a:r>
              </a:p>
            </c:rich>
          </c:tx>
          <c:layout>
            <c:manualLayout>
              <c:xMode val="edge"/>
              <c:yMode val="edge"/>
              <c:x val="1.33667484502926E-2"/>
              <c:y val="3.610417199592731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427698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5970975438544202E-2"/>
          <c:y val="0.90696112480889368"/>
          <c:w val="0.91406769495221152"/>
          <c:h val="7.3235593025619272E-2"/>
        </c:manualLayout>
      </c:layout>
      <c:overlay val="0"/>
      <c:spPr>
        <a:solidFill>
          <a:sysClr val="window" lastClr="FFFFFF"/>
        </a:solidFill>
        <a:ln w="6350"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b="1" baseline="0">
              <a:latin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 w="12700"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s-ES" sz="1600">
                <a:latin typeface="Arial" pitchFamily="34" charset="0"/>
                <a:cs typeface="Arial" pitchFamily="34" charset="0"/>
              </a:rPr>
              <a:t>ET Don Bosco: </a:t>
            </a:r>
            <a:r>
              <a:rPr lang="en-US" sz="16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2027</a:t>
            </a:r>
            <a:endParaRPr lang="es-ES" sz="16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1398196902980618"/>
          <c:y val="3.16911901163869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433249920299524E-2"/>
          <c:y val="0.11198285843012139"/>
          <c:w val="0.90170866703811692"/>
          <c:h val="0.74335127301006565"/>
        </c:manualLayout>
      </c:layout>
      <c:scatterChart>
        <c:scatterStyle val="smoothMarker"/>
        <c:varyColors val="0"/>
        <c:ser>
          <c:idx val="5"/>
          <c:order val="0"/>
          <c:tx>
            <c:v>Potencia Aparente 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6350">
                <a:solidFill>
                  <a:sysClr val="windowText" lastClr="000000"/>
                </a:solidFill>
              </a:ln>
            </c:spPr>
          </c:marker>
          <c:trendline>
            <c:name>Tendencia Lineal</c:name>
            <c:spPr>
              <a:ln w="34925" cmpd="sng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1.1643755099898331E-2"/>
                  <c:y val="-2.8540700089256521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solidFill>
                        <a:schemeClr val="tx1"/>
                      </a:solidFill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DBOSCO!$B$43:$B$72</c:f>
              <c:numCache>
                <c:formatCode>General</c:formatCode>
                <c:ptCount val="3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</c:numCache>
            </c:numRef>
          </c:xVal>
          <c:yVal>
            <c:numRef>
              <c:f>DBOSCO!$E$43:$E$72</c:f>
              <c:numCache>
                <c:formatCode>0.00</c:formatCode>
                <c:ptCount val="30"/>
                <c:pt idx="0">
                  <c:v>4.922907664588549</c:v>
                </c:pt>
                <c:pt idx="1">
                  <c:v>16.064225010762634</c:v>
                </c:pt>
                <c:pt idx="2">
                  <c:v>12.54045952453083</c:v>
                </c:pt>
                <c:pt idx="3">
                  <c:v>12.830651976338157</c:v>
                </c:pt>
                <c:pt idx="4">
                  <c:v>17.681011527974871</c:v>
                </c:pt>
                <c:pt idx="5">
                  <c:v>20.2</c:v>
                </c:pt>
                <c:pt idx="6">
                  <c:v>22.91</c:v>
                </c:pt>
                <c:pt idx="7">
                  <c:v>21.05</c:v>
                </c:pt>
                <c:pt idx="8">
                  <c:v>24.87</c:v>
                </c:pt>
                <c:pt idx="9">
                  <c:v>36.47</c:v>
                </c:pt>
                <c:pt idx="10">
                  <c:v>31.52</c:v>
                </c:pt>
                <c:pt idx="11">
                  <c:v>36.72</c:v>
                </c:pt>
                <c:pt idx="12">
                  <c:v>37.950143306712299</c:v>
                </c:pt>
                <c:pt idx="13">
                  <c:v>39.793322872763667</c:v>
                </c:pt>
                <c:pt idx="14">
                  <c:v>42.546175623433051</c:v>
                </c:pt>
                <c:pt idx="15">
                  <c:v>43.754960152398731</c:v>
                </c:pt>
                <c:pt idx="16">
                  <c:v>45.848508334208688</c:v>
                </c:pt>
                <c:pt idx="17">
                  <c:v>41.384108631164267</c:v>
                </c:pt>
                <c:pt idx="18">
                  <c:v>47.69</c:v>
                </c:pt>
                <c:pt idx="19">
                  <c:v>48.39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73-4E52-A8AE-36872572AD4A}"/>
            </c:ext>
          </c:extLst>
        </c:ser>
        <c:ser>
          <c:idx val="4"/>
          <c:order val="1"/>
          <c:tx>
            <c:v>Año de Saturación</c:v>
          </c:tx>
          <c:spPr>
            <a:ln w="19050" cmpd="sng">
              <a:solidFill>
                <a:srgbClr val="1F497D"/>
              </a:solidFill>
              <a:headEnd type="triangle"/>
            </a:ln>
          </c:spPr>
          <c:marker>
            <c:symbol val="none"/>
          </c:marker>
          <c:xVal>
            <c:numRef>
              <c:f>DBOSCO!$O$86:$O$93</c:f>
              <c:numCache>
                <c:formatCode>General</c:formatCode>
                <c:ptCount val="8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  <c:pt idx="7">
                  <c:v>2021</c:v>
                </c:pt>
              </c:numCache>
            </c:numRef>
          </c:xVal>
          <c:yVal>
            <c:numRef>
              <c:f>DBOSCO!$P$86:$P$93</c:f>
              <c:numCache>
                <c:formatCode>0.00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73-4E52-A8AE-36872572AD4A}"/>
            </c:ext>
          </c:extLst>
        </c:ser>
        <c:ser>
          <c:idx val="1"/>
          <c:order val="2"/>
          <c:tx>
            <c:v>Potencia Instalada</c:v>
          </c:tx>
          <c:spPr>
            <a:ln w="28575" cap="sq">
              <a:solidFill>
                <a:srgbClr val="FF0000"/>
              </a:solidFill>
              <a:round/>
            </a:ln>
          </c:spPr>
          <c:marker>
            <c:symbol val="none"/>
          </c:marker>
          <c:xVal>
            <c:numRef>
              <c:f>DBOSCO!$B$43:$B$72</c:f>
              <c:numCache>
                <c:formatCode>General</c:formatCode>
                <c:ptCount val="3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</c:numCache>
            </c:numRef>
          </c:xVal>
          <c:yVal>
            <c:numRef>
              <c:f>DBOSCO!$I$43:$I$72</c:f>
              <c:numCache>
                <c:formatCode>#,##0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73-4E52-A8AE-36872572AD4A}"/>
            </c:ext>
          </c:extLst>
        </c:ser>
        <c:ser>
          <c:idx val="2"/>
          <c:order val="3"/>
          <c:tx>
            <c:v>Precaución (N - 1)</c:v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DBOSCO!$B$43:$B$72</c:f>
              <c:numCache>
                <c:formatCode>General</c:formatCode>
                <c:ptCount val="3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</c:numCache>
            </c:numRef>
          </c:xVal>
          <c:yVal>
            <c:numRef>
              <c:f>DBOSCO!$J$43:$J$72</c:f>
              <c:numCache>
                <c:formatCode>#,##0</c:formatCode>
                <c:ptCount val="3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73-4E52-A8AE-36872572AD4A}"/>
            </c:ext>
          </c:extLst>
        </c:ser>
        <c:ser>
          <c:idx val="0"/>
          <c:order val="4"/>
          <c:tx>
            <c:v>Planeamiento 2016 - 2020</c:v>
          </c:tx>
          <c:spPr>
            <a:ln w="34925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1F497D"/>
              </a:solidFill>
              <a:ln w="6350">
                <a:solidFill>
                  <a:srgbClr val="1F497D"/>
                </a:solidFill>
              </a:ln>
            </c:spPr>
          </c:marker>
          <c:xVal>
            <c:numRef>
              <c:f>DBOSCO!$B$62:$B$72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DBOSCO!$H$62:$H$72</c:f>
              <c:numCache>
                <c:formatCode>0.00</c:formatCode>
                <c:ptCount val="11"/>
                <c:pt idx="0">
                  <c:v>48.39</c:v>
                </c:pt>
                <c:pt idx="1">
                  <c:v>50.61</c:v>
                </c:pt>
                <c:pt idx="2">
                  <c:v>52.83</c:v>
                </c:pt>
                <c:pt idx="3">
                  <c:v>46.05</c:v>
                </c:pt>
                <c:pt idx="4">
                  <c:v>48.269999999999996</c:v>
                </c:pt>
                <c:pt idx="5">
                  <c:v>50.489999999999995</c:v>
                </c:pt>
                <c:pt idx="6">
                  <c:v>52.709999999999994</c:v>
                </c:pt>
                <c:pt idx="7">
                  <c:v>54.929999999999993</c:v>
                </c:pt>
                <c:pt idx="8">
                  <c:v>57.149999999999991</c:v>
                </c:pt>
                <c:pt idx="9">
                  <c:v>59.36999999999999</c:v>
                </c:pt>
                <c:pt idx="10">
                  <c:v>61.589999999999989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73-4E52-A8AE-36872572AD4A}"/>
            </c:ext>
          </c:extLst>
        </c:ser>
        <c:ser>
          <c:idx val="3"/>
          <c:order val="5"/>
          <c:tx>
            <c:v>Limite del 90 %</c:v>
          </c:tx>
          <c:spPr>
            <a:ln w="28575">
              <a:solidFill>
                <a:srgbClr val="F79646"/>
              </a:solidFill>
            </a:ln>
          </c:spPr>
          <c:marker>
            <c:symbol val="none"/>
          </c:marker>
          <c:xVal>
            <c:numRef>
              <c:f>DBOSCO!$B$43:$B$72</c:f>
              <c:numCache>
                <c:formatCode>General</c:formatCode>
                <c:ptCount val="3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  <c:pt idx="28">
                  <c:v>2026</c:v>
                </c:pt>
                <c:pt idx="29">
                  <c:v>2027</c:v>
                </c:pt>
              </c:numCache>
            </c:numRef>
          </c:xVal>
          <c:yVal>
            <c:numRef>
              <c:f>DBOSCO!$L$43:$L$72</c:f>
              <c:numCache>
                <c:formatCode>General</c:formatCode>
                <c:ptCount val="3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73-4E52-A8AE-36872572A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75376"/>
        <c:axId val="442770672"/>
      </c:scatterChart>
      <c:valAx>
        <c:axId val="442775376"/>
        <c:scaling>
          <c:orientation val="minMax"/>
          <c:max val="2028"/>
          <c:min val="1997"/>
        </c:scaling>
        <c:delete val="0"/>
        <c:axPos val="b"/>
        <c:majorGridlines/>
        <c:minorGridlines>
          <c:spPr>
            <a:ln w="6350">
              <a:solidFill>
                <a:sysClr val="window" lastClr="FFFFFF">
                  <a:lumMod val="85000"/>
                </a:sysClr>
              </a:solidFill>
              <a:prstDash val="solid"/>
            </a:ln>
          </c:spPr>
        </c:minorGridlines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42770672"/>
        <c:crosses val="autoZero"/>
        <c:crossBetween val="midCat"/>
        <c:majorUnit val="5"/>
        <c:minorUnit val="1"/>
      </c:valAx>
      <c:valAx>
        <c:axId val="442770672"/>
        <c:scaling>
          <c:orientation val="minMax"/>
        </c:scaling>
        <c:delete val="0"/>
        <c:axPos val="l"/>
        <c:majorGridlines>
          <c:spPr>
            <a:ln w="6350"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aseline="0"/>
                </a:pPr>
                <a:r>
                  <a:rPr lang="es-ES" sz="1000" baseline="0">
                    <a:latin typeface="Arial" pitchFamily="34" charset="0"/>
                    <a:cs typeface="Arial" pitchFamily="34" charset="0"/>
                  </a:rPr>
                  <a:t>[MVA]</a:t>
                </a:r>
              </a:p>
            </c:rich>
          </c:tx>
          <c:layout>
            <c:manualLayout>
              <c:xMode val="edge"/>
              <c:yMode val="edge"/>
              <c:x val="1.33667484502926E-2"/>
              <c:y val="3.610417199592731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427753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5970975438544202E-2"/>
          <c:y val="0.90696112480889368"/>
          <c:w val="0.84062137543692173"/>
          <c:h val="7.3235593025619272E-2"/>
        </c:manualLayout>
      </c:layout>
      <c:overlay val="0"/>
      <c:spPr>
        <a:solidFill>
          <a:sysClr val="window" lastClr="FFFFFF"/>
        </a:solidFill>
        <a:ln w="6350"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baseline="0">
              <a:latin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 w="12700"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 i="0" baseline="0"/>
              <a:t>ET Suroeste: Demanda Histórica y Pronósticos al 2027 </a:t>
            </a:r>
            <a:endParaRPr lang="es-ES" b="1" i="0" baseline="0"/>
          </a:p>
        </c:rich>
      </c:tx>
      <c:layout>
        <c:manualLayout>
          <c:xMode val="edge"/>
          <c:yMode val="edge"/>
          <c:x val="0.18471554096572285"/>
          <c:y val="2.09424581880236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067434944836549E-2"/>
          <c:y val="9.7911713915341439E-2"/>
          <c:w val="0.90562043906361422"/>
          <c:h val="0.75350487529597443"/>
        </c:manualLayout>
      </c:layout>
      <c:scatterChart>
        <c:scatterStyle val="smoothMarker"/>
        <c:varyColors val="0"/>
        <c:ser>
          <c:idx val="0"/>
          <c:order val="0"/>
          <c:tx>
            <c:v>Serie Historica "S"</c:v>
          </c:tx>
          <c:spPr>
            <a:ln w="34925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 w="15875">
                <a:solidFill>
                  <a:schemeClr val="tx1"/>
                </a:solidFill>
              </a:ln>
            </c:spPr>
          </c:marker>
          <c:dPt>
            <c:idx val="14"/>
            <c:marker>
              <c:spPr>
                <a:solidFill>
                  <a:srgbClr val="FF9900"/>
                </a:solidFill>
                <a:ln w="1587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EBE-4BE9-BBFC-040E1C6A9235}"/>
              </c:ext>
            </c:extLst>
          </c:dPt>
          <c:dPt>
            <c:idx val="15"/>
            <c:marker>
              <c:spPr>
                <a:solidFill>
                  <a:srgbClr val="FF9900"/>
                </a:solidFill>
                <a:ln w="1587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EBE-4BE9-BBFC-040E1C6A9235}"/>
              </c:ext>
            </c:extLst>
          </c:dPt>
          <c:dPt>
            <c:idx val="16"/>
            <c:marker>
              <c:spPr>
                <a:solidFill>
                  <a:srgbClr val="FF9900"/>
                </a:solidFill>
                <a:ln w="1587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EBE-4BE9-BBFC-040E1C6A9235}"/>
              </c:ext>
            </c:extLst>
          </c:dPt>
          <c:dPt>
            <c:idx val="17"/>
            <c:marker>
              <c:spPr>
                <a:solidFill>
                  <a:srgbClr val="FF9900"/>
                </a:solidFill>
                <a:ln w="1587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EBE-4BE9-BBFC-040E1C6A9235}"/>
              </c:ext>
            </c:extLst>
          </c:dPt>
          <c:dPt>
            <c:idx val="18"/>
            <c:marker>
              <c:spPr>
                <a:solidFill>
                  <a:srgbClr val="FF9900"/>
                </a:solidFill>
                <a:ln w="1587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EBE-4BE9-BBFC-040E1C6A9235}"/>
              </c:ext>
            </c:extLst>
          </c:dPt>
          <c:dPt>
            <c:idx val="19"/>
            <c:marker>
              <c:spPr>
                <a:solidFill>
                  <a:srgbClr val="FF9900"/>
                </a:solidFill>
                <a:ln w="1587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EBE-4BE9-BBFC-040E1C6A9235}"/>
              </c:ext>
            </c:extLst>
          </c:dPt>
          <c:trendline>
            <c:name>Tendencia Lineal</c:name>
            <c:spPr>
              <a:ln w="34925" cmpd="sng">
                <a:solidFill>
                  <a:schemeClr val="accent1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0.32722831635810445"/>
                  <c:y val="-0.39891768395984395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</c:spPr>
            </c:trendlineLbl>
          </c:trendline>
          <c:xVal>
            <c:numRef>
              <c:f>SUROES!$B$44:$B$64</c:f>
              <c:numCache>
                <c:formatCode>General</c:formatCode>
                <c:ptCount val="2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</c:numCache>
            </c:numRef>
          </c:xVal>
          <c:yVal>
            <c:numRef>
              <c:f>SUROES!$E$44:$E$64</c:f>
              <c:numCache>
                <c:formatCode>0.00</c:formatCode>
                <c:ptCount val="21"/>
                <c:pt idx="0">
                  <c:v>48.237230998392846</c:v>
                </c:pt>
                <c:pt idx="1">
                  <c:v>47.697071851358231</c:v>
                </c:pt>
                <c:pt idx="2">
                  <c:v>55.514091960330838</c:v>
                </c:pt>
                <c:pt idx="3">
                  <c:v>56.360001567951073</c:v>
                </c:pt>
                <c:pt idx="4">
                  <c:v>55.442750186194189</c:v>
                </c:pt>
                <c:pt idx="5">
                  <c:v>58.999647211007016</c:v>
                </c:pt>
                <c:pt idx="6">
                  <c:v>58.9</c:v>
                </c:pt>
                <c:pt idx="7">
                  <c:v>57.51</c:v>
                </c:pt>
                <c:pt idx="8">
                  <c:v>57.67</c:v>
                </c:pt>
                <c:pt idx="9">
                  <c:v>58.73</c:v>
                </c:pt>
                <c:pt idx="10">
                  <c:v>63.44</c:v>
                </c:pt>
                <c:pt idx="11">
                  <c:v>60.24</c:v>
                </c:pt>
                <c:pt idx="12">
                  <c:v>60.22</c:v>
                </c:pt>
                <c:pt idx="13">
                  <c:v>66.849999999999994</c:v>
                </c:pt>
                <c:pt idx="14">
                  <c:v>71.486681405804276</c:v>
                </c:pt>
                <c:pt idx="15">
                  <c:v>72.0274784993765</c:v>
                </c:pt>
                <c:pt idx="16">
                  <c:v>74.065603418714815</c:v>
                </c:pt>
                <c:pt idx="17">
                  <c:v>70.290000000000006</c:v>
                </c:pt>
                <c:pt idx="18">
                  <c:v>70.02</c:v>
                </c:pt>
                <c:pt idx="19">
                  <c:v>75.010000000000005</c:v>
                </c:pt>
                <c:pt idx="20">
                  <c:v>70.849999999999994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BE-4BE9-BBFC-040E1C6A9235}"/>
            </c:ext>
          </c:extLst>
        </c:ser>
        <c:ser>
          <c:idx val="1"/>
          <c:order val="1"/>
          <c:tx>
            <c:v>Potencia Instalada</c:v>
          </c:tx>
          <c:spPr>
            <a:ln w="31750" cap="sq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SUROES!$B$44:$B$74</c:f>
              <c:numCache>
                <c:formatCode>General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SUROES!$I$44:$I$74</c:f>
              <c:numCache>
                <c:formatCode>0</c:formatCode>
                <c:ptCount val="3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BE-4BE9-BBFC-040E1C6A9235}"/>
            </c:ext>
          </c:extLst>
        </c:ser>
        <c:ser>
          <c:idx val="2"/>
          <c:order val="2"/>
          <c:tx>
            <c:v>Precaución (N - 1)</c:v>
          </c:tx>
          <c:spPr>
            <a:ln w="31750" cap="sq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SUROES!$B$44:$B$74</c:f>
              <c:numCache>
                <c:formatCode>General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SUROES!$J$44:$J$74</c:f>
              <c:numCache>
                <c:formatCode>0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BE-4BE9-BBFC-040E1C6A9235}"/>
            </c:ext>
          </c:extLst>
        </c:ser>
        <c:ser>
          <c:idx val="5"/>
          <c:order val="3"/>
          <c:tx>
            <c:v>Planeamiento 2018 - 2027</c:v>
          </c:tx>
          <c:spPr>
            <a:ln w="34925"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 w="15875">
                <a:solidFill>
                  <a:schemeClr val="accent3">
                    <a:lumMod val="75000"/>
                  </a:schemeClr>
                </a:solidFill>
              </a:ln>
            </c:spPr>
          </c:marker>
          <c:dPt>
            <c:idx val="0"/>
            <c:marker>
              <c:spPr>
                <a:solidFill>
                  <a:schemeClr val="accent6"/>
                </a:solidFill>
                <a:ln w="19050">
                  <a:solidFill>
                    <a:schemeClr val="accent3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EBE-4BE9-BBFC-040E1C6A9235}"/>
              </c:ext>
            </c:extLst>
          </c:dPt>
          <c:dPt>
            <c:idx val="1"/>
            <c:marker>
              <c:spPr>
                <a:solidFill>
                  <a:schemeClr val="accent6"/>
                </a:solidFill>
                <a:ln w="15875">
                  <a:solidFill>
                    <a:schemeClr val="accent3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EBE-4BE9-BBFC-040E1C6A9235}"/>
              </c:ext>
            </c:extLst>
          </c:dPt>
          <c:xVal>
            <c:numRef>
              <c:f>SUROES!$B$64:$B$74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SUROES!$H$64:$H$74</c:f>
              <c:numCache>
                <c:formatCode>0.00</c:formatCode>
                <c:ptCount val="11"/>
                <c:pt idx="0">
                  <c:v>70.849999999999994</c:v>
                </c:pt>
                <c:pt idx="1">
                  <c:v>72.099999999999994</c:v>
                </c:pt>
                <c:pt idx="2">
                  <c:v>73.349999999999994</c:v>
                </c:pt>
                <c:pt idx="3">
                  <c:v>69.599999999999994</c:v>
                </c:pt>
                <c:pt idx="4">
                  <c:v>70.849999999999994</c:v>
                </c:pt>
                <c:pt idx="5">
                  <c:v>72.099999999999994</c:v>
                </c:pt>
                <c:pt idx="6">
                  <c:v>73.349999999999994</c:v>
                </c:pt>
                <c:pt idx="7">
                  <c:v>74.599999999999994</c:v>
                </c:pt>
                <c:pt idx="8">
                  <c:v>75.849999999999994</c:v>
                </c:pt>
                <c:pt idx="9">
                  <c:v>77.099999999999994</c:v>
                </c:pt>
                <c:pt idx="10">
                  <c:v>78.349999999999994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EBE-4BE9-BBFC-040E1C6A9235}"/>
            </c:ext>
          </c:extLst>
        </c:ser>
        <c:ser>
          <c:idx val="3"/>
          <c:order val="4"/>
          <c:tx>
            <c:v>Pinstalada_2017_2027</c:v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SUROES!$B$64:$B$74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SUROES!$M$64:$M$74</c:f>
              <c:numCache>
                <c:formatCode>General</c:formatCode>
                <c:ptCount val="1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EBE-4BE9-BBFC-040E1C6A9235}"/>
            </c:ext>
          </c:extLst>
        </c:ser>
        <c:ser>
          <c:idx val="4"/>
          <c:order val="5"/>
          <c:tx>
            <c:v>Año de Saturación</c:v>
          </c:tx>
          <c:spPr>
            <a:ln w="19050">
              <a:solidFill>
                <a:schemeClr val="tx2"/>
              </a:solidFill>
              <a:headEnd type="triangle"/>
              <a:tailEnd type="none"/>
            </a:ln>
          </c:spPr>
          <c:marker>
            <c:symbol val="none"/>
          </c:marker>
          <c:xVal>
            <c:numRef>
              <c:f>SUROES!$Q$97:$Q$103</c:f>
              <c:numCache>
                <c:formatCode>0.00</c:formatCode>
                <c:ptCount val="7"/>
                <c:pt idx="1">
                  <c:v>2018</c:v>
                </c:pt>
                <c:pt idx="2">
                  <c:v>2018</c:v>
                </c:pt>
                <c:pt idx="3">
                  <c:v>2018</c:v>
                </c:pt>
                <c:pt idx="4">
                  <c:v>2018</c:v>
                </c:pt>
                <c:pt idx="5">
                  <c:v>2018</c:v>
                </c:pt>
                <c:pt idx="6">
                  <c:v>2018</c:v>
                </c:pt>
              </c:numCache>
            </c:numRef>
          </c:xVal>
          <c:yVal>
            <c:numRef>
              <c:f>SUROES!$R$97:$R$103</c:f>
              <c:numCache>
                <c:formatCode>0</c:formatCode>
                <c:ptCount val="7"/>
                <c:pt idx="1">
                  <c:v>40</c:v>
                </c:pt>
                <c:pt idx="2">
                  <c:v>50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EBE-4BE9-BBFC-040E1C6A9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75768"/>
        <c:axId val="442771064"/>
      </c:scatterChart>
      <c:valAx>
        <c:axId val="442775768"/>
        <c:scaling>
          <c:orientation val="minMax"/>
          <c:max val="2028"/>
          <c:min val="1997"/>
        </c:scaling>
        <c:delete val="0"/>
        <c:axPos val="b"/>
        <c:majorGridlines>
          <c:spPr>
            <a:ln w="6350" cmpd="sng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min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crossAx val="442771064"/>
        <c:crosses val="autoZero"/>
        <c:crossBetween val="midCat"/>
        <c:majorUnit val="5"/>
        <c:minorUnit val="1"/>
      </c:valAx>
      <c:valAx>
        <c:axId val="442771064"/>
        <c:scaling>
          <c:orientation val="minMax"/>
          <c:min val="40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aseline="0"/>
                </a:pPr>
                <a:r>
                  <a:rPr lang="es-ES" baseline="0"/>
                  <a:t>[MVA]</a:t>
                </a:r>
              </a:p>
            </c:rich>
          </c:tx>
          <c:layout>
            <c:manualLayout>
              <c:xMode val="edge"/>
              <c:yMode val="edge"/>
              <c:x val="7.258357378366229E-3"/>
              <c:y val="3.673166508636682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442775768"/>
        <c:crosses val="autoZero"/>
        <c:crossBetween val="midCat"/>
      </c:valAx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5.1166598394853824E-2"/>
          <c:y val="0.90603959857297989"/>
          <c:w val="0.92984478012254479"/>
          <c:h val="6.9160468992490023E-2"/>
        </c:manualLayout>
      </c:layout>
      <c:overlay val="0"/>
      <c:spPr>
        <a:ln w="6350"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b="1" baseline="0">
              <a:solidFill>
                <a:schemeClr val="tx1"/>
              </a:solidFill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baseline="0">
          <a:latin typeface="Arial" panose="020B0604020202020204" pitchFamily="34" charset="0"/>
        </a:defRPr>
      </a:pPr>
      <a:endParaRPr lang="es-AR"/>
    </a:p>
  </c:txPr>
  <c:printSettings>
    <c:headerFooter/>
    <c:pageMargins b="0.75000000000000988" l="0.70000000000000062" r="0.70000000000000062" t="0.75000000000000988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rgbClr val="FF9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SUROES!$B$44:$B$74</c:f>
              <c:numCache>
                <c:formatCode>General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SUROES!$K$44:$K$74</c:f>
              <c:numCache>
                <c:formatCode>0%</c:formatCode>
                <c:ptCount val="31"/>
                <c:pt idx="0">
                  <c:v>0.64316307997857125</c:v>
                </c:pt>
                <c:pt idx="1">
                  <c:v>0.6359609580181097</c:v>
                </c:pt>
                <c:pt idx="2">
                  <c:v>0.74018789280441122</c:v>
                </c:pt>
                <c:pt idx="3">
                  <c:v>0.75146668757268098</c:v>
                </c:pt>
                <c:pt idx="4">
                  <c:v>0.7392366691492559</c:v>
                </c:pt>
                <c:pt idx="5">
                  <c:v>0.78666196281342693</c:v>
                </c:pt>
                <c:pt idx="6">
                  <c:v>0.78533333333333333</c:v>
                </c:pt>
                <c:pt idx="7">
                  <c:v>0.76679999999999993</c:v>
                </c:pt>
                <c:pt idx="8">
                  <c:v>0.76893333333333336</c:v>
                </c:pt>
                <c:pt idx="9">
                  <c:v>0.78306666666666658</c:v>
                </c:pt>
                <c:pt idx="10">
                  <c:v>0.84586666666666666</c:v>
                </c:pt>
                <c:pt idx="11">
                  <c:v>0.80320000000000003</c:v>
                </c:pt>
                <c:pt idx="12">
                  <c:v>0.80293333333333328</c:v>
                </c:pt>
                <c:pt idx="13">
                  <c:v>0.89133333333333331</c:v>
                </c:pt>
                <c:pt idx="14">
                  <c:v>0.95315575207739034</c:v>
                </c:pt>
                <c:pt idx="15">
                  <c:v>0.96036637999168661</c:v>
                </c:pt>
                <c:pt idx="16">
                  <c:v>0.98754137891619753</c:v>
                </c:pt>
                <c:pt idx="17">
                  <c:v>0.93720000000000003</c:v>
                </c:pt>
                <c:pt idx="18">
                  <c:v>0.93359999999999999</c:v>
                </c:pt>
                <c:pt idx="19">
                  <c:v>1.0001333333333333</c:v>
                </c:pt>
                <c:pt idx="20">
                  <c:v>0.94466666666666654</c:v>
                </c:pt>
                <c:pt idx="21">
                  <c:v>0.53407407407407403</c:v>
                </c:pt>
                <c:pt idx="22">
                  <c:v>0.54333333333333333</c:v>
                </c:pt>
                <c:pt idx="23">
                  <c:v>0.51555555555555554</c:v>
                </c:pt>
                <c:pt idx="24">
                  <c:v>0.52481481481481473</c:v>
                </c:pt>
                <c:pt idx="25">
                  <c:v>0.53407407407407403</c:v>
                </c:pt>
                <c:pt idx="26">
                  <c:v>0.54333333333333333</c:v>
                </c:pt>
                <c:pt idx="27">
                  <c:v>0.55259259259259252</c:v>
                </c:pt>
                <c:pt idx="28">
                  <c:v>0.56185185185185182</c:v>
                </c:pt>
                <c:pt idx="29">
                  <c:v>0.57111111111111101</c:v>
                </c:pt>
                <c:pt idx="30">
                  <c:v>0.58037037037037031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7-4EA5-A584-838865DB8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71456"/>
        <c:axId val="442771848"/>
      </c:scatterChart>
      <c:valAx>
        <c:axId val="4427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2771848"/>
        <c:crosses val="autoZero"/>
        <c:crossBetween val="midCat"/>
      </c:valAx>
      <c:valAx>
        <c:axId val="4427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277145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 i="0" baseline="0"/>
              <a:t>ET Suroeste: Demanda Histórica y Pronósticos al 2027 </a:t>
            </a:r>
            <a:endParaRPr lang="es-ES" b="1" i="0" baseline="0"/>
          </a:p>
        </c:rich>
      </c:tx>
      <c:layout>
        <c:manualLayout>
          <c:xMode val="edge"/>
          <c:yMode val="edge"/>
          <c:x val="0.18471554096572285"/>
          <c:y val="2.09424581880236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067434944836549E-2"/>
          <c:y val="9.7911713915341439E-2"/>
          <c:w val="0.90562043906361422"/>
          <c:h val="0.75350487529597443"/>
        </c:manualLayout>
      </c:layout>
      <c:scatterChart>
        <c:scatterStyle val="smoothMarker"/>
        <c:varyColors val="0"/>
        <c:ser>
          <c:idx val="0"/>
          <c:order val="0"/>
          <c:tx>
            <c:v>Serie Historica "S"</c:v>
          </c:tx>
          <c:spPr>
            <a:ln w="34925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 w="15875">
                <a:solidFill>
                  <a:schemeClr val="tx1"/>
                </a:solidFill>
              </a:ln>
            </c:spPr>
          </c:marker>
          <c:dPt>
            <c:idx val="14"/>
            <c:marker>
              <c:spPr>
                <a:solidFill>
                  <a:srgbClr val="FF9900"/>
                </a:solidFill>
                <a:ln w="1587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EBE-4BE9-BBFC-040E1C6A9235}"/>
              </c:ext>
            </c:extLst>
          </c:dPt>
          <c:dPt>
            <c:idx val="15"/>
            <c:marker>
              <c:spPr>
                <a:solidFill>
                  <a:srgbClr val="FF9900"/>
                </a:solidFill>
                <a:ln w="1587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EBE-4BE9-BBFC-040E1C6A9235}"/>
              </c:ext>
            </c:extLst>
          </c:dPt>
          <c:dPt>
            <c:idx val="16"/>
            <c:marker>
              <c:spPr>
                <a:solidFill>
                  <a:srgbClr val="FF9900"/>
                </a:solidFill>
                <a:ln w="1587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EBE-4BE9-BBFC-040E1C6A9235}"/>
              </c:ext>
            </c:extLst>
          </c:dPt>
          <c:dPt>
            <c:idx val="17"/>
            <c:marker>
              <c:spPr>
                <a:solidFill>
                  <a:srgbClr val="FF9900"/>
                </a:solidFill>
                <a:ln w="1587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EBE-4BE9-BBFC-040E1C6A9235}"/>
              </c:ext>
            </c:extLst>
          </c:dPt>
          <c:dPt>
            <c:idx val="18"/>
            <c:marker>
              <c:spPr>
                <a:solidFill>
                  <a:srgbClr val="FF9900"/>
                </a:solidFill>
                <a:ln w="1587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EBE-4BE9-BBFC-040E1C6A9235}"/>
              </c:ext>
            </c:extLst>
          </c:dPt>
          <c:dPt>
            <c:idx val="19"/>
            <c:marker>
              <c:spPr>
                <a:solidFill>
                  <a:srgbClr val="FF9900"/>
                </a:solidFill>
                <a:ln w="1587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EBE-4BE9-BBFC-040E1C6A9235}"/>
              </c:ext>
            </c:extLst>
          </c:dPt>
          <c:trendline>
            <c:name>Tendencia Lineal</c:name>
            <c:spPr>
              <a:ln w="34925" cmpd="sng">
                <a:solidFill>
                  <a:schemeClr val="accent1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0.32722831635810445"/>
                  <c:y val="-0.39891768395984395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</c:spPr>
            </c:trendlineLbl>
          </c:trendline>
          <c:xVal>
            <c:numRef>
              <c:f>'SUROES (2)'!$B$44:$B$64</c:f>
              <c:numCache>
                <c:formatCode>General</c:formatCode>
                <c:ptCount val="2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</c:numCache>
            </c:numRef>
          </c:xVal>
          <c:yVal>
            <c:numRef>
              <c:f>'SUROES (2)'!$E$44:$E$64</c:f>
              <c:numCache>
                <c:formatCode>0.00</c:formatCode>
                <c:ptCount val="21"/>
                <c:pt idx="0">
                  <c:v>48.237230998392846</c:v>
                </c:pt>
                <c:pt idx="1">
                  <c:v>47.697071851358231</c:v>
                </c:pt>
                <c:pt idx="2">
                  <c:v>55.514091960330838</c:v>
                </c:pt>
                <c:pt idx="3">
                  <c:v>56.360001567951073</c:v>
                </c:pt>
                <c:pt idx="4">
                  <c:v>55.442750186194189</c:v>
                </c:pt>
                <c:pt idx="5">
                  <c:v>58.999647211007016</c:v>
                </c:pt>
                <c:pt idx="6">
                  <c:v>58.9</c:v>
                </c:pt>
                <c:pt idx="7">
                  <c:v>57.51</c:v>
                </c:pt>
                <c:pt idx="8">
                  <c:v>57.67</c:v>
                </c:pt>
                <c:pt idx="9">
                  <c:v>58.73</c:v>
                </c:pt>
                <c:pt idx="10">
                  <c:v>63.44</c:v>
                </c:pt>
                <c:pt idx="11">
                  <c:v>60.24</c:v>
                </c:pt>
                <c:pt idx="12">
                  <c:v>60.22</c:v>
                </c:pt>
                <c:pt idx="13">
                  <c:v>66.849999999999994</c:v>
                </c:pt>
                <c:pt idx="14">
                  <c:v>71.486681405804276</c:v>
                </c:pt>
                <c:pt idx="15">
                  <c:v>72.0274784993765</c:v>
                </c:pt>
                <c:pt idx="16">
                  <c:v>74.065603418714815</c:v>
                </c:pt>
                <c:pt idx="17">
                  <c:v>70.290000000000006</c:v>
                </c:pt>
                <c:pt idx="18">
                  <c:v>70.02</c:v>
                </c:pt>
                <c:pt idx="19">
                  <c:v>75.010000000000005</c:v>
                </c:pt>
                <c:pt idx="20">
                  <c:v>70.849999999999994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BE-4BE9-BBFC-040E1C6A9235}"/>
            </c:ext>
          </c:extLst>
        </c:ser>
        <c:ser>
          <c:idx val="1"/>
          <c:order val="1"/>
          <c:tx>
            <c:v>Potencia Instalada</c:v>
          </c:tx>
          <c:spPr>
            <a:ln w="31750" cap="sq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'SUROES (2)'!$B$44:$B$74</c:f>
              <c:numCache>
                <c:formatCode>General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'SUROES (2)'!$I$44:$I$74</c:f>
              <c:numCache>
                <c:formatCode>0</c:formatCode>
                <c:ptCount val="3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BE-4BE9-BBFC-040E1C6A9235}"/>
            </c:ext>
          </c:extLst>
        </c:ser>
        <c:ser>
          <c:idx val="2"/>
          <c:order val="2"/>
          <c:tx>
            <c:v>Precaución (N - 1)</c:v>
          </c:tx>
          <c:spPr>
            <a:ln w="31750" cap="sq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'SUROES (2)'!$B$44:$B$74</c:f>
              <c:numCache>
                <c:formatCode>General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'SUROES (2)'!$J$44:$J$74</c:f>
              <c:numCache>
                <c:formatCode>0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BE-4BE9-BBFC-040E1C6A9235}"/>
            </c:ext>
          </c:extLst>
        </c:ser>
        <c:ser>
          <c:idx val="5"/>
          <c:order val="3"/>
          <c:tx>
            <c:v>Planeamiento 2018 - 2027</c:v>
          </c:tx>
          <c:spPr>
            <a:ln w="34925"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 w="15875">
                <a:solidFill>
                  <a:schemeClr val="accent3">
                    <a:lumMod val="75000"/>
                  </a:schemeClr>
                </a:solidFill>
              </a:ln>
            </c:spPr>
          </c:marker>
          <c:dPt>
            <c:idx val="0"/>
            <c:marker>
              <c:spPr>
                <a:solidFill>
                  <a:schemeClr val="accent6"/>
                </a:solidFill>
                <a:ln w="19050">
                  <a:solidFill>
                    <a:schemeClr val="accent3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EBE-4BE9-BBFC-040E1C6A9235}"/>
              </c:ext>
            </c:extLst>
          </c:dPt>
          <c:dPt>
            <c:idx val="1"/>
            <c:marker>
              <c:spPr>
                <a:solidFill>
                  <a:schemeClr val="accent6"/>
                </a:solidFill>
                <a:ln w="15875">
                  <a:solidFill>
                    <a:schemeClr val="accent3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EBE-4BE9-BBFC-040E1C6A9235}"/>
              </c:ext>
            </c:extLst>
          </c:dPt>
          <c:errBars>
            <c:errDir val="x"/>
            <c:errBarType val="both"/>
            <c:errValType val="stdErr"/>
            <c:noEndCap val="0"/>
            <c:spPr>
              <a:ln>
                <a:noFill/>
              </a:ln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5.95</c:v>
                </c:pt>
              </c:numLit>
            </c:plus>
            <c:minus>
              <c:numLit>
                <c:formatCode>General</c:formatCode>
                <c:ptCount val="1"/>
                <c:pt idx="0">
                  <c:v>5.95</c:v>
                </c:pt>
              </c:numLit>
            </c:minus>
            <c:spPr>
              <a:ln w="12700">
                <a:solidFill>
                  <a:schemeClr val="tx1"/>
                </a:solidFill>
              </a:ln>
            </c:spPr>
          </c:errBars>
          <c:xVal>
            <c:numRef>
              <c:f>'SUROES (2)'!$B$64:$B$74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'SUROES (2)'!$H$64:$H$74</c:f>
              <c:numCache>
                <c:formatCode>0.00</c:formatCode>
                <c:ptCount val="11"/>
                <c:pt idx="0">
                  <c:v>70.849999999999994</c:v>
                </c:pt>
                <c:pt idx="1">
                  <c:v>72.099999999999994</c:v>
                </c:pt>
                <c:pt idx="2">
                  <c:v>73.349999999999994</c:v>
                </c:pt>
                <c:pt idx="3">
                  <c:v>69.599999999999994</c:v>
                </c:pt>
                <c:pt idx="4">
                  <c:v>70.849999999999994</c:v>
                </c:pt>
                <c:pt idx="5">
                  <c:v>72.099999999999994</c:v>
                </c:pt>
                <c:pt idx="6">
                  <c:v>73.349999999999994</c:v>
                </c:pt>
                <c:pt idx="7">
                  <c:v>74.599999999999994</c:v>
                </c:pt>
                <c:pt idx="8">
                  <c:v>75.849999999999994</c:v>
                </c:pt>
                <c:pt idx="9">
                  <c:v>77.099999999999994</c:v>
                </c:pt>
                <c:pt idx="10">
                  <c:v>78.349999999999994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EBE-4BE9-BBFC-040E1C6A9235}"/>
            </c:ext>
          </c:extLst>
        </c:ser>
        <c:ser>
          <c:idx val="3"/>
          <c:order val="4"/>
          <c:tx>
            <c:v>Pinstalada_2017_2027</c:v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'SUROES (2)'!$B$64:$B$74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'SUROES (2)'!$M$64:$M$74</c:f>
              <c:numCache>
                <c:formatCode>General</c:formatCode>
                <c:ptCount val="1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EBE-4BE9-BBFC-040E1C6A9235}"/>
            </c:ext>
          </c:extLst>
        </c:ser>
        <c:ser>
          <c:idx val="4"/>
          <c:order val="5"/>
          <c:tx>
            <c:v>Año de Saturación</c:v>
          </c:tx>
          <c:spPr>
            <a:ln w="19050">
              <a:solidFill>
                <a:schemeClr val="tx2"/>
              </a:solidFill>
              <a:headEnd type="triangle"/>
              <a:tailEnd type="none"/>
            </a:ln>
          </c:spPr>
          <c:marker>
            <c:symbol val="none"/>
          </c:marker>
          <c:xVal>
            <c:numRef>
              <c:f>'SUROES (2)'!$Q$98:$Q$105</c:f>
              <c:numCache>
                <c:formatCode>0.00</c:formatCode>
                <c:ptCount val="8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  <c:pt idx="6">
                  <c:v>2017</c:v>
                </c:pt>
                <c:pt idx="7">
                  <c:v>2017</c:v>
                </c:pt>
              </c:numCache>
            </c:numRef>
          </c:xVal>
          <c:yVal>
            <c:numRef>
              <c:f>'SUROES (2)'!$R$98:$R$105</c:f>
              <c:numCache>
                <c:formatCode>0</c:formatCode>
                <c:ptCount val="8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EBE-4BE9-BBFC-040E1C6A9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18976"/>
        <c:axId val="513219368"/>
      </c:scatterChart>
      <c:valAx>
        <c:axId val="513218976"/>
        <c:scaling>
          <c:orientation val="minMax"/>
          <c:max val="2028"/>
          <c:min val="1997"/>
        </c:scaling>
        <c:delete val="0"/>
        <c:axPos val="b"/>
        <c:majorGridlines>
          <c:spPr>
            <a:ln w="6350" cmpd="sng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min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crossAx val="513219368"/>
        <c:crosses val="autoZero"/>
        <c:crossBetween val="midCat"/>
        <c:majorUnit val="5"/>
        <c:minorUnit val="1"/>
      </c:valAx>
      <c:valAx>
        <c:axId val="513219368"/>
        <c:scaling>
          <c:orientation val="minMax"/>
          <c:min val="40"/>
        </c:scaling>
        <c:delete val="0"/>
        <c:axPos val="l"/>
        <c:majorGridlines>
          <c:spPr>
            <a:ln w="6350"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aseline="0"/>
                </a:pPr>
                <a:r>
                  <a:rPr lang="es-ES" baseline="0"/>
                  <a:t>[MVA]</a:t>
                </a:r>
              </a:p>
            </c:rich>
          </c:tx>
          <c:layout>
            <c:manualLayout>
              <c:xMode val="edge"/>
              <c:yMode val="edge"/>
              <c:x val="7.258357378366229E-3"/>
              <c:y val="3.673166508636682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513218976"/>
        <c:crosses val="autoZero"/>
        <c:crossBetween val="midCat"/>
      </c:valAx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5.1166598394853824E-2"/>
          <c:y val="0.90603959857297989"/>
          <c:w val="0.92984478012254479"/>
          <c:h val="6.9160468992490023E-2"/>
        </c:manualLayout>
      </c:layout>
      <c:overlay val="0"/>
      <c:spPr>
        <a:ln w="6350"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b="1" baseline="0">
              <a:solidFill>
                <a:schemeClr val="tx1"/>
              </a:solidFill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baseline="0">
          <a:latin typeface="Arial" panose="020B0604020202020204" pitchFamily="34" charset="0"/>
        </a:defRPr>
      </a:pPr>
      <a:endParaRPr lang="es-AR"/>
    </a:p>
  </c:txPr>
  <c:printSettings>
    <c:headerFooter/>
    <c:pageMargins b="0.75000000000000988" l="0.70000000000000062" r="0.70000000000000062" t="0.75000000000000988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 rtl="0">
              <a:defRPr/>
            </a:pPr>
            <a:r>
              <a:rPr lang="en-US" b="0" i="0" baseline="0"/>
              <a:t>E.T. SUR: Demanda Histórica y Pronósticos al 2027 </a:t>
            </a:r>
            <a:endParaRPr lang="es-ES" b="0" i="0" baseline="0"/>
          </a:p>
        </c:rich>
      </c:tx>
      <c:layout>
        <c:manualLayout>
          <c:xMode val="edge"/>
          <c:yMode val="edge"/>
          <c:x val="0.16578510649125053"/>
          <c:y val="1.90262750990460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534863547175709E-2"/>
          <c:y val="9.9298056015040825E-2"/>
          <c:w val="0.90441927578957848"/>
          <c:h val="0.7092229821637257"/>
        </c:manualLayout>
      </c:layout>
      <c:scatterChart>
        <c:scatterStyle val="smoothMarker"/>
        <c:varyColors val="0"/>
        <c:ser>
          <c:idx val="0"/>
          <c:order val="0"/>
          <c:tx>
            <c:v>Potencia Aparente S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</c:spPr>
          </c:marker>
          <c:dPt>
            <c:idx val="11"/>
            <c:marker>
              <c:spPr>
                <a:solidFill>
                  <a:srgbClr val="F79646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3CF-40CA-8DE2-65E090CE4407}"/>
              </c:ext>
            </c:extLst>
          </c:dPt>
          <c:dPt>
            <c:idx val="12"/>
            <c:marker>
              <c:spPr>
                <a:solidFill>
                  <a:srgbClr val="F79646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3CF-40CA-8DE2-65E090CE4407}"/>
              </c:ext>
            </c:extLst>
          </c:dPt>
          <c:dPt>
            <c:idx val="13"/>
            <c:marker>
              <c:spPr>
                <a:solidFill>
                  <a:srgbClr val="F79646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CF-40CA-8DE2-65E090CE4407}"/>
              </c:ext>
            </c:extLst>
          </c:dPt>
          <c:dPt>
            <c:idx val="14"/>
            <c:marker>
              <c:spPr>
                <a:solidFill>
                  <a:srgbClr val="F79646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3CF-40CA-8DE2-65E090CE4407}"/>
              </c:ext>
            </c:extLst>
          </c:dPt>
          <c:dPt>
            <c:idx val="15"/>
            <c:marker>
              <c:spPr>
                <a:solidFill>
                  <a:srgbClr val="F79646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3CF-40CA-8DE2-65E090CE4407}"/>
              </c:ext>
            </c:extLst>
          </c:dPt>
          <c:dPt>
            <c:idx val="16"/>
            <c:marker>
              <c:spPr>
                <a:solidFill>
                  <a:srgbClr val="F79646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3CF-40CA-8DE2-65E090CE4407}"/>
              </c:ext>
            </c:extLst>
          </c:dPt>
          <c:trendline>
            <c:name>Tendencia Lineal</c:name>
            <c:spPr>
              <a:ln w="31750" cap="sq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5.7729860690490506E-2"/>
                  <c:y val="-7.7993237846396224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</c:trendlineLbl>
          </c:trendline>
          <c:xVal>
            <c:numRef>
              <c:f>SUR!$B$46:$B$76</c:f>
              <c:numCache>
                <c:formatCode>0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SUR!$E$46:$E$76</c:f>
              <c:numCache>
                <c:formatCode>0.00</c:formatCode>
                <c:ptCount val="31"/>
                <c:pt idx="0">
                  <c:v>37.352560776326079</c:v>
                </c:pt>
                <c:pt idx="1">
                  <c:v>29.580006350632349</c:v>
                </c:pt>
                <c:pt idx="2">
                  <c:v>32.811858644217438</c:v>
                </c:pt>
                <c:pt idx="3">
                  <c:v>35.540307153755002</c:v>
                </c:pt>
                <c:pt idx="4">
                  <c:v>34.130776558421942</c:v>
                </c:pt>
                <c:pt idx="5">
                  <c:v>36.87936121932141</c:v>
                </c:pt>
                <c:pt idx="6">
                  <c:v>32.19</c:v>
                </c:pt>
                <c:pt idx="7">
                  <c:v>34.4</c:v>
                </c:pt>
                <c:pt idx="8">
                  <c:v>39.9</c:v>
                </c:pt>
                <c:pt idx="9">
                  <c:v>40.49</c:v>
                </c:pt>
                <c:pt idx="10">
                  <c:v>41.5</c:v>
                </c:pt>
                <c:pt idx="11">
                  <c:v>45.54</c:v>
                </c:pt>
                <c:pt idx="12">
                  <c:v>45.31</c:v>
                </c:pt>
                <c:pt idx="13">
                  <c:v>47.65</c:v>
                </c:pt>
                <c:pt idx="14">
                  <c:v>51.55</c:v>
                </c:pt>
                <c:pt idx="15">
                  <c:v>46.42</c:v>
                </c:pt>
                <c:pt idx="16">
                  <c:v>46.42</c:v>
                </c:pt>
                <c:pt idx="17">
                  <c:v>41.77</c:v>
                </c:pt>
                <c:pt idx="18">
                  <c:v>43.88</c:v>
                </c:pt>
                <c:pt idx="19">
                  <c:v>36.82</c:v>
                </c:pt>
                <c:pt idx="20">
                  <c:v>48.04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3CF-40CA-8DE2-65E090CE4407}"/>
            </c:ext>
          </c:extLst>
        </c:ser>
        <c:ser>
          <c:idx val="1"/>
          <c:order val="1"/>
          <c:tx>
            <c:v>Potencia Instalada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SUR!$B$46:$B$76</c:f>
              <c:numCache>
                <c:formatCode>0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SUR!$I$46:$I$76</c:f>
              <c:numCache>
                <c:formatCode>0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CF-40CA-8DE2-65E090CE4407}"/>
            </c:ext>
          </c:extLst>
        </c:ser>
        <c:ser>
          <c:idx val="2"/>
          <c:order val="2"/>
          <c:tx>
            <c:v>Precaución (N - 1)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SUR!$B$46:$B$76</c:f>
              <c:numCache>
                <c:formatCode>0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SUR!$J$46:$J$76</c:f>
              <c:numCache>
                <c:formatCode>0</c:formatCode>
                <c:ptCount val="3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CF-40CA-8DE2-65E090CE4407}"/>
            </c:ext>
          </c:extLst>
        </c:ser>
        <c:ser>
          <c:idx val="9"/>
          <c:order val="3"/>
          <c:tx>
            <c:v>Planeamiento 2016 - 2020</c:v>
          </c:tx>
          <c:spPr>
            <a:ln w="34925"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rgbClr val="9BBB59">
                    <a:lumMod val="75000"/>
                  </a:srgbClr>
                </a:solidFill>
              </a:ln>
            </c:spPr>
          </c:marke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D3CF-40CA-8DE2-65E090CE4407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D3CF-40CA-8DE2-65E090CE4407}"/>
              </c:ext>
            </c:extLst>
          </c:dPt>
          <c:xVal>
            <c:numRef>
              <c:f>SUR!$B$66:$B$76</c:f>
              <c:numCache>
                <c:formatCode>0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SUR!$H$66:$H$76</c:f>
              <c:numCache>
                <c:formatCode>0.00</c:formatCode>
                <c:ptCount val="11"/>
                <c:pt idx="0">
                  <c:v>48.04</c:v>
                </c:pt>
                <c:pt idx="1">
                  <c:v>49.04</c:v>
                </c:pt>
                <c:pt idx="2">
                  <c:v>50.04</c:v>
                </c:pt>
                <c:pt idx="3">
                  <c:v>51.04</c:v>
                </c:pt>
                <c:pt idx="4">
                  <c:v>52.04</c:v>
                </c:pt>
                <c:pt idx="5">
                  <c:v>53.04</c:v>
                </c:pt>
                <c:pt idx="6">
                  <c:v>54.04</c:v>
                </c:pt>
                <c:pt idx="7">
                  <c:v>55.04</c:v>
                </c:pt>
                <c:pt idx="8">
                  <c:v>56.04</c:v>
                </c:pt>
                <c:pt idx="9">
                  <c:v>57.04</c:v>
                </c:pt>
                <c:pt idx="10">
                  <c:v>58.04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3CF-40CA-8DE2-65E090CE4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18584"/>
        <c:axId val="513222112"/>
        <c:extLst/>
      </c:scatterChart>
      <c:valAx>
        <c:axId val="513218584"/>
        <c:scaling>
          <c:orientation val="minMax"/>
          <c:max val="2028"/>
          <c:min val="1997"/>
        </c:scaling>
        <c:delete val="0"/>
        <c:axPos val="b"/>
        <c:majorGridlines>
          <c:spPr>
            <a:ln w="6350" cmpd="sng">
              <a:solidFill>
                <a:sysClr val="window" lastClr="FFFFFF">
                  <a:lumMod val="65000"/>
                </a:sysClr>
              </a:solidFill>
              <a:prstDash val="dash"/>
            </a:ln>
          </c:spPr>
        </c:majorGridlines>
        <c:minorGridlines>
          <c:spPr>
            <a:ln w="6350" cmpd="sng">
              <a:solidFill>
                <a:sysClr val="window" lastClr="FFFFFF">
                  <a:lumMod val="85000"/>
                </a:sysClr>
              </a:solidFill>
              <a:prstDash val="solid"/>
            </a:ln>
          </c:spPr>
        </c:minorGridlines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es-AR"/>
          </a:p>
        </c:txPr>
        <c:crossAx val="513222112"/>
        <c:crosses val="autoZero"/>
        <c:crossBetween val="midCat"/>
        <c:majorUnit val="5"/>
        <c:minorUnit val="1"/>
      </c:valAx>
      <c:valAx>
        <c:axId val="513222112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baseline="0"/>
                </a:pPr>
                <a:r>
                  <a:rPr lang="en-US" baseline="0"/>
                  <a:t>[MVA]</a:t>
                </a:r>
                <a:endParaRPr lang="es-ES" baseline="0"/>
              </a:p>
            </c:rich>
          </c:tx>
          <c:layout>
            <c:manualLayout>
              <c:xMode val="edge"/>
              <c:yMode val="edge"/>
              <c:x val="1.1791999557326033E-2"/>
              <c:y val="4.2671971929753055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5132185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1244844394450695E-2"/>
          <c:y val="0.87718253931882861"/>
          <c:w val="0.94925989090073415"/>
          <c:h val="8.5981904598274456E-2"/>
        </c:manualLayout>
      </c:layout>
      <c:overlay val="0"/>
      <c:spPr>
        <a:solidFill>
          <a:sysClr val="window" lastClr="FFFFFF"/>
        </a:solidFill>
        <a:ln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baseline="0"/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baseline="0">
          <a:latin typeface="Arial" panose="020B0604020202020204" pitchFamily="34" charset="0"/>
        </a:defRPr>
      </a:pPr>
      <a:endParaRPr lang="es-AR"/>
    </a:p>
  </c:txPr>
  <c:printSettings>
    <c:headerFooter/>
    <c:pageMargins b="0.75000000000001088" l="0.70000000000000062" r="0.70000000000000062" t="0.7500000000000108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b="1"/>
            </a:pPr>
            <a:r>
              <a:rPr lang="es-ES" sz="1800" b="1" i="0" u="none" strike="noStrike" baseline="0">
                <a:latin typeface="Arial" pitchFamily="34" charset="0"/>
                <a:cs typeface="Arial" pitchFamily="34" charset="0"/>
              </a:rPr>
              <a:t>ET</a:t>
            </a:r>
            <a:r>
              <a:rPr lang="es-ES" sz="1800" b="1" i="0" baseline="0">
                <a:latin typeface="Arial" pitchFamily="34" charset="0"/>
                <a:cs typeface="Arial" pitchFamily="34" charset="0"/>
              </a:rPr>
              <a:t> Este: </a:t>
            </a:r>
            <a:r>
              <a:rPr lang="en-US" sz="18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2027</a:t>
            </a:r>
            <a:endParaRPr lang="es-ES" sz="1800" b="1" i="0" baseline="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1450275430332588"/>
          <c:y val="3.84228831138608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433249920299524E-2"/>
          <c:y val="0.11198285843012139"/>
          <c:w val="0.89941849006419761"/>
          <c:h val="0.72712975815444636"/>
        </c:manualLayout>
      </c:layout>
      <c:scatterChart>
        <c:scatterStyle val="smoothMarker"/>
        <c:varyColors val="0"/>
        <c:ser>
          <c:idx val="0"/>
          <c:order val="0"/>
          <c:tx>
            <c:v>Potencia Aparente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</c:spPr>
          </c:marker>
          <c:dPt>
            <c:idx val="16"/>
            <c:marker>
              <c:spPr>
                <a:solidFill>
                  <a:srgbClr val="F79646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152-49F7-AE83-9C6EA31FAE59}"/>
              </c:ext>
            </c:extLst>
          </c:dPt>
          <c:dPt>
            <c:idx val="17"/>
            <c:marker>
              <c:spPr>
                <a:solidFill>
                  <a:srgbClr val="F79646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152-49F7-AE83-9C6EA31FAE59}"/>
              </c:ext>
            </c:extLst>
          </c:dPt>
          <c:dPt>
            <c:idx val="18"/>
            <c:marker>
              <c:spPr>
                <a:solidFill>
                  <a:srgbClr val="F79646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152-49F7-AE83-9C6EA31FAE59}"/>
              </c:ext>
            </c:extLst>
          </c:dPt>
          <c:trendline>
            <c:name>Tendencia Lineal</c:name>
            <c:spPr>
              <a:ln w="34925" cmpd="sng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3.576267176571115E-2"/>
                  <c:y val="-2.7328557447589802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solidFill>
                        <a:schemeClr val="tx1"/>
                      </a:solidFill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ESTE!$B$44:$B$74</c:f>
              <c:numCache>
                <c:formatCode>0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ESTE!$E$44:$E$74</c:f>
              <c:numCache>
                <c:formatCode>0.00</c:formatCode>
                <c:ptCount val="31"/>
                <c:pt idx="0">
                  <c:v>45.879398926101899</c:v>
                </c:pt>
                <c:pt idx="1">
                  <c:v>61.597713137868425</c:v>
                </c:pt>
                <c:pt idx="2">
                  <c:v>45.658438598524356</c:v>
                </c:pt>
                <c:pt idx="3">
                  <c:v>42.986827365086718</c:v>
                </c:pt>
                <c:pt idx="4">
                  <c:v>46.371537837524627</c:v>
                </c:pt>
                <c:pt idx="5">
                  <c:v>50.188125313864099</c:v>
                </c:pt>
                <c:pt idx="6">
                  <c:v>49.21</c:v>
                </c:pt>
                <c:pt idx="7">
                  <c:v>51.41</c:v>
                </c:pt>
                <c:pt idx="8">
                  <c:v>61.85</c:v>
                </c:pt>
                <c:pt idx="9">
                  <c:v>59.15</c:v>
                </c:pt>
                <c:pt idx="10">
                  <c:v>59.12</c:v>
                </c:pt>
                <c:pt idx="11">
                  <c:v>57.42</c:v>
                </c:pt>
                <c:pt idx="12">
                  <c:v>54.58</c:v>
                </c:pt>
                <c:pt idx="13">
                  <c:v>57.3</c:v>
                </c:pt>
                <c:pt idx="14">
                  <c:v>61.15</c:v>
                </c:pt>
                <c:pt idx="15">
                  <c:v>66.05</c:v>
                </c:pt>
                <c:pt idx="16">
                  <c:v>69.44</c:v>
                </c:pt>
                <c:pt idx="17">
                  <c:v>70.709999999999994</c:v>
                </c:pt>
                <c:pt idx="18">
                  <c:v>69.47</c:v>
                </c:pt>
                <c:pt idx="19">
                  <c:v>62.68</c:v>
                </c:pt>
                <c:pt idx="20">
                  <c:v>68.23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52-49F7-AE83-9C6EA31FAE59}"/>
            </c:ext>
          </c:extLst>
        </c:ser>
        <c:ser>
          <c:idx val="2"/>
          <c:order val="1"/>
          <c:tx>
            <c:v>Potencia Instalada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ESTE!$B$44:$B$74</c:f>
              <c:numCache>
                <c:formatCode>0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ESTE!$I$44:$I$74</c:f>
              <c:numCache>
                <c:formatCode>0</c:formatCode>
                <c:ptCount val="3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52-49F7-AE83-9C6EA31FAE59}"/>
            </c:ext>
          </c:extLst>
        </c:ser>
        <c:ser>
          <c:idx val="3"/>
          <c:order val="2"/>
          <c:tx>
            <c:v>Precaución (N - 1)</c:v>
          </c:tx>
          <c:spPr>
            <a:ln w="317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ESTE!$B$44:$B$74</c:f>
              <c:numCache>
                <c:formatCode>0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ESTE!$J$44:$J$74</c:f>
              <c:numCache>
                <c:formatCode>0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52-49F7-AE83-9C6EA31FAE59}"/>
            </c:ext>
          </c:extLst>
        </c:ser>
        <c:ser>
          <c:idx val="4"/>
          <c:order val="3"/>
          <c:tx>
            <c:v>Año de Saturación</c:v>
          </c:tx>
          <c:spPr>
            <a:ln w="19050" cmpd="sng">
              <a:solidFill>
                <a:srgbClr val="1F497D"/>
              </a:solidFill>
              <a:headEnd type="triangle"/>
            </a:ln>
          </c:spPr>
          <c:marker>
            <c:symbol val="none"/>
          </c:marker>
          <c:xVal>
            <c:numRef>
              <c:f>ESTE!$N$93:$N$97</c:f>
              <c:numCache>
                <c:formatCode>0.00</c:formatCode>
                <c:ptCount val="5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</c:numCache>
            </c:numRef>
          </c:xVal>
          <c:yVal>
            <c:numRef>
              <c:f>ESTE!$O$93:$O$97</c:f>
              <c:numCache>
                <c:formatCode>0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52-49F7-AE83-9C6EA31FAE59}"/>
            </c:ext>
          </c:extLst>
        </c:ser>
        <c:ser>
          <c:idx val="1"/>
          <c:order val="4"/>
          <c:tx>
            <c:v>Planeamiento 2018 - 2027</c:v>
          </c:tx>
          <c:spPr>
            <a:ln w="34925"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6"/>
            <c:spPr>
              <a:solidFill>
                <a:srgbClr val="F79646"/>
              </a:solidFill>
              <a:ln w="15875">
                <a:solidFill>
                  <a:srgbClr val="9BBB59">
                    <a:lumMod val="75000"/>
                  </a:srgbClr>
                </a:solidFill>
              </a:ln>
            </c:spPr>
          </c:marker>
          <c:xVal>
            <c:numRef>
              <c:f>ESTE!$B$64:$B$74</c:f>
              <c:numCache>
                <c:formatCode>0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ESTE!$H$64:$H$74</c:f>
              <c:numCache>
                <c:formatCode>0.00</c:formatCode>
                <c:ptCount val="11"/>
                <c:pt idx="0">
                  <c:v>68.23</c:v>
                </c:pt>
                <c:pt idx="1">
                  <c:v>71.163890000000009</c:v>
                </c:pt>
                <c:pt idx="2">
                  <c:v>74.097780000000014</c:v>
                </c:pt>
                <c:pt idx="3">
                  <c:v>77.03167000000002</c:v>
                </c:pt>
                <c:pt idx="4">
                  <c:v>79.965560000000025</c:v>
                </c:pt>
                <c:pt idx="5">
                  <c:v>82.89945000000003</c:v>
                </c:pt>
                <c:pt idx="6">
                  <c:v>85.833340000000035</c:v>
                </c:pt>
                <c:pt idx="7">
                  <c:v>88.76723000000004</c:v>
                </c:pt>
                <c:pt idx="8">
                  <c:v>91.701120000000046</c:v>
                </c:pt>
                <c:pt idx="9">
                  <c:v>94.635010000000051</c:v>
                </c:pt>
                <c:pt idx="10">
                  <c:v>97.568900000000056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52-49F7-AE83-9C6EA31FAE59}"/>
            </c:ext>
          </c:extLst>
        </c:ser>
        <c:ser>
          <c:idx val="5"/>
          <c:order val="5"/>
          <c:tx>
            <c:strRef>
              <c:f>ESTE!$P$43</c:f>
              <c:strCache>
                <c:ptCount val="1"/>
                <c:pt idx="0">
                  <c:v>2,66%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ESTE!$B$44:$B$74</c:f>
              <c:numCache>
                <c:formatCode>0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ESTE!$P$44:$P$74</c:f>
              <c:numCache>
                <c:formatCode>0.00</c:formatCode>
                <c:ptCount val="31"/>
                <c:pt idx="0">
                  <c:v>45.879398926101899</c:v>
                </c:pt>
                <c:pt idx="1">
                  <c:v>47.099790937536206</c:v>
                </c:pt>
                <c:pt idx="2">
                  <c:v>48.352645376474669</c:v>
                </c:pt>
                <c:pt idx="3">
                  <c:v>49.638825743488894</c:v>
                </c:pt>
                <c:pt idx="4">
                  <c:v>50.9592185082657</c:v>
                </c:pt>
                <c:pt idx="5">
                  <c:v>52.314733720585565</c:v>
                </c:pt>
                <c:pt idx="6">
                  <c:v>53.706305637553136</c:v>
                </c:pt>
                <c:pt idx="7">
                  <c:v>55.134893367512049</c:v>
                </c:pt>
                <c:pt idx="8">
                  <c:v>56.60148153108787</c:v>
                </c:pt>
                <c:pt idx="9">
                  <c:v>58.107080939814807</c:v>
                </c:pt>
                <c:pt idx="10">
                  <c:v>59.652729292813881</c:v>
                </c:pt>
                <c:pt idx="11">
                  <c:v>61.239491892002725</c:v>
                </c:pt>
                <c:pt idx="12">
                  <c:v>62.868462376329994</c:v>
                </c:pt>
                <c:pt idx="13">
                  <c:v>64.540763475540373</c:v>
                </c:pt>
                <c:pt idx="14">
                  <c:v>66.25754778398975</c:v>
                </c:pt>
                <c:pt idx="15">
                  <c:v>68.01999855504387</c:v>
                </c:pt>
                <c:pt idx="16">
                  <c:v>69.829330516608039</c:v>
                </c:pt>
                <c:pt idx="17">
                  <c:v>71.686790708349804</c:v>
                </c:pt>
                <c:pt idx="18">
                  <c:v>73.593659341191909</c:v>
                </c:pt>
                <c:pt idx="19">
                  <c:v>75.551250679667618</c:v>
                </c:pt>
                <c:pt idx="20">
                  <c:v>77.560913947746769</c:v>
                </c:pt>
                <c:pt idx="21">
                  <c:v>79.624034258756836</c:v>
                </c:pt>
                <c:pt idx="22">
                  <c:v>81.742033570039766</c:v>
                </c:pt>
                <c:pt idx="23">
                  <c:v>83.91637166300282</c:v>
                </c:pt>
                <c:pt idx="24">
                  <c:v>86.148547149238695</c:v>
                </c:pt>
                <c:pt idx="25">
                  <c:v>88.440098503408436</c:v>
                </c:pt>
                <c:pt idx="26">
                  <c:v>90.792605123599103</c:v>
                </c:pt>
                <c:pt idx="27">
                  <c:v>93.207688419886836</c:v>
                </c:pt>
                <c:pt idx="28">
                  <c:v>95.687012931855818</c:v>
                </c:pt>
                <c:pt idx="29">
                  <c:v>98.232287475843179</c:v>
                </c:pt>
                <c:pt idx="30">
                  <c:v>100.84526632270061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27-4C79-A716-828A5B701951}"/>
            </c:ext>
          </c:extLst>
        </c:ser>
        <c:ser>
          <c:idx val="6"/>
          <c:order val="6"/>
          <c:tx>
            <c:strRef>
              <c:f>ESTE!$Q$43</c:f>
              <c:strCache>
                <c:ptCount val="1"/>
                <c:pt idx="0">
                  <c:v>4,30%</c:v>
                </c:pt>
              </c:strCache>
            </c:strRef>
          </c:tx>
          <c:spPr>
            <a:ln>
              <a:solidFill>
                <a:srgbClr val="C0504D">
                  <a:lumMod val="60000"/>
                  <a:lumOff val="40000"/>
                </a:srgbClr>
              </a:solidFill>
            </a:ln>
          </c:spPr>
          <c:xVal>
            <c:numRef>
              <c:f>ESTE!$B$44:$B$74</c:f>
              <c:numCache>
                <c:formatCode>0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ESTE!$Q$44:$Q$74</c:f>
              <c:numCache>
                <c:formatCode>0.00</c:formatCode>
                <c:ptCount val="31"/>
                <c:pt idx="0">
                  <c:v>45.879398926101899</c:v>
                </c:pt>
                <c:pt idx="1">
                  <c:v>47.852213079924276</c:v>
                </c:pt>
                <c:pt idx="2">
                  <c:v>49.909858242361018</c:v>
                </c:pt>
                <c:pt idx="3">
                  <c:v>52.05598214678254</c:v>
                </c:pt>
                <c:pt idx="4">
                  <c:v>54.294389379094184</c:v>
                </c:pt>
                <c:pt idx="5">
                  <c:v>56.629048122395233</c:v>
                </c:pt>
                <c:pt idx="6">
                  <c:v>59.06409719165822</c:v>
                </c:pt>
                <c:pt idx="7">
                  <c:v>61.603853370899522</c:v>
                </c:pt>
                <c:pt idx="8">
                  <c:v>64.2528190658482</c:v>
                </c:pt>
                <c:pt idx="9">
                  <c:v>67.015690285679668</c:v>
                </c:pt>
                <c:pt idx="10">
                  <c:v>69.897364967963895</c:v>
                </c:pt>
                <c:pt idx="11">
                  <c:v>72.902951661586343</c:v>
                </c:pt>
                <c:pt idx="12">
                  <c:v>76.037778583034552</c:v>
                </c:pt>
                <c:pt idx="13">
                  <c:v>79.307403062105038</c:v>
                </c:pt>
                <c:pt idx="14">
                  <c:v>82.717621393775545</c:v>
                </c:pt>
                <c:pt idx="15">
                  <c:v>86.274479113707883</c:v>
                </c:pt>
                <c:pt idx="16">
                  <c:v>89.984281715597319</c:v>
                </c:pt>
                <c:pt idx="17">
                  <c:v>93.853605829367993</c:v>
                </c:pt>
                <c:pt idx="18">
                  <c:v>97.889310880030806</c:v>
                </c:pt>
                <c:pt idx="19">
                  <c:v>102.09855124787212</c:v>
                </c:pt>
                <c:pt idx="20">
                  <c:v>106.48878895153062</c:v>
                </c:pt>
                <c:pt idx="21">
                  <c:v>111.06780687644643</c:v>
                </c:pt>
                <c:pt idx="22">
                  <c:v>115.84372257213361</c:v>
                </c:pt>
                <c:pt idx="23">
                  <c:v>120.82500264273536</c:v>
                </c:pt>
                <c:pt idx="24">
                  <c:v>126.02047775637297</c:v>
                </c:pt>
                <c:pt idx="25">
                  <c:v>131.43935829989701</c:v>
                </c:pt>
                <c:pt idx="26">
                  <c:v>137.09125070679258</c:v>
                </c:pt>
                <c:pt idx="27">
                  <c:v>142.98617448718466</c:v>
                </c:pt>
                <c:pt idx="28">
                  <c:v>149.13457999013357</c:v>
                </c:pt>
                <c:pt idx="29">
                  <c:v>155.54736692970931</c:v>
                </c:pt>
                <c:pt idx="30">
                  <c:v>162.23590370768679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27-4C79-A716-828A5B701951}"/>
            </c:ext>
          </c:extLst>
        </c:ser>
        <c:ser>
          <c:idx val="7"/>
          <c:order val="7"/>
          <c:tx>
            <c:strRef>
              <c:f>ESTE!$R$43</c:f>
              <c:strCache>
                <c:ptCount val="1"/>
                <c:pt idx="0">
                  <c:v>4,50%</c:v>
                </c:pt>
              </c:strCache>
            </c:strRef>
          </c:tx>
          <c:spPr>
            <a:ln>
              <a:solidFill>
                <a:srgbClr val="F79646"/>
              </a:solidFill>
            </a:ln>
          </c:spPr>
          <c:xVal>
            <c:numRef>
              <c:f>ESTE!$B$44:$B$74</c:f>
              <c:numCache>
                <c:formatCode>0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ESTE!$R$44:$R$74</c:f>
              <c:numCache>
                <c:formatCode>0.00</c:formatCode>
                <c:ptCount val="31"/>
                <c:pt idx="0">
                  <c:v>45.879398926101899</c:v>
                </c:pt>
                <c:pt idx="1">
                  <c:v>47.943971877776484</c:v>
                </c:pt>
                <c:pt idx="2">
                  <c:v>50.101450612276423</c:v>
                </c:pt>
                <c:pt idx="3">
                  <c:v>52.356015889828861</c:v>
                </c:pt>
                <c:pt idx="4">
                  <c:v>54.712036604871159</c:v>
                </c:pt>
                <c:pt idx="5">
                  <c:v>57.174078252090354</c:v>
                </c:pt>
                <c:pt idx="6">
                  <c:v>59.746911773434412</c:v>
                </c:pt>
                <c:pt idx="7">
                  <c:v>62.435522803238953</c:v>
                </c:pt>
                <c:pt idx="8">
                  <c:v>65.245121329384702</c:v>
                </c:pt>
                <c:pt idx="9">
                  <c:v>68.181151789207007</c:v>
                </c:pt>
                <c:pt idx="10">
                  <c:v>71.249303619721317</c:v>
                </c:pt>
                <c:pt idx="11">
                  <c:v>74.455522282608769</c:v>
                </c:pt>
                <c:pt idx="12">
                  <c:v>77.806020785326155</c:v>
                </c:pt>
                <c:pt idx="13">
                  <c:v>81.30729172066583</c:v>
                </c:pt>
                <c:pt idx="14">
                  <c:v>84.966119848095786</c:v>
                </c:pt>
                <c:pt idx="15">
                  <c:v>88.789595241260088</c:v>
                </c:pt>
                <c:pt idx="16">
                  <c:v>92.785127027116786</c:v>
                </c:pt>
                <c:pt idx="17">
                  <c:v>96.960457743337031</c:v>
                </c:pt>
                <c:pt idx="18">
                  <c:v>101.32367834178719</c:v>
                </c:pt>
                <c:pt idx="19">
                  <c:v>105.88324386716761</c:v>
                </c:pt>
                <c:pt idx="20">
                  <c:v>110.64798984119014</c:v>
                </c:pt>
                <c:pt idx="21">
                  <c:v>115.62714938404369</c:v>
                </c:pt>
                <c:pt idx="22">
                  <c:v>120.83037110632564</c:v>
                </c:pt>
                <c:pt idx="23">
                  <c:v>126.26773780611029</c:v>
                </c:pt>
                <c:pt idx="24">
                  <c:v>131.94978600738526</c:v>
                </c:pt>
                <c:pt idx="25">
                  <c:v>137.88752637771759</c:v>
                </c:pt>
                <c:pt idx="26">
                  <c:v>144.09246506471487</c:v>
                </c:pt>
                <c:pt idx="27">
                  <c:v>150.57662599262704</c:v>
                </c:pt>
                <c:pt idx="28">
                  <c:v>157.35257416229524</c:v>
                </c:pt>
                <c:pt idx="29">
                  <c:v>164.43343999959851</c:v>
                </c:pt>
                <c:pt idx="30">
                  <c:v>171.83294479958042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27-4C79-A716-828A5B701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19760"/>
        <c:axId val="513215448"/>
      </c:scatterChart>
      <c:valAx>
        <c:axId val="513219760"/>
        <c:scaling>
          <c:orientation val="minMax"/>
          <c:max val="2028"/>
          <c:min val="1997"/>
        </c:scaling>
        <c:delete val="0"/>
        <c:axPos val="b"/>
        <c:majorGridlines>
          <c:spPr>
            <a:ln w="6350">
              <a:prstDash val="dash"/>
            </a:ln>
          </c:spPr>
        </c:majorGridlines>
        <c:minorGridlines>
          <c:spPr>
            <a:ln w="6350">
              <a:solidFill>
                <a:sysClr val="window" lastClr="FFFFFF">
                  <a:lumMod val="85000"/>
                </a:sysClr>
              </a:solidFill>
              <a:prstDash val="solid"/>
            </a:ln>
          </c:spPr>
        </c:min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513215448"/>
        <c:crosses val="autoZero"/>
        <c:crossBetween val="midCat"/>
        <c:majorUnit val="5"/>
        <c:minorUnit val="1"/>
      </c:valAx>
      <c:valAx>
        <c:axId val="513215448"/>
        <c:scaling>
          <c:orientation val="minMax"/>
          <c:max val="110"/>
          <c:min val="40"/>
        </c:scaling>
        <c:delete val="0"/>
        <c:axPos val="l"/>
        <c:majorGridlines>
          <c:spPr>
            <a:ln w="6350"/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s-ES" sz="1000">
                    <a:latin typeface="Arial" pitchFamily="34" charset="0"/>
                    <a:cs typeface="Arial" pitchFamily="34" charset="0"/>
                  </a:rPr>
                  <a:t>[MVA]</a:t>
                </a:r>
              </a:p>
            </c:rich>
          </c:tx>
          <c:layout>
            <c:manualLayout>
              <c:xMode val="edge"/>
              <c:yMode val="edge"/>
              <c:x val="9.0805902383656201E-3"/>
              <c:y val="4.7087974969672514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5132197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7.5104917293609783E-2"/>
          <c:y val="0.90055156832567895"/>
          <c:w val="0.64759278897136796"/>
          <c:h val="9.8298075765309814E-2"/>
        </c:manualLayout>
      </c:layout>
      <c:overlay val="0"/>
      <c:spPr>
        <a:solidFill>
          <a:sysClr val="window" lastClr="FFFFFF"/>
        </a:solidFill>
        <a:ln w="6350"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b="1" baseline="0">
              <a:solidFill>
                <a:schemeClr val="tx1"/>
              </a:solidFill>
              <a:latin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 w="12700">
      <a:noFill/>
    </a:ln>
  </c:spPr>
  <c:printSettings>
    <c:headerFooter/>
    <c:pageMargins b="0.75000000000001266" l="0.70000000000000062" r="0.70000000000000062" t="0.75000000000001266" header="0.30000000000000032" footer="0.30000000000000032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b="1"/>
            </a:pPr>
            <a:r>
              <a:rPr lang="es-ES" sz="1800" b="1" i="0" u="none" strike="noStrike" baseline="0">
                <a:latin typeface="Arial" pitchFamily="34" charset="0"/>
                <a:cs typeface="Arial" pitchFamily="34" charset="0"/>
              </a:rPr>
              <a:t>ET</a:t>
            </a:r>
            <a:r>
              <a:rPr lang="es-ES" sz="1800" b="1" i="0" baseline="0">
                <a:latin typeface="Arial" pitchFamily="34" charset="0"/>
                <a:cs typeface="Arial" pitchFamily="34" charset="0"/>
              </a:rPr>
              <a:t> Este: </a:t>
            </a:r>
            <a:r>
              <a:rPr lang="en-US" sz="18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2027</a:t>
            </a:r>
            <a:endParaRPr lang="es-ES" sz="1800" b="1" i="0" baseline="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1450275430332588"/>
          <c:y val="3.84228831138608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433249920299524E-2"/>
          <c:y val="0.11198285843012139"/>
          <c:w val="0.89941849006419761"/>
          <c:h val="0.72712975815444636"/>
        </c:manualLayout>
      </c:layout>
      <c:scatterChart>
        <c:scatterStyle val="smoothMarker"/>
        <c:varyColors val="0"/>
        <c:ser>
          <c:idx val="0"/>
          <c:order val="0"/>
          <c:tx>
            <c:v>Potencia Aparente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</c:spPr>
          </c:marker>
          <c:dPt>
            <c:idx val="16"/>
            <c:marker>
              <c:spPr>
                <a:solidFill>
                  <a:srgbClr val="F79646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152-49F7-AE83-9C6EA31FAE59}"/>
              </c:ext>
            </c:extLst>
          </c:dPt>
          <c:dPt>
            <c:idx val="17"/>
            <c:marker>
              <c:spPr>
                <a:solidFill>
                  <a:srgbClr val="F79646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152-49F7-AE83-9C6EA31FAE59}"/>
              </c:ext>
            </c:extLst>
          </c:dPt>
          <c:dPt>
            <c:idx val="18"/>
            <c:marker>
              <c:spPr>
                <a:solidFill>
                  <a:srgbClr val="F79646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152-49F7-AE83-9C6EA31FAE59}"/>
              </c:ext>
            </c:extLst>
          </c:dPt>
          <c:trendline>
            <c:name>Tendencia Lineal</c:name>
            <c:spPr>
              <a:ln w="34925" cmpd="sng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3.7176598948461238E-2"/>
                  <c:y val="-0.18431440284562184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solidFill>
                        <a:schemeClr val="tx1"/>
                      </a:solidFill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'ESTE (2)'!$B$44:$B$74</c:f>
              <c:numCache>
                <c:formatCode>0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'ESTE (2)'!$E$44:$E$74</c:f>
              <c:numCache>
                <c:formatCode>0.00</c:formatCode>
                <c:ptCount val="31"/>
                <c:pt idx="0">
                  <c:v>45.879398926101899</c:v>
                </c:pt>
                <c:pt idx="1">
                  <c:v>61.597713137868425</c:v>
                </c:pt>
                <c:pt idx="2">
                  <c:v>45.658438598524356</c:v>
                </c:pt>
                <c:pt idx="3">
                  <c:v>42.986827365086718</c:v>
                </c:pt>
                <c:pt idx="4">
                  <c:v>46.371537837524627</c:v>
                </c:pt>
                <c:pt idx="5">
                  <c:v>50.188125313864099</c:v>
                </c:pt>
                <c:pt idx="6">
                  <c:v>49.21</c:v>
                </c:pt>
                <c:pt idx="7">
                  <c:v>51.41</c:v>
                </c:pt>
                <c:pt idx="8">
                  <c:v>61.85</c:v>
                </c:pt>
                <c:pt idx="9">
                  <c:v>59.15</c:v>
                </c:pt>
                <c:pt idx="10">
                  <c:v>59.12</c:v>
                </c:pt>
                <c:pt idx="11">
                  <c:v>57.42</c:v>
                </c:pt>
                <c:pt idx="12">
                  <c:v>54.58</c:v>
                </c:pt>
                <c:pt idx="13">
                  <c:v>57.3</c:v>
                </c:pt>
                <c:pt idx="14">
                  <c:v>61.15</c:v>
                </c:pt>
                <c:pt idx="15">
                  <c:v>66.05</c:v>
                </c:pt>
                <c:pt idx="16">
                  <c:v>69.44</c:v>
                </c:pt>
                <c:pt idx="17">
                  <c:v>70.709999999999994</c:v>
                </c:pt>
                <c:pt idx="18">
                  <c:v>69.47</c:v>
                </c:pt>
                <c:pt idx="19">
                  <c:v>62.68</c:v>
                </c:pt>
                <c:pt idx="20">
                  <c:v>68.23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52-49F7-AE83-9C6EA31FAE59}"/>
            </c:ext>
          </c:extLst>
        </c:ser>
        <c:ser>
          <c:idx val="2"/>
          <c:order val="1"/>
          <c:tx>
            <c:v>Potencia Instalada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'ESTE (2)'!$B$44:$B$74</c:f>
              <c:numCache>
                <c:formatCode>0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'ESTE (2)'!$I$44:$I$74</c:f>
              <c:numCache>
                <c:formatCode>0</c:formatCode>
                <c:ptCount val="3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52-49F7-AE83-9C6EA31FAE59}"/>
            </c:ext>
          </c:extLst>
        </c:ser>
        <c:ser>
          <c:idx val="3"/>
          <c:order val="2"/>
          <c:tx>
            <c:v>Precaución (N - 1)</c:v>
          </c:tx>
          <c:spPr>
            <a:ln w="317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'ESTE (2)'!$B$44:$B$74</c:f>
              <c:numCache>
                <c:formatCode>0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'ESTE (2)'!$J$44:$J$74</c:f>
              <c:numCache>
                <c:formatCode>0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52-49F7-AE83-9C6EA31FAE59}"/>
            </c:ext>
          </c:extLst>
        </c:ser>
        <c:ser>
          <c:idx val="4"/>
          <c:order val="3"/>
          <c:tx>
            <c:v>Año de Saturación</c:v>
          </c:tx>
          <c:spPr>
            <a:ln w="19050" cmpd="sng">
              <a:solidFill>
                <a:srgbClr val="1F497D"/>
              </a:solidFill>
              <a:headEnd type="triangle"/>
            </a:ln>
          </c:spPr>
          <c:marker>
            <c:symbol val="none"/>
          </c:marker>
          <c:xVal>
            <c:numRef>
              <c:f>'ESTE (2)'!$N$93:$N$97</c:f>
              <c:numCache>
                <c:formatCode>0.00</c:formatCode>
                <c:ptCount val="5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</c:numCache>
            </c:numRef>
          </c:xVal>
          <c:yVal>
            <c:numRef>
              <c:f>'ESTE (2)'!$O$93:$O$97</c:f>
              <c:numCache>
                <c:formatCode>0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52-49F7-AE83-9C6EA31FAE59}"/>
            </c:ext>
          </c:extLst>
        </c:ser>
        <c:ser>
          <c:idx val="1"/>
          <c:order val="4"/>
          <c:tx>
            <c:v>Planeamiento 2018 - 2027</c:v>
          </c:tx>
          <c:spPr>
            <a:ln w="34925"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6"/>
            <c:spPr>
              <a:solidFill>
                <a:srgbClr val="F79646"/>
              </a:solidFill>
              <a:ln w="15875">
                <a:solidFill>
                  <a:srgbClr val="9BBB59">
                    <a:lumMod val="75000"/>
                  </a:srgbClr>
                </a:solidFill>
              </a:ln>
            </c:spPr>
          </c:marker>
          <c:errBars>
            <c:errDir val="x"/>
            <c:errBarType val="both"/>
            <c:errValType val="stdErr"/>
            <c:noEndCap val="0"/>
            <c:spPr>
              <a:ln>
                <a:noFill/>
              </a:ln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10.44</c:v>
                </c:pt>
              </c:numLit>
            </c:plus>
            <c:minus>
              <c:numLit>
                <c:formatCode>General</c:formatCode>
                <c:ptCount val="1"/>
                <c:pt idx="0">
                  <c:v>10.44</c:v>
                </c:pt>
              </c:numLit>
            </c:minus>
            <c:spPr>
              <a:ln w="12700">
                <a:solidFill>
                  <a:sysClr val="windowText" lastClr="000000"/>
                </a:solidFill>
              </a:ln>
            </c:spPr>
          </c:errBars>
          <c:xVal>
            <c:numRef>
              <c:f>'ESTE (2)'!$B$64:$B$74</c:f>
              <c:numCache>
                <c:formatCode>0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'ESTE (2)'!$H$64:$H$74</c:f>
              <c:numCache>
                <c:formatCode>0.00</c:formatCode>
                <c:ptCount val="11"/>
                <c:pt idx="0">
                  <c:v>68.23</c:v>
                </c:pt>
                <c:pt idx="1">
                  <c:v>69.38000000000001</c:v>
                </c:pt>
                <c:pt idx="2">
                  <c:v>70.530000000000015</c:v>
                </c:pt>
                <c:pt idx="3">
                  <c:v>71.680000000000021</c:v>
                </c:pt>
                <c:pt idx="4">
                  <c:v>72.830000000000027</c:v>
                </c:pt>
                <c:pt idx="5">
                  <c:v>73.980000000000032</c:v>
                </c:pt>
                <c:pt idx="6">
                  <c:v>75.130000000000038</c:v>
                </c:pt>
                <c:pt idx="7">
                  <c:v>76.280000000000044</c:v>
                </c:pt>
                <c:pt idx="8">
                  <c:v>77.430000000000049</c:v>
                </c:pt>
                <c:pt idx="9">
                  <c:v>78.580000000000055</c:v>
                </c:pt>
                <c:pt idx="10">
                  <c:v>79.730000000000061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52-49F7-AE83-9C6EA31FA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18192"/>
        <c:axId val="513220544"/>
      </c:scatterChart>
      <c:valAx>
        <c:axId val="513218192"/>
        <c:scaling>
          <c:orientation val="minMax"/>
          <c:max val="2028"/>
          <c:min val="1997"/>
        </c:scaling>
        <c:delete val="0"/>
        <c:axPos val="b"/>
        <c:majorGridlines>
          <c:spPr>
            <a:ln w="6350">
              <a:prstDash val="dash"/>
            </a:ln>
          </c:spPr>
        </c:majorGridlines>
        <c:minorGridlines>
          <c:spPr>
            <a:ln w="6350">
              <a:solidFill>
                <a:sysClr val="window" lastClr="FFFFFF">
                  <a:lumMod val="85000"/>
                </a:sysClr>
              </a:solidFill>
              <a:prstDash val="solid"/>
            </a:ln>
          </c:spPr>
        </c:min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513220544"/>
        <c:crosses val="autoZero"/>
        <c:crossBetween val="midCat"/>
        <c:majorUnit val="5"/>
        <c:minorUnit val="1"/>
      </c:valAx>
      <c:valAx>
        <c:axId val="513220544"/>
        <c:scaling>
          <c:orientation val="minMax"/>
          <c:max val="110"/>
          <c:min val="40"/>
        </c:scaling>
        <c:delete val="0"/>
        <c:axPos val="l"/>
        <c:majorGridlines>
          <c:spPr>
            <a:ln w="6350"/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s-ES" sz="1000">
                    <a:latin typeface="Arial" pitchFamily="34" charset="0"/>
                    <a:cs typeface="Arial" pitchFamily="34" charset="0"/>
                  </a:rPr>
                  <a:t>[MVA]</a:t>
                </a:r>
              </a:p>
            </c:rich>
          </c:tx>
          <c:layout>
            <c:manualLayout>
              <c:xMode val="edge"/>
              <c:yMode val="edge"/>
              <c:x val="9.0805902383656201E-3"/>
              <c:y val="4.7087974969672514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5132181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7.5104917293609783E-2"/>
          <c:y val="0.90055156832567895"/>
          <c:w val="0.91499759242713963"/>
          <c:h val="6.8291891817057179E-2"/>
        </c:manualLayout>
      </c:layout>
      <c:overlay val="0"/>
      <c:spPr>
        <a:solidFill>
          <a:sysClr val="window" lastClr="FFFFFF"/>
        </a:solidFill>
        <a:ln w="6350"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b="1" baseline="0">
              <a:solidFill>
                <a:schemeClr val="tx1"/>
              </a:solidFill>
              <a:latin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 w="12700">
      <a:noFill/>
    </a:ln>
  </c:spPr>
  <c:printSettings>
    <c:headerFooter/>
    <c:pageMargins b="0.75000000000001266" l="0.70000000000000062" r="0.70000000000000062" t="0.75000000000001266" header="0.30000000000000032" footer="0.30000000000000032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atin typeface="Arial" pitchFamily="34" charset="0"/>
                <a:cs typeface="Arial" pitchFamily="34" charset="0"/>
              </a:rPr>
              <a:t>ET Jardin: </a:t>
            </a:r>
            <a:r>
              <a:rPr lang="en-US" sz="18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2027</a:t>
            </a:r>
            <a:endParaRPr lang="es-ES" sz="1800" b="1" i="0" baseline="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1087696522994462"/>
          <c:y val="2.67019804342638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499547060037875E-2"/>
          <c:y val="9.9105584774876854E-2"/>
          <c:w val="0.91953611243741118"/>
          <c:h val="0.73401146456692912"/>
        </c:manualLayout>
      </c:layout>
      <c:scatterChart>
        <c:scatterStyle val="smoothMarker"/>
        <c:varyColors val="0"/>
        <c:ser>
          <c:idx val="0"/>
          <c:order val="0"/>
          <c:tx>
            <c:v>Potencia Instalada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JARDIN!$B$45:$B$75</c:f>
              <c:numCache>
                <c:formatCode>0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JARDIN!$I$45:$I$75</c:f>
              <c:numCache>
                <c:formatCode>0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90-4A56-B229-9CA302651FDD}"/>
            </c:ext>
          </c:extLst>
        </c:ser>
        <c:ser>
          <c:idx val="1"/>
          <c:order val="1"/>
          <c:tx>
            <c:v>Precaución (N - 1)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JARDIN!$B$45:$B$75</c:f>
              <c:numCache>
                <c:formatCode>0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JARDIN!$J$45:$J$75</c:f>
              <c:numCache>
                <c:formatCode>0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90-4A56-B229-9CA302651FDD}"/>
            </c:ext>
          </c:extLst>
        </c:ser>
        <c:ser>
          <c:idx val="2"/>
          <c:order val="2"/>
          <c:tx>
            <c:v>Potencia Aparente</c:v>
          </c:tx>
          <c:spPr>
            <a:ln w="34925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2225">
                <a:solidFill>
                  <a:schemeClr val="tx1"/>
                </a:solidFill>
              </a:ln>
            </c:spPr>
          </c:marker>
          <c:trendline>
            <c:name>Tendencia lineal</c:name>
            <c:spPr>
              <a:ln w="31750" cap="sq">
                <a:solidFill>
                  <a:schemeClr val="accent1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1.7023953308995744E-2"/>
                  <c:y val="5.8338939632545932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JARDIN!$B$45:$B$75</c:f>
              <c:numCache>
                <c:formatCode>0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JARDIN!$E$45:$E$75</c:f>
              <c:numCache>
                <c:formatCode>0.00</c:formatCode>
                <c:ptCount val="31"/>
                <c:pt idx="0">
                  <c:v>21.692843913607792</c:v>
                </c:pt>
                <c:pt idx="1">
                  <c:v>21.958262239138993</c:v>
                </c:pt>
                <c:pt idx="2">
                  <c:v>22.580974464423736</c:v>
                </c:pt>
                <c:pt idx="3">
                  <c:v>31.646031121027836</c:v>
                </c:pt>
                <c:pt idx="4">
                  <c:v>34.48396552478453</c:v>
                </c:pt>
                <c:pt idx="5">
                  <c:v>33.299791457029933</c:v>
                </c:pt>
                <c:pt idx="6">
                  <c:v>35.979999999999997</c:v>
                </c:pt>
                <c:pt idx="7">
                  <c:v>34.85</c:v>
                </c:pt>
                <c:pt idx="8">
                  <c:v>36.35</c:v>
                </c:pt>
                <c:pt idx="9">
                  <c:v>35.17</c:v>
                </c:pt>
                <c:pt idx="10">
                  <c:v>38.549999999999997</c:v>
                </c:pt>
                <c:pt idx="11">
                  <c:v>39.479999999999997</c:v>
                </c:pt>
                <c:pt idx="12">
                  <c:v>40.479999999999997</c:v>
                </c:pt>
                <c:pt idx="13">
                  <c:v>40.299999999999997</c:v>
                </c:pt>
                <c:pt idx="14">
                  <c:v>43.95</c:v>
                </c:pt>
                <c:pt idx="15">
                  <c:v>53.21</c:v>
                </c:pt>
                <c:pt idx="16">
                  <c:v>53.29</c:v>
                </c:pt>
                <c:pt idx="17">
                  <c:v>60.25</c:v>
                </c:pt>
                <c:pt idx="18">
                  <c:v>56.71</c:v>
                </c:pt>
                <c:pt idx="19">
                  <c:v>59.73</c:v>
                </c:pt>
                <c:pt idx="20">
                  <c:v>61.45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90-4A56-B229-9CA302651FDD}"/>
            </c:ext>
          </c:extLst>
        </c:ser>
        <c:ser>
          <c:idx val="4"/>
          <c:order val="3"/>
          <c:tx>
            <c:v>Planeamiento 2018 - 2027</c:v>
          </c:tx>
          <c:spPr>
            <a:ln w="34925"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2225">
                <a:solidFill>
                  <a:schemeClr val="accent3">
                    <a:lumMod val="75000"/>
                  </a:schemeClr>
                </a:solidFill>
              </a:ln>
            </c:spPr>
          </c:marker>
          <c:dPt>
            <c:idx val="7"/>
            <c:marker>
              <c:spPr>
                <a:solidFill>
                  <a:schemeClr val="accent6"/>
                </a:solidFill>
                <a:ln w="22225">
                  <a:solidFill>
                    <a:schemeClr val="accent3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090-4A56-B229-9CA302651FDD}"/>
              </c:ext>
            </c:extLst>
          </c:dPt>
          <c:dPt>
            <c:idx val="8"/>
            <c:marker>
              <c:spPr>
                <a:solidFill>
                  <a:schemeClr val="accent6"/>
                </a:solidFill>
                <a:ln w="22225">
                  <a:solidFill>
                    <a:schemeClr val="accent3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090-4A56-B229-9CA302651FDD}"/>
              </c:ext>
            </c:extLst>
          </c:dPt>
          <c:dPt>
            <c:idx val="9"/>
            <c:marker>
              <c:spPr>
                <a:solidFill>
                  <a:schemeClr val="accent6"/>
                </a:solidFill>
                <a:ln w="22225">
                  <a:solidFill>
                    <a:schemeClr val="accent3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090-4A56-B229-9CA302651FDD}"/>
              </c:ext>
            </c:extLst>
          </c:dPt>
          <c:dPt>
            <c:idx val="10"/>
            <c:marker>
              <c:spPr>
                <a:solidFill>
                  <a:schemeClr val="accent6"/>
                </a:solidFill>
                <a:ln w="22225">
                  <a:solidFill>
                    <a:schemeClr val="accent3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090-4A56-B229-9CA302651FDD}"/>
              </c:ext>
            </c:extLst>
          </c:dPt>
          <c:xVal>
            <c:numRef>
              <c:f>JARDIN!$B$65:$B$75</c:f>
              <c:numCache>
                <c:formatCode>0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JARDIN!$H$65:$H$75</c:f>
              <c:numCache>
                <c:formatCode>0.00</c:formatCode>
                <c:ptCount val="11"/>
                <c:pt idx="0">
                  <c:v>61.45</c:v>
                </c:pt>
                <c:pt idx="1">
                  <c:v>63.38</c:v>
                </c:pt>
                <c:pt idx="2">
                  <c:v>65.31</c:v>
                </c:pt>
                <c:pt idx="3">
                  <c:v>67.240000000000009</c:v>
                </c:pt>
                <c:pt idx="4">
                  <c:v>69.170000000000016</c:v>
                </c:pt>
                <c:pt idx="5">
                  <c:v>71.100000000000023</c:v>
                </c:pt>
                <c:pt idx="6">
                  <c:v>73.03000000000003</c:v>
                </c:pt>
                <c:pt idx="7">
                  <c:v>74.960000000000036</c:v>
                </c:pt>
                <c:pt idx="8">
                  <c:v>76.890000000000043</c:v>
                </c:pt>
                <c:pt idx="9">
                  <c:v>78.82000000000005</c:v>
                </c:pt>
                <c:pt idx="10">
                  <c:v>80.750000000000057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90-4A56-B229-9CA30265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21328"/>
        <c:axId val="513221720"/>
      </c:scatterChart>
      <c:valAx>
        <c:axId val="513221328"/>
        <c:scaling>
          <c:orientation val="minMax"/>
          <c:max val="2028"/>
          <c:min val="199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513221720"/>
        <c:crosses val="autoZero"/>
        <c:crossBetween val="midCat"/>
        <c:majorUnit val="5"/>
        <c:minorUnit val="1"/>
      </c:valAx>
      <c:valAx>
        <c:axId val="513221720"/>
        <c:scaling>
          <c:orientation val="minMax"/>
          <c:min val="2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latin typeface="Arial" pitchFamily="34" charset="0"/>
                    <a:cs typeface="Arial" pitchFamily="34" charset="0"/>
                  </a:rPr>
                  <a:t>[MVA]</a:t>
                </a:r>
                <a:endParaRPr lang="es-ES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1.3468011881072389E-2"/>
              <c:y val="2.9273908329026769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5132213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4.701288948167992E-2"/>
          <c:y val="0.89760235170603675"/>
          <c:w val="0.92450562919402945"/>
          <c:h val="6.9603107611548559E-2"/>
        </c:manualLayout>
      </c:layout>
      <c:overlay val="0"/>
      <c:spPr>
        <a:solidFill>
          <a:schemeClr val="bg1"/>
        </a:solidFill>
        <a:ln w="6350">
          <a:solidFill>
            <a:schemeClr val="bg1">
              <a:lumMod val="85000"/>
            </a:schemeClr>
          </a:solidFill>
        </a:ln>
      </c:spPr>
      <c:txPr>
        <a:bodyPr/>
        <a:lstStyle/>
        <a:p>
          <a:pPr>
            <a:defRPr sz="1000" b="1" baseline="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099" l="0.70000000000000062" r="0.70000000000000062" t="0.7500000000000109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b="1"/>
            </a:pPr>
            <a:r>
              <a:rPr lang="en-US" b="1" i="0" baseline="0"/>
              <a:t>E.T. Centro: Demanda Histórica y Pronósticos al 2027</a:t>
            </a:r>
          </a:p>
        </c:rich>
      </c:tx>
      <c:layout>
        <c:manualLayout>
          <c:xMode val="edge"/>
          <c:yMode val="edge"/>
          <c:x val="0.19811361268283675"/>
          <c:y val="2.9865538652328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433249920299524E-2"/>
          <c:y val="0.11198285843012139"/>
          <c:w val="0.90194433160179899"/>
          <c:h val="0.74476857868494595"/>
        </c:manualLayout>
      </c:layout>
      <c:scatterChart>
        <c:scatterStyle val="smoothMarker"/>
        <c:varyColors val="0"/>
        <c:ser>
          <c:idx val="0"/>
          <c:order val="0"/>
          <c:tx>
            <c:v>Potencia Aparente</c:v>
          </c:tx>
          <c:spPr>
            <a:ln w="34925">
              <a:solidFill>
                <a:prstClr val="black"/>
              </a:solidFill>
            </a:ln>
          </c:spPr>
          <c:marker>
            <c:symbol val="circle"/>
            <c:size val="5"/>
            <c:spPr>
              <a:solidFill>
                <a:schemeClr val="bg1">
                  <a:alpha val="99000"/>
                </a:schemeClr>
              </a:solidFill>
              <a:ln w="15875">
                <a:solidFill>
                  <a:schemeClr val="tx1"/>
                </a:solidFill>
              </a:ln>
            </c:spPr>
          </c:marker>
          <c:dPt>
            <c:idx val="15"/>
            <c:marker>
              <c:spPr>
                <a:solidFill>
                  <a:schemeClr val="accent6">
                    <a:alpha val="99000"/>
                  </a:schemeClr>
                </a:solidFill>
                <a:ln w="1587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AEF-4432-873D-CD2C80EB2685}"/>
              </c:ext>
            </c:extLst>
          </c:dPt>
          <c:dPt>
            <c:idx val="16"/>
            <c:marker>
              <c:spPr>
                <a:solidFill>
                  <a:schemeClr val="accent6">
                    <a:alpha val="99000"/>
                  </a:schemeClr>
                </a:solidFill>
                <a:ln w="1587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AEF-4432-873D-CD2C80EB2685}"/>
              </c:ext>
            </c:extLst>
          </c:dPt>
          <c:dPt>
            <c:idx val="18"/>
            <c:marker>
              <c:spPr>
                <a:solidFill>
                  <a:schemeClr val="accent6">
                    <a:alpha val="99000"/>
                  </a:schemeClr>
                </a:solidFill>
                <a:ln w="15875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AEF-4432-873D-CD2C80EB2685}"/>
              </c:ext>
            </c:extLst>
          </c:dPt>
          <c:trendline>
            <c:name>Tendencia Lineal</c:name>
            <c:spPr>
              <a:ln w="31750" cmpd="sng">
                <a:solidFill>
                  <a:schemeClr val="accent1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3.5672113850090344E-2"/>
                  <c:y val="7.225084728486609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3175">
                  <a:solidFill>
                    <a:schemeClr val="tx1"/>
                  </a:solidFill>
                </a:ln>
              </c:spPr>
              <c:txPr>
                <a:bodyPr/>
                <a:lstStyle/>
                <a:p>
                  <a:pPr>
                    <a:defRPr/>
                  </a:pPr>
                  <a:endParaRPr lang="es-AR"/>
                </a:p>
              </c:txPr>
            </c:trendlineLbl>
          </c:trendline>
          <c:xVal>
            <c:numRef>
              <c:f>CENTRO!$B$45:$B$75</c:f>
              <c:numCache>
                <c:formatCode>0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CENTRO!$E$45:$E$75</c:f>
              <c:numCache>
                <c:formatCode>0.00</c:formatCode>
                <c:ptCount val="31"/>
                <c:pt idx="0">
                  <c:v>19.92896064581231</c:v>
                </c:pt>
                <c:pt idx="1">
                  <c:v>29.541876892028256</c:v>
                </c:pt>
                <c:pt idx="2">
                  <c:v>45.357013118062568</c:v>
                </c:pt>
                <c:pt idx="3">
                  <c:v>27.70534813319879</c:v>
                </c:pt>
                <c:pt idx="4">
                  <c:v>33.162462159434916</c:v>
                </c:pt>
                <c:pt idx="5">
                  <c:v>55.179818365287588</c:v>
                </c:pt>
                <c:pt idx="6">
                  <c:v>48.43</c:v>
                </c:pt>
                <c:pt idx="7">
                  <c:v>48.5</c:v>
                </c:pt>
                <c:pt idx="8">
                  <c:v>50.57</c:v>
                </c:pt>
                <c:pt idx="9">
                  <c:v>56.74</c:v>
                </c:pt>
                <c:pt idx="10">
                  <c:v>52.71</c:v>
                </c:pt>
                <c:pt idx="11">
                  <c:v>54.94</c:v>
                </c:pt>
                <c:pt idx="12">
                  <c:v>61.75</c:v>
                </c:pt>
                <c:pt idx="13">
                  <c:v>63.69</c:v>
                </c:pt>
                <c:pt idx="14">
                  <c:v>60.51</c:v>
                </c:pt>
                <c:pt idx="15">
                  <c:v>79.290000000000006</c:v>
                </c:pt>
                <c:pt idx="16">
                  <c:v>76.430000000000007</c:v>
                </c:pt>
                <c:pt idx="17">
                  <c:v>74.180000000000007</c:v>
                </c:pt>
                <c:pt idx="18">
                  <c:v>69.69</c:v>
                </c:pt>
                <c:pt idx="19">
                  <c:v>76.27</c:v>
                </c:pt>
                <c:pt idx="20">
                  <c:v>75.010000000000005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EF-4432-873D-CD2C80EB2685}"/>
            </c:ext>
          </c:extLst>
        </c:ser>
        <c:ser>
          <c:idx val="1"/>
          <c:order val="1"/>
          <c:tx>
            <c:v>Potencia Instalada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CENTRO!$B$45:$B$75</c:f>
              <c:numCache>
                <c:formatCode>0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CENTRO!$I$45:$I$75</c:f>
              <c:numCache>
                <c:formatCode>0</c:formatCode>
                <c:ptCount val="3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EF-4432-873D-CD2C80EB2685}"/>
            </c:ext>
          </c:extLst>
        </c:ser>
        <c:ser>
          <c:idx val="4"/>
          <c:order val="2"/>
          <c:tx>
            <c:v>Precaucion (N - 1) </c:v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CENTRO!$B$45:$B$75</c:f>
              <c:numCache>
                <c:formatCode>0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CENTRO!$J$45:$J$75</c:f>
              <c:numCache>
                <c:formatCode>0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EF-4432-873D-CD2C80EB2685}"/>
            </c:ext>
          </c:extLst>
        </c:ser>
        <c:ser>
          <c:idx val="2"/>
          <c:order val="3"/>
          <c:tx>
            <c:v>Planeamiento 2018 - 2027</c:v>
          </c:tx>
          <c:spPr>
            <a:ln w="34925"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15875">
                <a:solidFill>
                  <a:schemeClr val="accent3">
                    <a:lumMod val="75000"/>
                  </a:schemeClr>
                </a:solidFill>
              </a:ln>
            </c:spPr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6-AAEF-4432-873D-CD2C80EB2685}"/>
              </c:ext>
            </c:extLst>
          </c:dPt>
          <c:xVal>
            <c:numRef>
              <c:f>CENTRO!$B$65:$B$75</c:f>
              <c:numCache>
                <c:formatCode>0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CENTRO!$H$65:$H$75</c:f>
              <c:numCache>
                <c:formatCode>0.00</c:formatCode>
                <c:ptCount val="11"/>
                <c:pt idx="0">
                  <c:v>75.010000000000005</c:v>
                </c:pt>
                <c:pt idx="1">
                  <c:v>77.61</c:v>
                </c:pt>
                <c:pt idx="2">
                  <c:v>80.209999999999994</c:v>
                </c:pt>
                <c:pt idx="3">
                  <c:v>82.809999999999988</c:v>
                </c:pt>
                <c:pt idx="4">
                  <c:v>85.409999999999982</c:v>
                </c:pt>
                <c:pt idx="5">
                  <c:v>88.009999999999977</c:v>
                </c:pt>
                <c:pt idx="6">
                  <c:v>90.609999999999971</c:v>
                </c:pt>
                <c:pt idx="7">
                  <c:v>93.209999999999965</c:v>
                </c:pt>
                <c:pt idx="8">
                  <c:v>95.80999999999996</c:v>
                </c:pt>
                <c:pt idx="9">
                  <c:v>98.409999999999954</c:v>
                </c:pt>
                <c:pt idx="10">
                  <c:v>101.00999999999995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EF-4432-873D-CD2C80EB2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22504"/>
        <c:axId val="513217800"/>
      </c:scatterChart>
      <c:valAx>
        <c:axId val="513222504"/>
        <c:scaling>
          <c:orientation val="minMax"/>
          <c:max val="2028"/>
          <c:min val="199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 w="6350">
              <a:prstDash val="solid"/>
            </a:ln>
          </c:spPr>
        </c:min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es-AR"/>
          </a:p>
        </c:txPr>
        <c:crossAx val="513217800"/>
        <c:crosses val="autoZero"/>
        <c:crossBetween val="midCat"/>
        <c:majorUnit val="5"/>
        <c:minorUnit val="1"/>
      </c:valAx>
      <c:valAx>
        <c:axId val="513217800"/>
        <c:scaling>
          <c:orientation val="minMax"/>
          <c:max val="14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/>
                  <a:t>[MVA]</a:t>
                </a:r>
              </a:p>
            </c:rich>
          </c:tx>
          <c:layout>
            <c:manualLayout>
              <c:xMode val="edge"/>
              <c:yMode val="edge"/>
              <c:x val="1.6563146997929608E-2"/>
              <c:y val="4.0221098097261945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51322250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4108363339004729E-2"/>
          <c:y val="0.92252682006982134"/>
          <c:w val="0.89999994724277554"/>
          <c:h val="6.9176328687069466E-2"/>
        </c:manualLayout>
      </c:layout>
      <c:overlay val="0"/>
      <c:spPr>
        <a:solidFill>
          <a:schemeClr val="bg1"/>
        </a:solidFill>
        <a:ln w="6350">
          <a:solidFill>
            <a:schemeClr val="bg1">
              <a:lumMod val="85000"/>
            </a:schemeClr>
          </a:solidFill>
        </a:ln>
      </c:spPr>
      <c:txPr>
        <a:bodyPr/>
        <a:lstStyle/>
        <a:p>
          <a:pPr>
            <a:defRPr b="1"/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12700">
      <a:noFill/>
    </a:ln>
  </c:spPr>
  <c:txPr>
    <a:bodyPr/>
    <a:lstStyle/>
    <a:p>
      <a:pPr>
        <a:defRPr baseline="0">
          <a:latin typeface="Arial" panose="020B0604020202020204" pitchFamily="34" charset="0"/>
        </a:defRPr>
      </a:pPr>
      <a:endParaRPr lang="es-AR"/>
    </a:p>
  </c:txPr>
  <c:printSettings>
    <c:headerFooter/>
    <c:pageMargins b="0.75000000000001266" l="0.70000000000000062" r="0.70000000000000062" t="0.75000000000001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atin typeface="Arial" pitchFamily="34" charset="0"/>
                <a:cs typeface="Arial" pitchFamily="34" charset="0"/>
              </a:rPr>
              <a:t>Zona A Capital: </a:t>
            </a:r>
            <a:r>
              <a:rPr lang="en-US" sz="18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2027</a:t>
            </a:r>
            <a:endParaRPr lang="en-US" sz="1800" b="1" i="0" baseline="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8916568605543307"/>
          <c:y val="2.678887004076259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1029769927407716E-2"/>
          <c:y val="0.10585547350953825"/>
          <c:w val="0.91176789345025766"/>
          <c:h val="0.71798296917065418"/>
        </c:manualLayout>
      </c:layout>
      <c:scatterChart>
        <c:scatterStyle val="smoothMarker"/>
        <c:varyColors val="0"/>
        <c:ser>
          <c:idx val="2"/>
          <c:order val="0"/>
          <c:tx>
            <c:v>Serie Historica S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</c:spPr>
          </c:marker>
          <c:dPt>
            <c:idx val="12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81A-4A3B-B89B-97AFA05CB2EE}"/>
              </c:ext>
            </c:extLst>
          </c:dPt>
          <c:dPt>
            <c:idx val="13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81A-4A3B-B89B-97AFA05CB2EE}"/>
              </c:ext>
            </c:extLst>
          </c:dPt>
          <c:dPt>
            <c:idx val="14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81A-4A3B-B89B-97AFA05CB2EE}"/>
              </c:ext>
            </c:extLst>
          </c:dPt>
          <c:dPt>
            <c:idx val="15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81A-4A3B-B89B-97AFA05CB2EE}"/>
              </c:ext>
            </c:extLst>
          </c:dPt>
          <c:dPt>
            <c:idx val="17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81A-4A3B-B89B-97AFA05CB2EE}"/>
              </c:ext>
            </c:extLst>
          </c:dPt>
          <c:trendline>
            <c:name>Tendencia Lineal</c:name>
            <c:spPr>
              <a:ln w="25400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1"/>
            <c:trendlineLbl>
              <c:layout>
                <c:manualLayout>
                  <c:x val="4.1549213953114145E-2"/>
                  <c:y val="0.1303982051748481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s-AR"/>
                </a:p>
              </c:txPr>
            </c:trendlineLbl>
          </c:trendline>
          <c:xVal>
            <c:numRef>
              <c:f>'Zona A'!$B$148:$B$170</c:f>
              <c:numCache>
                <c:formatCode>General</c:formatCode>
                <c:ptCount val="2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</c:numCache>
            </c:numRef>
          </c:xVal>
          <c:yVal>
            <c:numRef>
              <c:f>'Zona A'!$E$148:$E$170</c:f>
              <c:numCache>
                <c:formatCode>0.00</c:formatCode>
                <c:ptCount val="23"/>
                <c:pt idx="0">
                  <c:v>539.79591836734699</c:v>
                </c:pt>
                <c:pt idx="1">
                  <c:v>530.61224489795916</c:v>
                </c:pt>
                <c:pt idx="2">
                  <c:v>573.46938775510205</c:v>
                </c:pt>
                <c:pt idx="3">
                  <c:v>573.46938775510205</c:v>
                </c:pt>
                <c:pt idx="4">
                  <c:v>590.81632653061229</c:v>
                </c:pt>
                <c:pt idx="5">
                  <c:v>619.38775510204084</c:v>
                </c:pt>
                <c:pt idx="6">
                  <c:v>603.0612244897959</c:v>
                </c:pt>
                <c:pt idx="7">
                  <c:v>629.77551020408157</c:v>
                </c:pt>
                <c:pt idx="8">
                  <c:v>652.33673469387747</c:v>
                </c:pt>
                <c:pt idx="9">
                  <c:v>728.12244897959181</c:v>
                </c:pt>
                <c:pt idx="10">
                  <c:v>757.21428571428578</c:v>
                </c:pt>
                <c:pt idx="11">
                  <c:v>751.17346938775506</c:v>
                </c:pt>
                <c:pt idx="12">
                  <c:v>787.14285714285711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1A-4A3B-B89B-97AFA05CB2EE}"/>
            </c:ext>
          </c:extLst>
        </c:ser>
        <c:ser>
          <c:idx val="5"/>
          <c:order val="1"/>
          <c:tx>
            <c:v>Planeamiento 2018 - 2027</c:v>
          </c:tx>
          <c:spPr>
            <a:ln w="34925"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rgbClr val="9BBB59">
                    <a:lumMod val="75000"/>
                  </a:srgbClr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6-B81A-4A3B-B89B-97AFA05CB2EE}"/>
              </c:ext>
            </c:extLst>
          </c:dPt>
          <c:xVal>
            <c:numRef>
              <c:f>'Zona A'!$B$160:$B$170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'Zona A'!$H$160:$H$170</c:f>
              <c:numCache>
                <c:formatCode>0.00</c:formatCode>
                <c:ptCount val="11"/>
                <c:pt idx="0">
                  <c:v>787.14285714285711</c:v>
                </c:pt>
                <c:pt idx="1">
                  <c:v>808.6768571428571</c:v>
                </c:pt>
                <c:pt idx="2">
                  <c:v>830.21085714285709</c:v>
                </c:pt>
                <c:pt idx="3">
                  <c:v>851.74485714285709</c:v>
                </c:pt>
                <c:pt idx="4">
                  <c:v>873.27885714285708</c:v>
                </c:pt>
                <c:pt idx="5">
                  <c:v>894.81285714285707</c:v>
                </c:pt>
                <c:pt idx="6">
                  <c:v>916.34685714285706</c:v>
                </c:pt>
                <c:pt idx="7">
                  <c:v>937.88085714285705</c:v>
                </c:pt>
                <c:pt idx="8">
                  <c:v>959.41485714285704</c:v>
                </c:pt>
                <c:pt idx="9">
                  <c:v>980.94885714285704</c:v>
                </c:pt>
                <c:pt idx="10">
                  <c:v>1002.482857142857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1A-4A3B-B89B-97AFA05CB2EE}"/>
            </c:ext>
          </c:extLst>
        </c:ser>
        <c:ser>
          <c:idx val="0"/>
          <c:order val="2"/>
          <c:tx>
            <c:v>Serie GDominguez</c:v>
          </c:tx>
          <c:trendline>
            <c:name>Tendencia Dominguez</c:name>
            <c:spPr>
              <a:ln w="34925">
                <a:solidFill>
                  <a:srgbClr val="F79646"/>
                </a:solidFill>
                <a:prstDash val="sysDot"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'Zona A'!$B$145:$B$170</c:f>
              <c:numCache>
                <c:formatCode>General</c:formatCode>
                <c:ptCount val="2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  <c:pt idx="23">
                  <c:v>2025</c:v>
                </c:pt>
                <c:pt idx="24">
                  <c:v>2026</c:v>
                </c:pt>
                <c:pt idx="25">
                  <c:v>2027</c:v>
                </c:pt>
              </c:numCache>
            </c:numRef>
          </c:xVal>
          <c:yVal>
            <c:numRef>
              <c:f>'Zona A'!$M$145:$M$170</c:f>
              <c:numCache>
                <c:formatCode>0.00</c:formatCode>
                <c:ptCount val="26"/>
                <c:pt idx="1">
                  <c:v>514.71427300000005</c:v>
                </c:pt>
                <c:pt idx="2">
                  <c:v>531.876169</c:v>
                </c:pt>
                <c:pt idx="3">
                  <c:v>553.78527999999994</c:v>
                </c:pt>
                <c:pt idx="4">
                  <c:v>547.46594400000004</c:v>
                </c:pt>
                <c:pt idx="5">
                  <c:v>592.29999999999995</c:v>
                </c:pt>
                <c:pt idx="6">
                  <c:v>608.66999999999996</c:v>
                </c:pt>
                <c:pt idx="7">
                  <c:v>615.01</c:v>
                </c:pt>
                <c:pt idx="8">
                  <c:v>671.35</c:v>
                </c:pt>
                <c:pt idx="9">
                  <c:v>720.55</c:v>
                </c:pt>
                <c:pt idx="10">
                  <c:v>744.22</c:v>
                </c:pt>
                <c:pt idx="11">
                  <c:v>741.1</c:v>
                </c:pt>
                <c:pt idx="12">
                  <c:v>805.89</c:v>
                </c:pt>
                <c:pt idx="13">
                  <c:v>767.91889400000002</c:v>
                </c:pt>
                <c:pt idx="14">
                  <c:v>811.85396700000001</c:v>
                </c:pt>
                <c:pt idx="15">
                  <c:v>771.4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F36-46A0-939D-92D0F224E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90552"/>
        <c:axId val="497992120"/>
      </c:scatterChart>
      <c:valAx>
        <c:axId val="497990552"/>
        <c:scaling>
          <c:orientation val="minMax"/>
          <c:max val="2028"/>
          <c:min val="2002"/>
        </c:scaling>
        <c:delete val="0"/>
        <c:axPos val="b"/>
        <c:majorGridlines>
          <c:spPr>
            <a:ln w="6350" cmpd="sng">
              <a:solidFill>
                <a:sysClr val="window" lastClr="FFFFFF">
                  <a:lumMod val="75000"/>
                </a:sysClr>
              </a:solidFill>
              <a:prstDash val="dash"/>
            </a:ln>
          </c:spPr>
        </c:majorGridlines>
        <c:minorGridlines>
          <c:spPr>
            <a:ln w="6350">
              <a:solidFill>
                <a:sysClr val="window" lastClr="FFFFFF">
                  <a:lumMod val="85000"/>
                </a:sysClr>
              </a:solidFill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spPr>
          <a:ln cmpd="sng">
            <a:solidFill>
              <a:srgbClr val="9BBB59">
                <a:lumMod val="75000"/>
              </a:srgbClr>
            </a:solidFill>
          </a:ln>
        </c:spPr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97992120"/>
        <c:crosses val="autoZero"/>
        <c:crossBetween val="midCat"/>
        <c:majorUnit val="5"/>
        <c:minorUnit val="1"/>
      </c:valAx>
      <c:valAx>
        <c:axId val="497992120"/>
        <c:scaling>
          <c:orientation val="minMax"/>
          <c:max val="1100"/>
          <c:min val="450"/>
        </c:scaling>
        <c:delete val="0"/>
        <c:axPos val="l"/>
        <c:majorGridlines>
          <c:spPr>
            <a:ln w="6350"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latin typeface="Arial" pitchFamily="34" charset="0"/>
                    <a:cs typeface="Arial" pitchFamily="34" charset="0"/>
                  </a:rPr>
                  <a:t>[MVA]</a:t>
                </a:r>
                <a:endParaRPr lang="es-ES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6.0060060060060094E-3"/>
              <c:y val="4.1913129913706923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97990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1273717702365736E-2"/>
          <c:y val="0.89888256542189648"/>
          <c:w val="0.92885683579261591"/>
          <c:h val="0.10111743457810347"/>
        </c:manualLayout>
      </c:layout>
      <c:overlay val="0"/>
      <c:spPr>
        <a:solidFill>
          <a:sysClr val="window" lastClr="FFFFFF"/>
        </a:solidFill>
        <a:ln w="3175">
          <a:solidFill>
            <a:sysClr val="window" lastClr="FFFFFF">
              <a:lumMod val="75000"/>
            </a:sysClr>
          </a:solidFill>
        </a:ln>
      </c:spPr>
      <c:txPr>
        <a:bodyPr/>
        <a:lstStyle/>
        <a:p>
          <a:pPr>
            <a:defRPr sz="1000" b="1" baseline="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4803149606299213" l="0.70866141732283472" r="0.70866141732283472" t="0.74803149606299213" header="0.31496062992125984" footer="0.31496062992125984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 rtl="0">
              <a:defRPr sz="1600" b="1"/>
            </a:pPr>
            <a:r>
              <a:rPr lang="en-US" sz="1800" b="1" i="0" baseline="0"/>
              <a:t>E.T. Rodriguez del Busto: Demanda Histórica y Pronósticos al 2027 </a:t>
            </a:r>
          </a:p>
        </c:rich>
      </c:tx>
      <c:layout>
        <c:manualLayout>
          <c:xMode val="edge"/>
          <c:yMode val="edge"/>
          <c:x val="0.1096771115465314"/>
          <c:y val="1.7643352236925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5550640477749274E-2"/>
          <c:y val="9.7401757072032649E-2"/>
          <c:w val="0.89900288887819702"/>
          <c:h val="0.74584288075101712"/>
        </c:manualLayout>
      </c:layout>
      <c:scatterChart>
        <c:scatterStyle val="smoothMarker"/>
        <c:varyColors val="0"/>
        <c:ser>
          <c:idx val="0"/>
          <c:order val="0"/>
          <c:tx>
            <c:v>Potencia Instalada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RBUSTO!$B$44:$B$74</c:f>
              <c:numCache>
                <c:formatCode>0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RBUSTO!$I$44:$I$74</c:f>
              <c:numCache>
                <c:formatCode>0</c:formatCode>
                <c:ptCount val="3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6-4437-85B4-CC3A40DA71C1}"/>
            </c:ext>
          </c:extLst>
        </c:ser>
        <c:ser>
          <c:idx val="1"/>
          <c:order val="1"/>
          <c:tx>
            <c:v>Precaución (N - 1)</c:v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RBUSTO!$B$44:$B$74</c:f>
              <c:numCache>
                <c:formatCode>0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RBUSTO!$J$44:$J$74</c:f>
              <c:numCache>
                <c:formatCode>0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76-4437-85B4-CC3A40DA71C1}"/>
            </c:ext>
          </c:extLst>
        </c:ser>
        <c:ser>
          <c:idx val="2"/>
          <c:order val="2"/>
          <c:tx>
            <c:v>Potencia Aparente S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</c:spPr>
          </c:marker>
          <c:trendline>
            <c:name>Tendencia lineal</c:name>
            <c:spPr>
              <a:ln w="31750" cap="sq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3.8312460689633211E-2"/>
                  <c:y val="-4.2203360943518425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</c:trendlineLbl>
          </c:trendline>
          <c:xVal>
            <c:numRef>
              <c:f>RBUSTO!$B$44:$B$74</c:f>
              <c:numCache>
                <c:formatCode>0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RBUSTO!$E$44:$E$74</c:f>
              <c:numCache>
                <c:formatCode>0.00</c:formatCode>
                <c:ptCount val="31"/>
                <c:pt idx="0">
                  <c:v>43.332993146544624</c:v>
                </c:pt>
                <c:pt idx="1">
                  <c:v>42.149143121815655</c:v>
                </c:pt>
                <c:pt idx="2">
                  <c:v>49.211420855543608</c:v>
                </c:pt>
                <c:pt idx="3">
                  <c:v>47.047832879314818</c:v>
                </c:pt>
                <c:pt idx="4">
                  <c:v>58.988389163219004</c:v>
                </c:pt>
                <c:pt idx="5">
                  <c:v>54.355045100917721</c:v>
                </c:pt>
                <c:pt idx="6">
                  <c:v>53.67</c:v>
                </c:pt>
                <c:pt idx="7">
                  <c:v>55.69</c:v>
                </c:pt>
                <c:pt idx="8">
                  <c:v>56.88</c:v>
                </c:pt>
                <c:pt idx="9">
                  <c:v>58.08</c:v>
                </c:pt>
                <c:pt idx="10">
                  <c:v>62.98</c:v>
                </c:pt>
                <c:pt idx="11">
                  <c:v>65.58</c:v>
                </c:pt>
                <c:pt idx="12">
                  <c:v>65.260000000000005</c:v>
                </c:pt>
                <c:pt idx="13">
                  <c:v>66.959999999999994</c:v>
                </c:pt>
                <c:pt idx="14">
                  <c:v>68.900000000000006</c:v>
                </c:pt>
                <c:pt idx="15">
                  <c:v>71.36</c:v>
                </c:pt>
                <c:pt idx="16">
                  <c:v>73.73</c:v>
                </c:pt>
                <c:pt idx="17">
                  <c:v>80.989999999999995</c:v>
                </c:pt>
                <c:pt idx="18">
                  <c:v>73.62</c:v>
                </c:pt>
                <c:pt idx="19">
                  <c:v>77.180000000000007</c:v>
                </c:pt>
                <c:pt idx="20">
                  <c:v>76.62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76-4437-85B4-CC3A40DA71C1}"/>
            </c:ext>
          </c:extLst>
        </c:ser>
        <c:ser>
          <c:idx val="7"/>
          <c:order val="3"/>
          <c:tx>
            <c:v>Planeamiento 2018 - 2027</c:v>
          </c:tx>
          <c:spPr>
            <a:ln w="34925"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15875">
                <a:solidFill>
                  <a:srgbClr val="9BBB59">
                    <a:lumMod val="75000"/>
                  </a:srgbClr>
                </a:solidFill>
              </a:ln>
            </c:spPr>
          </c:marker>
          <c:xVal>
            <c:numRef>
              <c:f>RBUSTO!$B$64:$B$74</c:f>
              <c:numCache>
                <c:formatCode>0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RBUSTO!$H$64:$H$74</c:f>
              <c:numCache>
                <c:formatCode>0.00</c:formatCode>
                <c:ptCount val="11"/>
                <c:pt idx="0">
                  <c:v>76.62</c:v>
                </c:pt>
                <c:pt idx="1">
                  <c:v>73.42</c:v>
                </c:pt>
                <c:pt idx="2">
                  <c:v>75.22</c:v>
                </c:pt>
                <c:pt idx="3">
                  <c:v>57.019999999999996</c:v>
                </c:pt>
                <c:pt idx="4">
                  <c:v>58.819999999999993</c:v>
                </c:pt>
                <c:pt idx="5">
                  <c:v>60.61999999999999</c:v>
                </c:pt>
                <c:pt idx="6">
                  <c:v>62.419999999999987</c:v>
                </c:pt>
                <c:pt idx="7">
                  <c:v>64.219999999999985</c:v>
                </c:pt>
                <c:pt idx="8">
                  <c:v>66.019999999999982</c:v>
                </c:pt>
                <c:pt idx="9">
                  <c:v>67.819999999999979</c:v>
                </c:pt>
                <c:pt idx="10">
                  <c:v>69.619999999999976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76-4437-85B4-CC3A40DA7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17016"/>
        <c:axId val="513217408"/>
      </c:scatterChart>
      <c:valAx>
        <c:axId val="513217016"/>
        <c:scaling>
          <c:orientation val="minMax"/>
          <c:max val="2028"/>
          <c:min val="199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s-AR"/>
          </a:p>
        </c:txPr>
        <c:crossAx val="513217408"/>
        <c:crosses val="autoZero"/>
        <c:crossBetween val="midCat"/>
        <c:majorUnit val="5"/>
        <c:minorUnit val="1"/>
      </c:valAx>
      <c:valAx>
        <c:axId val="513217408"/>
        <c:scaling>
          <c:orientation val="minMax"/>
          <c:max val="140"/>
          <c:min val="4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[MVA]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1.33483282553693E-3"/>
              <c:y val="3.1734736861596002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es-AR"/>
          </a:p>
        </c:txPr>
        <c:crossAx val="513217016"/>
        <c:crosses val="autoZero"/>
        <c:crossBetween val="midCat"/>
        <c:majorUnit val="20"/>
      </c:valAx>
    </c:plotArea>
    <c:legend>
      <c:legendPos val="b"/>
      <c:layout>
        <c:manualLayout>
          <c:xMode val="edge"/>
          <c:yMode val="edge"/>
          <c:x val="4.750279319230697E-2"/>
          <c:y val="0.90010907727443146"/>
          <c:w val="0.90288660833472656"/>
          <c:h val="8.2574905409551078E-2"/>
        </c:manualLayout>
      </c:layout>
      <c:overlay val="0"/>
      <c:spPr>
        <a:noFill/>
        <a:ln>
          <a:solidFill>
            <a:sysClr val="window" lastClr="FFFFFF">
              <a:lumMod val="75000"/>
            </a:sysClr>
          </a:solidFill>
        </a:ln>
      </c:spPr>
      <c:txPr>
        <a:bodyPr/>
        <a:lstStyle/>
        <a:p>
          <a:pPr>
            <a:defRPr sz="1000" b="1" baseline="0"/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txPr>
    <a:bodyPr/>
    <a:lstStyle/>
    <a:p>
      <a:pPr>
        <a:defRPr baseline="0">
          <a:latin typeface="Arial" panose="020B0604020202020204" pitchFamily="34" charset="0"/>
        </a:defRPr>
      </a:pPr>
      <a:endParaRPr lang="es-AR"/>
    </a:p>
  </c:txPr>
  <c:printSettings>
    <c:headerFooter/>
    <c:pageMargins b="0" l="0" r="0" t="0" header="0" footer="0"/>
    <c:pageSetup paperSize="9" orientation="landscape"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latin typeface="Arial" pitchFamily="34" charset="0"/>
                <a:cs typeface="Arial" pitchFamily="34" charset="0"/>
              </a:rPr>
              <a:t>ET </a:t>
            </a:r>
            <a:r>
              <a:rPr lang="en-US" sz="1800" b="0" i="0" baseline="0">
                <a:latin typeface="Arial" pitchFamily="34" charset="0"/>
                <a:cs typeface="Arial" pitchFamily="34" charset="0"/>
              </a:rPr>
              <a:t>Mercado de Abasto: </a:t>
            </a:r>
            <a:r>
              <a:rPr lang="en-US" sz="18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2027</a:t>
            </a:r>
            <a:endParaRPr lang="en-US" sz="1800" b="0" i="0" baseline="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1697645623715387"/>
          <c:y val="4.12042643305302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528235819628247E-2"/>
          <c:y val="0.1312734923482694"/>
          <c:w val="0.92284930985551572"/>
          <c:h val="0.72208378338168822"/>
        </c:manualLayout>
      </c:layout>
      <c:scatterChart>
        <c:scatterStyle val="smoothMarker"/>
        <c:varyColors val="0"/>
        <c:ser>
          <c:idx val="0"/>
          <c:order val="0"/>
          <c:tx>
            <c:v>Potencia Instalada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MABAST!$B$42:$B$70</c:f>
              <c:numCache>
                <c:formatCode>0</c:formatCode>
                <c:ptCount val="2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</c:numCache>
            </c:numRef>
          </c:xVal>
          <c:yVal>
            <c:numRef>
              <c:f>MABAST!$I$42:$I$70</c:f>
              <c:numCache>
                <c:formatCode>0</c:formatCode>
                <c:ptCount val="2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67-409E-9A6C-17B3326471C2}"/>
            </c:ext>
          </c:extLst>
        </c:ser>
        <c:ser>
          <c:idx val="1"/>
          <c:order val="1"/>
          <c:tx>
            <c:v>Precaución (N - 1)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MABAST!$B$42:$B$70</c:f>
              <c:numCache>
                <c:formatCode>0</c:formatCode>
                <c:ptCount val="2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</c:numCache>
            </c:numRef>
          </c:xVal>
          <c:yVal>
            <c:numRef>
              <c:f>MABAST!$J$42:$J$70</c:f>
              <c:numCache>
                <c:formatCode>0</c:formatCode>
                <c:ptCount val="2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67-409E-9A6C-17B3326471C2}"/>
            </c:ext>
          </c:extLst>
        </c:ser>
        <c:ser>
          <c:idx val="2"/>
          <c:order val="2"/>
          <c:tx>
            <c:v>Potencia Aparente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6350">
                <a:solidFill>
                  <a:sysClr val="windowText" lastClr="000000"/>
                </a:solidFill>
              </a:ln>
            </c:spPr>
          </c:marker>
          <c:trendline>
            <c:name>Tendencia Lineal</c:name>
            <c:spPr>
              <a:ln w="34925" cap="sq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5.1093760261577754E-2"/>
                  <c:y val="-7.9583028074224474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MABAST!$B$42:$B$70</c:f>
              <c:numCache>
                <c:formatCode>0</c:formatCode>
                <c:ptCount val="2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</c:numCache>
            </c:numRef>
          </c:xVal>
          <c:yVal>
            <c:numRef>
              <c:f>MABAST!$E$42:$E$70</c:f>
              <c:numCache>
                <c:formatCode>0.00</c:formatCode>
                <c:ptCount val="29"/>
                <c:pt idx="0">
                  <c:v>40.700964258906396</c:v>
                </c:pt>
                <c:pt idx="1">
                  <c:v>52.139269010912862</c:v>
                </c:pt>
                <c:pt idx="2">
                  <c:v>56.272013395692582</c:v>
                </c:pt>
                <c:pt idx="3">
                  <c:v>53.968185230094107</c:v>
                </c:pt>
                <c:pt idx="4">
                  <c:v>53</c:v>
                </c:pt>
                <c:pt idx="5">
                  <c:v>52.81</c:v>
                </c:pt>
                <c:pt idx="6">
                  <c:v>48.47</c:v>
                </c:pt>
                <c:pt idx="7">
                  <c:v>49.05</c:v>
                </c:pt>
                <c:pt idx="8">
                  <c:v>49.36</c:v>
                </c:pt>
                <c:pt idx="9">
                  <c:v>48.84</c:v>
                </c:pt>
                <c:pt idx="10">
                  <c:v>51.26</c:v>
                </c:pt>
                <c:pt idx="11">
                  <c:v>51.32</c:v>
                </c:pt>
                <c:pt idx="12">
                  <c:v>50.29</c:v>
                </c:pt>
                <c:pt idx="13">
                  <c:v>52.95</c:v>
                </c:pt>
                <c:pt idx="14">
                  <c:v>46.62</c:v>
                </c:pt>
                <c:pt idx="15">
                  <c:v>50.97</c:v>
                </c:pt>
                <c:pt idx="16">
                  <c:v>45.17</c:v>
                </c:pt>
                <c:pt idx="17">
                  <c:v>51.2</c:v>
                </c:pt>
                <c:pt idx="18">
                  <c:v>45.89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67-409E-9A6C-17B3326471C2}"/>
            </c:ext>
          </c:extLst>
        </c:ser>
        <c:ser>
          <c:idx val="3"/>
          <c:order val="3"/>
          <c:tx>
            <c:v>Planeamiento 2018 - 2027</c:v>
          </c:tx>
          <c:spPr>
            <a:ln w="34925"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2700">
                <a:solidFill>
                  <a:srgbClr val="9BBB59">
                    <a:lumMod val="50000"/>
                  </a:srgbClr>
                </a:solidFill>
              </a:ln>
            </c:spPr>
          </c:marker>
          <c:xVal>
            <c:numRef>
              <c:f>MABAST!$B$60:$B$70</c:f>
              <c:numCache>
                <c:formatCode>0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MABAST!$H$60:$H$70</c:f>
              <c:numCache>
                <c:formatCode>0.00</c:formatCode>
                <c:ptCount val="11"/>
                <c:pt idx="0">
                  <c:v>45.89</c:v>
                </c:pt>
                <c:pt idx="1">
                  <c:v>45.9</c:v>
                </c:pt>
                <c:pt idx="2">
                  <c:v>45.91</c:v>
                </c:pt>
                <c:pt idx="3">
                  <c:v>45.919999999999995</c:v>
                </c:pt>
                <c:pt idx="4">
                  <c:v>45.929999999999993</c:v>
                </c:pt>
                <c:pt idx="5">
                  <c:v>45.939999999999991</c:v>
                </c:pt>
                <c:pt idx="6">
                  <c:v>45.949999999999989</c:v>
                </c:pt>
                <c:pt idx="7">
                  <c:v>45.959999999999987</c:v>
                </c:pt>
                <c:pt idx="8">
                  <c:v>45.969999999999985</c:v>
                </c:pt>
                <c:pt idx="9">
                  <c:v>45.979999999999983</c:v>
                </c:pt>
                <c:pt idx="10">
                  <c:v>45.999999999999986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67-409E-9A6C-17B332647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37832"/>
        <c:axId val="436437048"/>
      </c:scatterChart>
      <c:valAx>
        <c:axId val="436437832"/>
        <c:scaling>
          <c:orientation val="minMax"/>
          <c:max val="2028"/>
          <c:min val="1997"/>
        </c:scaling>
        <c:delete val="0"/>
        <c:axPos val="b"/>
        <c:majorGridlines>
          <c:spPr>
            <a:ln w="6350" cmpd="sng">
              <a:solidFill>
                <a:sysClr val="window" lastClr="FFFFFF">
                  <a:lumMod val="65000"/>
                </a:sysClr>
              </a:solidFill>
              <a:prstDash val="dash"/>
            </a:ln>
          </c:spPr>
        </c:majorGridlines>
        <c:minorGridlines>
          <c:spPr>
            <a:ln>
              <a:solidFill>
                <a:sysClr val="window" lastClr="FFFFFF">
                  <a:lumMod val="85000"/>
                </a:sysClr>
              </a:solidFill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36437048"/>
        <c:crosses val="autoZero"/>
        <c:crossBetween val="midCat"/>
        <c:majorUnit val="5"/>
        <c:minorUnit val="1"/>
      </c:valAx>
      <c:valAx>
        <c:axId val="436437048"/>
        <c:scaling>
          <c:orientation val="minMax"/>
          <c:min val="30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latin typeface="Arial" pitchFamily="34" charset="0"/>
                    <a:cs typeface="Arial" pitchFamily="34" charset="0"/>
                  </a:rPr>
                  <a:t>[MVA]</a:t>
                </a:r>
                <a:endParaRPr lang="es-ES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4.3907788573280373E-3"/>
              <c:y val="6.1042384091518999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3643783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2767249527949515E-2"/>
          <c:y val="0.9075398149909979"/>
          <c:w val="0.89999989684696713"/>
          <c:h val="8.5009986940830673E-2"/>
        </c:manualLayout>
      </c:layout>
      <c:overlay val="0"/>
      <c:spPr>
        <a:solidFill>
          <a:sysClr val="window" lastClr="FFFFFF"/>
        </a:solidFill>
        <a:ln w="6350"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sz="1000" b="1" baseline="0">
              <a:solidFill>
                <a:schemeClr val="tx1"/>
              </a:solidFill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000000000001088" l="0.70000000000000062" r="0.70000000000000062" t="0.7500000000000108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latin typeface="Arial" pitchFamily="34" charset="0"/>
                <a:cs typeface="Arial" pitchFamily="34" charset="0"/>
              </a:rPr>
              <a:t>ET</a:t>
            </a:r>
            <a:r>
              <a:rPr lang="en-US" sz="1800" b="0" i="0" baseline="0">
                <a:latin typeface="Arial" pitchFamily="34" charset="0"/>
                <a:cs typeface="Arial" pitchFamily="34" charset="0"/>
              </a:rPr>
              <a:t> Guiñazu: </a:t>
            </a:r>
            <a:r>
              <a:rPr lang="en-US" sz="18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2027</a:t>
            </a:r>
            <a:endParaRPr lang="es-ES" sz="1800" b="0" i="0" baseline="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8828838873016979"/>
          <c:y val="3.239523039752481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81895373314614E-2"/>
          <c:y val="0.10072425865976807"/>
          <c:w val="0.91820175132975634"/>
          <c:h val="0.75595348594670697"/>
        </c:manualLayout>
      </c:layout>
      <c:scatterChart>
        <c:scatterStyle val="smoothMarker"/>
        <c:varyColors val="0"/>
        <c:ser>
          <c:idx val="0"/>
          <c:order val="0"/>
          <c:tx>
            <c:v>Potencia Instalada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GUINIA!$B$41:$B$67</c:f>
              <c:numCache>
                <c:formatCode>0</c:formatCode>
                <c:ptCount val="2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</c:numCache>
            </c:numRef>
          </c:xVal>
          <c:yVal>
            <c:numRef>
              <c:f>GUINIA!$I$41:$I$67</c:f>
              <c:numCache>
                <c:formatCode>0</c:formatCode>
                <c:ptCount val="27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7C-48FA-924F-90D8912A5D45}"/>
            </c:ext>
          </c:extLst>
        </c:ser>
        <c:ser>
          <c:idx val="1"/>
          <c:order val="1"/>
          <c:tx>
            <c:v>Precaución (N - 1)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GUINIA!$B$41:$B$67</c:f>
              <c:numCache>
                <c:formatCode>0</c:formatCode>
                <c:ptCount val="2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</c:numCache>
            </c:numRef>
          </c:xVal>
          <c:yVal>
            <c:numRef>
              <c:f>GUINIA!$J$41:$J$67</c:f>
              <c:numCache>
                <c:formatCode>0</c:formatCode>
                <c:ptCount val="2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7C-48FA-924F-90D8912A5D45}"/>
            </c:ext>
          </c:extLst>
        </c:ser>
        <c:ser>
          <c:idx val="2"/>
          <c:order val="2"/>
          <c:tx>
            <c:v>Potencia Aparente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19050">
                <a:solidFill>
                  <a:sysClr val="windowText" lastClr="000000"/>
                </a:solidFill>
              </a:ln>
            </c:spPr>
          </c:marker>
          <c:trendline>
            <c:name>Tendencia Lineal</c:name>
            <c:spPr>
              <a:ln w="31750" cap="sq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3.9586045401829952E-2"/>
                  <c:y val="-3.7072013349324709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GUINIA!$B$41:$B$67</c:f>
              <c:numCache>
                <c:formatCode>0</c:formatCode>
                <c:ptCount val="2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</c:numCache>
            </c:numRef>
          </c:xVal>
          <c:yVal>
            <c:numRef>
              <c:f>GUINIA!$E$41:$E$67</c:f>
              <c:numCache>
                <c:formatCode>0.00</c:formatCode>
                <c:ptCount val="27"/>
                <c:pt idx="0">
                  <c:v>4.3594579185123452</c:v>
                </c:pt>
                <c:pt idx="1">
                  <c:v>6.6210546321067785</c:v>
                </c:pt>
                <c:pt idx="2">
                  <c:v>15.85</c:v>
                </c:pt>
                <c:pt idx="3">
                  <c:v>11.83</c:v>
                </c:pt>
                <c:pt idx="4">
                  <c:v>12.15</c:v>
                </c:pt>
                <c:pt idx="5">
                  <c:v>14.02</c:v>
                </c:pt>
                <c:pt idx="6">
                  <c:v>19.55</c:v>
                </c:pt>
                <c:pt idx="7">
                  <c:v>20.38</c:v>
                </c:pt>
                <c:pt idx="8">
                  <c:v>21</c:v>
                </c:pt>
                <c:pt idx="9">
                  <c:v>22.22</c:v>
                </c:pt>
                <c:pt idx="10">
                  <c:v>22.33</c:v>
                </c:pt>
                <c:pt idx="11">
                  <c:v>22.34</c:v>
                </c:pt>
                <c:pt idx="12">
                  <c:v>26.27</c:v>
                </c:pt>
                <c:pt idx="13">
                  <c:v>24.79</c:v>
                </c:pt>
                <c:pt idx="14">
                  <c:v>30.490236142083255</c:v>
                </c:pt>
                <c:pt idx="15">
                  <c:v>33.47</c:v>
                </c:pt>
                <c:pt idx="16">
                  <c:v>30.45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7C-48FA-924F-90D8912A5D45}"/>
            </c:ext>
          </c:extLst>
        </c:ser>
        <c:ser>
          <c:idx val="4"/>
          <c:order val="3"/>
          <c:tx>
            <c:v>Planeamiento 2018 - 2027</c:v>
          </c:tx>
          <c:spPr>
            <a:ln w="34925"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19050">
                <a:solidFill>
                  <a:srgbClr val="9BBB59">
                    <a:lumMod val="75000"/>
                    <a:alpha val="96000"/>
                  </a:srgbClr>
                </a:solidFill>
              </a:ln>
            </c:spPr>
          </c:marker>
          <c:xVal>
            <c:numRef>
              <c:f>GUINIA!$B$57:$B$67</c:f>
              <c:numCache>
                <c:formatCode>0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GUINIA!$H$57:$H$67</c:f>
              <c:numCache>
                <c:formatCode>0.00</c:formatCode>
                <c:ptCount val="11"/>
                <c:pt idx="0">
                  <c:v>30.45</c:v>
                </c:pt>
                <c:pt idx="1">
                  <c:v>32.049999999999997</c:v>
                </c:pt>
                <c:pt idx="2">
                  <c:v>33.65</c:v>
                </c:pt>
                <c:pt idx="3">
                  <c:v>35.25</c:v>
                </c:pt>
                <c:pt idx="4">
                  <c:v>36.85</c:v>
                </c:pt>
                <c:pt idx="5">
                  <c:v>38.450000000000003</c:v>
                </c:pt>
                <c:pt idx="6">
                  <c:v>40.050000000000004</c:v>
                </c:pt>
                <c:pt idx="7">
                  <c:v>41.650000000000006</c:v>
                </c:pt>
                <c:pt idx="8">
                  <c:v>43.250000000000007</c:v>
                </c:pt>
                <c:pt idx="9">
                  <c:v>44.850000000000009</c:v>
                </c:pt>
                <c:pt idx="10">
                  <c:v>46.45000000000001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7C-48FA-924F-90D8912A5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44104"/>
        <c:axId val="436439792"/>
      </c:scatterChart>
      <c:valAx>
        <c:axId val="436444104"/>
        <c:scaling>
          <c:orientation val="minMax"/>
          <c:max val="2028"/>
          <c:min val="2002"/>
        </c:scaling>
        <c:delete val="0"/>
        <c:axPos val="b"/>
        <c:majorGridlines>
          <c:spPr>
            <a:ln w="6350">
              <a:prstDash val="dash"/>
            </a:ln>
          </c:spPr>
        </c:majorGridlines>
        <c:minorGridlines>
          <c:spPr>
            <a:ln w="6350">
              <a:solidFill>
                <a:sysClr val="window" lastClr="FFFFFF">
                  <a:lumMod val="85000"/>
                </a:sysClr>
              </a:solidFill>
              <a:prstDash val="solid"/>
            </a:ln>
          </c:spPr>
        </c:min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36439792"/>
        <c:crosses val="autoZero"/>
        <c:crossBetween val="midCat"/>
        <c:majorUnit val="5"/>
        <c:minorUnit val="1"/>
      </c:valAx>
      <c:valAx>
        <c:axId val="4364397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baseline="0"/>
                </a:pPr>
                <a:r>
                  <a:rPr lang="en-US" sz="1000" b="1" i="0" u="none" strike="noStrike" baseline="0">
                    <a:latin typeface="Arial" pitchFamily="34" charset="0"/>
                  </a:rPr>
                  <a:t>[MVA]</a:t>
                </a:r>
                <a:endParaRPr lang="es-ES" baseline="0">
                  <a:latin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1.7997750281214853E-2"/>
              <c:y val="3.8983681797405488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3644410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3903325509258491E-2"/>
          <c:y val="0.91473188368010294"/>
          <c:w val="0.88845444002374963"/>
          <c:h val="7.202308320731432E-2"/>
        </c:manualLayout>
      </c:layout>
      <c:overlay val="0"/>
      <c:spPr>
        <a:solidFill>
          <a:sysClr val="window" lastClr="FFFFFF"/>
        </a:solidFill>
        <a:ln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sz="1000" baseline="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latin typeface="Arial" pitchFamily="34" charset="0"/>
                <a:cs typeface="Arial" pitchFamily="34" charset="0"/>
              </a:rPr>
              <a:t>ET </a:t>
            </a:r>
            <a:r>
              <a:rPr lang="en-US" sz="1800" b="0" i="0" baseline="0">
                <a:latin typeface="Arial" pitchFamily="34" charset="0"/>
                <a:cs typeface="Arial" pitchFamily="34" charset="0"/>
              </a:rPr>
              <a:t>Nueva Córdoba: </a:t>
            </a:r>
            <a:r>
              <a:rPr lang="en-US" sz="18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2025</a:t>
            </a:r>
            <a:endParaRPr lang="en-US" sz="1800" b="0" i="0" baseline="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4680655869850096"/>
          <c:y val="3.14796135760836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368609233942849E-2"/>
          <c:y val="0.10645806621781964"/>
          <c:w val="0.92977333196299483"/>
          <c:h val="0.75119885595044189"/>
        </c:manualLayout>
      </c:layout>
      <c:scatterChart>
        <c:scatterStyle val="smoothMarker"/>
        <c:varyColors val="0"/>
        <c:ser>
          <c:idx val="0"/>
          <c:order val="0"/>
          <c:tx>
            <c:v>Potencia Instalada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NVACBA!$B$40:$B$66</c:f>
              <c:numCache>
                <c:formatCode>General</c:formatCode>
                <c:ptCount val="2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</c:numCache>
            </c:numRef>
          </c:xVal>
          <c:yVal>
            <c:numRef>
              <c:f>NVACBA!$I$40:$I$66</c:f>
              <c:numCache>
                <c:formatCode>0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7D-4875-98DF-0FAA1E9ABBBC}"/>
            </c:ext>
          </c:extLst>
        </c:ser>
        <c:ser>
          <c:idx val="1"/>
          <c:order val="1"/>
          <c:tx>
            <c:v>Precaución (N - 1)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NVACBA!$B$40:$B$66</c:f>
              <c:numCache>
                <c:formatCode>General</c:formatCode>
                <c:ptCount val="2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</c:numCache>
            </c:numRef>
          </c:xVal>
          <c:yVal>
            <c:numRef>
              <c:f>NVACBA!$J$40:$J$66</c:f>
              <c:numCache>
                <c:formatCode>0</c:formatCode>
                <c:ptCount val="2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7D-4875-98DF-0FAA1E9ABBBC}"/>
            </c:ext>
          </c:extLst>
        </c:ser>
        <c:ser>
          <c:idx val="2"/>
          <c:order val="2"/>
          <c:tx>
            <c:v>Potencia Aparente S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</c:spPr>
          </c:marker>
          <c:trendline>
            <c:name>Tendencia Lineal</c:name>
            <c:spPr>
              <a:ln w="31750" cap="sq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4.1216988485043675E-2"/>
                  <c:y val="-0.10472038466643546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NVACBA!$B$40:$B$66</c:f>
              <c:numCache>
                <c:formatCode>General</c:formatCode>
                <c:ptCount val="2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</c:numCache>
            </c:numRef>
          </c:xVal>
          <c:yVal>
            <c:numRef>
              <c:f>NVACBA!$E$40:$E$66</c:f>
              <c:numCache>
                <c:formatCode>0.00</c:formatCode>
                <c:ptCount val="27"/>
                <c:pt idx="0">
                  <c:v>20.824025422395625</c:v>
                </c:pt>
                <c:pt idx="1">
                  <c:v>24.358934021332164</c:v>
                </c:pt>
                <c:pt idx="2">
                  <c:v>23.88</c:v>
                </c:pt>
                <c:pt idx="3">
                  <c:v>27.56</c:v>
                </c:pt>
                <c:pt idx="4">
                  <c:v>32.46</c:v>
                </c:pt>
                <c:pt idx="5">
                  <c:v>39.78</c:v>
                </c:pt>
                <c:pt idx="6">
                  <c:v>43.15</c:v>
                </c:pt>
                <c:pt idx="7">
                  <c:v>50.43</c:v>
                </c:pt>
                <c:pt idx="8">
                  <c:v>49.96</c:v>
                </c:pt>
                <c:pt idx="9">
                  <c:v>48.666246170721543</c:v>
                </c:pt>
                <c:pt idx="10">
                  <c:v>50.992327078387248</c:v>
                </c:pt>
                <c:pt idx="11">
                  <c:v>55.218395008039749</c:v>
                </c:pt>
                <c:pt idx="12">
                  <c:v>57.157809333902819</c:v>
                </c:pt>
                <c:pt idx="13">
                  <c:v>51.91</c:v>
                </c:pt>
                <c:pt idx="14">
                  <c:v>48.26229195260882</c:v>
                </c:pt>
                <c:pt idx="15">
                  <c:v>53.6</c:v>
                </c:pt>
                <c:pt idx="16">
                  <c:v>57.24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7D-4875-98DF-0FAA1E9ABBBC}"/>
            </c:ext>
          </c:extLst>
        </c:ser>
        <c:ser>
          <c:idx val="4"/>
          <c:order val="3"/>
          <c:tx>
            <c:v>Año de Saturación</c:v>
          </c:tx>
          <c:spPr>
            <a:ln w="19050" cmpd="sng">
              <a:solidFill>
                <a:srgbClr val="1F497D"/>
              </a:solidFill>
              <a:headEnd type="triangle"/>
            </a:ln>
          </c:spPr>
          <c:marker>
            <c:symbol val="none"/>
          </c:marker>
          <c:xVal>
            <c:numRef>
              <c:f>NVACBA!$O$82:$O$91</c:f>
              <c:numCache>
                <c:formatCode>0</c:formatCode>
                <c:ptCount val="10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2023</c:v>
                </c:pt>
              </c:numCache>
            </c:numRef>
          </c:xVal>
          <c:yVal>
            <c:numRef>
              <c:f>NVACBA!$P$82:$P$91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7D-4875-98DF-0FAA1E9ABBBC}"/>
            </c:ext>
          </c:extLst>
        </c:ser>
        <c:ser>
          <c:idx val="5"/>
          <c:order val="4"/>
          <c:tx>
            <c:v>Planeamiento 2018 - 2027</c:v>
          </c:tx>
          <c:spPr>
            <a:ln w="34925"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15875">
                <a:solidFill>
                  <a:srgbClr val="9BBB59">
                    <a:lumMod val="75000"/>
                  </a:srgbClr>
                </a:solidFill>
              </a:ln>
            </c:spPr>
          </c:marker>
          <c:errBars>
            <c:errDir val="x"/>
            <c:errBarType val="both"/>
            <c:errValType val="stdErr"/>
            <c:noEndCap val="0"/>
            <c:spPr>
              <a:ln>
                <a:noFill/>
              </a:ln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11.3</c:v>
                </c:pt>
              </c:numLit>
            </c:plus>
            <c:minus>
              <c:numLit>
                <c:formatCode>General</c:formatCode>
                <c:ptCount val="1"/>
                <c:pt idx="0">
                  <c:v>11.3</c:v>
                </c:pt>
              </c:numLit>
            </c:minus>
            <c:spPr>
              <a:ln w="12700">
                <a:solidFill>
                  <a:sysClr val="windowText" lastClr="000000"/>
                </a:solidFill>
              </a:ln>
            </c:spPr>
          </c:errBars>
          <c:xVal>
            <c:numRef>
              <c:f>NVACBA!$B$56:$B$66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NVACBA!$H$56:$H$66</c:f>
              <c:numCache>
                <c:formatCode>0.00</c:formatCode>
                <c:ptCount val="11"/>
                <c:pt idx="0">
                  <c:v>57.24</c:v>
                </c:pt>
                <c:pt idx="1">
                  <c:v>59.502500000000005</c:v>
                </c:pt>
                <c:pt idx="2">
                  <c:v>61.765000000000008</c:v>
                </c:pt>
                <c:pt idx="3">
                  <c:v>64.027500000000003</c:v>
                </c:pt>
                <c:pt idx="4">
                  <c:v>66.290000000000006</c:v>
                </c:pt>
                <c:pt idx="5">
                  <c:v>68.552500000000009</c:v>
                </c:pt>
                <c:pt idx="6">
                  <c:v>70.815000000000012</c:v>
                </c:pt>
                <c:pt idx="7">
                  <c:v>73.077500000000015</c:v>
                </c:pt>
                <c:pt idx="8">
                  <c:v>75.340000000000018</c:v>
                </c:pt>
                <c:pt idx="9">
                  <c:v>77.60250000000002</c:v>
                </c:pt>
                <c:pt idx="10">
                  <c:v>79.865000000000023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7D-4875-98DF-0FAA1E9AB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41752"/>
        <c:axId val="436439008"/>
      </c:scatterChart>
      <c:valAx>
        <c:axId val="436441752"/>
        <c:scaling>
          <c:orientation val="minMax"/>
          <c:max val="2028"/>
          <c:min val="200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36439008"/>
        <c:crosses val="autoZero"/>
        <c:crossBetween val="midCat"/>
        <c:majorUnit val="5"/>
        <c:minorUnit val="1"/>
      </c:valAx>
      <c:valAx>
        <c:axId val="436439008"/>
        <c:scaling>
          <c:orientation val="minMax"/>
          <c:max val="100"/>
          <c:min val="10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latin typeface="Arial" pitchFamily="34" charset="0"/>
                  </a:rPr>
                  <a:t>[MVA]</a:t>
                </a:r>
                <a:endParaRPr lang="es-ES" baseline="0">
                  <a:latin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5.9193481818862678E-3"/>
              <c:y val="3.4245238138876012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364417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4.3028202940307278E-2"/>
          <c:y val="0.91491854212466661"/>
          <c:w val="0.93297845755673203"/>
          <c:h val="7.4874241646136111E-2"/>
        </c:manualLayout>
      </c:layout>
      <c:overlay val="0"/>
      <c:spPr>
        <a:solidFill>
          <a:sysClr val="window" lastClr="FFFFFF"/>
        </a:solidFill>
        <a:ln w="6350"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sz="1000" baseline="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000000000001088" l="0.70000000000000062" r="0.70000000000000062" t="0.75000000000001088" header="0.30000000000000032" footer="0.30000000000000032"/>
    <c:pageSetup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latin typeface="Arial" pitchFamily="34" charset="0"/>
                <a:cs typeface="Arial" pitchFamily="34" charset="0"/>
              </a:rPr>
              <a:t>ET </a:t>
            </a:r>
            <a:r>
              <a:rPr lang="en-US" sz="1800" b="0" i="0" baseline="0">
                <a:latin typeface="Arial" pitchFamily="34" charset="0"/>
                <a:cs typeface="Arial" pitchFamily="34" charset="0"/>
              </a:rPr>
              <a:t>Nueva Córdoba: </a:t>
            </a:r>
            <a:r>
              <a:rPr lang="en-US" sz="18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2025</a:t>
            </a:r>
            <a:endParaRPr lang="en-US" sz="1800" b="0" i="0" baseline="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4680655869850096"/>
          <c:y val="3.14796135760836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368609233942849E-2"/>
          <c:y val="0.10645806621781964"/>
          <c:w val="0.92977333196299483"/>
          <c:h val="0.75119885595044189"/>
        </c:manualLayout>
      </c:layout>
      <c:scatterChart>
        <c:scatterStyle val="smoothMarker"/>
        <c:varyColors val="0"/>
        <c:ser>
          <c:idx val="0"/>
          <c:order val="0"/>
          <c:tx>
            <c:v>Potencia Instalada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NVACBA!$B$40:$B$66</c:f>
              <c:numCache>
                <c:formatCode>General</c:formatCode>
                <c:ptCount val="2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</c:numCache>
            </c:numRef>
          </c:xVal>
          <c:yVal>
            <c:numRef>
              <c:f>NVACBA!$I$40:$I$66</c:f>
              <c:numCache>
                <c:formatCode>0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7D-4875-98DF-0FAA1E9ABBBC}"/>
            </c:ext>
          </c:extLst>
        </c:ser>
        <c:ser>
          <c:idx val="1"/>
          <c:order val="1"/>
          <c:tx>
            <c:v>Precaución (N - 1)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NVACBA!$B$40:$B$66</c:f>
              <c:numCache>
                <c:formatCode>General</c:formatCode>
                <c:ptCount val="2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</c:numCache>
            </c:numRef>
          </c:xVal>
          <c:yVal>
            <c:numRef>
              <c:f>NVACBA!$J$40:$J$66</c:f>
              <c:numCache>
                <c:formatCode>0</c:formatCode>
                <c:ptCount val="2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7D-4875-98DF-0FAA1E9ABBBC}"/>
            </c:ext>
          </c:extLst>
        </c:ser>
        <c:ser>
          <c:idx val="2"/>
          <c:order val="2"/>
          <c:tx>
            <c:v>Serie Historica "S"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</c:spPr>
          </c:marker>
          <c:trendline>
            <c:name>Tendencia Lineal</c:name>
            <c:spPr>
              <a:ln w="31750" cap="sq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0.36524394576596081"/>
                  <c:y val="-0.30443608088956253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NVACBA!$B$40:$B$56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NVACBA!$E$40:$E$56</c:f>
              <c:numCache>
                <c:formatCode>0.00</c:formatCode>
                <c:ptCount val="17"/>
                <c:pt idx="0">
                  <c:v>20.824025422395625</c:v>
                </c:pt>
                <c:pt idx="1">
                  <c:v>24.358934021332164</c:v>
                </c:pt>
                <c:pt idx="2">
                  <c:v>23.88</c:v>
                </c:pt>
                <c:pt idx="3">
                  <c:v>27.56</c:v>
                </c:pt>
                <c:pt idx="4">
                  <c:v>32.46</c:v>
                </c:pt>
                <c:pt idx="5">
                  <c:v>39.78</c:v>
                </c:pt>
                <c:pt idx="6">
                  <c:v>43.15</c:v>
                </c:pt>
                <c:pt idx="7">
                  <c:v>50.43</c:v>
                </c:pt>
                <c:pt idx="8">
                  <c:v>49.96</c:v>
                </c:pt>
                <c:pt idx="9">
                  <c:v>48.666246170721543</c:v>
                </c:pt>
                <c:pt idx="10">
                  <c:v>50.992327078387248</c:v>
                </c:pt>
                <c:pt idx="11">
                  <c:v>55.218395008039749</c:v>
                </c:pt>
                <c:pt idx="12">
                  <c:v>57.157809333902819</c:v>
                </c:pt>
                <c:pt idx="13">
                  <c:v>51.91</c:v>
                </c:pt>
                <c:pt idx="14">
                  <c:v>48.26229195260882</c:v>
                </c:pt>
                <c:pt idx="15">
                  <c:v>53.6</c:v>
                </c:pt>
                <c:pt idx="16">
                  <c:v>57.24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7D-4875-98DF-0FAA1E9ABBBC}"/>
            </c:ext>
          </c:extLst>
        </c:ser>
        <c:ser>
          <c:idx val="4"/>
          <c:order val="3"/>
          <c:tx>
            <c:v>Año de Saturación</c:v>
          </c:tx>
          <c:spPr>
            <a:ln w="19050" cmpd="sng">
              <a:solidFill>
                <a:srgbClr val="1F497D"/>
              </a:solidFill>
              <a:headEnd type="triangle"/>
            </a:ln>
          </c:spPr>
          <c:marker>
            <c:symbol val="none"/>
          </c:marker>
          <c:xVal>
            <c:numRef>
              <c:f>NVACBA!$O$82:$O$91</c:f>
              <c:numCache>
                <c:formatCode>0</c:formatCode>
                <c:ptCount val="10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2023</c:v>
                </c:pt>
              </c:numCache>
            </c:numRef>
          </c:xVal>
          <c:yVal>
            <c:numRef>
              <c:f>NVACBA!$P$82:$P$91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7D-4875-98DF-0FAA1E9ABBBC}"/>
            </c:ext>
          </c:extLst>
        </c:ser>
        <c:ser>
          <c:idx val="5"/>
          <c:order val="4"/>
          <c:tx>
            <c:v>Planeamiento 2018 - 2027</c:v>
          </c:tx>
          <c:spPr>
            <a:ln w="34925"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15875">
                <a:solidFill>
                  <a:srgbClr val="9BBB59">
                    <a:lumMod val="75000"/>
                  </a:srgbClr>
                </a:solidFill>
              </a:ln>
            </c:spPr>
          </c:marker>
          <c:errBars>
            <c:errDir val="x"/>
            <c:errBarType val="both"/>
            <c:errValType val="stdErr"/>
            <c:noEndCap val="0"/>
            <c:spPr>
              <a:ln>
                <a:noFill/>
              </a:ln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11.3</c:v>
                </c:pt>
              </c:numLit>
            </c:plus>
            <c:minus>
              <c:numLit>
                <c:formatCode>General</c:formatCode>
                <c:ptCount val="1"/>
                <c:pt idx="0">
                  <c:v>11.3</c:v>
                </c:pt>
              </c:numLit>
            </c:minus>
            <c:spPr>
              <a:ln w="12700">
                <a:solidFill>
                  <a:sysClr val="windowText" lastClr="000000"/>
                </a:solidFill>
              </a:ln>
            </c:spPr>
          </c:errBars>
          <c:xVal>
            <c:numRef>
              <c:f>NVACBA!$B$56:$B$66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NVACBA!$H$56:$H$66</c:f>
              <c:numCache>
                <c:formatCode>0.00</c:formatCode>
                <c:ptCount val="11"/>
                <c:pt idx="0">
                  <c:v>57.24</c:v>
                </c:pt>
                <c:pt idx="1">
                  <c:v>59.502500000000005</c:v>
                </c:pt>
                <c:pt idx="2">
                  <c:v>61.765000000000008</c:v>
                </c:pt>
                <c:pt idx="3">
                  <c:v>64.027500000000003</c:v>
                </c:pt>
                <c:pt idx="4">
                  <c:v>66.290000000000006</c:v>
                </c:pt>
                <c:pt idx="5">
                  <c:v>68.552500000000009</c:v>
                </c:pt>
                <c:pt idx="6">
                  <c:v>70.815000000000012</c:v>
                </c:pt>
                <c:pt idx="7">
                  <c:v>73.077500000000015</c:v>
                </c:pt>
                <c:pt idx="8">
                  <c:v>75.340000000000018</c:v>
                </c:pt>
                <c:pt idx="9">
                  <c:v>77.60250000000002</c:v>
                </c:pt>
                <c:pt idx="10">
                  <c:v>79.865000000000023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7D-4875-98DF-0FAA1E9AB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43712"/>
        <c:axId val="436440968"/>
      </c:scatterChart>
      <c:valAx>
        <c:axId val="436443712"/>
        <c:scaling>
          <c:orientation val="minMax"/>
          <c:max val="2028"/>
          <c:min val="200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36440968"/>
        <c:crosses val="autoZero"/>
        <c:crossBetween val="midCat"/>
        <c:majorUnit val="5"/>
        <c:minorUnit val="1"/>
      </c:valAx>
      <c:valAx>
        <c:axId val="436440968"/>
        <c:scaling>
          <c:orientation val="minMax"/>
          <c:max val="100"/>
          <c:min val="10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latin typeface="Arial" pitchFamily="34" charset="0"/>
                  </a:rPr>
                  <a:t>[MVA]</a:t>
                </a:r>
                <a:endParaRPr lang="es-ES" baseline="0">
                  <a:latin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5.9193481818862678E-3"/>
              <c:y val="3.4245238138876012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364437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4.3028202940307278E-2"/>
          <c:y val="0.91491854212466661"/>
          <c:w val="0.93297845755673203"/>
          <c:h val="7.4874241646136111E-2"/>
        </c:manualLayout>
      </c:layout>
      <c:overlay val="0"/>
      <c:spPr>
        <a:solidFill>
          <a:sysClr val="window" lastClr="FFFFFF"/>
        </a:solidFill>
        <a:ln w="6350"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sz="1000" baseline="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000000000001088" l="0.70000000000000062" r="0.70000000000000062" t="0.75000000000001088" header="0.30000000000000032" footer="0.30000000000000032"/>
    <c:pageSetup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itchFamily="34" charset="0"/>
                <a:cs typeface="Arial" pitchFamily="34" charset="0"/>
              </a:rPr>
              <a:t>E.T. Tablada: </a:t>
            </a:r>
            <a:r>
              <a:rPr lang="en-US" sz="18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2027</a:t>
            </a:r>
            <a:r>
              <a:rPr lang="en-US">
                <a:latin typeface="Arial" pitchFamily="34" charset="0"/>
                <a:cs typeface="Arial" pitchFamily="34" charset="0"/>
              </a:rPr>
              <a:t> </a:t>
            </a:r>
          </a:p>
        </c:rich>
      </c:tx>
      <c:layout>
        <c:manualLayout>
          <c:xMode val="edge"/>
          <c:yMode val="edge"/>
          <c:x val="0.1458234964484226"/>
          <c:y val="1.95493653745543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119667054466867E-2"/>
          <c:y val="9.1822278352685527E-2"/>
          <c:w val="0.9110446332560922"/>
          <c:h val="0.7708741432446572"/>
        </c:manualLayout>
      </c:layout>
      <c:scatterChart>
        <c:scatterStyle val="smoothMarker"/>
        <c:varyColors val="0"/>
        <c:ser>
          <c:idx val="0"/>
          <c:order val="0"/>
          <c:tx>
            <c:v>Potencia Instalada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TABLADA!$B$36:$B$53</c:f>
              <c:numCache>
                <c:formatCode>0</c:formatCode>
                <c:ptCount val="1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</c:numCache>
            </c:numRef>
          </c:xVal>
          <c:yVal>
            <c:numRef>
              <c:f>TABLADA!$I$36:$I$53</c:f>
              <c:numCache>
                <c:formatCode>0</c:formatCode>
                <c:ptCount val="1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7-434A-B8F7-E3C045714643}"/>
            </c:ext>
          </c:extLst>
        </c:ser>
        <c:ser>
          <c:idx val="1"/>
          <c:order val="1"/>
          <c:tx>
            <c:v>Precaución (N - 1)</c:v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TABLADA!$B$36:$B$53</c:f>
              <c:numCache>
                <c:formatCode>0</c:formatCode>
                <c:ptCount val="1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</c:numCache>
            </c:numRef>
          </c:xVal>
          <c:yVal>
            <c:numRef>
              <c:f>TABLADA!$J$36:$J$53</c:f>
              <c:numCache>
                <c:formatCode>0</c:formatCode>
                <c:ptCount val="1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7-434A-B8F7-E3C045714643}"/>
            </c:ext>
          </c:extLst>
        </c:ser>
        <c:ser>
          <c:idx val="2"/>
          <c:order val="2"/>
          <c:tx>
            <c:v>Potencia Aparente S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</c:spPr>
          </c:marker>
          <c:trendline>
            <c:name>Tendencia Lineal</c:name>
            <c:spPr>
              <a:ln w="31750" cap="sq" cmpd="sng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4.1787615886195457E-2"/>
                  <c:y val="-3.209573677662151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es-AR"/>
                </a:p>
              </c:txPr>
            </c:trendlineLbl>
          </c:trendline>
          <c:xVal>
            <c:numRef>
              <c:f>TABLADA!$B$36:$B$53</c:f>
              <c:numCache>
                <c:formatCode>0</c:formatCode>
                <c:ptCount val="1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</c:numCache>
            </c:numRef>
          </c:xVal>
          <c:yVal>
            <c:numRef>
              <c:f>TABLADA!$E$36:$E$53</c:f>
              <c:numCache>
                <c:formatCode>0.00</c:formatCode>
                <c:ptCount val="18"/>
                <c:pt idx="0">
                  <c:v>40.729999999999997</c:v>
                </c:pt>
                <c:pt idx="1">
                  <c:v>40.24</c:v>
                </c:pt>
                <c:pt idx="2">
                  <c:v>36.4</c:v>
                </c:pt>
                <c:pt idx="3">
                  <c:v>36.83</c:v>
                </c:pt>
                <c:pt idx="4">
                  <c:v>40.4</c:v>
                </c:pt>
                <c:pt idx="5">
                  <c:v>39.54</c:v>
                </c:pt>
                <c:pt idx="6">
                  <c:v>46.58</c:v>
                </c:pt>
                <c:pt idx="7">
                  <c:v>38.35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7-434A-B8F7-E3C045714643}"/>
            </c:ext>
          </c:extLst>
        </c:ser>
        <c:ser>
          <c:idx val="4"/>
          <c:order val="3"/>
          <c:tx>
            <c:v>Planeamiento 2018 - 2027</c:v>
          </c:tx>
          <c:spPr>
            <a:ln w="34925"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15875">
                <a:solidFill>
                  <a:srgbClr val="9BBB59">
                    <a:lumMod val="75000"/>
                  </a:srgbClr>
                </a:solidFill>
              </a:ln>
            </c:spPr>
          </c:marker>
          <c:xVal>
            <c:numRef>
              <c:f>TABLADA!$B$43:$B$53</c:f>
              <c:numCache>
                <c:formatCode>0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TABLADA!$H$43:$H$53</c:f>
              <c:numCache>
                <c:formatCode>0.00</c:formatCode>
                <c:ptCount val="11"/>
                <c:pt idx="0">
                  <c:v>38.35</c:v>
                </c:pt>
                <c:pt idx="1">
                  <c:v>39.999050000000004</c:v>
                </c:pt>
                <c:pt idx="2">
                  <c:v>41.648100000000007</c:v>
                </c:pt>
                <c:pt idx="3">
                  <c:v>43.297150000000009</c:v>
                </c:pt>
                <c:pt idx="4">
                  <c:v>44.946200000000012</c:v>
                </c:pt>
                <c:pt idx="5">
                  <c:v>46.595250000000014</c:v>
                </c:pt>
                <c:pt idx="6">
                  <c:v>48.244300000000017</c:v>
                </c:pt>
                <c:pt idx="7">
                  <c:v>49.893350000000019</c:v>
                </c:pt>
                <c:pt idx="8">
                  <c:v>51.542400000000022</c:v>
                </c:pt>
                <c:pt idx="9">
                  <c:v>53.191450000000025</c:v>
                </c:pt>
                <c:pt idx="10">
                  <c:v>54.840500000000027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7-434A-B8F7-E3C045714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43320"/>
        <c:axId val="436441360"/>
      </c:scatterChart>
      <c:valAx>
        <c:axId val="436443320"/>
        <c:scaling>
          <c:orientation val="minMax"/>
          <c:max val="2028"/>
          <c:min val="200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36441360"/>
        <c:crosses val="autoZero"/>
        <c:crossBetween val="midCat"/>
        <c:majorUnit val="5"/>
        <c:minorUnit val="1"/>
      </c:valAx>
      <c:valAx>
        <c:axId val="436441360"/>
        <c:scaling>
          <c:orientation val="minMax"/>
          <c:max val="90"/>
          <c:min val="3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 sz="1000">
                    <a:latin typeface="Arial" pitchFamily="34" charset="0"/>
                    <a:cs typeface="Arial" pitchFamily="34" charset="0"/>
                  </a:rPr>
                  <a:t>[MVA]</a:t>
                </a:r>
              </a:p>
            </c:rich>
          </c:tx>
          <c:layout>
            <c:manualLayout>
              <c:xMode val="edge"/>
              <c:yMode val="edge"/>
              <c:x val="9.992862241256336E-3"/>
              <c:y val="3.0628331851317254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364433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5667264695770751E-2"/>
          <c:y val="0.91870674457150148"/>
          <c:w val="0.93259663081381083"/>
          <c:h val="6.7892920420123362E-2"/>
        </c:manualLayout>
      </c:layout>
      <c:overlay val="0"/>
      <c:spPr>
        <a:noFill/>
        <a:ln w="6350"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sz="1000" baseline="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s-ES" sz="1600" b="1" i="0" u="none" strike="noStrike" baseline="0">
                <a:latin typeface="Arial" pitchFamily="34" charset="0"/>
                <a:cs typeface="Arial" pitchFamily="34" charset="0"/>
              </a:rPr>
              <a:t>ET </a:t>
            </a:r>
            <a:r>
              <a:rPr lang="es-ES" sz="1600">
                <a:latin typeface="Arial" pitchFamily="34" charset="0"/>
                <a:cs typeface="Arial" pitchFamily="34" charset="0"/>
              </a:rPr>
              <a:t>Fiat: </a:t>
            </a:r>
            <a:r>
              <a:rPr lang="en-US" sz="16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2025</a:t>
            </a:r>
            <a:endParaRPr lang="es-ES" sz="16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6609928337700555"/>
          <c:y val="2.81014873140857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433249920299524E-2"/>
          <c:y val="0.11198285843012139"/>
          <c:w val="0.7531516706479181"/>
          <c:h val="0.80517851436235144"/>
        </c:manualLayout>
      </c:layout>
      <c:scatterChart>
        <c:scatterStyle val="smoothMarker"/>
        <c:varyColors val="0"/>
        <c:ser>
          <c:idx val="0"/>
          <c:order val="0"/>
          <c:tx>
            <c:v>Potencia Aparente</c:v>
          </c:tx>
          <c:spPr>
            <a:ln>
              <a:solidFill>
                <a:prstClr val="black"/>
              </a:solidFill>
            </a:ln>
          </c:spPr>
          <c:marker>
            <c:spPr>
              <a:solidFill>
                <a:schemeClr val="tx1"/>
              </a:solidFill>
            </c:spPr>
          </c:marker>
          <c:trendline>
            <c:name>Tendencia Lineal</c:name>
            <c:spPr>
              <a:ln w="31750" cap="sq" cmpd="sng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1"/>
            <c:trendlineLbl>
              <c:layout>
                <c:manualLayout>
                  <c:x val="0.16853584409863423"/>
                  <c:y val="4.2670718791729982E-3"/>
                </c:manualLayout>
              </c:layout>
              <c:numFmt formatCode="General" sourceLinked="0"/>
            </c:trendlineLbl>
          </c:trendline>
          <c:xVal>
            <c:numRef>
              <c:f>FIAT!$C$7:$C$35</c:f>
              <c:numCache>
                <c:formatCode>General</c:formatCode>
                <c:ptCount val="2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</c:numCache>
            </c:numRef>
          </c:xVal>
          <c:yVal>
            <c:numRef>
              <c:f>FIAT!$E$7:$E$35</c:f>
              <c:numCache>
                <c:formatCode>0.00</c:formatCode>
                <c:ptCount val="29"/>
                <c:pt idx="0">
                  <c:v>2.9391357225830093</c:v>
                </c:pt>
                <c:pt idx="1">
                  <c:v>3.1722395902361442</c:v>
                </c:pt>
                <c:pt idx="2">
                  <c:v>3.1418347379335616</c:v>
                </c:pt>
                <c:pt idx="3">
                  <c:v>3.2026444425387273</c:v>
                </c:pt>
                <c:pt idx="4">
                  <c:v>12.161940921033141</c:v>
                </c:pt>
                <c:pt idx="5">
                  <c:v>13.124761243948264</c:v>
                </c:pt>
                <c:pt idx="6">
                  <c:v>9.2200000000000006</c:v>
                </c:pt>
                <c:pt idx="7">
                  <c:v>9.93</c:v>
                </c:pt>
                <c:pt idx="8">
                  <c:v>17.95</c:v>
                </c:pt>
                <c:pt idx="9">
                  <c:v>16.329999999999998</c:v>
                </c:pt>
                <c:pt idx="10">
                  <c:v>16.07</c:v>
                </c:pt>
                <c:pt idx="11">
                  <c:v>16.239999999999998</c:v>
                </c:pt>
                <c:pt idx="12">
                  <c:v>17</c:v>
                </c:pt>
                <c:pt idx="13">
                  <c:v>17.28</c:v>
                </c:pt>
                <c:pt idx="14">
                  <c:v>17.760000000000002</c:v>
                </c:pt>
                <c:pt idx="15">
                  <c:v>18.170000000000002</c:v>
                </c:pt>
                <c:pt idx="16">
                  <c:v>20.260000000000002</c:v>
                </c:pt>
                <c:pt idx="17">
                  <c:v>18.64</c:v>
                </c:pt>
                <c:pt idx="18">
                  <c:v>20.22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0-4EFA-8199-5DF4A0FEF5EC}"/>
            </c:ext>
          </c:extLst>
        </c:ser>
        <c:ser>
          <c:idx val="1"/>
          <c:order val="1"/>
          <c:tx>
            <c:v>Potencia Instalada</c:v>
          </c:tx>
          <c:spPr>
            <a:ln w="31750" cap="sq">
              <a:solidFill>
                <a:srgbClr val="FF0000"/>
              </a:solidFill>
              <a:round/>
            </a:ln>
          </c:spPr>
          <c:marker>
            <c:symbol val="none"/>
          </c:marker>
          <c:xVal>
            <c:numRef>
              <c:f>FIAT!$C$7:$C$35</c:f>
              <c:numCache>
                <c:formatCode>General</c:formatCode>
                <c:ptCount val="2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</c:numCache>
            </c:numRef>
          </c:xVal>
          <c:yVal>
            <c:numRef>
              <c:f>FIAT!$J$7:$J$35</c:f>
              <c:numCache>
                <c:formatCode>0.00</c:formatCode>
                <c:ptCount val="2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0-4EFA-8199-5DF4A0FEF5EC}"/>
            </c:ext>
          </c:extLst>
        </c:ser>
        <c:ser>
          <c:idx val="2"/>
          <c:order val="2"/>
          <c:tx>
            <c:v>Precaución (N - 1)</c:v>
          </c:tx>
          <c:spPr>
            <a:ln w="317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FIAT!$C$7:$C$35</c:f>
              <c:numCache>
                <c:formatCode>General</c:formatCode>
                <c:ptCount val="2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</c:numCache>
            </c:numRef>
          </c:xVal>
          <c:yVal>
            <c:numRef>
              <c:f>FIAT!$K$7:$K$35</c:f>
              <c:numCache>
                <c:formatCode>0.00</c:formatCode>
                <c:ptCount val="2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70-4EFA-8199-5DF4A0FEF5EC}"/>
            </c:ext>
          </c:extLst>
        </c:ser>
        <c:ser>
          <c:idx val="3"/>
          <c:order val="3"/>
          <c:tx>
            <c:v>Crecimiento 4,50 %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accent6">
                  <a:lumMod val="75000"/>
                </a:schemeClr>
              </a:solidFill>
            </c:spPr>
          </c:marker>
          <c:xVal>
            <c:numRef>
              <c:f>FIAT!$C$25:$C$35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xVal>
          <c:yVal>
            <c:numRef>
              <c:f>FIAT!$I$25:$I$35</c:f>
              <c:numCache>
                <c:formatCode>0.00</c:formatCode>
                <c:ptCount val="11"/>
                <c:pt idx="0">
                  <c:v>20.22</c:v>
                </c:pt>
                <c:pt idx="1">
                  <c:v>21.129899999999996</c:v>
                </c:pt>
                <c:pt idx="2">
                  <c:v>22.080745499999995</c:v>
                </c:pt>
                <c:pt idx="3">
                  <c:v>23.074379047499995</c:v>
                </c:pt>
                <c:pt idx="4">
                  <c:v>24.112726104637492</c:v>
                </c:pt>
                <c:pt idx="5">
                  <c:v>25.197798779346176</c:v>
                </c:pt>
                <c:pt idx="6">
                  <c:v>26.331699724416751</c:v>
                </c:pt>
                <c:pt idx="7">
                  <c:v>27.516626212015503</c:v>
                </c:pt>
                <c:pt idx="8">
                  <c:v>28.754874391556196</c:v>
                </c:pt>
                <c:pt idx="9">
                  <c:v>30.048843739176224</c:v>
                </c:pt>
                <c:pt idx="10">
                  <c:v>31.401041707439152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70-4EFA-8199-5DF4A0FEF5EC}"/>
            </c:ext>
          </c:extLst>
        </c:ser>
        <c:ser>
          <c:idx val="4"/>
          <c:order val="4"/>
          <c:tx>
            <c:v>"Año de Saturación"</c:v>
          </c:tx>
          <c:spPr>
            <a:ln w="19050" cmpd="sng">
              <a:solidFill>
                <a:srgbClr val="1F497D"/>
              </a:solidFill>
              <a:headEnd type="triangle"/>
            </a:ln>
          </c:spPr>
          <c:marker>
            <c:symbol val="none"/>
          </c:marker>
          <c:xVal>
            <c:numRef>
              <c:f>FIAT!$O$58:$O$65</c:f>
              <c:numCache>
                <c:formatCode>General</c:formatCode>
                <c:ptCount val="8"/>
                <c:pt idx="0">
                  <c:v>2013</c:v>
                </c:pt>
                <c:pt idx="1">
                  <c:v>2013</c:v>
                </c:pt>
                <c:pt idx="2">
                  <c:v>2013</c:v>
                </c:pt>
                <c:pt idx="3">
                  <c:v>2013</c:v>
                </c:pt>
                <c:pt idx="4">
                  <c:v>2013</c:v>
                </c:pt>
                <c:pt idx="5">
                  <c:v>2013</c:v>
                </c:pt>
                <c:pt idx="6">
                  <c:v>2013</c:v>
                </c:pt>
                <c:pt idx="7">
                  <c:v>2013</c:v>
                </c:pt>
              </c:numCache>
            </c:numRef>
          </c:xVal>
          <c:yVal>
            <c:numRef>
              <c:f>FIAT!$P$58:$P$65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70-4EFA-8199-5DF4A0FEF5EC}"/>
            </c:ext>
          </c:extLst>
        </c:ser>
        <c:ser>
          <c:idx val="5"/>
          <c:order val="5"/>
          <c:tx>
            <c:v>Planeamiento 2016 - 2020</c:v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1F497D"/>
              </a:solidFill>
              <a:ln>
                <a:solidFill>
                  <a:srgbClr val="1F497D"/>
                </a:solidFill>
              </a:ln>
            </c:spPr>
          </c:marker>
          <c:xVal>
            <c:numRef>
              <c:f>FIAT!$C$25:$C$35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xVal>
          <c:yVal>
            <c:numRef>
              <c:f>FIAT!$H$25:$H$35</c:f>
              <c:numCache>
                <c:formatCode>0.00</c:formatCode>
                <c:ptCount val="11"/>
                <c:pt idx="0">
                  <c:v>20.22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70-4EFA-8199-5DF4A0FEF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38224"/>
        <c:axId val="436442144"/>
      </c:scatterChart>
      <c:valAx>
        <c:axId val="436438224"/>
        <c:scaling>
          <c:orientation val="minMax"/>
          <c:max val="2026"/>
          <c:min val="1996"/>
        </c:scaling>
        <c:delete val="0"/>
        <c:axPos val="b"/>
        <c:majorGridlines/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>
                    <a:solidFill>
                      <a:schemeClr val="tx2"/>
                    </a:solidFill>
                    <a:latin typeface="Arial" pitchFamily="34" charset="0"/>
                    <a:cs typeface="Arial" pitchFamily="34" charset="0"/>
                  </a:rPr>
                  <a:t>2013</a:t>
                </a:r>
              </a:p>
            </c:rich>
          </c:tx>
          <c:layout>
            <c:manualLayout>
              <c:xMode val="edge"/>
              <c:yMode val="edge"/>
              <c:x val="0.4825433683987998"/>
              <c:y val="0.9617265736519797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436442144"/>
        <c:crosses val="autoZero"/>
        <c:crossBetween val="midCat"/>
        <c:majorUnit val="2"/>
        <c:minorUnit val="1"/>
      </c:valAx>
      <c:valAx>
        <c:axId val="4364421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 sz="1000">
                    <a:latin typeface="Arial" pitchFamily="34" charset="0"/>
                    <a:cs typeface="Arial" pitchFamily="34" charset="0"/>
                  </a:rPr>
                  <a:t>[MVA]</a:t>
                </a:r>
              </a:p>
            </c:rich>
          </c:tx>
          <c:layout>
            <c:manualLayout>
              <c:xMode val="edge"/>
              <c:yMode val="edge"/>
              <c:x val="1.6628877730492795E-2"/>
              <c:y val="4.064797163512456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436438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389907444660559"/>
          <c:y val="0.38464576138509005"/>
          <c:w val="0.17610092555339454"/>
          <c:h val="0.39882451535663305"/>
        </c:manualLayout>
      </c:layout>
      <c:overlay val="0"/>
    </c:legend>
    <c:plotVisOnly val="1"/>
    <c:dispBlanksAs val="gap"/>
    <c:showDLblsOverMax val="0"/>
  </c:chart>
  <c:spPr>
    <a:solidFill>
      <a:schemeClr val="bg2"/>
    </a:solidFill>
    <a:ln w="12700">
      <a:solidFill>
        <a:schemeClr val="tx1"/>
      </a:solidFill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s-ES" sz="1700" b="1" i="0" u="none" strike="noStrike" baseline="0">
                <a:latin typeface="Arial" pitchFamily="34" charset="0"/>
                <a:cs typeface="Arial" pitchFamily="34" charset="0"/>
              </a:rPr>
              <a:t>ET </a:t>
            </a:r>
            <a:r>
              <a:rPr lang="es-ES" sz="1700" baseline="0">
                <a:latin typeface="Arial" pitchFamily="34" charset="0"/>
                <a:cs typeface="Arial" pitchFamily="34" charset="0"/>
              </a:rPr>
              <a:t>Fiat: </a:t>
            </a:r>
            <a:r>
              <a:rPr lang="en-US" sz="17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2025</a:t>
            </a:r>
            <a:endParaRPr lang="es-ES" sz="1700" baseline="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1172103427625319"/>
          <c:y val="3.913907284768211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433249920299524E-2"/>
          <c:y val="0.11198285843012139"/>
          <c:w val="0.9018139557951842"/>
          <c:h val="0.73628878343849402"/>
        </c:manualLayout>
      </c:layout>
      <c:scatterChart>
        <c:scatterStyle val="smoothMarker"/>
        <c:varyColors val="0"/>
        <c:ser>
          <c:idx val="0"/>
          <c:order val="0"/>
          <c:tx>
            <c:v>Potencia Aparente</c:v>
          </c:tx>
          <c:spPr>
            <a:ln w="34925">
              <a:solidFill>
                <a:prstClr val="black"/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name>Tendencia Lineal</c:name>
            <c:spPr>
              <a:ln w="31750" cap="sq" cmpd="sng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1.8835530719213577E-2"/>
                  <c:y val="-1.911332136114564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FIAT!$C$7:$C$35</c:f>
              <c:numCache>
                <c:formatCode>General</c:formatCode>
                <c:ptCount val="2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</c:numCache>
            </c:numRef>
          </c:xVal>
          <c:yVal>
            <c:numRef>
              <c:f>FIAT!$E$7:$E$35</c:f>
              <c:numCache>
                <c:formatCode>0.00</c:formatCode>
                <c:ptCount val="29"/>
                <c:pt idx="0">
                  <c:v>2.9391357225830093</c:v>
                </c:pt>
                <c:pt idx="1">
                  <c:v>3.1722395902361442</c:v>
                </c:pt>
                <c:pt idx="2">
                  <c:v>3.1418347379335616</c:v>
                </c:pt>
                <c:pt idx="3">
                  <c:v>3.2026444425387273</c:v>
                </c:pt>
                <c:pt idx="4">
                  <c:v>12.161940921033141</c:v>
                </c:pt>
                <c:pt idx="5">
                  <c:v>13.124761243948264</c:v>
                </c:pt>
                <c:pt idx="6">
                  <c:v>9.2200000000000006</c:v>
                </c:pt>
                <c:pt idx="7">
                  <c:v>9.93</c:v>
                </c:pt>
                <c:pt idx="8">
                  <c:v>17.95</c:v>
                </c:pt>
                <c:pt idx="9">
                  <c:v>16.329999999999998</c:v>
                </c:pt>
                <c:pt idx="10">
                  <c:v>16.07</c:v>
                </c:pt>
                <c:pt idx="11">
                  <c:v>16.239999999999998</c:v>
                </c:pt>
                <c:pt idx="12">
                  <c:v>17</c:v>
                </c:pt>
                <c:pt idx="13">
                  <c:v>17.28</c:v>
                </c:pt>
                <c:pt idx="14">
                  <c:v>17.760000000000002</c:v>
                </c:pt>
                <c:pt idx="15">
                  <c:v>18.170000000000002</c:v>
                </c:pt>
                <c:pt idx="16">
                  <c:v>20.260000000000002</c:v>
                </c:pt>
                <c:pt idx="17">
                  <c:v>18.64</c:v>
                </c:pt>
                <c:pt idx="18">
                  <c:v>20.22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9-4E22-9228-20D0C350FDA3}"/>
            </c:ext>
          </c:extLst>
        </c:ser>
        <c:ser>
          <c:idx val="1"/>
          <c:order val="1"/>
          <c:tx>
            <c:v>Potencia Instalada</c:v>
          </c:tx>
          <c:spPr>
            <a:ln w="25400" cap="sq">
              <a:solidFill>
                <a:srgbClr val="FF0000"/>
              </a:solidFill>
              <a:round/>
            </a:ln>
          </c:spPr>
          <c:marker>
            <c:symbol val="none"/>
          </c:marker>
          <c:xVal>
            <c:numRef>
              <c:f>FIAT!$C$7:$C$35</c:f>
              <c:numCache>
                <c:formatCode>General</c:formatCode>
                <c:ptCount val="2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</c:numCache>
            </c:numRef>
          </c:xVal>
          <c:yVal>
            <c:numRef>
              <c:f>FIAT!$J$7:$J$35</c:f>
              <c:numCache>
                <c:formatCode>0.00</c:formatCode>
                <c:ptCount val="2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49-4E22-9228-20D0C350FDA3}"/>
            </c:ext>
          </c:extLst>
        </c:ser>
        <c:ser>
          <c:idx val="2"/>
          <c:order val="2"/>
          <c:tx>
            <c:v>Precaución (N - 1)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FIAT!$C$7:$C$35</c:f>
              <c:numCache>
                <c:formatCode>General</c:formatCode>
                <c:ptCount val="2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</c:numCache>
            </c:numRef>
          </c:xVal>
          <c:yVal>
            <c:numRef>
              <c:f>FIAT!$K$7:$K$35</c:f>
              <c:numCache>
                <c:formatCode>0.00</c:formatCode>
                <c:ptCount val="2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49-4E22-9228-20D0C350FDA3}"/>
            </c:ext>
          </c:extLst>
        </c:ser>
        <c:ser>
          <c:idx val="3"/>
          <c:order val="3"/>
          <c:tx>
            <c:v>Crecimiento 4,50 %</c:v>
          </c:tx>
          <c:spPr>
            <a:ln w="34925">
              <a:solidFill>
                <a:srgbClr val="F79646">
                  <a:lumMod val="75000"/>
                </a:srgbClr>
              </a:solidFill>
            </a:ln>
          </c:spPr>
          <c:marker>
            <c:symbol val="diamond"/>
            <c:size val="7"/>
            <c:spPr>
              <a:solidFill>
                <a:srgbClr val="1F497D"/>
              </a:solidFill>
              <a:ln w="6350">
                <a:solidFill>
                  <a:srgbClr val="1F497D"/>
                </a:solidFill>
              </a:ln>
            </c:spPr>
          </c:marker>
          <c:xVal>
            <c:numRef>
              <c:f>FIAT!$C$25:$C$35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xVal>
          <c:yVal>
            <c:numRef>
              <c:f>FIAT!$I$25:$I$35</c:f>
              <c:numCache>
                <c:formatCode>0.00</c:formatCode>
                <c:ptCount val="11"/>
                <c:pt idx="0">
                  <c:v>20.22</c:v>
                </c:pt>
                <c:pt idx="1">
                  <c:v>21.129899999999996</c:v>
                </c:pt>
                <c:pt idx="2">
                  <c:v>22.080745499999995</c:v>
                </c:pt>
                <c:pt idx="3">
                  <c:v>23.074379047499995</c:v>
                </c:pt>
                <c:pt idx="4">
                  <c:v>24.112726104637492</c:v>
                </c:pt>
                <c:pt idx="5">
                  <c:v>25.197798779346176</c:v>
                </c:pt>
                <c:pt idx="6">
                  <c:v>26.331699724416751</c:v>
                </c:pt>
                <c:pt idx="7">
                  <c:v>27.516626212015503</c:v>
                </c:pt>
                <c:pt idx="8">
                  <c:v>28.754874391556196</c:v>
                </c:pt>
                <c:pt idx="9">
                  <c:v>30.048843739176224</c:v>
                </c:pt>
                <c:pt idx="10">
                  <c:v>31.401041707439152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49-4E22-9228-20D0C350FDA3}"/>
            </c:ext>
          </c:extLst>
        </c:ser>
        <c:ser>
          <c:idx val="4"/>
          <c:order val="4"/>
          <c:tx>
            <c:v>"Año de Saturación"</c:v>
          </c:tx>
          <c:spPr>
            <a:ln w="19050" cmpd="sng">
              <a:solidFill>
                <a:srgbClr val="1F497D"/>
              </a:solidFill>
              <a:headEnd type="triangle"/>
            </a:ln>
          </c:spPr>
          <c:marker>
            <c:symbol val="none"/>
          </c:marker>
          <c:xVal>
            <c:numRef>
              <c:f>FIAT!$O$58:$O$65</c:f>
              <c:numCache>
                <c:formatCode>General</c:formatCode>
                <c:ptCount val="8"/>
                <c:pt idx="0">
                  <c:v>2013</c:v>
                </c:pt>
                <c:pt idx="1">
                  <c:v>2013</c:v>
                </c:pt>
                <c:pt idx="2">
                  <c:v>2013</c:v>
                </c:pt>
                <c:pt idx="3">
                  <c:v>2013</c:v>
                </c:pt>
                <c:pt idx="4">
                  <c:v>2013</c:v>
                </c:pt>
                <c:pt idx="5">
                  <c:v>2013</c:v>
                </c:pt>
                <c:pt idx="6">
                  <c:v>2013</c:v>
                </c:pt>
                <c:pt idx="7">
                  <c:v>2013</c:v>
                </c:pt>
              </c:numCache>
            </c:numRef>
          </c:xVal>
          <c:yVal>
            <c:numRef>
              <c:f>FIAT!$P$58:$P$65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49-4E22-9228-20D0C350FDA3}"/>
            </c:ext>
          </c:extLst>
        </c:ser>
        <c:ser>
          <c:idx val="5"/>
          <c:order val="5"/>
          <c:tx>
            <c:v>Planeamiento 2016 - 2020</c:v>
          </c:tx>
          <c:spPr>
            <a:ln w="34925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1F497D"/>
              </a:solidFill>
              <a:ln>
                <a:solidFill>
                  <a:srgbClr val="1F497D"/>
                </a:solidFill>
              </a:ln>
            </c:spPr>
          </c:marker>
          <c:xVal>
            <c:numRef>
              <c:f>FIAT!$C$25:$C$35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xVal>
          <c:yVal>
            <c:numRef>
              <c:f>FIAT!$H$25:$H$35</c:f>
              <c:numCache>
                <c:formatCode>0.00</c:formatCode>
                <c:ptCount val="11"/>
                <c:pt idx="0">
                  <c:v>20.22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49-4E22-9228-20D0C350F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42928"/>
        <c:axId val="516350928"/>
      </c:scatterChart>
      <c:valAx>
        <c:axId val="436442928"/>
        <c:scaling>
          <c:orientation val="minMax"/>
          <c:max val="2026"/>
          <c:min val="1996"/>
        </c:scaling>
        <c:delete val="0"/>
        <c:axPos val="b"/>
        <c:majorGridlines/>
        <c:minorGridlines>
          <c:spPr>
            <a:ln>
              <a:prstDash val="dash"/>
            </a:ln>
          </c:spPr>
        </c:min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516350928"/>
        <c:crosses val="autoZero"/>
        <c:crossBetween val="midCat"/>
        <c:majorUnit val="2"/>
        <c:minorUnit val="1"/>
      </c:valAx>
      <c:valAx>
        <c:axId val="5163509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 sz="1000">
                    <a:latin typeface="Arial" pitchFamily="34" charset="0"/>
                    <a:cs typeface="Arial" pitchFamily="34" charset="0"/>
                  </a:rPr>
                  <a:t>[MVA]</a:t>
                </a:r>
              </a:p>
            </c:rich>
          </c:tx>
          <c:layout>
            <c:manualLayout>
              <c:xMode val="edge"/>
              <c:yMode val="edge"/>
              <c:x val="1.6628877730492795E-2"/>
              <c:y val="4.0647971635124562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364429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179534553437172"/>
          <c:y val="0.91473188368010294"/>
          <c:w val="0.87587952602470009"/>
          <c:h val="7.202308320731432E-2"/>
        </c:manualLayout>
      </c:layout>
      <c:overlay val="0"/>
      <c:spPr>
        <a:noFill/>
        <a:ln w="6350"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baseline="0">
              <a:latin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 w="12700"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latin typeface="Arial" pitchFamily="34" charset="0"/>
                <a:cs typeface="Arial" pitchFamily="34" charset="0"/>
              </a:rPr>
              <a:t>ET Interfabricas</a:t>
            </a:r>
            <a:r>
              <a:rPr lang="en-US" sz="1800">
                <a:latin typeface="Arial" pitchFamily="34" charset="0"/>
                <a:cs typeface="Arial" pitchFamily="34" charset="0"/>
              </a:rPr>
              <a:t>: </a:t>
            </a:r>
            <a:r>
              <a:rPr lang="en-US" sz="18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2027</a:t>
            </a:r>
          </a:p>
        </c:rich>
      </c:tx>
      <c:layout>
        <c:manualLayout>
          <c:xMode val="edge"/>
          <c:yMode val="edge"/>
          <c:x val="0.16599491013891743"/>
          <c:y val="3.186955020657325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368609233942849E-2"/>
          <c:y val="0.10645806621781964"/>
          <c:w val="0.92977333196299483"/>
          <c:h val="0.76524418456429344"/>
        </c:manualLayout>
      </c:layout>
      <c:scatterChart>
        <c:scatterStyle val="smoothMarker"/>
        <c:varyColors val="0"/>
        <c:ser>
          <c:idx val="1"/>
          <c:order val="0"/>
          <c:tx>
            <c:v>Precaución (N - 1)</c:v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INTERFABRICAS!$B$28:$B$58</c:f>
              <c:numCache>
                <c:formatCode>General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INTERFABRICAS!$J$28:$J$58</c:f>
              <c:numCache>
                <c:formatCode>0</c:formatCode>
                <c:ptCount val="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3-40B6-BED2-943C59023126}"/>
            </c:ext>
          </c:extLst>
        </c:ser>
        <c:ser>
          <c:idx val="5"/>
          <c:order val="1"/>
          <c:tx>
            <c:v>Planeamiento 2018 - 2027</c:v>
          </c:tx>
          <c:spPr>
            <a:ln w="34925"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rgbClr val="9BBB59">
                    <a:lumMod val="75000"/>
                  </a:srgbClr>
                </a:solidFill>
              </a:ln>
            </c:spPr>
          </c:marker>
          <c:xVal>
            <c:numRef>
              <c:f>INTERFABRICAS!$B$48:$B$58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INTERFABRICAS!$H$48:$H$58</c:f>
              <c:numCache>
                <c:formatCode>0.00</c:formatCode>
                <c:ptCount val="11"/>
                <c:pt idx="0">
                  <c:v>30.91</c:v>
                </c:pt>
                <c:pt idx="1">
                  <c:v>32.130000000000003</c:v>
                </c:pt>
                <c:pt idx="2">
                  <c:v>33.35</c:v>
                </c:pt>
                <c:pt idx="3">
                  <c:v>34.57</c:v>
                </c:pt>
                <c:pt idx="4">
                  <c:v>35.79</c:v>
                </c:pt>
                <c:pt idx="5">
                  <c:v>37.01</c:v>
                </c:pt>
                <c:pt idx="6">
                  <c:v>38.229999999999997</c:v>
                </c:pt>
                <c:pt idx="7">
                  <c:v>39.449999999999996</c:v>
                </c:pt>
                <c:pt idx="8">
                  <c:v>40.669999999999995</c:v>
                </c:pt>
                <c:pt idx="9">
                  <c:v>41.889999999999993</c:v>
                </c:pt>
                <c:pt idx="10">
                  <c:v>43.109999999999992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83-40B6-BED2-943C59023126}"/>
            </c:ext>
          </c:extLst>
        </c:ser>
        <c:ser>
          <c:idx val="0"/>
          <c:order val="2"/>
          <c:tx>
            <c:v>Serie Historica S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</c:spPr>
          </c:marker>
          <c:trendline>
            <c:name>Tendencia Lineal</c:name>
            <c:spPr>
              <a:ln w="34925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3.7972770366478774E-2"/>
                  <c:y val="4.2758824191796309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solidFill>
                        <a:schemeClr val="tx1"/>
                      </a:solidFill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INTERFABRICAS!$B$28:$B$58</c:f>
              <c:numCache>
                <c:formatCode>General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INTERFABRICAS!$E$28:$E$58</c:f>
              <c:numCache>
                <c:formatCode>0.00</c:formatCode>
                <c:ptCount val="31"/>
                <c:pt idx="0">
                  <c:v>2.9391357225830093</c:v>
                </c:pt>
                <c:pt idx="1">
                  <c:v>3.1722395902361442</c:v>
                </c:pt>
                <c:pt idx="2">
                  <c:v>3.1418347379335616</c:v>
                </c:pt>
                <c:pt idx="3">
                  <c:v>3.2026444425387273</c:v>
                </c:pt>
                <c:pt idx="4">
                  <c:v>12.161940921033141</c:v>
                </c:pt>
                <c:pt idx="5">
                  <c:v>13.124761243948264</c:v>
                </c:pt>
                <c:pt idx="6">
                  <c:v>9.2200000000000006</c:v>
                </c:pt>
                <c:pt idx="7">
                  <c:v>9.93</c:v>
                </c:pt>
                <c:pt idx="8">
                  <c:v>17.95</c:v>
                </c:pt>
                <c:pt idx="9">
                  <c:v>16.329999999999998</c:v>
                </c:pt>
                <c:pt idx="10">
                  <c:v>16.07</c:v>
                </c:pt>
                <c:pt idx="11">
                  <c:v>16.239999999999998</c:v>
                </c:pt>
                <c:pt idx="12">
                  <c:v>17</c:v>
                </c:pt>
                <c:pt idx="13">
                  <c:v>17.28</c:v>
                </c:pt>
                <c:pt idx="14">
                  <c:v>17.760000000000002</c:v>
                </c:pt>
                <c:pt idx="15">
                  <c:v>18.170000000000002</c:v>
                </c:pt>
                <c:pt idx="16">
                  <c:v>20.260000000000002</c:v>
                </c:pt>
                <c:pt idx="17">
                  <c:v>18.64</c:v>
                </c:pt>
                <c:pt idx="18">
                  <c:v>27.27</c:v>
                </c:pt>
                <c:pt idx="19">
                  <c:v>28.5</c:v>
                </c:pt>
                <c:pt idx="20">
                  <c:v>30.91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83-40B6-BED2-943C59023126}"/>
            </c:ext>
          </c:extLst>
        </c:ser>
        <c:ser>
          <c:idx val="2"/>
          <c:order val="3"/>
          <c:tx>
            <c:v>Potencia Instalada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INTERFABRICAS!$B$28:$B$58</c:f>
              <c:numCache>
                <c:formatCode>General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INTERFABRICAS!$I$28:$I$58</c:f>
              <c:numCache>
                <c:formatCode>0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83-40B6-BED2-943C59023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57200"/>
        <c:axId val="516351712"/>
      </c:scatterChart>
      <c:valAx>
        <c:axId val="516357200"/>
        <c:scaling>
          <c:orientation val="minMax"/>
          <c:max val="2028"/>
          <c:min val="199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516351712"/>
        <c:crosses val="autoZero"/>
        <c:crossBetween val="midCat"/>
        <c:majorUnit val="5"/>
        <c:minorUnit val="1"/>
      </c:valAx>
      <c:valAx>
        <c:axId val="516351712"/>
        <c:scaling>
          <c:orientation val="minMax"/>
          <c:max val="12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latin typeface="Arial" pitchFamily="34" charset="0"/>
                  </a:rPr>
                  <a:t>[MVA]</a:t>
                </a:r>
                <a:endParaRPr lang="es-ES" baseline="0">
                  <a:latin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5.9193481818862678E-3"/>
              <c:y val="3.4245238138876012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516357200"/>
        <c:crosses val="autoZero"/>
        <c:crossBetween val="midCat"/>
        <c:majorUnit val="20"/>
      </c:valAx>
    </c:plotArea>
    <c:legend>
      <c:legendPos val="b"/>
      <c:layout>
        <c:manualLayout>
          <c:xMode val="edge"/>
          <c:yMode val="edge"/>
          <c:x val="3.3300257530504612E-2"/>
          <c:y val="0.91978758639952474"/>
          <c:w val="0.9404039855519627"/>
          <c:h val="5.6881945874204476E-2"/>
        </c:manualLayout>
      </c:layout>
      <c:overlay val="0"/>
      <c:spPr>
        <a:noFill/>
        <a:ln w="6350"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sz="1000" baseline="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 w="12700">
      <a:noFill/>
    </a:ln>
  </c:spPr>
  <c:printSettings>
    <c:headerFooter/>
    <c:pageMargins b="0.75000000000001088" l="0.70000000000000062" r="0.70000000000000062" t="0.75000000000001088" header="0.30000000000000032" footer="0.30000000000000032"/>
    <c:pageSetup/>
  </c:printSettings>
  <c:userShapes r:id="rId2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latin typeface="Arial" pitchFamily="34" charset="0"/>
                <a:cs typeface="Arial" pitchFamily="34" charset="0"/>
              </a:rPr>
              <a:t>ET Interfabricas</a:t>
            </a:r>
            <a:r>
              <a:rPr lang="en-US" sz="1800">
                <a:latin typeface="Arial" pitchFamily="34" charset="0"/>
                <a:cs typeface="Arial" pitchFamily="34" charset="0"/>
              </a:rPr>
              <a:t>: </a:t>
            </a:r>
            <a:r>
              <a:rPr lang="en-US" sz="18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2027</a:t>
            </a:r>
          </a:p>
        </c:rich>
      </c:tx>
      <c:layout>
        <c:manualLayout>
          <c:xMode val="edge"/>
          <c:yMode val="edge"/>
          <c:x val="0.16599491013891743"/>
          <c:y val="3.186955020657325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368609233942849E-2"/>
          <c:y val="0.10645806621781964"/>
          <c:w val="0.92977333196299483"/>
          <c:h val="0.76524418456429344"/>
        </c:manualLayout>
      </c:layout>
      <c:scatterChart>
        <c:scatterStyle val="smoothMarker"/>
        <c:varyColors val="0"/>
        <c:ser>
          <c:idx val="1"/>
          <c:order val="0"/>
          <c:tx>
            <c:v>Precaución (N - 1)</c:v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INTERFABRICAS!$B$28:$B$58</c:f>
              <c:numCache>
                <c:formatCode>General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INTERFABRICAS!$J$28:$J$58</c:f>
              <c:numCache>
                <c:formatCode>0</c:formatCode>
                <c:ptCount val="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4-43E8-BDDB-FA3E33269694}"/>
            </c:ext>
          </c:extLst>
        </c:ser>
        <c:ser>
          <c:idx val="5"/>
          <c:order val="1"/>
          <c:tx>
            <c:v>Planeamiento 2018 - 2027</c:v>
          </c:tx>
          <c:spPr>
            <a:ln w="34925"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rgbClr val="9BBB59">
                    <a:lumMod val="75000"/>
                  </a:srgbClr>
                </a:solidFill>
              </a:ln>
            </c:spPr>
          </c:marker>
          <c:xVal>
            <c:numRef>
              <c:f>INTERFABRICAS!$B$48:$B$58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INTERFABRICAS!$H$48:$H$58</c:f>
              <c:numCache>
                <c:formatCode>0.00</c:formatCode>
                <c:ptCount val="11"/>
                <c:pt idx="0">
                  <c:v>30.91</c:v>
                </c:pt>
                <c:pt idx="1">
                  <c:v>32.130000000000003</c:v>
                </c:pt>
                <c:pt idx="2">
                  <c:v>33.35</c:v>
                </c:pt>
                <c:pt idx="3">
                  <c:v>34.57</c:v>
                </c:pt>
                <c:pt idx="4">
                  <c:v>35.79</c:v>
                </c:pt>
                <c:pt idx="5">
                  <c:v>37.01</c:v>
                </c:pt>
                <c:pt idx="6">
                  <c:v>38.229999999999997</c:v>
                </c:pt>
                <c:pt idx="7">
                  <c:v>39.449999999999996</c:v>
                </c:pt>
                <c:pt idx="8">
                  <c:v>40.669999999999995</c:v>
                </c:pt>
                <c:pt idx="9">
                  <c:v>41.889999999999993</c:v>
                </c:pt>
                <c:pt idx="10">
                  <c:v>43.109999999999992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B4-43E8-BDDB-FA3E33269694}"/>
            </c:ext>
          </c:extLst>
        </c:ser>
        <c:ser>
          <c:idx val="0"/>
          <c:order val="2"/>
          <c:tx>
            <c:v>Serie Historica S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</c:spPr>
          </c:marker>
          <c:trendline>
            <c:name>Tendencia Lineal</c:name>
            <c:spPr>
              <a:ln w="34925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3.7972770366478774E-2"/>
                  <c:y val="4.2758824191796309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solidFill>
                        <a:schemeClr val="tx1"/>
                      </a:solidFill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INTERFABRICAS!$B$28:$B$58</c:f>
              <c:numCache>
                <c:formatCode>General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INTERFABRICAS!$E$28:$E$58</c:f>
              <c:numCache>
                <c:formatCode>0.00</c:formatCode>
                <c:ptCount val="31"/>
                <c:pt idx="0">
                  <c:v>2.9391357225830093</c:v>
                </c:pt>
                <c:pt idx="1">
                  <c:v>3.1722395902361442</c:v>
                </c:pt>
                <c:pt idx="2">
                  <c:v>3.1418347379335616</c:v>
                </c:pt>
                <c:pt idx="3">
                  <c:v>3.2026444425387273</c:v>
                </c:pt>
                <c:pt idx="4">
                  <c:v>12.161940921033141</c:v>
                </c:pt>
                <c:pt idx="5">
                  <c:v>13.124761243948264</c:v>
                </c:pt>
                <c:pt idx="6">
                  <c:v>9.2200000000000006</c:v>
                </c:pt>
                <c:pt idx="7">
                  <c:v>9.93</c:v>
                </c:pt>
                <c:pt idx="8">
                  <c:v>17.95</c:v>
                </c:pt>
                <c:pt idx="9">
                  <c:v>16.329999999999998</c:v>
                </c:pt>
                <c:pt idx="10">
                  <c:v>16.07</c:v>
                </c:pt>
                <c:pt idx="11">
                  <c:v>16.239999999999998</c:v>
                </c:pt>
                <c:pt idx="12">
                  <c:v>17</c:v>
                </c:pt>
                <c:pt idx="13">
                  <c:v>17.28</c:v>
                </c:pt>
                <c:pt idx="14">
                  <c:v>17.760000000000002</c:v>
                </c:pt>
                <c:pt idx="15">
                  <c:v>18.170000000000002</c:v>
                </c:pt>
                <c:pt idx="16">
                  <c:v>20.260000000000002</c:v>
                </c:pt>
                <c:pt idx="17">
                  <c:v>18.64</c:v>
                </c:pt>
                <c:pt idx="18">
                  <c:v>27.27</c:v>
                </c:pt>
                <c:pt idx="19">
                  <c:v>28.5</c:v>
                </c:pt>
                <c:pt idx="20">
                  <c:v>30.91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B4-43E8-BDDB-FA3E33269694}"/>
            </c:ext>
          </c:extLst>
        </c:ser>
        <c:ser>
          <c:idx val="2"/>
          <c:order val="3"/>
          <c:tx>
            <c:v>Potencia Instalada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INTERFABRICAS!$B$28:$B$58</c:f>
              <c:numCache>
                <c:formatCode>General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INTERFABRICAS!$I$28:$I$58</c:f>
              <c:numCache>
                <c:formatCode>0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B4-43E8-BDDB-FA3E33269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52104"/>
        <c:axId val="516350536"/>
      </c:scatterChart>
      <c:valAx>
        <c:axId val="516352104"/>
        <c:scaling>
          <c:orientation val="minMax"/>
          <c:max val="2028"/>
          <c:min val="199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516350536"/>
        <c:crosses val="autoZero"/>
        <c:crossBetween val="midCat"/>
        <c:majorUnit val="5"/>
        <c:minorUnit val="1"/>
      </c:valAx>
      <c:valAx>
        <c:axId val="516350536"/>
        <c:scaling>
          <c:orientation val="minMax"/>
          <c:max val="8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latin typeface="Arial" pitchFamily="34" charset="0"/>
                  </a:rPr>
                  <a:t>[MVA]</a:t>
                </a:r>
                <a:endParaRPr lang="es-ES" baseline="0">
                  <a:latin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5.9193481818862678E-3"/>
              <c:y val="3.4245238138876012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516352104"/>
        <c:crosses val="autoZero"/>
        <c:crossBetween val="midCat"/>
        <c:majorUnit val="10"/>
      </c:valAx>
    </c:plotArea>
    <c:legend>
      <c:legendPos val="b"/>
      <c:layout>
        <c:manualLayout>
          <c:xMode val="edge"/>
          <c:yMode val="edge"/>
          <c:x val="3.3300257530504612E-2"/>
          <c:y val="0.91978758639952474"/>
          <c:w val="0.9404039855519627"/>
          <c:h val="5.6881945874204476E-2"/>
        </c:manualLayout>
      </c:layout>
      <c:overlay val="0"/>
      <c:spPr>
        <a:noFill/>
        <a:ln w="6350"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sz="1000" baseline="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 w="12700">
      <a:noFill/>
    </a:ln>
  </c:spPr>
  <c:printSettings>
    <c:headerFooter/>
    <c:pageMargins b="0.75000000000001088" l="0.70000000000000062" r="0.70000000000000062" t="0.75000000000001088" header="0.30000000000000032" footer="0.30000000000000032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latin typeface="Arial" pitchFamily="34" charset="0"/>
                <a:cs typeface="Arial" pitchFamily="34" charset="0"/>
              </a:rPr>
              <a:t>ET </a:t>
            </a:r>
            <a:r>
              <a:rPr lang="en-US" sz="1800" b="1" i="0" baseline="0">
                <a:latin typeface="Arial" pitchFamily="34" charset="0"/>
                <a:cs typeface="Arial" pitchFamily="34" charset="0"/>
              </a:rPr>
              <a:t>Norte: </a:t>
            </a:r>
            <a:r>
              <a:rPr lang="en-US" sz="18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2027</a:t>
            </a:r>
            <a:endParaRPr lang="en-US" sz="1800" b="1" i="0" baseline="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8916568605543307"/>
          <c:y val="2.678887004076259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1029769927407716E-2"/>
          <c:y val="0.10585547350953825"/>
          <c:w val="0.91176789345025766"/>
          <c:h val="0.71798296917065418"/>
        </c:manualLayout>
      </c:layout>
      <c:scatterChart>
        <c:scatterStyle val="smoothMarker"/>
        <c:varyColors val="0"/>
        <c:ser>
          <c:idx val="0"/>
          <c:order val="0"/>
          <c:tx>
            <c:v>Potencia Instalada</c:v>
          </c:tx>
          <c:spPr>
            <a:ln w="28575" cap="sq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xVal>
            <c:numRef>
              <c:f>NORTE!$B$43:$B$71</c:f>
              <c:numCache>
                <c:formatCode>General</c:formatCode>
                <c:ptCount val="2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</c:numCache>
            </c:numRef>
          </c:xVal>
          <c:yVal>
            <c:numRef>
              <c:f>NORTE!$I$43:$I$71</c:f>
              <c:numCache>
                <c:formatCode>0</c:formatCode>
                <c:ptCount val="29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105</c:v>
                </c:pt>
                <c:pt idx="20">
                  <c:v>105</c:v>
                </c:pt>
                <c:pt idx="21">
                  <c:v>105</c:v>
                </c:pt>
                <c:pt idx="22">
                  <c:v>105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1-4025-9AAE-D547BF2AFE73}"/>
            </c:ext>
          </c:extLst>
        </c:ser>
        <c:ser>
          <c:idx val="1"/>
          <c:order val="1"/>
          <c:tx>
            <c:v>Precaución (N - 1) </c:v>
          </c:tx>
          <c:spPr>
            <a:ln w="28575" cap="sq">
              <a:solidFill>
                <a:srgbClr val="FFC000"/>
              </a:solidFill>
              <a:miter lim="800000"/>
            </a:ln>
          </c:spPr>
          <c:marker>
            <c:symbol val="none"/>
          </c:marker>
          <c:xVal>
            <c:numRef>
              <c:f>NORTE!$B$43:$B$71</c:f>
              <c:numCache>
                <c:formatCode>General</c:formatCode>
                <c:ptCount val="2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</c:numCache>
            </c:numRef>
          </c:xVal>
          <c:yVal>
            <c:numRef>
              <c:f>NORTE!$J$43:$J$71</c:f>
              <c:numCache>
                <c:formatCode>0</c:formatCode>
                <c:ptCount val="2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1-4025-9AAE-D547BF2AFE73}"/>
            </c:ext>
          </c:extLst>
        </c:ser>
        <c:ser>
          <c:idx val="2"/>
          <c:order val="2"/>
          <c:tx>
            <c:v>Potencia Aparente S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</c:spPr>
          </c:marker>
          <c:dPt>
            <c:idx val="12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CC1-4025-9AAE-D547BF2AFE73}"/>
              </c:ext>
            </c:extLst>
          </c:dPt>
          <c:dPt>
            <c:idx val="13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CC1-4025-9AAE-D547BF2AFE73}"/>
              </c:ext>
            </c:extLst>
          </c:dPt>
          <c:dPt>
            <c:idx val="14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CC1-4025-9AAE-D547BF2AFE73}"/>
              </c:ext>
            </c:extLst>
          </c:dPt>
          <c:dPt>
            <c:idx val="15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CC1-4025-9AAE-D547BF2AFE73}"/>
              </c:ext>
            </c:extLst>
          </c:dPt>
          <c:dPt>
            <c:idx val="17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CC1-4025-9AAE-D547BF2AFE73}"/>
              </c:ext>
            </c:extLst>
          </c:dPt>
          <c:trendline>
            <c:name>Tendencia lineal</c:name>
            <c:spPr>
              <a:ln w="34925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3.8286310626200429E-2"/>
                  <c:y val="-2.8785983745600933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solidFill>
                        <a:schemeClr val="tx1"/>
                      </a:solidFill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NORTE!$B$43:$B$71</c:f>
              <c:numCache>
                <c:formatCode>General</c:formatCode>
                <c:ptCount val="2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</c:numCache>
            </c:numRef>
          </c:xVal>
          <c:yVal>
            <c:numRef>
              <c:f>NORTE!$E$43:$E$71</c:f>
              <c:numCache>
                <c:formatCode>0.00</c:formatCode>
                <c:ptCount val="29"/>
                <c:pt idx="0">
                  <c:v>41.03444806921231</c:v>
                </c:pt>
                <c:pt idx="1">
                  <c:v>45.973872928732597</c:v>
                </c:pt>
                <c:pt idx="2">
                  <c:v>48.408375608984954</c:v>
                </c:pt>
                <c:pt idx="3">
                  <c:v>57.150453415345709</c:v>
                </c:pt>
                <c:pt idx="4">
                  <c:v>54.95</c:v>
                </c:pt>
                <c:pt idx="5">
                  <c:v>54.31</c:v>
                </c:pt>
                <c:pt idx="6">
                  <c:v>56.71</c:v>
                </c:pt>
                <c:pt idx="7">
                  <c:v>56.56</c:v>
                </c:pt>
                <c:pt idx="8">
                  <c:v>58.9</c:v>
                </c:pt>
                <c:pt idx="9">
                  <c:v>56.25</c:v>
                </c:pt>
                <c:pt idx="10">
                  <c:v>56.94</c:v>
                </c:pt>
                <c:pt idx="11">
                  <c:v>58.977064905605481</c:v>
                </c:pt>
                <c:pt idx="12">
                  <c:v>69.925832935371119</c:v>
                </c:pt>
                <c:pt idx="13">
                  <c:v>71.952314891538876</c:v>
                </c:pt>
                <c:pt idx="14">
                  <c:v>69.46348896255229</c:v>
                </c:pt>
                <c:pt idx="15">
                  <c:v>73.931127338979849</c:v>
                </c:pt>
                <c:pt idx="16">
                  <c:v>64.92</c:v>
                </c:pt>
                <c:pt idx="17">
                  <c:v>67.599999999999994</c:v>
                </c:pt>
                <c:pt idx="18">
                  <c:v>72.900000000000006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CC1-4025-9AAE-D547BF2AFE73}"/>
            </c:ext>
          </c:extLst>
        </c:ser>
        <c:ser>
          <c:idx val="5"/>
          <c:order val="3"/>
          <c:tx>
            <c:v>Planeamiento 2018 - 2027</c:v>
          </c:tx>
          <c:spPr>
            <a:ln w="34925"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rgbClr val="9BBB59">
                    <a:lumMod val="75000"/>
                  </a:srgbClr>
                </a:solidFill>
              </a:ln>
            </c:spPr>
          </c:marker>
          <c:dPt>
            <c:idx val="0"/>
            <c:marker>
              <c:spPr>
                <a:solidFill>
                  <a:srgbClr val="F79646"/>
                </a:solidFill>
                <a:ln w="15875">
                  <a:solidFill>
                    <a:srgbClr val="9BBB59">
                      <a:lumMod val="75000"/>
                    </a:srgb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CC1-4025-9AAE-D547BF2AFE73}"/>
              </c:ext>
            </c:extLst>
          </c:dPt>
          <c:xVal>
            <c:numRef>
              <c:f>NORTE!$B$61:$B$71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NORTE!$H$61:$H$71</c:f>
              <c:numCache>
                <c:formatCode>0.00</c:formatCode>
                <c:ptCount val="11"/>
                <c:pt idx="0">
                  <c:v>72.900000000000006</c:v>
                </c:pt>
                <c:pt idx="1">
                  <c:v>81.584699999999998</c:v>
                </c:pt>
                <c:pt idx="2">
                  <c:v>84.719399999999993</c:v>
                </c:pt>
                <c:pt idx="3">
                  <c:v>87.854099999999988</c:v>
                </c:pt>
                <c:pt idx="4">
                  <c:v>90.988799999999983</c:v>
                </c:pt>
                <c:pt idx="5">
                  <c:v>94.123499999999979</c:v>
                </c:pt>
                <c:pt idx="6">
                  <c:v>97.258199999999974</c:v>
                </c:pt>
                <c:pt idx="7">
                  <c:v>100.39289999999997</c:v>
                </c:pt>
                <c:pt idx="8">
                  <c:v>103.52759999999996</c:v>
                </c:pt>
                <c:pt idx="9">
                  <c:v>106.66229999999996</c:v>
                </c:pt>
                <c:pt idx="10">
                  <c:v>109.79699999999995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CC1-4025-9AAE-D547BF2AFE73}"/>
            </c:ext>
          </c:extLst>
        </c:ser>
        <c:ser>
          <c:idx val="3"/>
          <c:order val="4"/>
          <c:tx>
            <c:v>Pinst_2017_2027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NORTE!$B$61:$B$71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NORTE!$L$61:$L$71</c:f>
              <c:numCache>
                <c:formatCode>0</c:formatCode>
                <c:ptCount val="1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CC1-4025-9AAE-D547BF2AFE73}"/>
            </c:ext>
          </c:extLst>
        </c:ser>
        <c:ser>
          <c:idx val="4"/>
          <c:order val="5"/>
          <c:tx>
            <c:v>Año de Saturación</c:v>
          </c:tx>
          <c:spPr>
            <a:ln w="19050">
              <a:solidFill>
                <a:srgbClr val="1F497D"/>
              </a:solidFill>
              <a:headEnd type="triangle"/>
              <a:tailEnd type="none"/>
            </a:ln>
          </c:spPr>
          <c:marker>
            <c:symbol val="none"/>
          </c:marker>
          <c:xVal>
            <c:numRef>
              <c:f>NORTE!$O$86:$O$91</c:f>
              <c:numCache>
                <c:formatCode>0</c:formatCode>
                <c:ptCount val="6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</c:numCache>
            </c:numRef>
          </c:xVal>
          <c:yVal>
            <c:numRef>
              <c:f>NORTE!$P$86:$P$91</c:f>
              <c:numCache>
                <c:formatCode>0</c:formatCode>
                <c:ptCount val="6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110</c:v>
                </c:pt>
                <c:pt idx="5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CC1-4025-9AAE-D547BF2A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89768"/>
        <c:axId val="497987808"/>
      </c:scatterChart>
      <c:valAx>
        <c:axId val="497989768"/>
        <c:scaling>
          <c:orientation val="minMax"/>
          <c:max val="2028"/>
          <c:min val="1997"/>
        </c:scaling>
        <c:delete val="0"/>
        <c:axPos val="b"/>
        <c:majorGridlines>
          <c:spPr>
            <a:ln w="6350" cmpd="sng">
              <a:solidFill>
                <a:sysClr val="window" lastClr="FFFFFF">
                  <a:lumMod val="75000"/>
                </a:sysClr>
              </a:solidFill>
              <a:prstDash val="dash"/>
            </a:ln>
          </c:spPr>
        </c:majorGridlines>
        <c:minorGridlines>
          <c:spPr>
            <a:ln w="6350">
              <a:solidFill>
                <a:sysClr val="window" lastClr="FFFFFF">
                  <a:lumMod val="85000"/>
                </a:sysClr>
              </a:solidFill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spPr>
          <a:ln cmpd="sng">
            <a:solidFill>
              <a:srgbClr val="9BBB59">
                <a:lumMod val="75000"/>
              </a:srgbClr>
            </a:solidFill>
          </a:ln>
        </c:spPr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97987808"/>
        <c:crosses val="autoZero"/>
        <c:crossBetween val="midCat"/>
        <c:majorUnit val="5"/>
        <c:minorUnit val="1"/>
      </c:valAx>
      <c:valAx>
        <c:axId val="497987808"/>
        <c:scaling>
          <c:orientation val="minMax"/>
          <c:max val="140"/>
          <c:min val="40"/>
        </c:scaling>
        <c:delete val="0"/>
        <c:axPos val="l"/>
        <c:majorGridlines>
          <c:spPr>
            <a:ln w="6350"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latin typeface="Arial" pitchFamily="34" charset="0"/>
                    <a:cs typeface="Arial" pitchFamily="34" charset="0"/>
                  </a:rPr>
                  <a:t>[MVA]</a:t>
                </a:r>
                <a:endParaRPr lang="es-ES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6.0060060060060094E-3"/>
              <c:y val="4.1913129913706923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97989768"/>
        <c:crosses val="autoZero"/>
        <c:crossBetween val="midCat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4.5530118983275851E-2"/>
          <c:y val="0.90548322548790316"/>
          <c:w val="0.93076789289854001"/>
          <c:h val="9.4516774512096877E-2"/>
        </c:manualLayout>
      </c:layout>
      <c:overlay val="0"/>
      <c:spPr>
        <a:solidFill>
          <a:sysClr val="window" lastClr="FFFFFF"/>
        </a:solidFill>
        <a:ln w="3175">
          <a:solidFill>
            <a:sysClr val="window" lastClr="FFFFFF">
              <a:lumMod val="75000"/>
            </a:sysClr>
          </a:solidFill>
        </a:ln>
      </c:spPr>
      <c:txPr>
        <a:bodyPr/>
        <a:lstStyle/>
        <a:p>
          <a:pPr>
            <a:defRPr sz="1000" b="1" baseline="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4803149606299213" l="0.70866141732283472" r="0.70866141732283472" t="0.74803149606299213" header="0.31496062992125984" footer="0.31496062992125984"/>
    <c:pageSetup paperSize="9" orientation="landscape"/>
  </c:printSettings>
  <c:userShapes r:id="rId2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ET </a:t>
            </a:r>
            <a:r>
              <a:rPr lang="en-US" sz="1600" b="1" i="0" baseline="0">
                <a:latin typeface="Arial" pitchFamily="34" charset="0"/>
                <a:cs typeface="Arial" pitchFamily="34" charset="0"/>
              </a:rPr>
              <a:t> MonteCristo: </a:t>
            </a:r>
            <a:r>
              <a:rPr lang="en-US" sz="16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2025</a:t>
            </a:r>
            <a:endParaRPr lang="es-ES" sz="1600" b="1" i="0" baseline="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0922062328415844"/>
          <c:y val="3.83111847861122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8485292786677526E-2"/>
          <c:y val="0.13252714463323664"/>
          <c:w val="0.74033993782273277"/>
          <c:h val="0.80709451141616162"/>
        </c:manualLayout>
      </c:layout>
      <c:scatterChart>
        <c:scatterStyle val="smoothMarker"/>
        <c:varyColors val="0"/>
        <c:ser>
          <c:idx val="0"/>
          <c:order val="0"/>
          <c:tx>
            <c:v>Potencia Instalada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MCRISTO!$C$7:$C$29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MCRISTO!$J$7:$J$29</c:f>
              <c:numCache>
                <c:formatCode>0.00</c:formatCode>
                <c:ptCount val="2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C-464F-804B-92BD86F61ADB}"/>
            </c:ext>
          </c:extLst>
        </c:ser>
        <c:ser>
          <c:idx val="1"/>
          <c:order val="1"/>
          <c:tx>
            <c:v>Precaución (N - 1)</c:v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MCRISTO!$C$7:$C$29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MCRISTO!$K$7:$K$29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EC-464F-804B-92BD86F61ADB}"/>
            </c:ext>
          </c:extLst>
        </c:ser>
        <c:ser>
          <c:idx val="2"/>
          <c:order val="2"/>
          <c:tx>
            <c:v>Potencia Aparente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name>Tendencia Lineal</c:name>
            <c:spPr>
              <a:ln w="28575">
                <a:solidFill>
                  <a:srgbClr val="4F81BD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0153172232781247"/>
                  <c:y val="0.20938416908412763"/>
                </c:manualLayout>
              </c:layout>
              <c:numFmt formatCode="General" sourceLinked="0"/>
            </c:trendlineLbl>
          </c:trendline>
          <c:xVal>
            <c:numRef>
              <c:f>MCRISTO!$C$7:$C$29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MCRISTO!$E$7:$E$29</c:f>
              <c:numCache>
                <c:formatCode>0.00</c:formatCode>
                <c:ptCount val="23"/>
                <c:pt idx="0">
                  <c:v>6.05</c:v>
                </c:pt>
                <c:pt idx="1">
                  <c:v>6.32</c:v>
                </c:pt>
                <c:pt idx="2">
                  <c:v>8.18</c:v>
                </c:pt>
                <c:pt idx="3">
                  <c:v>7.64</c:v>
                </c:pt>
                <c:pt idx="4">
                  <c:v>8.31</c:v>
                </c:pt>
                <c:pt idx="5">
                  <c:v>8.9700000000000006</c:v>
                </c:pt>
                <c:pt idx="6">
                  <c:v>8.64</c:v>
                </c:pt>
                <c:pt idx="7">
                  <c:v>9.0632547616863857</c:v>
                </c:pt>
                <c:pt idx="8">
                  <c:v>9.6945794735393918</c:v>
                </c:pt>
                <c:pt idx="9">
                  <c:v>8.5496346571280064</c:v>
                </c:pt>
                <c:pt idx="10">
                  <c:v>9.3628664893454392</c:v>
                </c:pt>
                <c:pt idx="11">
                  <c:v>9.9700000000000006</c:v>
                </c:pt>
                <c:pt idx="12">
                  <c:v>8.69</c:v>
                </c:pt>
                <c:pt idx="13">
                  <c:v>9.23</c:v>
                </c:pt>
                <c:pt idx="1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EC-464F-804B-92BD86F61ADB}"/>
            </c:ext>
          </c:extLst>
        </c:ser>
        <c:ser>
          <c:idx val="4"/>
          <c:order val="3"/>
          <c:tx>
            <c:v>Año de Saturación</c:v>
          </c:tx>
          <c:spPr>
            <a:ln w="19050" cmpd="sng">
              <a:solidFill>
                <a:srgbClr val="1F497D"/>
              </a:solidFill>
              <a:headEnd type="triangle"/>
            </a:ln>
          </c:spPr>
          <c:marker>
            <c:symbol val="none"/>
          </c:marker>
          <c:xVal>
            <c:numRef>
              <c:f>MCRISTO!$O$50:$O$54</c:f>
              <c:numCache>
                <c:formatCode>General</c:formatCode>
                <c:ptCount val="5"/>
                <c:pt idx="0">
                  <c:v>2016</c:v>
                </c:pt>
                <c:pt idx="1">
                  <c:v>2016</c:v>
                </c:pt>
                <c:pt idx="2">
                  <c:v>2016</c:v>
                </c:pt>
                <c:pt idx="3">
                  <c:v>2016</c:v>
                </c:pt>
                <c:pt idx="4">
                  <c:v>2016</c:v>
                </c:pt>
              </c:numCache>
            </c:numRef>
          </c:xVal>
          <c:yVal>
            <c:numRef>
              <c:f>MCRISTO!$P$50:$P$54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EC-464F-804B-92BD86F61ADB}"/>
            </c:ext>
          </c:extLst>
        </c:ser>
        <c:ser>
          <c:idx val="5"/>
          <c:order val="4"/>
          <c:tx>
            <c:v>Crecimiento 4,50 %</c:v>
          </c:tx>
          <c:marker>
            <c:symbol val="diamond"/>
            <c:size val="5"/>
            <c:spPr>
              <a:solidFill>
                <a:srgbClr val="C0504D"/>
              </a:solidFill>
              <a:ln>
                <a:solidFill>
                  <a:srgbClr val="C0504D"/>
                </a:solidFill>
              </a:ln>
            </c:spPr>
          </c:marker>
          <c:xVal>
            <c:numRef>
              <c:f>MCRISTO!$C$19:$C$29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xVal>
          <c:yVal>
            <c:numRef>
              <c:f>MCRISTO!$I$19:$I$29</c:f>
              <c:numCache>
                <c:formatCode>0.00</c:formatCode>
                <c:ptCount val="11"/>
                <c:pt idx="2">
                  <c:v>10</c:v>
                </c:pt>
                <c:pt idx="3">
                  <c:v>10.45</c:v>
                </c:pt>
                <c:pt idx="4">
                  <c:v>10.920249999999999</c:v>
                </c:pt>
                <c:pt idx="5">
                  <c:v>11.411661249999998</c:v>
                </c:pt>
                <c:pt idx="6">
                  <c:v>11.925186006249998</c:v>
                </c:pt>
                <c:pt idx="7">
                  <c:v>12.461819376531247</c:v>
                </c:pt>
                <c:pt idx="8">
                  <c:v>13.022601248475153</c:v>
                </c:pt>
                <c:pt idx="9">
                  <c:v>13.608618304656535</c:v>
                </c:pt>
                <c:pt idx="10">
                  <c:v>14.221006128366078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EC-464F-804B-92BD86F61ADB}"/>
            </c:ext>
          </c:extLst>
        </c:ser>
        <c:ser>
          <c:idx val="3"/>
          <c:order val="5"/>
          <c:tx>
            <c:v>Planeamiento 2016 - 2020</c:v>
          </c:tx>
          <c:spPr>
            <a:ln w="34925" cap="sq">
              <a:solidFill>
                <a:srgbClr val="92D050"/>
              </a:solidFill>
              <a:round/>
            </a:ln>
          </c:spPr>
          <c:marker>
            <c:symbol val="circle"/>
            <c:size val="5"/>
            <c:spPr>
              <a:solidFill>
                <a:srgbClr val="1F497D"/>
              </a:solidFill>
              <a:ln>
                <a:solidFill>
                  <a:srgbClr val="1F497D"/>
                </a:solidFill>
              </a:ln>
            </c:spPr>
          </c:marker>
          <c:xVal>
            <c:numRef>
              <c:f>MCRISTO!$C$19:$C$29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xVal>
          <c:yVal>
            <c:numRef>
              <c:f>MCRISTO!$H$19:$H$29</c:f>
              <c:numCache>
                <c:formatCode>0.00</c:formatCode>
                <c:ptCount val="11"/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EC-464F-804B-92BD86F61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54064"/>
        <c:axId val="516346224"/>
      </c:scatterChart>
      <c:valAx>
        <c:axId val="516354064"/>
        <c:scaling>
          <c:orientation val="minMax"/>
          <c:max val="2026"/>
          <c:min val="200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crossAx val="516346224"/>
        <c:crosses val="autoZero"/>
        <c:crossBetween val="midCat"/>
        <c:majorUnit val="2"/>
        <c:minorUnit val="1"/>
      </c:valAx>
      <c:valAx>
        <c:axId val="516346224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 b="1" i="0" u="none" strike="noStrike" baseline="0">
                    <a:latin typeface="Arial" pitchFamily="34" charset="0"/>
                    <a:cs typeface="Arial" pitchFamily="34" charset="0"/>
                  </a:rPr>
                  <a:t>[MVA]</a:t>
                </a:r>
                <a:endParaRPr lang="es-ES" sz="100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4.3357166561076429E-3"/>
              <c:y val="6.280057098125892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516354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380595529007147"/>
          <c:y val="0.13046977022609016"/>
          <c:w val="0.21619404470992851"/>
          <c:h val="0.42256536354008389"/>
        </c:manualLayout>
      </c:layout>
      <c:overlay val="0"/>
      <c:txPr>
        <a:bodyPr/>
        <a:lstStyle/>
        <a:p>
          <a:pPr>
            <a:defRPr sz="90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2"/>
    </a:solidFill>
    <a:ln w="0"/>
  </c:spPr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7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7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ET </a:t>
            </a:r>
            <a:r>
              <a:rPr lang="en-US" sz="1700" b="1" i="0" baseline="0">
                <a:latin typeface="Arial" pitchFamily="34" charset="0"/>
                <a:cs typeface="Arial" pitchFamily="34" charset="0"/>
              </a:rPr>
              <a:t> MonteCristo: </a:t>
            </a:r>
            <a:r>
              <a:rPr lang="en-US" sz="17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2025</a:t>
            </a:r>
            <a:endParaRPr lang="es-ES" sz="1700" b="1" i="0" baseline="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548927654761387"/>
          <c:y val="4.26331797666296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8485292786677526E-2"/>
          <c:y val="0.13252714463323664"/>
          <c:w val="0.93481509838894439"/>
          <c:h val="0.73362072852724847"/>
        </c:manualLayout>
      </c:layout>
      <c:scatterChart>
        <c:scatterStyle val="smoothMarker"/>
        <c:varyColors val="0"/>
        <c:ser>
          <c:idx val="0"/>
          <c:order val="0"/>
          <c:tx>
            <c:v>Potencia Instalada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MCRISTO!$C$7:$C$29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MCRISTO!$J$7:$J$29</c:f>
              <c:numCache>
                <c:formatCode>0.00</c:formatCode>
                <c:ptCount val="2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0D-4737-B6E6-797C81370EB4}"/>
            </c:ext>
          </c:extLst>
        </c:ser>
        <c:ser>
          <c:idx val="1"/>
          <c:order val="1"/>
          <c:tx>
            <c:v>Precaución (N - 1)</c:v>
          </c:tx>
          <c:spPr>
            <a:ln w="444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MCRISTO!$C$7:$C$29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MCRISTO!$K$7:$K$29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D-4737-B6E6-797C81370EB4}"/>
            </c:ext>
          </c:extLst>
        </c:ser>
        <c:ser>
          <c:idx val="2"/>
          <c:order val="2"/>
          <c:tx>
            <c:v>Potencia Aparente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ysClr val="windowText" lastClr="000000"/>
                </a:solidFill>
              </a:ln>
            </c:spPr>
          </c:marker>
          <c:trendline>
            <c:name>Tendencia Lineal</c:name>
            <c:spPr>
              <a:ln w="31750" cap="sq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4.4699931845535994E-2"/>
                  <c:y val="4.1611216750256301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MCRISTO!$C$7:$C$29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MCRISTO!$E$7:$E$29</c:f>
              <c:numCache>
                <c:formatCode>0.00</c:formatCode>
                <c:ptCount val="23"/>
                <c:pt idx="0">
                  <c:v>6.05</c:v>
                </c:pt>
                <c:pt idx="1">
                  <c:v>6.32</c:v>
                </c:pt>
                <c:pt idx="2">
                  <c:v>8.18</c:v>
                </c:pt>
                <c:pt idx="3">
                  <c:v>7.64</c:v>
                </c:pt>
                <c:pt idx="4">
                  <c:v>8.31</c:v>
                </c:pt>
                <c:pt idx="5">
                  <c:v>8.9700000000000006</c:v>
                </c:pt>
                <c:pt idx="6">
                  <c:v>8.64</c:v>
                </c:pt>
                <c:pt idx="7">
                  <c:v>9.0632547616863857</c:v>
                </c:pt>
                <c:pt idx="8">
                  <c:v>9.6945794735393918</c:v>
                </c:pt>
                <c:pt idx="9">
                  <c:v>8.5496346571280064</c:v>
                </c:pt>
                <c:pt idx="10">
                  <c:v>9.3628664893454392</c:v>
                </c:pt>
                <c:pt idx="11">
                  <c:v>9.9700000000000006</c:v>
                </c:pt>
                <c:pt idx="12">
                  <c:v>8.69</c:v>
                </c:pt>
                <c:pt idx="13">
                  <c:v>9.23</c:v>
                </c:pt>
                <c:pt idx="1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0D-4737-B6E6-797C81370EB4}"/>
            </c:ext>
          </c:extLst>
        </c:ser>
        <c:ser>
          <c:idx val="4"/>
          <c:order val="3"/>
          <c:tx>
            <c:v>Año de Saturación</c:v>
          </c:tx>
          <c:spPr>
            <a:ln w="19050" cmpd="sng">
              <a:solidFill>
                <a:srgbClr val="1F497D"/>
              </a:solidFill>
              <a:headEnd type="triangle"/>
            </a:ln>
          </c:spPr>
          <c:marker>
            <c:symbol val="none"/>
          </c:marker>
          <c:xVal>
            <c:numRef>
              <c:f>MCRISTO!$O$50:$O$54</c:f>
              <c:numCache>
                <c:formatCode>General</c:formatCode>
                <c:ptCount val="5"/>
                <c:pt idx="0">
                  <c:v>2016</c:v>
                </c:pt>
                <c:pt idx="1">
                  <c:v>2016</c:v>
                </c:pt>
                <c:pt idx="2">
                  <c:v>2016</c:v>
                </c:pt>
                <c:pt idx="3">
                  <c:v>2016</c:v>
                </c:pt>
                <c:pt idx="4">
                  <c:v>2016</c:v>
                </c:pt>
              </c:numCache>
            </c:numRef>
          </c:xVal>
          <c:yVal>
            <c:numRef>
              <c:f>MCRISTO!$P$50:$P$54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0D-4737-B6E6-797C81370EB4}"/>
            </c:ext>
          </c:extLst>
        </c:ser>
        <c:ser>
          <c:idx val="5"/>
          <c:order val="4"/>
          <c:tx>
            <c:v>Crecimiento 4,50 %</c:v>
          </c:tx>
          <c:spPr>
            <a:ln w="34925"/>
          </c:spPr>
          <c:marker>
            <c:symbol val="diamond"/>
            <c:size val="7"/>
            <c:spPr>
              <a:solidFill>
                <a:srgbClr val="1F497D"/>
              </a:solidFill>
              <a:ln w="6350">
                <a:solidFill>
                  <a:srgbClr val="1F497D"/>
                </a:solidFill>
              </a:ln>
            </c:spPr>
          </c:marker>
          <c:xVal>
            <c:numRef>
              <c:f>MCRISTO!$C$19:$C$29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xVal>
          <c:yVal>
            <c:numRef>
              <c:f>MCRISTO!$I$19:$I$29</c:f>
              <c:numCache>
                <c:formatCode>0.00</c:formatCode>
                <c:ptCount val="11"/>
                <c:pt idx="2">
                  <c:v>10</c:v>
                </c:pt>
                <c:pt idx="3">
                  <c:v>10.45</c:v>
                </c:pt>
                <c:pt idx="4">
                  <c:v>10.920249999999999</c:v>
                </c:pt>
                <c:pt idx="5">
                  <c:v>11.411661249999998</c:v>
                </c:pt>
                <c:pt idx="6">
                  <c:v>11.925186006249998</c:v>
                </c:pt>
                <c:pt idx="7">
                  <c:v>12.461819376531247</c:v>
                </c:pt>
                <c:pt idx="8">
                  <c:v>13.022601248475153</c:v>
                </c:pt>
                <c:pt idx="9">
                  <c:v>13.608618304656535</c:v>
                </c:pt>
                <c:pt idx="10">
                  <c:v>14.221006128366078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0D-4737-B6E6-797C81370EB4}"/>
            </c:ext>
          </c:extLst>
        </c:ser>
        <c:ser>
          <c:idx val="3"/>
          <c:order val="5"/>
          <c:tx>
            <c:v>Planeamiento 2016 - 2020</c:v>
          </c:tx>
          <c:spPr>
            <a:ln w="38100" cap="sq">
              <a:solidFill>
                <a:srgbClr val="92D050"/>
              </a:solidFill>
              <a:round/>
            </a:ln>
          </c:spPr>
          <c:marker>
            <c:symbol val="circle"/>
            <c:size val="5"/>
            <c:spPr>
              <a:solidFill>
                <a:srgbClr val="1F497D"/>
              </a:solidFill>
              <a:ln>
                <a:solidFill>
                  <a:srgbClr val="1F497D"/>
                </a:solidFill>
              </a:ln>
            </c:spPr>
          </c:marker>
          <c:xVal>
            <c:numRef>
              <c:f>MCRISTO!$C$19:$C$29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xVal>
          <c:yVal>
            <c:numRef>
              <c:f>MCRISTO!$H$19:$H$29</c:f>
              <c:numCache>
                <c:formatCode>0.00</c:formatCode>
                <c:ptCount val="11"/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0D-4737-B6E6-797C81370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56808"/>
        <c:axId val="516352496"/>
      </c:scatterChart>
      <c:valAx>
        <c:axId val="516356808"/>
        <c:scaling>
          <c:orientation val="minMax"/>
          <c:max val="2026"/>
          <c:min val="200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516352496"/>
        <c:crosses val="autoZero"/>
        <c:crossBetween val="midCat"/>
        <c:majorUnit val="2"/>
        <c:minorUnit val="1"/>
      </c:valAx>
      <c:valAx>
        <c:axId val="516352496"/>
        <c:scaling>
          <c:orientation val="minMax"/>
          <c:max val="14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 b="1" i="0" u="none" strike="noStrike" baseline="0">
                    <a:latin typeface="Arial" pitchFamily="34" charset="0"/>
                    <a:cs typeface="Arial" pitchFamily="34" charset="0"/>
                  </a:rPr>
                  <a:t>[MVA]</a:t>
                </a:r>
                <a:endParaRPr lang="es-ES" sz="100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4.3357166561076429E-3"/>
              <c:y val="6.280057098125892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516356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4.8316700743898724E-2"/>
          <c:y val="0.91652845663335847"/>
          <c:w val="0.92104604051565375"/>
          <c:h val="7.050557902304351E-2"/>
        </c:manualLayout>
      </c:layout>
      <c:overlay val="0"/>
      <c:spPr>
        <a:solidFill>
          <a:sysClr val="window" lastClr="FFFFFF"/>
        </a:solidFill>
        <a:ln w="6350"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sz="1000" baseline="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 w="0">
      <a:noFill/>
    </a:ln>
  </c:spPr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7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ET </a:t>
            </a:r>
            <a:r>
              <a:rPr lang="en-US" sz="1800" b="0" i="0" baseline="0">
                <a:latin typeface="Arial" pitchFamily="34" charset="0"/>
                <a:cs typeface="Arial" pitchFamily="34" charset="0"/>
              </a:rPr>
              <a:t> MonteCristo: </a:t>
            </a:r>
            <a:r>
              <a:rPr lang="en-US" sz="18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2027</a:t>
            </a:r>
            <a:endParaRPr lang="es-ES" sz="1800" b="0" i="0" baseline="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548927654761387"/>
          <c:y val="4.26331797666296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9914367617231127E-2"/>
          <c:y val="0.15985799938992834"/>
          <c:w val="0.93481509838894439"/>
          <c:h val="0.70407865613034382"/>
        </c:manualLayout>
      </c:layout>
      <c:scatterChart>
        <c:scatterStyle val="smoothMarker"/>
        <c:varyColors val="0"/>
        <c:ser>
          <c:idx val="0"/>
          <c:order val="0"/>
          <c:tx>
            <c:v>Potencia Instalada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'MCRISTO NUEVA'!$B$37:$B$61</c:f>
              <c:numCache>
                <c:formatCode>0</c:formatCode>
                <c:ptCount val="2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</c:numCache>
            </c:numRef>
          </c:xVal>
          <c:yVal>
            <c:numRef>
              <c:f>'MCRISTO NUEVA'!$I$37:$I$61</c:f>
              <c:numCache>
                <c:formatCode>0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4-4ED3-B121-A003A8D37E8F}"/>
            </c:ext>
          </c:extLst>
        </c:ser>
        <c:ser>
          <c:idx val="1"/>
          <c:order val="1"/>
          <c:tx>
            <c:v>Precaución (N - 1)</c:v>
          </c:tx>
          <c:spPr>
            <a:ln w="444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'MCRISTO NUEVA'!$B$37:$B$61</c:f>
              <c:numCache>
                <c:formatCode>0</c:formatCode>
                <c:ptCount val="2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</c:numCache>
            </c:numRef>
          </c:xVal>
          <c:yVal>
            <c:numRef>
              <c:f>'MCRISTO NUEVA'!$J$37:$J$61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54-4ED3-B121-A003A8D37E8F}"/>
            </c:ext>
          </c:extLst>
        </c:ser>
        <c:ser>
          <c:idx val="2"/>
          <c:order val="2"/>
          <c:tx>
            <c:v>Potencia Aparente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ysClr val="windowText" lastClr="000000"/>
                </a:solidFill>
              </a:ln>
            </c:spPr>
          </c:marker>
          <c:trendline>
            <c:name>Tendencia Lineal</c:name>
            <c:spPr>
              <a:ln w="31750" cap="sq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4.3761635904836761E-2"/>
                  <c:y val="-3.3410184164407331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'MCRISTO NUEVA'!$B$37:$B$61</c:f>
              <c:numCache>
                <c:formatCode>0</c:formatCode>
                <c:ptCount val="2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</c:numCache>
            </c:numRef>
          </c:xVal>
          <c:yVal>
            <c:numRef>
              <c:f>'MCRISTO NUEVA'!$E$37:$E$61</c:f>
              <c:numCache>
                <c:formatCode>0.00</c:formatCode>
                <c:ptCount val="25"/>
                <c:pt idx="0">
                  <c:v>6.05</c:v>
                </c:pt>
                <c:pt idx="1">
                  <c:v>6.32</c:v>
                </c:pt>
                <c:pt idx="2">
                  <c:v>8.18</c:v>
                </c:pt>
                <c:pt idx="3">
                  <c:v>7.64</c:v>
                </c:pt>
                <c:pt idx="4">
                  <c:v>8.31</c:v>
                </c:pt>
                <c:pt idx="5">
                  <c:v>8.9700000000000006</c:v>
                </c:pt>
                <c:pt idx="6">
                  <c:v>8.64</c:v>
                </c:pt>
                <c:pt idx="7">
                  <c:v>9.0632547616863857</c:v>
                </c:pt>
                <c:pt idx="8">
                  <c:v>9.6945794735393918</c:v>
                </c:pt>
                <c:pt idx="9">
                  <c:v>8.5496346571280064</c:v>
                </c:pt>
                <c:pt idx="10">
                  <c:v>9.3628664893454392</c:v>
                </c:pt>
                <c:pt idx="11">
                  <c:v>10</c:v>
                </c:pt>
                <c:pt idx="12">
                  <c:v>8.61</c:v>
                </c:pt>
                <c:pt idx="13">
                  <c:v>9.1199999999999992</c:v>
                </c:pt>
                <c:pt idx="14">
                  <c:v>9.2100000000000009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54-4ED3-B121-A003A8D37E8F}"/>
            </c:ext>
          </c:extLst>
        </c:ser>
        <c:ser>
          <c:idx val="3"/>
          <c:order val="3"/>
          <c:tx>
            <c:v>Planeamiento 2018 - 2027</c:v>
          </c:tx>
          <c:spPr>
            <a:ln w="38100" cap="sq">
              <a:solidFill>
                <a:srgbClr val="92D050"/>
              </a:solidFill>
              <a:round/>
            </a:ln>
          </c:spPr>
          <c:marker>
            <c:symbol val="circle"/>
            <c:size val="5"/>
            <c:spPr>
              <a:solidFill>
                <a:srgbClr val="1F497D"/>
              </a:solidFill>
              <a:ln>
                <a:solidFill>
                  <a:srgbClr val="1F497D"/>
                </a:solidFill>
              </a:ln>
            </c:spPr>
          </c:marker>
          <c:xVal>
            <c:numRef>
              <c:f>'MCRISTO NUEVA'!$B$51:$B$61</c:f>
              <c:numCache>
                <c:formatCode>0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'MCRISTO NUEVA'!$H$51:$H$61</c:f>
              <c:numCache>
                <c:formatCode>0.00</c:formatCode>
                <c:ptCount val="11"/>
                <c:pt idx="0">
                  <c:v>9.2100000000000009</c:v>
                </c:pt>
                <c:pt idx="1">
                  <c:v>9.4025000000000016</c:v>
                </c:pt>
                <c:pt idx="2">
                  <c:v>9.5950000000000024</c:v>
                </c:pt>
                <c:pt idx="3">
                  <c:v>9.7875000000000032</c:v>
                </c:pt>
                <c:pt idx="4">
                  <c:v>9.980000000000004</c:v>
                </c:pt>
                <c:pt idx="5">
                  <c:v>10.172500000000005</c:v>
                </c:pt>
                <c:pt idx="6">
                  <c:v>10.365000000000006</c:v>
                </c:pt>
                <c:pt idx="7">
                  <c:v>10.557500000000006</c:v>
                </c:pt>
                <c:pt idx="8">
                  <c:v>10.750000000000007</c:v>
                </c:pt>
                <c:pt idx="9">
                  <c:v>10.942500000000008</c:v>
                </c:pt>
                <c:pt idx="10">
                  <c:v>11.135000000000009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54-4ED3-B121-A003A8D37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51320"/>
        <c:axId val="516349752"/>
      </c:scatterChart>
      <c:valAx>
        <c:axId val="516351320"/>
        <c:scaling>
          <c:orientation val="minMax"/>
          <c:max val="2028"/>
          <c:min val="200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516349752"/>
        <c:crosses val="autoZero"/>
        <c:crossBetween val="midCat"/>
        <c:majorUnit val="5"/>
        <c:minorUnit val="1"/>
      </c:valAx>
      <c:valAx>
        <c:axId val="516349752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 b="1" i="0" u="none" strike="noStrike" baseline="0">
                    <a:latin typeface="Arial" pitchFamily="34" charset="0"/>
                    <a:cs typeface="Arial" pitchFamily="34" charset="0"/>
                  </a:rPr>
                  <a:t>[MVA]</a:t>
                </a:r>
                <a:endParaRPr lang="es-ES" sz="100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4.3357166561076429E-3"/>
              <c:y val="6.280057098125892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5163513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4.8316700743898724E-2"/>
          <c:y val="0.91652845663335847"/>
          <c:w val="0.92104604051565375"/>
          <c:h val="7.050557902304351E-2"/>
        </c:manualLayout>
      </c:layout>
      <c:overlay val="0"/>
      <c:spPr>
        <a:solidFill>
          <a:sysClr val="window" lastClr="FFFFFF"/>
        </a:solidFill>
        <a:ln w="6350"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sz="1000" baseline="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 w="0">
      <a:noFill/>
    </a:ln>
  </c:spPr>
  <c:printSettings>
    <c:headerFooter/>
    <c:pageMargins b="0.75000000000000999" l="0.70000000000000062" r="0.70000000000000062" t="0.75000000000000999" header="0.30000000000000032" footer="0.30000000000000032"/>
    <c:pageSetup/>
  </c:printSettings>
  <c:userShapes r:id="rId2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s-ES" sz="1600">
                <a:latin typeface="Arial" pitchFamily="34" charset="0"/>
                <a:cs typeface="Arial" pitchFamily="34" charset="0"/>
              </a:rPr>
              <a:t>ET Bower: </a:t>
            </a:r>
            <a:r>
              <a:rPr lang="en-US" sz="16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2027</a:t>
            </a:r>
            <a:endParaRPr lang="es-ES" sz="16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0648844675665542"/>
          <c:y val="3.49459317585301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433249920299524E-2"/>
          <c:y val="0.11198285843012139"/>
          <c:w val="0.90154890794900633"/>
          <c:h val="0.7407340332458443"/>
        </c:manualLayout>
      </c:layout>
      <c:scatterChart>
        <c:scatterStyle val="smoothMarker"/>
        <c:varyColors val="0"/>
        <c:ser>
          <c:idx val="0"/>
          <c:order val="0"/>
          <c:tx>
            <c:v>Potencia Aparente</c:v>
          </c:tx>
          <c:spPr>
            <a:ln w="34925">
              <a:solidFill>
                <a:prstClr val="black"/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name>Tendencia Lineal</c:name>
            <c:spPr>
              <a:ln w="31750" cap="sq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4.1903025279734871E-2"/>
                  <c:y val="5.621165354330708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BOWER!$B$39:$B$63</c:f>
              <c:numCache>
                <c:formatCode>General</c:formatCode>
                <c:ptCount val="2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</c:numCache>
            </c:numRef>
          </c:xVal>
          <c:yVal>
            <c:numRef>
              <c:f>BOWER!$E$39:$E$63</c:f>
              <c:numCache>
                <c:formatCode>0.00</c:formatCode>
                <c:ptCount val="25"/>
                <c:pt idx="0">
                  <c:v>0.86</c:v>
                </c:pt>
                <c:pt idx="1">
                  <c:v>1</c:v>
                </c:pt>
                <c:pt idx="2">
                  <c:v>1.1000000000000001</c:v>
                </c:pt>
                <c:pt idx="3">
                  <c:v>1.19</c:v>
                </c:pt>
                <c:pt idx="4">
                  <c:v>1.27</c:v>
                </c:pt>
                <c:pt idx="5">
                  <c:v>1.1200000000000001</c:v>
                </c:pt>
                <c:pt idx="6">
                  <c:v>1.96</c:v>
                </c:pt>
                <c:pt idx="7">
                  <c:v>1.4670529475969842</c:v>
                </c:pt>
                <c:pt idx="8">
                  <c:v>1.2917778129082416</c:v>
                </c:pt>
                <c:pt idx="9">
                  <c:v>1.8961524466740536</c:v>
                </c:pt>
                <c:pt idx="10">
                  <c:v>1.8195712129669452</c:v>
                </c:pt>
                <c:pt idx="11">
                  <c:v>1.2550436536379921</c:v>
                </c:pt>
                <c:pt idx="12">
                  <c:v>1.78</c:v>
                </c:pt>
                <c:pt idx="13">
                  <c:v>2.04</c:v>
                </c:pt>
                <c:pt idx="14">
                  <c:v>2.02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A1-4367-9FA5-83AA311D0803}"/>
            </c:ext>
          </c:extLst>
        </c:ser>
        <c:ser>
          <c:idx val="1"/>
          <c:order val="1"/>
          <c:tx>
            <c:v>Potencia Instalada</c:v>
          </c:tx>
          <c:spPr>
            <a:ln w="31750" cap="sq">
              <a:solidFill>
                <a:srgbClr val="FF0000"/>
              </a:solidFill>
              <a:round/>
            </a:ln>
          </c:spPr>
          <c:marker>
            <c:symbol val="none"/>
          </c:marker>
          <c:xVal>
            <c:numRef>
              <c:f>BOWER!$B$39:$B$63</c:f>
              <c:numCache>
                <c:formatCode>General</c:formatCode>
                <c:ptCount val="2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</c:numCache>
            </c:numRef>
          </c:xVal>
          <c:yVal>
            <c:numRef>
              <c:f>BOWER!$I$39:$I$63</c:f>
              <c:numCache>
                <c:formatCode>0</c:formatCode>
                <c:ptCount val="2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A1-4367-9FA5-83AA311D0803}"/>
            </c:ext>
          </c:extLst>
        </c:ser>
        <c:ser>
          <c:idx val="2"/>
          <c:order val="2"/>
          <c:tx>
            <c:v>Precaución (N - 1)</c:v>
          </c:tx>
          <c:spPr>
            <a:ln w="444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BOWER!$B$39:$B$63</c:f>
              <c:numCache>
                <c:formatCode>General</c:formatCode>
                <c:ptCount val="2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</c:numCache>
            </c:numRef>
          </c:xVal>
          <c:yVal>
            <c:numRef>
              <c:f>BOWER!$J$39:$J$63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A1-4367-9FA5-83AA311D0803}"/>
            </c:ext>
          </c:extLst>
        </c:ser>
        <c:ser>
          <c:idx val="4"/>
          <c:order val="3"/>
          <c:tx>
            <c:v>Planeamiento 2018 - 2027</c:v>
          </c:tx>
          <c:spPr>
            <a:ln w="34925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1F497D"/>
              </a:solidFill>
              <a:ln>
                <a:solidFill>
                  <a:srgbClr val="1F497D"/>
                </a:solidFill>
              </a:ln>
            </c:spPr>
          </c:marker>
          <c:xVal>
            <c:numRef>
              <c:f>BOWER!$B$53:$B$63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BOWER!$H$53:$H$63</c:f>
              <c:numCache>
                <c:formatCode>0.00</c:formatCode>
                <c:ptCount val="11"/>
                <c:pt idx="0">
                  <c:v>2.02</c:v>
                </c:pt>
                <c:pt idx="1">
                  <c:v>2.0933999999999999</c:v>
                </c:pt>
                <c:pt idx="2">
                  <c:v>2.1667999999999998</c:v>
                </c:pt>
                <c:pt idx="3">
                  <c:v>2.2401999999999997</c:v>
                </c:pt>
                <c:pt idx="4">
                  <c:v>2.3135999999999997</c:v>
                </c:pt>
                <c:pt idx="5">
                  <c:v>2.3869999999999996</c:v>
                </c:pt>
                <c:pt idx="6">
                  <c:v>2.4603999999999995</c:v>
                </c:pt>
                <c:pt idx="7">
                  <c:v>2.5337999999999994</c:v>
                </c:pt>
                <c:pt idx="8">
                  <c:v>2.6071999999999993</c:v>
                </c:pt>
                <c:pt idx="9">
                  <c:v>2.6805999999999992</c:v>
                </c:pt>
                <c:pt idx="10">
                  <c:v>2.7539999999999991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A1-4367-9FA5-83AA311D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45832"/>
        <c:axId val="516345048"/>
      </c:scatterChart>
      <c:valAx>
        <c:axId val="516345832"/>
        <c:scaling>
          <c:orientation val="minMax"/>
          <c:max val="2028"/>
          <c:min val="2002"/>
        </c:scaling>
        <c:delete val="0"/>
        <c:axPos val="b"/>
        <c:majorGridlines>
          <c:spPr>
            <a:ln w="12700" cmpd="sng">
              <a:solidFill>
                <a:sysClr val="window" lastClr="FFFFFF">
                  <a:lumMod val="75000"/>
                </a:sysClr>
              </a:solidFill>
            </a:ln>
          </c:spPr>
        </c:majorGridlines>
        <c:minorGridlines>
          <c:spPr>
            <a:ln w="6350" cmpd="sng">
              <a:solidFill>
                <a:sysClr val="window" lastClr="FFFFFF">
                  <a:lumMod val="85000"/>
                </a:sysClr>
              </a:solidFill>
              <a:prstDash val="solid"/>
            </a:ln>
          </c:spPr>
        </c:min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516345048"/>
        <c:crosses val="autoZero"/>
        <c:crossBetween val="midCat"/>
        <c:majorUnit val="5"/>
        <c:minorUnit val="1"/>
      </c:valAx>
      <c:valAx>
        <c:axId val="5163450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 sz="1000" b="1" i="0" u="none" strike="noStrike" baseline="0">
                    <a:latin typeface="Arial" pitchFamily="34" charset="0"/>
                    <a:cs typeface="Arial" pitchFamily="34" charset="0"/>
                  </a:rPr>
                  <a:t>[MVA]</a:t>
                </a:r>
                <a:endParaRPr lang="es-ES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1.6645857160720121E-2"/>
              <c:y val="4.1086828328513784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51634583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7466268209011193E-2"/>
          <c:y val="0.91194120734908135"/>
          <c:w val="0.91706182249606871"/>
          <c:h val="7.2503237095363077E-2"/>
        </c:manualLayout>
      </c:layout>
      <c:overlay val="0"/>
      <c:spPr>
        <a:solidFill>
          <a:sysClr val="window" lastClr="FFFFFF"/>
        </a:solidFill>
        <a:ln w="6350"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baseline="0">
              <a:latin typeface="Arial" panose="020B0604020202020204" pitchFamily="34" charset="0"/>
              <a:cs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 w="12700">
      <a:noFill/>
    </a:ln>
  </c:spPr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latin typeface="Arial" pitchFamily="34" charset="0"/>
              </a:rPr>
              <a:t>ET </a:t>
            </a:r>
            <a:r>
              <a:rPr lang="en-US" sz="1600" baseline="0">
                <a:latin typeface="Arial" pitchFamily="34" charset="0"/>
              </a:rPr>
              <a:t>Yocsina: </a:t>
            </a:r>
            <a:r>
              <a:rPr lang="en-US" sz="1800" b="1" i="0" u="none" strike="noStrike" baseline="0">
                <a:effectLst/>
              </a:rPr>
              <a:t>Demanda </a:t>
            </a:r>
            <a:r>
              <a:rPr lang="en-US" sz="18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Histórica</a:t>
            </a:r>
            <a:r>
              <a:rPr lang="en-US" sz="1800" b="1" i="0" u="none" strike="noStrike" baseline="0">
                <a:effectLst/>
              </a:rPr>
              <a:t> y </a:t>
            </a:r>
            <a:r>
              <a:rPr lang="en-US" sz="1800" b="1" i="0" u="none" strike="noStrike" baseline="0">
                <a:effectLst/>
                <a:latin typeface="Arial" panose="020B0604020202020204" pitchFamily="34" charset="0"/>
              </a:rPr>
              <a:t>Pronósticos</a:t>
            </a:r>
            <a:r>
              <a:rPr lang="en-US" sz="1800" b="1" i="0" u="none" strike="noStrike" baseline="0">
                <a:effectLst/>
              </a:rPr>
              <a:t> al 2027</a:t>
            </a:r>
            <a:endParaRPr lang="en-US" sz="16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21033998386161773"/>
          <c:y val="2.1906548515291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388249087911684E-2"/>
          <c:y val="8.4714014708557467E-2"/>
          <c:w val="0.92972719142626592"/>
          <c:h val="0.78284188614354244"/>
        </c:manualLayout>
      </c:layout>
      <c:scatterChart>
        <c:scatterStyle val="smoothMarker"/>
        <c:varyColors val="0"/>
        <c:ser>
          <c:idx val="0"/>
          <c:order val="0"/>
          <c:tx>
            <c:v>Potencia Instalada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YOCSINA!$B$50:$B$80</c:f>
              <c:numCache>
                <c:formatCode>General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YOCSINA!$I$50:$I$80</c:f>
              <c:numCache>
                <c:formatCode>0</c:formatCode>
                <c:ptCount val="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70-44F8-A905-7222AF454A55}"/>
            </c:ext>
          </c:extLst>
        </c:ser>
        <c:ser>
          <c:idx val="1"/>
          <c:order val="1"/>
          <c:tx>
            <c:v>Precaución (N - 1)</c:v>
          </c:tx>
          <c:spPr>
            <a:ln w="444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YOCSINA!$B$50:$B$80</c:f>
              <c:numCache>
                <c:formatCode>General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YOCSINA!$J$50:$J$80</c:f>
              <c:numCache>
                <c:formatCode>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70-44F8-A905-7222AF454A55}"/>
            </c:ext>
          </c:extLst>
        </c:ser>
        <c:ser>
          <c:idx val="2"/>
          <c:order val="2"/>
          <c:tx>
            <c:v>Potencia Aparente S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</c:spPr>
          </c:marker>
          <c:trendline>
            <c:name>Tendencia Lineal</c:name>
            <c:spPr>
              <a:ln w="31750" cap="sq" cmpd="sng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7.9339128208124592E-3"/>
                  <c:y val="-3.2903183340326971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YOCSINA!$B$50:$B$80</c:f>
              <c:numCache>
                <c:formatCode>General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YOCSINA!$E$50:$E$80</c:f>
              <c:numCache>
                <c:formatCode>0.00</c:formatCode>
                <c:ptCount val="31"/>
                <c:pt idx="0">
                  <c:v>2.296685170765199</c:v>
                </c:pt>
                <c:pt idx="1">
                  <c:v>2.4490718645600467</c:v>
                </c:pt>
                <c:pt idx="2">
                  <c:v>2.5470347391424482</c:v>
                </c:pt>
                <c:pt idx="3">
                  <c:v>3.1565815143218376</c:v>
                </c:pt>
                <c:pt idx="4">
                  <c:v>3.1892358058493051</c:v>
                </c:pt>
                <c:pt idx="5">
                  <c:v>2.9062319459445884</c:v>
                </c:pt>
                <c:pt idx="6">
                  <c:v>2.33</c:v>
                </c:pt>
                <c:pt idx="7">
                  <c:v>2.23</c:v>
                </c:pt>
                <c:pt idx="8">
                  <c:v>2.36</c:v>
                </c:pt>
                <c:pt idx="9">
                  <c:v>2.44</c:v>
                </c:pt>
                <c:pt idx="10">
                  <c:v>1.27</c:v>
                </c:pt>
                <c:pt idx="11">
                  <c:v>2.72</c:v>
                </c:pt>
                <c:pt idx="12">
                  <c:v>3.05</c:v>
                </c:pt>
                <c:pt idx="13">
                  <c:v>2.4500000000000002</c:v>
                </c:pt>
                <c:pt idx="14">
                  <c:v>3.98</c:v>
                </c:pt>
                <c:pt idx="15">
                  <c:v>3.15</c:v>
                </c:pt>
                <c:pt idx="16">
                  <c:v>3.29</c:v>
                </c:pt>
                <c:pt idx="17">
                  <c:v>3.53</c:v>
                </c:pt>
                <c:pt idx="18">
                  <c:v>3.65</c:v>
                </c:pt>
                <c:pt idx="19">
                  <c:v>4.13</c:v>
                </c:pt>
                <c:pt idx="20">
                  <c:v>5.81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70-44F8-A905-7222AF454A55}"/>
            </c:ext>
          </c:extLst>
        </c:ser>
        <c:ser>
          <c:idx val="4"/>
          <c:order val="3"/>
          <c:tx>
            <c:v>Planeamiento 2018 - 2027</c:v>
          </c:tx>
          <c:spPr>
            <a:ln w="34925"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15875">
                <a:solidFill>
                  <a:srgbClr val="9BBB59">
                    <a:lumMod val="75000"/>
                  </a:srgbClr>
                </a:solidFill>
              </a:ln>
            </c:spPr>
          </c:marker>
          <c:xVal>
            <c:numRef>
              <c:f>YOCSINA!$B$70:$B$80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YOCSINA!$H$70:$H$80</c:f>
              <c:numCache>
                <c:formatCode>0.00</c:formatCode>
                <c:ptCount val="11"/>
                <c:pt idx="0">
                  <c:v>5.81</c:v>
                </c:pt>
                <c:pt idx="1">
                  <c:v>5.9040999999999997</c:v>
                </c:pt>
                <c:pt idx="2">
                  <c:v>5.9981999999999998</c:v>
                </c:pt>
                <c:pt idx="3">
                  <c:v>6.0922999999999998</c:v>
                </c:pt>
                <c:pt idx="4">
                  <c:v>6.1863999999999999</c:v>
                </c:pt>
                <c:pt idx="5">
                  <c:v>6.2805</c:v>
                </c:pt>
                <c:pt idx="6">
                  <c:v>6.3746</c:v>
                </c:pt>
                <c:pt idx="7">
                  <c:v>6.4687000000000001</c:v>
                </c:pt>
                <c:pt idx="8">
                  <c:v>6.5628000000000002</c:v>
                </c:pt>
                <c:pt idx="9">
                  <c:v>6.6569000000000003</c:v>
                </c:pt>
                <c:pt idx="10">
                  <c:v>6.7568999999999999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70-44F8-A905-7222AF454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54848"/>
        <c:axId val="516345440"/>
      </c:scatterChart>
      <c:valAx>
        <c:axId val="516354848"/>
        <c:scaling>
          <c:orientation val="minMax"/>
          <c:max val="2028"/>
          <c:min val="199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516345440"/>
        <c:crosses val="autoZero"/>
        <c:crossBetween val="midCat"/>
        <c:majorUnit val="5"/>
        <c:minorUnit val="1"/>
      </c:valAx>
      <c:valAx>
        <c:axId val="516345440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latin typeface="Arial" pitchFamily="34" charset="0"/>
                    <a:cs typeface="Arial" pitchFamily="34" charset="0"/>
                  </a:rPr>
                  <a:t>[MVA]</a:t>
                </a:r>
                <a:endParaRPr lang="es-ES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1.058201058201058E-2"/>
              <c:y val="2.282269171799069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5163548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3583665244389528E-2"/>
          <c:y val="0.91975119097573621"/>
          <c:w val="0.94351472237762435"/>
          <c:h val="7.1889352388945116E-2"/>
        </c:manualLayout>
      </c:layout>
      <c:overlay val="0"/>
      <c:spPr>
        <a:solidFill>
          <a:sysClr val="window" lastClr="FFFFFF"/>
        </a:solidFill>
        <a:ln w="6350"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sz="1000" baseline="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000000000001088" l="0.70000000000000062" r="0.70000000000000062" t="0.75000000000001088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7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700" b="1" i="0" u="none" strike="noStrike" baseline="0">
                <a:latin typeface="Arial" pitchFamily="34" charset="0"/>
                <a:cs typeface="Arial" pitchFamily="34" charset="0"/>
              </a:rPr>
              <a:t>ET </a:t>
            </a:r>
            <a:r>
              <a:rPr lang="en-US" sz="1700" baseline="0">
                <a:latin typeface="Arial" pitchFamily="34" charset="0"/>
                <a:cs typeface="Arial" pitchFamily="34" charset="0"/>
              </a:rPr>
              <a:t>Malagueño: </a:t>
            </a:r>
            <a:r>
              <a:rPr lang="en-US" sz="17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2027</a:t>
            </a:r>
            <a:endParaRPr lang="en-US" sz="1700" baseline="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467888265620689"/>
          <c:y val="2.73566541887182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372518448405114E-2"/>
          <c:y val="9.8947816708097727E-2"/>
          <c:w val="0.92879577755204379"/>
          <c:h val="0.76891390215567312"/>
        </c:manualLayout>
      </c:layout>
      <c:scatterChart>
        <c:scatterStyle val="smoothMarker"/>
        <c:varyColors val="0"/>
        <c:ser>
          <c:idx val="0"/>
          <c:order val="0"/>
          <c:tx>
            <c:v>Potencia Instalada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MALAGE!$B$39:$B$63</c:f>
              <c:numCache>
                <c:formatCode>General</c:formatCode>
                <c:ptCount val="2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</c:numCache>
            </c:numRef>
          </c:xVal>
          <c:yVal>
            <c:numRef>
              <c:f>MALAGE!$I$39:$I$63</c:f>
              <c:numCache>
                <c:formatCode>0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3D-4E4C-96C8-84E546CBB0C0}"/>
            </c:ext>
          </c:extLst>
        </c:ser>
        <c:ser>
          <c:idx val="1"/>
          <c:order val="1"/>
          <c:tx>
            <c:v>Precaución (N-1)</c:v>
          </c:tx>
          <c:spPr>
            <a:ln w="444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MALAGE!$B$39:$B$63</c:f>
              <c:numCache>
                <c:formatCode>General</c:formatCode>
                <c:ptCount val="2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</c:numCache>
            </c:numRef>
          </c:xVal>
          <c:yVal>
            <c:numRef>
              <c:f>MALAGE!$J$39:$J$63</c:f>
              <c:numCache>
                <c:formatCode>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3D-4E4C-96C8-84E546CBB0C0}"/>
            </c:ext>
          </c:extLst>
        </c:ser>
        <c:ser>
          <c:idx val="2"/>
          <c:order val="2"/>
          <c:tx>
            <c:v>Potencia Aparente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</c:spPr>
          </c:marker>
          <c:trendline>
            <c:name>Tendencia lineal</c:name>
            <c:spPr>
              <a:ln w="31750" cap="sq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4.2636216553771651E-2"/>
                  <c:y val="5.70063250290435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MALAGE!$B$39:$B$63</c:f>
              <c:numCache>
                <c:formatCode>General</c:formatCode>
                <c:ptCount val="2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</c:numCache>
            </c:numRef>
          </c:xVal>
          <c:yVal>
            <c:numRef>
              <c:f>MALAGE!$E$39:$E$63</c:f>
              <c:numCache>
                <c:formatCode>0.00</c:formatCode>
                <c:ptCount val="25"/>
                <c:pt idx="0">
                  <c:v>3.01</c:v>
                </c:pt>
                <c:pt idx="1">
                  <c:v>3.18</c:v>
                </c:pt>
                <c:pt idx="2">
                  <c:v>3.37</c:v>
                </c:pt>
                <c:pt idx="3">
                  <c:v>3.33</c:v>
                </c:pt>
                <c:pt idx="4">
                  <c:v>3.59</c:v>
                </c:pt>
                <c:pt idx="5">
                  <c:v>3.18</c:v>
                </c:pt>
                <c:pt idx="6">
                  <c:v>3.7</c:v>
                </c:pt>
                <c:pt idx="7">
                  <c:v>2.9265344436722422</c:v>
                </c:pt>
                <c:pt idx="8">
                  <c:v>4.7722929792166999</c:v>
                </c:pt>
                <c:pt idx="9">
                  <c:v>4.08289324234629</c:v>
                </c:pt>
                <c:pt idx="10">
                  <c:v>4.1635504026031676</c:v>
                </c:pt>
                <c:pt idx="11">
                  <c:v>4.25</c:v>
                </c:pt>
                <c:pt idx="12">
                  <c:v>4.3813690298793597</c:v>
                </c:pt>
                <c:pt idx="13">
                  <c:v>5.65</c:v>
                </c:pt>
                <c:pt idx="14">
                  <c:v>5.15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3D-4E4C-96C8-84E546CBB0C0}"/>
            </c:ext>
          </c:extLst>
        </c:ser>
        <c:ser>
          <c:idx val="4"/>
          <c:order val="3"/>
          <c:tx>
            <c:v>Planeamiento 2018 - 2027</c:v>
          </c:tx>
          <c:spPr>
            <a:ln w="34925"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15875">
                <a:solidFill>
                  <a:srgbClr val="9BBB59">
                    <a:lumMod val="75000"/>
                  </a:srgbClr>
                </a:solidFill>
              </a:ln>
            </c:spPr>
          </c:marker>
          <c:xVal>
            <c:numRef>
              <c:f>MALAGE!$B$53:$B$63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MALAGE!$H$53:$H$63</c:f>
              <c:numCache>
                <c:formatCode>0.00</c:formatCode>
                <c:ptCount val="11"/>
                <c:pt idx="0">
                  <c:v>5.15</c:v>
                </c:pt>
                <c:pt idx="1">
                  <c:v>5.3041</c:v>
                </c:pt>
                <c:pt idx="2">
                  <c:v>5.4581999999999997</c:v>
                </c:pt>
                <c:pt idx="3">
                  <c:v>5.6122999999999994</c:v>
                </c:pt>
                <c:pt idx="4">
                  <c:v>5.7663999999999991</c:v>
                </c:pt>
                <c:pt idx="5">
                  <c:v>5.9204999999999988</c:v>
                </c:pt>
                <c:pt idx="6">
                  <c:v>6.0745999999999984</c:v>
                </c:pt>
                <c:pt idx="7">
                  <c:v>6.2286999999999981</c:v>
                </c:pt>
                <c:pt idx="8">
                  <c:v>6.3827999999999978</c:v>
                </c:pt>
                <c:pt idx="9">
                  <c:v>6.5368999999999975</c:v>
                </c:pt>
                <c:pt idx="10">
                  <c:v>6.6909999999999972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3D-4E4C-96C8-84E546CBB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55240"/>
        <c:axId val="516347400"/>
      </c:scatterChart>
      <c:valAx>
        <c:axId val="516355240"/>
        <c:scaling>
          <c:orientation val="minMax"/>
          <c:max val="2028"/>
          <c:min val="200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516347400"/>
        <c:crosses val="autoZero"/>
        <c:crossBetween val="midCat"/>
        <c:majorUnit val="5"/>
        <c:minorUnit val="1"/>
      </c:valAx>
      <c:valAx>
        <c:axId val="516347400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s-ES" sz="1000">
                    <a:latin typeface="Arial" pitchFamily="34" charset="0"/>
                    <a:cs typeface="Arial" pitchFamily="34" charset="0"/>
                  </a:rPr>
                  <a:t>[MVA]</a:t>
                </a:r>
              </a:p>
            </c:rich>
          </c:tx>
          <c:layout>
            <c:manualLayout>
              <c:xMode val="edge"/>
              <c:yMode val="edge"/>
              <c:x val="4.4444439259908675E-3"/>
              <c:y val="3.8884028385340719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5163552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4.7644700491394014E-2"/>
          <c:y val="0.92481080848500496"/>
          <c:w val="0.94244498494466289"/>
          <c:h val="6.6446022116087952E-2"/>
        </c:manualLayout>
      </c:layout>
      <c:overlay val="0"/>
      <c:spPr>
        <a:noFill/>
        <a:ln w="6350"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sz="1000" b="0" i="0" baseline="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00000000000111" l="0.70000000000000062" r="0.70000000000000062" t="0.750000000000011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s-ES" sz="1600" b="1" i="0" u="none" strike="noStrike" baseline="0">
                <a:latin typeface="Arial" pitchFamily="34" charset="0"/>
                <a:cs typeface="Arial" pitchFamily="34" charset="0"/>
              </a:rPr>
              <a:t>ET </a:t>
            </a:r>
            <a:r>
              <a:rPr lang="es-ES" sz="1600">
                <a:latin typeface="Arial" pitchFamily="34" charset="0"/>
                <a:cs typeface="Arial" pitchFamily="34" charset="0"/>
              </a:rPr>
              <a:t>Fiat Auto (Gudi): </a:t>
            </a:r>
            <a:r>
              <a:rPr lang="en-US" sz="16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2025</a:t>
            </a:r>
            <a:endParaRPr lang="es-ES" sz="16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6609928337700555"/>
          <c:y val="2.81014873140857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433249920299524E-2"/>
          <c:y val="0.11198285843012139"/>
          <c:w val="0.72452647051950014"/>
          <c:h val="0.80517851436235144"/>
        </c:manualLayout>
      </c:layout>
      <c:scatterChart>
        <c:scatterStyle val="smoothMarker"/>
        <c:varyColors val="0"/>
        <c:ser>
          <c:idx val="0"/>
          <c:order val="0"/>
          <c:tx>
            <c:v>Potencia Aparente S</c:v>
          </c:tx>
          <c:spPr>
            <a:ln w="34925">
              <a:solidFill>
                <a:prstClr val="black"/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name>Tendencia Lineal</c:name>
            <c:spPr>
              <a:ln w="31750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1"/>
            <c:trendlineLbl>
              <c:layout>
                <c:manualLayout>
                  <c:x val="0.1870358852347252"/>
                  <c:y val="9.9603075931298055E-3"/>
                </c:manualLayout>
              </c:layout>
              <c:numFmt formatCode="General" sourceLinked="0"/>
            </c:trendlineLbl>
          </c:trendline>
          <c:xVal>
            <c:numRef>
              <c:f>'FIAT AUTO'!$C$7:$C$29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'FIAT AUTO'!$E$7:$E$29</c:f>
              <c:numCache>
                <c:formatCode>0.00</c:formatCode>
                <c:ptCount val="23"/>
                <c:pt idx="0">
                  <c:v>5.67</c:v>
                </c:pt>
                <c:pt idx="1">
                  <c:v>5.14</c:v>
                </c:pt>
                <c:pt idx="2">
                  <c:v>7.21</c:v>
                </c:pt>
                <c:pt idx="3">
                  <c:v>8.3800000000000008</c:v>
                </c:pt>
                <c:pt idx="4">
                  <c:v>13.81</c:v>
                </c:pt>
                <c:pt idx="5">
                  <c:v>17.88</c:v>
                </c:pt>
                <c:pt idx="6">
                  <c:v>21.43</c:v>
                </c:pt>
                <c:pt idx="7">
                  <c:v>21.25</c:v>
                </c:pt>
                <c:pt idx="8">
                  <c:v>21.63</c:v>
                </c:pt>
                <c:pt idx="9">
                  <c:v>21.09</c:v>
                </c:pt>
                <c:pt idx="10">
                  <c:v>19.510000000000002</c:v>
                </c:pt>
                <c:pt idx="11">
                  <c:v>19.111886927513069</c:v>
                </c:pt>
                <c:pt idx="12">
                  <c:v>18.367497252772246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9A-48FA-A8D8-4F0B228579F3}"/>
            </c:ext>
          </c:extLst>
        </c:ser>
        <c:ser>
          <c:idx val="1"/>
          <c:order val="1"/>
          <c:tx>
            <c:v>Potencia Instalada</c:v>
          </c:tx>
          <c:spPr>
            <a:ln w="25400" cap="sq">
              <a:solidFill>
                <a:srgbClr val="FF0000"/>
              </a:solidFill>
              <a:round/>
            </a:ln>
          </c:spPr>
          <c:marker>
            <c:symbol val="none"/>
          </c:marker>
          <c:xVal>
            <c:numRef>
              <c:f>'FIAT AUTO'!$C$7:$C$29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'FIAT AUTO'!$J$7:$J$29</c:f>
              <c:numCache>
                <c:formatCode>0.00</c:formatCode>
                <c:ptCount val="2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9A-48FA-A8D8-4F0B228579F3}"/>
            </c:ext>
          </c:extLst>
        </c:ser>
        <c:ser>
          <c:idx val="2"/>
          <c:order val="2"/>
          <c:tx>
            <c:v>Precaución (N - 1)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'FIAT AUTO'!$C$7:$C$29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'FIAT AUTO'!$K$7:$K$29</c:f>
              <c:numCache>
                <c:formatCode>0.00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9A-48FA-A8D8-4F0B228579F3}"/>
            </c:ext>
          </c:extLst>
        </c:ser>
        <c:ser>
          <c:idx val="4"/>
          <c:order val="3"/>
          <c:tx>
            <c:v>"Año de Saturación"</c:v>
          </c:tx>
          <c:spPr>
            <a:ln w="19050" cmpd="sng">
              <a:solidFill>
                <a:srgbClr val="1F497D"/>
              </a:solidFill>
              <a:headEnd type="triangle"/>
            </a:ln>
          </c:spPr>
          <c:marker>
            <c:symbol val="none"/>
          </c:marker>
          <c:xVal>
            <c:numRef>
              <c:f>'FIAT AUTO'!$O$52:$O$59</c:f>
              <c:numCache>
                <c:formatCode>0.00</c:formatCode>
                <c:ptCount val="8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</c:numCache>
            </c:numRef>
          </c:xVal>
          <c:yVal>
            <c:numRef>
              <c:f>'FIAT AUTO'!$P$52:$P$59</c:f>
              <c:numCache>
                <c:formatCode>0.00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9A-48FA-A8D8-4F0B228579F3}"/>
            </c:ext>
          </c:extLst>
        </c:ser>
        <c:ser>
          <c:idx val="3"/>
          <c:order val="4"/>
          <c:tx>
            <c:v>Crecimiento 4,50 %</c:v>
          </c:tx>
          <c:spPr>
            <a:ln w="34925">
              <a:solidFill>
                <a:srgbClr val="F79646"/>
              </a:solidFill>
            </a:ln>
          </c:spPr>
          <c:marker>
            <c:symbol val="diamond"/>
            <c:size val="5"/>
            <c:spPr>
              <a:solidFill>
                <a:srgbClr val="1F497D"/>
              </a:solidFill>
              <a:ln>
                <a:solidFill>
                  <a:srgbClr val="1F497D"/>
                </a:solidFill>
              </a:ln>
            </c:spPr>
          </c:marker>
          <c:xVal>
            <c:numRef>
              <c:f>'FIAT AUTO'!$C$19:$C$29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xVal>
          <c:yVal>
            <c:numRef>
              <c:f>'FIAT AUTO'!$I$19:$I$29</c:f>
              <c:numCache>
                <c:formatCode>0.00</c:formatCode>
                <c:ptCount val="11"/>
                <c:pt idx="0">
                  <c:v>18.367497252772246</c:v>
                </c:pt>
                <c:pt idx="1">
                  <c:v>19.194034629146994</c:v>
                </c:pt>
                <c:pt idx="2">
                  <c:v>20.057766187458608</c:v>
                </c:pt>
                <c:pt idx="3">
                  <c:v>20.960365665894244</c:v>
                </c:pt>
                <c:pt idx="4">
                  <c:v>21.903582120859483</c:v>
                </c:pt>
                <c:pt idx="5">
                  <c:v>22.889243316298156</c:v>
                </c:pt>
                <c:pt idx="6">
                  <c:v>23.919259265531572</c:v>
                </c:pt>
                <c:pt idx="7">
                  <c:v>24.99562593248049</c:v>
                </c:pt>
                <c:pt idx="8">
                  <c:v>26.120429099442109</c:v>
                </c:pt>
                <c:pt idx="9">
                  <c:v>27.295848408917003</c:v>
                </c:pt>
                <c:pt idx="10">
                  <c:v>28.524161587318265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9A-48FA-A8D8-4F0B228579F3}"/>
            </c:ext>
          </c:extLst>
        </c:ser>
        <c:ser>
          <c:idx val="5"/>
          <c:order val="5"/>
          <c:tx>
            <c:v>Planeamiento 2016 - 2020</c:v>
          </c:tx>
          <c:spPr>
            <a:ln w="34925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1F497D"/>
              </a:solidFill>
              <a:ln>
                <a:solidFill>
                  <a:srgbClr val="1F497D"/>
                </a:solidFill>
              </a:ln>
            </c:spPr>
          </c:marker>
          <c:xVal>
            <c:numRef>
              <c:f>'FIAT AUTO'!$C$19:$C$29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xVal>
          <c:yVal>
            <c:numRef>
              <c:f>'FIAT AUTO'!$H$19:$H$29</c:f>
              <c:numCache>
                <c:formatCode>0.00</c:formatCode>
                <c:ptCount val="11"/>
                <c:pt idx="0">
                  <c:v>18.367497252772246</c:v>
                </c:pt>
                <c:pt idx="1">
                  <c:v>19.094850143982029</c:v>
                </c:pt>
                <c:pt idx="2">
                  <c:v>19.851006209683717</c:v>
                </c:pt>
                <c:pt idx="3">
                  <c:v>20.637106055587193</c:v>
                </c:pt>
                <c:pt idx="4">
                  <c:v>21.454335455388446</c:v>
                </c:pt>
                <c:pt idx="5">
                  <c:v>22.30392713942183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9A-48FA-A8D8-4F0B22857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48184"/>
        <c:axId val="516348576"/>
      </c:scatterChart>
      <c:valAx>
        <c:axId val="516348184"/>
        <c:scaling>
          <c:orientation val="minMax"/>
          <c:max val="2026"/>
          <c:min val="2002"/>
        </c:scaling>
        <c:delete val="0"/>
        <c:axPos val="b"/>
        <c:majorGridlines>
          <c:spPr>
            <a:ln w="9525">
              <a:solidFill>
                <a:srgbClr val="EEECE1"/>
              </a:solidFill>
            </a:ln>
          </c:spPr>
        </c:majorGridlines>
        <c:minorGridlines>
          <c:spPr>
            <a:ln>
              <a:solidFill>
                <a:sysClr val="windowText" lastClr="000000">
                  <a:tint val="50000"/>
                  <a:shade val="95000"/>
                  <a:satMod val="105000"/>
                </a:sysClr>
              </a:solidFill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crossAx val="516348576"/>
        <c:crosses val="autoZero"/>
        <c:crossBetween val="midCat"/>
        <c:majorUnit val="2"/>
        <c:minorUnit val="1"/>
      </c:valAx>
      <c:valAx>
        <c:axId val="5163485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 sz="1000">
                    <a:latin typeface="Arial" pitchFamily="34" charset="0"/>
                    <a:cs typeface="Arial" pitchFamily="34" charset="0"/>
                  </a:rPr>
                  <a:t>[MVA]</a:t>
                </a:r>
              </a:p>
            </c:rich>
          </c:tx>
          <c:layout>
            <c:manualLayout>
              <c:xMode val="edge"/>
              <c:yMode val="edge"/>
              <c:x val="1.6628877730492795E-2"/>
              <c:y val="4.0647971635124562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516348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158484190814006"/>
          <c:y val="0.24617796296296302"/>
          <c:w val="0.19841515809185981"/>
          <c:h val="0.43176700280885943"/>
        </c:manualLayout>
      </c:layout>
      <c:overlay val="0"/>
    </c:legend>
    <c:plotVisOnly val="1"/>
    <c:dispBlanksAs val="gap"/>
    <c:showDLblsOverMax val="0"/>
  </c:chart>
  <c:spPr>
    <a:solidFill>
      <a:schemeClr val="bg2"/>
    </a:solidFill>
    <a:ln w="12700">
      <a:solidFill>
        <a:schemeClr val="tx1"/>
      </a:solidFill>
    </a:ln>
  </c:spPr>
  <c:printSettings>
    <c:headerFooter/>
    <c:pageMargins b="0" l="0.31496062992125984" r="0.11811023622047245" t="0" header="0" footer="0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ET Fiat Auto (Gudi): </a:t>
            </a:r>
            <a:r>
              <a:rPr lang="en-US"/>
              <a:t>Demanda Histórica y Pronósticos al 2025</a:t>
            </a:r>
            <a:endParaRPr lang="es-ES"/>
          </a:p>
        </c:rich>
      </c:tx>
      <c:layout>
        <c:manualLayout>
          <c:xMode val="edge"/>
          <c:yMode val="edge"/>
          <c:x val="0.16609928337700555"/>
          <c:y val="2.81014873140857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4433249920299524E-2"/>
          <c:y val="0.11198285843012139"/>
          <c:w val="0.7531516706479181"/>
          <c:h val="0.80517851436235144"/>
        </c:manualLayout>
      </c:layout>
      <c:scatterChart>
        <c:scatterStyle val="smoothMarker"/>
        <c:varyColors val="0"/>
        <c:ser>
          <c:idx val="0"/>
          <c:order val="0"/>
          <c:tx>
            <c:v>Potencia Aparente 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Tendencia Lineal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70358852347252"/>
                  <c:y val="9.960307593129805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'FIAT AUTO'!$C$7:$C$29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'FIAT AUTO'!$E$7:$E$29</c:f>
              <c:numCache>
                <c:formatCode>0.00</c:formatCode>
                <c:ptCount val="23"/>
                <c:pt idx="0">
                  <c:v>5.67</c:v>
                </c:pt>
                <c:pt idx="1">
                  <c:v>5.14</c:v>
                </c:pt>
                <c:pt idx="2">
                  <c:v>7.21</c:v>
                </c:pt>
                <c:pt idx="3">
                  <c:v>8.3800000000000008</c:v>
                </c:pt>
                <c:pt idx="4">
                  <c:v>13.81</c:v>
                </c:pt>
                <c:pt idx="5">
                  <c:v>17.88</c:v>
                </c:pt>
                <c:pt idx="6">
                  <c:v>21.43</c:v>
                </c:pt>
                <c:pt idx="7">
                  <c:v>21.25</c:v>
                </c:pt>
                <c:pt idx="8">
                  <c:v>21.63</c:v>
                </c:pt>
                <c:pt idx="9">
                  <c:v>21.09</c:v>
                </c:pt>
                <c:pt idx="10">
                  <c:v>19.510000000000002</c:v>
                </c:pt>
                <c:pt idx="11">
                  <c:v>19.111886927513069</c:v>
                </c:pt>
                <c:pt idx="12">
                  <c:v>18.367497252772246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37-43C3-9336-D9ED280E215F}"/>
            </c:ext>
          </c:extLst>
        </c:ser>
        <c:ser>
          <c:idx val="1"/>
          <c:order val="1"/>
          <c:tx>
            <c:v>Potencia Instalada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'FIAT AUTO'!$C$7:$C$29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'FIAT AUTO'!$J$7:$J$29</c:f>
              <c:numCache>
                <c:formatCode>0.00</c:formatCode>
                <c:ptCount val="2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37-43C3-9336-D9ED280E215F}"/>
            </c:ext>
          </c:extLst>
        </c:ser>
        <c:ser>
          <c:idx val="2"/>
          <c:order val="2"/>
          <c:tx>
            <c:v>Precaución (N - 1)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'FIAT AUTO'!$C$7:$C$29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'FIAT AUTO'!$K$7:$K$29</c:f>
              <c:numCache>
                <c:formatCode>0.00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37-43C3-9336-D9ED280E215F}"/>
            </c:ext>
          </c:extLst>
        </c:ser>
        <c:ser>
          <c:idx val="4"/>
          <c:order val="3"/>
          <c:tx>
            <c:v>"Año de Saturación"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'FIAT AUTO'!$O$52:$O$59</c:f>
              <c:numCache>
                <c:formatCode>0.00</c:formatCode>
                <c:ptCount val="8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</c:numCache>
            </c:numRef>
          </c:xVal>
          <c:yVal>
            <c:numRef>
              <c:f>'FIAT AUTO'!$P$52:$P$59</c:f>
              <c:numCache>
                <c:formatCode>0.00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37-43C3-9336-D9ED280E215F}"/>
            </c:ext>
          </c:extLst>
        </c:ser>
        <c:ser>
          <c:idx val="3"/>
          <c:order val="4"/>
          <c:tx>
            <c:v>Crecimiento 4,50 %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'FIAT AUTO'!$C$19:$C$29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xVal>
          <c:yVal>
            <c:numRef>
              <c:f>'FIAT AUTO'!$H$19:$H$29</c:f>
              <c:numCache>
                <c:formatCode>0.00</c:formatCode>
                <c:ptCount val="11"/>
                <c:pt idx="0">
                  <c:v>18.367497252772246</c:v>
                </c:pt>
                <c:pt idx="1">
                  <c:v>19.094850143982029</c:v>
                </c:pt>
                <c:pt idx="2">
                  <c:v>19.851006209683717</c:v>
                </c:pt>
                <c:pt idx="3">
                  <c:v>20.637106055587193</c:v>
                </c:pt>
                <c:pt idx="4">
                  <c:v>21.454335455388446</c:v>
                </c:pt>
                <c:pt idx="5">
                  <c:v>22.30392713942183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37-43C3-9336-D9ED280E215F}"/>
            </c:ext>
          </c:extLst>
        </c:ser>
        <c:ser>
          <c:idx val="5"/>
          <c:order val="5"/>
          <c:tx>
            <c:v>Planeamiento 2016 - 2020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'FIAT AUTO'!$C$19:$C$29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xVal>
          <c:yVal>
            <c:numRef>
              <c:f>'FIAT AUTO'!$I$19:$I$29</c:f>
              <c:numCache>
                <c:formatCode>0.00</c:formatCode>
                <c:ptCount val="11"/>
                <c:pt idx="0">
                  <c:v>18.367497252772246</c:v>
                </c:pt>
                <c:pt idx="1">
                  <c:v>19.194034629146994</c:v>
                </c:pt>
                <c:pt idx="2">
                  <c:v>20.057766187458608</c:v>
                </c:pt>
                <c:pt idx="3">
                  <c:v>20.960365665894244</c:v>
                </c:pt>
                <c:pt idx="4">
                  <c:v>21.903582120859483</c:v>
                </c:pt>
                <c:pt idx="5">
                  <c:v>22.889243316298156</c:v>
                </c:pt>
                <c:pt idx="6">
                  <c:v>23.919259265531572</c:v>
                </c:pt>
                <c:pt idx="7">
                  <c:v>24.99562593248049</c:v>
                </c:pt>
                <c:pt idx="8">
                  <c:v>26.120429099442109</c:v>
                </c:pt>
                <c:pt idx="9">
                  <c:v>27.295848408917003</c:v>
                </c:pt>
                <c:pt idx="10">
                  <c:v>28.524161587318265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37-43C3-9336-D9ED280E2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50144"/>
        <c:axId val="516349360"/>
      </c:scatterChart>
      <c:valAx>
        <c:axId val="516350144"/>
        <c:scaling>
          <c:orientation val="minMax"/>
          <c:max val="2026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2013</a:t>
                </a:r>
              </a:p>
            </c:rich>
          </c:tx>
          <c:layout>
            <c:manualLayout>
              <c:xMode val="edge"/>
              <c:yMode val="edge"/>
              <c:x val="0.4825433683987998"/>
              <c:y val="0.961726573651979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6349360"/>
        <c:crosses val="autoZero"/>
        <c:crossBetween val="midCat"/>
        <c:majorUnit val="2"/>
        <c:minorUnit val="1"/>
      </c:valAx>
      <c:valAx>
        <c:axId val="5163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[MVA]</a:t>
                </a:r>
              </a:p>
            </c:rich>
          </c:tx>
          <c:layout>
            <c:manualLayout>
              <c:xMode val="edge"/>
              <c:yMode val="edge"/>
              <c:x val="1.6628877730492795E-2"/>
              <c:y val="4.06479716351245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635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332108802493304"/>
          <c:y val="0.25789418427959665"/>
          <c:w val="0.2356931027639077"/>
          <c:h val="0.39590698531104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" l="0.31496062992125984" r="0.11811023622047245" t="0" header="0" footer="0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s-ES" sz="1600"/>
              <a:t>ET Fiat Auto (Gudi): </a:t>
            </a:r>
            <a:r>
              <a:rPr lang="en-US" sz="1600"/>
              <a:t>Demanda Histórica y Pronósticos al 2025</a:t>
            </a:r>
            <a:endParaRPr lang="es-ES" sz="1600"/>
          </a:p>
        </c:rich>
      </c:tx>
      <c:layout>
        <c:manualLayout>
          <c:xMode val="edge"/>
          <c:yMode val="edge"/>
          <c:x val="0.1403709956483486"/>
          <c:y val="3.027663956361082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433249920299524E-2"/>
          <c:y val="0.11198285843012139"/>
          <c:w val="0.89989000588823964"/>
          <c:h val="0.73940270516756368"/>
        </c:manualLayout>
      </c:layout>
      <c:scatterChart>
        <c:scatterStyle val="smoothMarker"/>
        <c:varyColors val="0"/>
        <c:ser>
          <c:idx val="0"/>
          <c:order val="0"/>
          <c:tx>
            <c:v>Potencia Aparente S</c:v>
          </c:tx>
          <c:spPr>
            <a:ln w="34925">
              <a:solidFill>
                <a:prstClr val="black"/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name>Tendencia Lineal</c:name>
            <c:spPr>
              <a:ln w="31750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0.17707696033261686"/>
                  <c:y val="9.2326452668130998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/>
                  </a:pPr>
                  <a:endParaRPr lang="es-AR"/>
                </a:p>
              </c:txPr>
            </c:trendlineLbl>
          </c:trendline>
          <c:xVal>
            <c:numRef>
              <c:f>'FIAT AUTO'!$C$7:$C$29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'FIAT AUTO'!$E$7:$E$29</c:f>
              <c:numCache>
                <c:formatCode>0.00</c:formatCode>
                <c:ptCount val="23"/>
                <c:pt idx="0">
                  <c:v>5.67</c:v>
                </c:pt>
                <c:pt idx="1">
                  <c:v>5.14</c:v>
                </c:pt>
                <c:pt idx="2">
                  <c:v>7.21</c:v>
                </c:pt>
                <c:pt idx="3">
                  <c:v>8.3800000000000008</c:v>
                </c:pt>
                <c:pt idx="4">
                  <c:v>13.81</c:v>
                </c:pt>
                <c:pt idx="5">
                  <c:v>17.88</c:v>
                </c:pt>
                <c:pt idx="6">
                  <c:v>21.43</c:v>
                </c:pt>
                <c:pt idx="7">
                  <c:v>21.25</c:v>
                </c:pt>
                <c:pt idx="8">
                  <c:v>21.63</c:v>
                </c:pt>
                <c:pt idx="9">
                  <c:v>21.09</c:v>
                </c:pt>
                <c:pt idx="10">
                  <c:v>19.510000000000002</c:v>
                </c:pt>
                <c:pt idx="11">
                  <c:v>19.111886927513069</c:v>
                </c:pt>
                <c:pt idx="12">
                  <c:v>18.367497252772246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D1-48FB-935D-6D6E18DC33D6}"/>
            </c:ext>
          </c:extLst>
        </c:ser>
        <c:ser>
          <c:idx val="1"/>
          <c:order val="1"/>
          <c:tx>
            <c:v>Potencia Instalada</c:v>
          </c:tx>
          <c:spPr>
            <a:ln w="25400" cap="sq">
              <a:solidFill>
                <a:srgbClr val="FF0000"/>
              </a:solidFill>
              <a:round/>
            </a:ln>
          </c:spPr>
          <c:marker>
            <c:symbol val="none"/>
          </c:marker>
          <c:xVal>
            <c:numRef>
              <c:f>'FIAT AUTO'!$C$7:$C$29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'FIAT AUTO'!$J$7:$J$29</c:f>
              <c:numCache>
                <c:formatCode>0.00</c:formatCode>
                <c:ptCount val="2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D1-48FB-935D-6D6E18DC33D6}"/>
            </c:ext>
          </c:extLst>
        </c:ser>
        <c:ser>
          <c:idx val="2"/>
          <c:order val="2"/>
          <c:tx>
            <c:v>Precaución (N - 1)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'FIAT AUTO'!$C$7:$C$29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'FIAT AUTO'!$K$7:$K$29</c:f>
              <c:numCache>
                <c:formatCode>0.00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D1-48FB-935D-6D6E18DC33D6}"/>
            </c:ext>
          </c:extLst>
        </c:ser>
        <c:ser>
          <c:idx val="4"/>
          <c:order val="3"/>
          <c:tx>
            <c:v>"Año de Saturación"</c:v>
          </c:tx>
          <c:spPr>
            <a:ln w="19050" cmpd="sng">
              <a:solidFill>
                <a:srgbClr val="1F497D"/>
              </a:solidFill>
              <a:headEnd type="triangle"/>
            </a:ln>
          </c:spPr>
          <c:marker>
            <c:symbol val="none"/>
          </c:marker>
          <c:xVal>
            <c:numRef>
              <c:f>'FIAT AUTO'!$O$52:$O$59</c:f>
              <c:numCache>
                <c:formatCode>0.00</c:formatCode>
                <c:ptCount val="8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</c:numCache>
            </c:numRef>
          </c:xVal>
          <c:yVal>
            <c:numRef>
              <c:f>'FIAT AUTO'!$P$52:$P$59</c:f>
              <c:numCache>
                <c:formatCode>0.00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D1-48FB-935D-6D6E18DC33D6}"/>
            </c:ext>
          </c:extLst>
        </c:ser>
        <c:ser>
          <c:idx val="3"/>
          <c:order val="4"/>
          <c:tx>
            <c:v>Crecimiento 4,50 %</c:v>
          </c:tx>
          <c:spPr>
            <a:ln w="34925">
              <a:solidFill>
                <a:srgbClr val="F79646"/>
              </a:solidFill>
            </a:ln>
          </c:spPr>
          <c:marker>
            <c:symbol val="diamond"/>
            <c:size val="5"/>
            <c:spPr>
              <a:solidFill>
                <a:srgbClr val="1F497D"/>
              </a:solidFill>
              <a:ln>
                <a:solidFill>
                  <a:srgbClr val="1F497D"/>
                </a:solidFill>
              </a:ln>
            </c:spPr>
          </c:marker>
          <c:xVal>
            <c:numRef>
              <c:f>'FIAT AUTO'!$C$19:$C$29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xVal>
          <c:yVal>
            <c:numRef>
              <c:f>'FIAT AUTO'!$I$19:$I$29</c:f>
              <c:numCache>
                <c:formatCode>0.00</c:formatCode>
                <c:ptCount val="11"/>
                <c:pt idx="0">
                  <c:v>18.367497252772246</c:v>
                </c:pt>
                <c:pt idx="1">
                  <c:v>19.194034629146994</c:v>
                </c:pt>
                <c:pt idx="2">
                  <c:v>20.057766187458608</c:v>
                </c:pt>
                <c:pt idx="3">
                  <c:v>20.960365665894244</c:v>
                </c:pt>
                <c:pt idx="4">
                  <c:v>21.903582120859483</c:v>
                </c:pt>
                <c:pt idx="5">
                  <c:v>22.889243316298156</c:v>
                </c:pt>
                <c:pt idx="6">
                  <c:v>23.919259265531572</c:v>
                </c:pt>
                <c:pt idx="7">
                  <c:v>24.99562593248049</c:v>
                </c:pt>
                <c:pt idx="8">
                  <c:v>26.120429099442109</c:v>
                </c:pt>
                <c:pt idx="9">
                  <c:v>27.295848408917003</c:v>
                </c:pt>
                <c:pt idx="10">
                  <c:v>28.524161587318265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D1-48FB-935D-6D6E18DC33D6}"/>
            </c:ext>
          </c:extLst>
        </c:ser>
        <c:ser>
          <c:idx val="5"/>
          <c:order val="5"/>
          <c:tx>
            <c:v>Planeamiento 2016 - 2020</c:v>
          </c:tx>
          <c:spPr>
            <a:ln w="34925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1F497D"/>
              </a:solidFill>
              <a:ln>
                <a:solidFill>
                  <a:srgbClr val="1F497D"/>
                </a:solidFill>
              </a:ln>
            </c:spPr>
          </c:marker>
          <c:xVal>
            <c:numRef>
              <c:f>'FIAT AUTO'!$C$19:$C$29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xVal>
          <c:yVal>
            <c:numRef>
              <c:f>'FIAT AUTO'!$H$19:$H$29</c:f>
              <c:numCache>
                <c:formatCode>0.00</c:formatCode>
                <c:ptCount val="11"/>
                <c:pt idx="0">
                  <c:v>18.367497252772246</c:v>
                </c:pt>
                <c:pt idx="1">
                  <c:v>19.094850143982029</c:v>
                </c:pt>
                <c:pt idx="2">
                  <c:v>19.851006209683717</c:v>
                </c:pt>
                <c:pt idx="3">
                  <c:v>20.637106055587193</c:v>
                </c:pt>
                <c:pt idx="4">
                  <c:v>21.454335455388446</c:v>
                </c:pt>
                <c:pt idx="5">
                  <c:v>22.30392713942183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D1-48FB-935D-6D6E18DC3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57984"/>
        <c:axId val="516360336"/>
      </c:scatterChart>
      <c:valAx>
        <c:axId val="516357984"/>
        <c:scaling>
          <c:orientation val="minMax"/>
          <c:max val="2026"/>
          <c:min val="2002"/>
        </c:scaling>
        <c:delete val="0"/>
        <c:axPos val="b"/>
        <c:majorGridlines>
          <c:spPr>
            <a:ln w="12700" cmpd="sng">
              <a:solidFill>
                <a:srgbClr val="EEECE1">
                  <a:lumMod val="90000"/>
                </a:srgbClr>
              </a:solidFill>
            </a:ln>
          </c:spPr>
        </c:majorGridlines>
        <c:minorGridlines>
          <c:spPr>
            <a:ln w="12700">
              <a:solidFill>
                <a:srgbClr val="EEECE1">
                  <a:lumMod val="90000"/>
                </a:srgbClr>
              </a:solidFill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spPr>
          <a:ln w="6350">
            <a:solidFill>
              <a:srgbClr val="EEECE1">
                <a:lumMod val="90000"/>
              </a:srgbClr>
            </a:solidFill>
          </a:ln>
        </c:spPr>
        <c:crossAx val="516360336"/>
        <c:crosses val="autoZero"/>
        <c:crossBetween val="midCat"/>
        <c:majorUnit val="2"/>
        <c:minorUnit val="1"/>
      </c:valAx>
      <c:valAx>
        <c:axId val="516360336"/>
        <c:scaling>
          <c:orientation val="minMax"/>
        </c:scaling>
        <c:delete val="0"/>
        <c:axPos val="l"/>
        <c:majorGridlines>
          <c:spPr>
            <a:ln w="22225">
              <a:solidFill>
                <a:srgbClr val="EEECE1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/>
                  <a:t>[MVA]</a:t>
                </a:r>
              </a:p>
            </c:rich>
          </c:tx>
          <c:layout>
            <c:manualLayout>
              <c:xMode val="edge"/>
              <c:yMode val="edge"/>
              <c:x val="1.6628877730492795E-2"/>
              <c:y val="4.0647971635124562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noFill/>
          <a:ln w="6350">
            <a:noFill/>
          </a:ln>
        </c:spPr>
        <c:txPr>
          <a:bodyPr/>
          <a:lstStyle/>
          <a:p>
            <a:pPr>
              <a:defRPr baseline="0"/>
            </a:pPr>
            <a:endParaRPr lang="es-AR"/>
          </a:p>
        </c:txPr>
        <c:crossAx val="5163579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0178787079317401E-2"/>
          <c:y val="0.91149606299212593"/>
          <c:w val="0.87913000491513293"/>
          <c:h val="7.5315838375015515E-2"/>
        </c:manualLayout>
      </c:layout>
      <c:overlay val="0"/>
      <c:spPr>
        <a:solidFill>
          <a:sysClr val="window" lastClr="FFFFFF"/>
        </a:solidFill>
        <a:ln w="6350">
          <a:solidFill>
            <a:srgbClr val="EEECE1">
              <a:lumMod val="90000"/>
            </a:srgbClr>
          </a:solidFill>
        </a:ln>
      </c:spPr>
      <c:txPr>
        <a:bodyPr/>
        <a:lstStyle/>
        <a:p>
          <a:pPr>
            <a:defRPr sz="1000" baseline="0"/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 w="12700">
      <a:noFill/>
    </a:ln>
  </c:spPr>
  <c:txPr>
    <a:bodyPr/>
    <a:lstStyle/>
    <a:p>
      <a:pPr>
        <a:defRPr baseline="0">
          <a:latin typeface="Arial" panose="020B0604020202020204" pitchFamily="34" charset="0"/>
        </a:defRPr>
      </a:pPr>
      <a:endParaRPr lang="es-AR"/>
    </a:p>
  </c:txPr>
  <c:printSettings>
    <c:headerFooter/>
    <c:pageMargins b="0" l="0.31496062992125984" r="0.11811023622047245" t="0" header="0" footer="0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s-ES" sz="1600" b="1" i="0" u="none" strike="noStrike" baseline="0">
                <a:latin typeface="Arial" pitchFamily="34" charset="0"/>
                <a:cs typeface="Arial" pitchFamily="34" charset="0"/>
              </a:rPr>
              <a:t>ET </a:t>
            </a:r>
            <a:r>
              <a:rPr lang="es-ES" sz="1600">
                <a:latin typeface="Arial" pitchFamily="34" charset="0"/>
                <a:cs typeface="Arial" pitchFamily="34" charset="0"/>
              </a:rPr>
              <a:t>Fiat Auto (Gudi): </a:t>
            </a:r>
            <a:r>
              <a:rPr lang="en-US" sz="16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2025</a:t>
            </a:r>
            <a:endParaRPr lang="es-ES" sz="16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6609928337700555"/>
          <c:y val="2.81014873140857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433249920299524E-2"/>
          <c:y val="0.11198285843012139"/>
          <c:w val="0.90358513638591764"/>
          <c:h val="0.73048857328108152"/>
        </c:manualLayout>
      </c:layout>
      <c:scatterChart>
        <c:scatterStyle val="smoothMarker"/>
        <c:varyColors val="0"/>
        <c:ser>
          <c:idx val="0"/>
          <c:order val="0"/>
          <c:tx>
            <c:v>Potencia Aparente S</c:v>
          </c:tx>
          <c:spPr>
            <a:ln w="34925">
              <a:solidFill>
                <a:prstClr val="black"/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name>Tendencia Lineal</c:name>
            <c:spPr>
              <a:ln w="31750" cap="sq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2.6699104472406067E-2"/>
                  <c:y val="-4.5701456997467279E-3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'FIAT AUTO'!$C$7:$C$29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'FIAT AUTO'!$E$7:$E$29</c:f>
              <c:numCache>
                <c:formatCode>0.00</c:formatCode>
                <c:ptCount val="23"/>
                <c:pt idx="0">
                  <c:v>5.67</c:v>
                </c:pt>
                <c:pt idx="1">
                  <c:v>5.14</c:v>
                </c:pt>
                <c:pt idx="2">
                  <c:v>7.21</c:v>
                </c:pt>
                <c:pt idx="3">
                  <c:v>8.3800000000000008</c:v>
                </c:pt>
                <c:pt idx="4">
                  <c:v>13.81</c:v>
                </c:pt>
                <c:pt idx="5">
                  <c:v>17.88</c:v>
                </c:pt>
                <c:pt idx="6">
                  <c:v>21.43</c:v>
                </c:pt>
                <c:pt idx="7">
                  <c:v>21.25</c:v>
                </c:pt>
                <c:pt idx="8">
                  <c:v>21.63</c:v>
                </c:pt>
                <c:pt idx="9">
                  <c:v>21.09</c:v>
                </c:pt>
                <c:pt idx="10">
                  <c:v>19.510000000000002</c:v>
                </c:pt>
                <c:pt idx="11">
                  <c:v>19.111886927513069</c:v>
                </c:pt>
                <c:pt idx="12">
                  <c:v>18.367497252772246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29-4A0F-BC23-8DB0112B0968}"/>
            </c:ext>
          </c:extLst>
        </c:ser>
        <c:ser>
          <c:idx val="1"/>
          <c:order val="1"/>
          <c:tx>
            <c:v>Potencia Instalada</c:v>
          </c:tx>
          <c:spPr>
            <a:ln w="25400" cap="sq">
              <a:solidFill>
                <a:srgbClr val="FF0000"/>
              </a:solidFill>
              <a:round/>
            </a:ln>
          </c:spPr>
          <c:marker>
            <c:symbol val="none"/>
          </c:marker>
          <c:xVal>
            <c:numRef>
              <c:f>'FIAT AUTO'!$C$7:$C$29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'FIAT AUTO'!$J$7:$J$29</c:f>
              <c:numCache>
                <c:formatCode>0.00</c:formatCode>
                <c:ptCount val="2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29-4A0F-BC23-8DB0112B0968}"/>
            </c:ext>
          </c:extLst>
        </c:ser>
        <c:ser>
          <c:idx val="2"/>
          <c:order val="2"/>
          <c:tx>
            <c:v>Precaución (N - 1)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'FIAT AUTO'!$C$7:$C$29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'FIAT AUTO'!$K$7:$K$29</c:f>
              <c:numCache>
                <c:formatCode>0.00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29-4A0F-BC23-8DB0112B0968}"/>
            </c:ext>
          </c:extLst>
        </c:ser>
        <c:ser>
          <c:idx val="4"/>
          <c:order val="3"/>
          <c:tx>
            <c:v>"Año de Saturación"</c:v>
          </c:tx>
          <c:spPr>
            <a:ln w="19050" cmpd="sng">
              <a:solidFill>
                <a:srgbClr val="1F497D"/>
              </a:solidFill>
              <a:headEnd type="triangle"/>
            </a:ln>
          </c:spPr>
          <c:marker>
            <c:symbol val="none"/>
          </c:marker>
          <c:xVal>
            <c:numRef>
              <c:f>'FIAT AUTO'!$O$52:$O$59</c:f>
              <c:numCache>
                <c:formatCode>0.00</c:formatCode>
                <c:ptCount val="8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</c:numCache>
            </c:numRef>
          </c:xVal>
          <c:yVal>
            <c:numRef>
              <c:f>'FIAT AUTO'!$P$52:$P$59</c:f>
              <c:numCache>
                <c:formatCode>0.00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29-4A0F-BC23-8DB0112B0968}"/>
            </c:ext>
          </c:extLst>
        </c:ser>
        <c:ser>
          <c:idx val="3"/>
          <c:order val="4"/>
          <c:tx>
            <c:v>Crecimiento 4,50 %</c:v>
          </c:tx>
          <c:spPr>
            <a:ln w="34925">
              <a:solidFill>
                <a:srgbClr val="F79646"/>
              </a:solidFill>
            </a:ln>
          </c:spPr>
          <c:marker>
            <c:symbol val="diamond"/>
            <c:size val="7"/>
            <c:spPr>
              <a:solidFill>
                <a:srgbClr val="1F497D"/>
              </a:solidFill>
              <a:ln w="6350">
                <a:solidFill>
                  <a:srgbClr val="1F497D"/>
                </a:solidFill>
              </a:ln>
            </c:spPr>
          </c:marker>
          <c:xVal>
            <c:numRef>
              <c:f>'FIAT AUTO'!$C$19:$C$29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xVal>
          <c:yVal>
            <c:numRef>
              <c:f>'FIAT AUTO'!$I$19:$I$29</c:f>
              <c:numCache>
                <c:formatCode>0.00</c:formatCode>
                <c:ptCount val="11"/>
                <c:pt idx="0">
                  <c:v>18.367497252772246</c:v>
                </c:pt>
                <c:pt idx="1">
                  <c:v>19.194034629146994</c:v>
                </c:pt>
                <c:pt idx="2">
                  <c:v>20.057766187458608</c:v>
                </c:pt>
                <c:pt idx="3">
                  <c:v>20.960365665894244</c:v>
                </c:pt>
                <c:pt idx="4">
                  <c:v>21.903582120859483</c:v>
                </c:pt>
                <c:pt idx="5">
                  <c:v>22.889243316298156</c:v>
                </c:pt>
                <c:pt idx="6">
                  <c:v>23.919259265531572</c:v>
                </c:pt>
                <c:pt idx="7">
                  <c:v>24.99562593248049</c:v>
                </c:pt>
                <c:pt idx="8">
                  <c:v>26.120429099442109</c:v>
                </c:pt>
                <c:pt idx="9">
                  <c:v>27.295848408917003</c:v>
                </c:pt>
                <c:pt idx="10">
                  <c:v>28.524161587318265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29-4A0F-BC23-8DB0112B0968}"/>
            </c:ext>
          </c:extLst>
        </c:ser>
        <c:ser>
          <c:idx val="5"/>
          <c:order val="5"/>
          <c:tx>
            <c:v>Planeamiento 2016 - 2020</c:v>
          </c:tx>
          <c:spPr>
            <a:ln w="34925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1F497D"/>
              </a:solidFill>
              <a:ln>
                <a:solidFill>
                  <a:srgbClr val="1F497D"/>
                </a:solidFill>
              </a:ln>
            </c:spPr>
          </c:marker>
          <c:xVal>
            <c:numRef>
              <c:f>'FIAT AUTO'!$C$19:$C$29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xVal>
          <c:yVal>
            <c:numRef>
              <c:f>'FIAT AUTO'!$H$19:$H$29</c:f>
              <c:numCache>
                <c:formatCode>0.00</c:formatCode>
                <c:ptCount val="11"/>
                <c:pt idx="0">
                  <c:v>18.367497252772246</c:v>
                </c:pt>
                <c:pt idx="1">
                  <c:v>19.094850143982029</c:v>
                </c:pt>
                <c:pt idx="2">
                  <c:v>19.851006209683717</c:v>
                </c:pt>
                <c:pt idx="3">
                  <c:v>20.637106055587193</c:v>
                </c:pt>
                <c:pt idx="4">
                  <c:v>21.454335455388446</c:v>
                </c:pt>
                <c:pt idx="5">
                  <c:v>22.30392713942183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29-4A0F-BC23-8DB0112B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59160"/>
        <c:axId val="516359944"/>
      </c:scatterChart>
      <c:valAx>
        <c:axId val="516359160"/>
        <c:scaling>
          <c:orientation val="minMax"/>
          <c:max val="2026"/>
          <c:min val="2002"/>
        </c:scaling>
        <c:delete val="0"/>
        <c:axPos val="b"/>
        <c:majorGridlines>
          <c:spPr>
            <a:ln w="9525">
              <a:solidFill>
                <a:srgbClr val="EEECE1"/>
              </a:solidFill>
            </a:ln>
          </c:spPr>
        </c:majorGridlines>
        <c:minorGridlines>
          <c:spPr>
            <a:ln>
              <a:solidFill>
                <a:sysClr val="windowText" lastClr="000000">
                  <a:tint val="50000"/>
                  <a:shade val="95000"/>
                  <a:satMod val="105000"/>
                </a:sysClr>
              </a:solidFill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516359944"/>
        <c:crosses val="autoZero"/>
        <c:crossBetween val="midCat"/>
        <c:majorUnit val="2"/>
        <c:minorUnit val="1"/>
      </c:valAx>
      <c:valAx>
        <c:axId val="5163599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 sz="1000">
                    <a:latin typeface="Arial" pitchFamily="34" charset="0"/>
                    <a:cs typeface="Arial" pitchFamily="34" charset="0"/>
                  </a:rPr>
                  <a:t>[MVA]</a:t>
                </a:r>
              </a:p>
            </c:rich>
          </c:tx>
          <c:layout>
            <c:manualLayout>
              <c:xMode val="edge"/>
              <c:yMode val="edge"/>
              <c:x val="1.6628877730492795E-2"/>
              <c:y val="4.0647971635124562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5163591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878346993605236E-2"/>
          <c:y val="0.91898733271628952"/>
          <c:w val="0.87878922111480262"/>
          <c:h val="7.0164411114315275E-2"/>
        </c:manualLayout>
      </c:layout>
      <c:overlay val="0"/>
      <c:spPr>
        <a:noFill/>
        <a:ln w="6350"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baseline="0">
              <a:latin typeface="Arial" panose="020B0604020202020204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 w="12700">
      <a:noFill/>
    </a:ln>
  </c:spPr>
  <c:printSettings>
    <c:headerFooter/>
    <c:pageMargins b="0" l="0.31496062992125984" r="0.11811023622047245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latin typeface="Arial" pitchFamily="34" charset="0"/>
                <a:cs typeface="Arial" pitchFamily="34" charset="0"/>
              </a:rPr>
              <a:t>ET </a:t>
            </a:r>
            <a:r>
              <a:rPr lang="en-US" sz="1800" b="1" i="0" baseline="0">
                <a:latin typeface="Arial" pitchFamily="34" charset="0"/>
                <a:cs typeface="Arial" pitchFamily="34" charset="0"/>
              </a:rPr>
              <a:t>Norte: </a:t>
            </a:r>
            <a:r>
              <a:rPr lang="en-US" sz="18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2027</a:t>
            </a:r>
            <a:endParaRPr lang="en-US" sz="1800" b="1" i="0" baseline="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8916568605543307"/>
          <c:y val="2.678887004076259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1029769927407716E-2"/>
          <c:y val="0.10585547350953825"/>
          <c:w val="0.91176789345025766"/>
          <c:h val="0.71798296917065418"/>
        </c:manualLayout>
      </c:layout>
      <c:scatterChart>
        <c:scatterStyle val="smoothMarker"/>
        <c:varyColors val="0"/>
        <c:ser>
          <c:idx val="2"/>
          <c:order val="0"/>
          <c:tx>
            <c:v>Potencia Aparente S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</c:spPr>
          </c:marker>
          <c:dPt>
            <c:idx val="12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F98-44F1-B846-02DC02B476EC}"/>
              </c:ext>
            </c:extLst>
          </c:dPt>
          <c:dPt>
            <c:idx val="13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F98-44F1-B846-02DC02B476EC}"/>
              </c:ext>
            </c:extLst>
          </c:dPt>
          <c:dPt>
            <c:idx val="14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F98-44F1-B846-02DC02B476EC}"/>
              </c:ext>
            </c:extLst>
          </c:dPt>
          <c:dPt>
            <c:idx val="15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F98-44F1-B846-02DC02B476EC}"/>
              </c:ext>
            </c:extLst>
          </c:dPt>
          <c:dPt>
            <c:idx val="17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F98-44F1-B846-02DC02B476EC}"/>
              </c:ext>
            </c:extLst>
          </c:dPt>
          <c:trendline>
            <c:name>Tendencia lineal</c:name>
            <c:spPr>
              <a:ln w="34925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3.8286310626200429E-2"/>
                  <c:y val="-2.8785983745600933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solidFill>
                        <a:schemeClr val="tx1"/>
                      </a:solidFill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'NORTE (2)'!$B$43:$B$71</c:f>
              <c:numCache>
                <c:formatCode>General</c:formatCode>
                <c:ptCount val="2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</c:numCache>
            </c:numRef>
          </c:xVal>
          <c:yVal>
            <c:numRef>
              <c:f>'NORTE (2)'!$E$43:$E$71</c:f>
              <c:numCache>
                <c:formatCode>0.00</c:formatCode>
                <c:ptCount val="29"/>
                <c:pt idx="0">
                  <c:v>41.03444806921231</c:v>
                </c:pt>
                <c:pt idx="1">
                  <c:v>45.973872928732597</c:v>
                </c:pt>
                <c:pt idx="2">
                  <c:v>48.408375608984954</c:v>
                </c:pt>
                <c:pt idx="3">
                  <c:v>57.150453415345709</c:v>
                </c:pt>
                <c:pt idx="4">
                  <c:v>54.95</c:v>
                </c:pt>
                <c:pt idx="5">
                  <c:v>54.31</c:v>
                </c:pt>
                <c:pt idx="6">
                  <c:v>56.71</c:v>
                </c:pt>
                <c:pt idx="7">
                  <c:v>56.56</c:v>
                </c:pt>
                <c:pt idx="8">
                  <c:v>58.9</c:v>
                </c:pt>
                <c:pt idx="9">
                  <c:v>56.25</c:v>
                </c:pt>
                <c:pt idx="10">
                  <c:v>56.94</c:v>
                </c:pt>
                <c:pt idx="11">
                  <c:v>58.977064905605481</c:v>
                </c:pt>
                <c:pt idx="12">
                  <c:v>69.925832935371119</c:v>
                </c:pt>
                <c:pt idx="13">
                  <c:v>71.952314891538876</c:v>
                </c:pt>
                <c:pt idx="14">
                  <c:v>69.46348896255229</c:v>
                </c:pt>
                <c:pt idx="15">
                  <c:v>73.931127338979849</c:v>
                </c:pt>
                <c:pt idx="16">
                  <c:v>64.92</c:v>
                </c:pt>
                <c:pt idx="17">
                  <c:v>67.599999999999994</c:v>
                </c:pt>
                <c:pt idx="18">
                  <c:v>72.900000000000006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98-44F1-B846-02DC02B476EC}"/>
            </c:ext>
          </c:extLst>
        </c:ser>
        <c:ser>
          <c:idx val="5"/>
          <c:order val="1"/>
          <c:tx>
            <c:v>Planeamiento 2018 - 2027</c:v>
          </c:tx>
          <c:spPr>
            <a:ln w="34925"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rgbClr val="9BBB59">
                    <a:lumMod val="75000"/>
                  </a:srgbClr>
                </a:solidFill>
              </a:ln>
            </c:spPr>
          </c:marker>
          <c:dPt>
            <c:idx val="0"/>
            <c:marker>
              <c:spPr>
                <a:solidFill>
                  <a:srgbClr val="F79646"/>
                </a:solidFill>
                <a:ln w="15875">
                  <a:solidFill>
                    <a:srgbClr val="9BBB59">
                      <a:lumMod val="75000"/>
                    </a:srgb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F98-44F1-B846-02DC02B476EC}"/>
              </c:ext>
            </c:extLst>
          </c:dPt>
          <c:xVal>
            <c:numRef>
              <c:f>'NORTE (2)'!$B$61:$B$71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'NORTE (2)'!$H$61:$H$71</c:f>
              <c:numCache>
                <c:formatCode>0.00</c:formatCode>
                <c:ptCount val="11"/>
                <c:pt idx="0">
                  <c:v>72.900000000000006</c:v>
                </c:pt>
                <c:pt idx="1">
                  <c:v>81.584699999999998</c:v>
                </c:pt>
                <c:pt idx="2">
                  <c:v>84.719399999999993</c:v>
                </c:pt>
                <c:pt idx="3">
                  <c:v>87.854099999999988</c:v>
                </c:pt>
                <c:pt idx="4">
                  <c:v>90.988799999999983</c:v>
                </c:pt>
                <c:pt idx="5">
                  <c:v>94.123499999999979</c:v>
                </c:pt>
                <c:pt idx="6">
                  <c:v>97.258199999999974</c:v>
                </c:pt>
                <c:pt idx="7">
                  <c:v>100.39289999999997</c:v>
                </c:pt>
                <c:pt idx="8">
                  <c:v>103.52759999999996</c:v>
                </c:pt>
                <c:pt idx="9">
                  <c:v>106.66229999999996</c:v>
                </c:pt>
                <c:pt idx="10">
                  <c:v>109.79699999999995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F98-44F1-B846-02DC02B476EC}"/>
            </c:ext>
          </c:extLst>
        </c:ser>
        <c:ser>
          <c:idx val="4"/>
          <c:order val="2"/>
          <c:tx>
            <c:v>Año de Saturación</c:v>
          </c:tx>
          <c:spPr>
            <a:ln w="19050">
              <a:solidFill>
                <a:srgbClr val="1F497D"/>
              </a:solidFill>
              <a:headEnd type="triangle"/>
              <a:tailEnd type="none"/>
            </a:ln>
          </c:spPr>
          <c:marker>
            <c:symbol val="none"/>
          </c:marker>
          <c:xVal>
            <c:numRef>
              <c:f>'NORTE (2)'!$O$86:$O$91</c:f>
              <c:numCache>
                <c:formatCode>0</c:formatCode>
                <c:ptCount val="6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</c:numCache>
            </c:numRef>
          </c:xVal>
          <c:yVal>
            <c:numRef>
              <c:f>'NORTE (2)'!$P$86:$P$91</c:f>
              <c:numCache>
                <c:formatCode>0.00</c:formatCode>
                <c:ptCount val="6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110</c:v>
                </c:pt>
                <c:pt idx="5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F98-44F1-B846-02DC02B4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88200"/>
        <c:axId val="497991336"/>
      </c:scatterChart>
      <c:valAx>
        <c:axId val="497988200"/>
        <c:scaling>
          <c:orientation val="minMax"/>
          <c:max val="2028"/>
          <c:min val="1997"/>
        </c:scaling>
        <c:delete val="0"/>
        <c:axPos val="b"/>
        <c:majorGridlines>
          <c:spPr>
            <a:ln w="6350" cmpd="sng">
              <a:solidFill>
                <a:sysClr val="window" lastClr="FFFFFF">
                  <a:lumMod val="75000"/>
                </a:sysClr>
              </a:solidFill>
              <a:prstDash val="dash"/>
            </a:ln>
          </c:spPr>
        </c:majorGridlines>
        <c:minorGridlines>
          <c:spPr>
            <a:ln w="6350">
              <a:solidFill>
                <a:sysClr val="window" lastClr="FFFFFF">
                  <a:lumMod val="85000"/>
                </a:sysClr>
              </a:solidFill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spPr>
          <a:ln cmpd="sng">
            <a:solidFill>
              <a:srgbClr val="9BBB59">
                <a:lumMod val="75000"/>
              </a:srgbClr>
            </a:solidFill>
          </a:ln>
        </c:spPr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97991336"/>
        <c:crosses val="autoZero"/>
        <c:crossBetween val="midCat"/>
        <c:majorUnit val="5"/>
        <c:minorUnit val="1"/>
      </c:valAx>
      <c:valAx>
        <c:axId val="497991336"/>
        <c:scaling>
          <c:orientation val="minMax"/>
          <c:max val="140"/>
          <c:min val="40"/>
        </c:scaling>
        <c:delete val="0"/>
        <c:axPos val="l"/>
        <c:majorGridlines>
          <c:spPr>
            <a:ln w="6350"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latin typeface="Arial" pitchFamily="34" charset="0"/>
                    <a:cs typeface="Arial" pitchFamily="34" charset="0"/>
                  </a:rPr>
                  <a:t>[MVA]</a:t>
                </a:r>
                <a:endParaRPr lang="es-ES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6.0060060060060094E-3"/>
              <c:y val="4.1913129913706923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97988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4.5530118983275851E-2"/>
          <c:y val="0.90548322548790316"/>
          <c:w val="0.93076789289854001"/>
          <c:h val="9.4516774512096877E-2"/>
        </c:manualLayout>
      </c:layout>
      <c:overlay val="0"/>
      <c:spPr>
        <a:solidFill>
          <a:sysClr val="window" lastClr="FFFFFF"/>
        </a:solidFill>
        <a:ln w="3175">
          <a:solidFill>
            <a:sysClr val="window" lastClr="FFFFFF">
              <a:lumMod val="75000"/>
            </a:sysClr>
          </a:solidFill>
        </a:ln>
      </c:spPr>
      <c:txPr>
        <a:bodyPr/>
        <a:lstStyle/>
        <a:p>
          <a:pPr>
            <a:defRPr sz="1000" b="1" baseline="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4803149606299213" l="0.70866141732283472" r="0.70866141732283472" t="0.74803149606299213" header="0.31496062992125984" footer="0.31496062992125984"/>
    <c:pageSetup paperSize="9" orientation="landscape"/>
  </c:printSettings>
  <c:userShapes r:id="rId2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latin typeface="Arial" pitchFamily="34" charset="0"/>
              </a:rPr>
              <a:t>Corcemar (Guma)</a:t>
            </a:r>
            <a:r>
              <a:rPr lang="en-US" sz="1600" baseline="0">
                <a:latin typeface="Arial" pitchFamily="34" charset="0"/>
              </a:rPr>
              <a:t>: </a:t>
            </a:r>
            <a:r>
              <a:rPr lang="en-US" sz="1800" b="1" i="0" u="none" strike="noStrike" baseline="0">
                <a:effectLst/>
              </a:rPr>
              <a:t>Demanda Histórica y Pronósticos al 2025</a:t>
            </a:r>
            <a:endParaRPr lang="en-US" sz="16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11485285470955853"/>
          <c:y val="1.5636981020936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388249087911684E-2"/>
          <c:y val="8.4714014708557467E-2"/>
          <c:w val="0.75381208301343283"/>
          <c:h val="0.86016683558119933"/>
        </c:manualLayout>
      </c:layout>
      <c:scatterChart>
        <c:scatterStyle val="smoothMarker"/>
        <c:varyColors val="0"/>
        <c:ser>
          <c:idx val="0"/>
          <c:order val="0"/>
          <c:tx>
            <c:v>Potencia Instalada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CORCEMAR!$C$7:$C$29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CORCEMAR!$J$7:$J$29</c:f>
              <c:numCache>
                <c:formatCode>0.00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9E-4C36-BD28-608964063191}"/>
            </c:ext>
          </c:extLst>
        </c:ser>
        <c:ser>
          <c:idx val="1"/>
          <c:order val="1"/>
          <c:tx>
            <c:v>Precaución 80%</c:v>
          </c:tx>
          <c:spPr>
            <a:ln w="381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CORCEMAR!$C$7:$C$29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CORCEMAR!$K$7:$K$29</c:f>
              <c:numCache>
                <c:formatCode>0.00</c:formatCode>
                <c:ptCount val="2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9E-4C36-BD28-608964063191}"/>
            </c:ext>
          </c:extLst>
        </c:ser>
        <c:ser>
          <c:idx val="2"/>
          <c:order val="2"/>
          <c:tx>
            <c:v>Potencia Aparente S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trendline>
            <c:name>Tendencia Lineal</c:name>
            <c:spPr>
              <a:ln w="31750" cap="sq" cmpd="sng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1"/>
            <c:trendlineLbl>
              <c:layout>
                <c:manualLayout>
                  <c:x val="0.19843754824764551"/>
                  <c:y val="1.3301282884193931E-2"/>
                </c:manualLayout>
              </c:layout>
              <c:numFmt formatCode="General" sourceLinked="0"/>
            </c:trendlineLbl>
          </c:trendline>
          <c:xVal>
            <c:numRef>
              <c:f>CORCEMAR!$C$7:$C$29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CORCEMAR!$E$7:$E$29</c:f>
              <c:numCache>
                <c:formatCode>0.00</c:formatCode>
                <c:ptCount val="23"/>
                <c:pt idx="0">
                  <c:v>4.62</c:v>
                </c:pt>
                <c:pt idx="1">
                  <c:v>11</c:v>
                </c:pt>
                <c:pt idx="2">
                  <c:v>11.53</c:v>
                </c:pt>
                <c:pt idx="3">
                  <c:v>11.18</c:v>
                </c:pt>
                <c:pt idx="4">
                  <c:v>14.58</c:v>
                </c:pt>
                <c:pt idx="5">
                  <c:v>12.29</c:v>
                </c:pt>
                <c:pt idx="6">
                  <c:v>13.77</c:v>
                </c:pt>
                <c:pt idx="7">
                  <c:v>13.668015927789119</c:v>
                </c:pt>
                <c:pt idx="8">
                  <c:v>12.897873462153209</c:v>
                </c:pt>
                <c:pt idx="9">
                  <c:v>13.118750524661296</c:v>
                </c:pt>
                <c:pt idx="10">
                  <c:v>6.1022497541242116</c:v>
                </c:pt>
                <c:pt idx="11">
                  <c:v>4.9233119622792545</c:v>
                </c:pt>
                <c:pt idx="12">
                  <c:v>6.5868381245852703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9E-4C36-BD28-608964063191}"/>
            </c:ext>
          </c:extLst>
        </c:ser>
        <c:ser>
          <c:idx val="4"/>
          <c:order val="3"/>
          <c:tx>
            <c:v>Planeamiento 2016 - 2020</c:v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1F497D"/>
              </a:solidFill>
              <a:ln>
                <a:solidFill>
                  <a:srgbClr val="1F497D"/>
                </a:solidFill>
              </a:ln>
            </c:spPr>
          </c:marker>
          <c:xVal>
            <c:numRef>
              <c:f>CORCEMAR!$C$19:$C$29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xVal>
          <c:yVal>
            <c:numRef>
              <c:f>CORCEMAR!$H$19:$H$29</c:f>
              <c:numCache>
                <c:formatCode>0.00</c:formatCode>
                <c:ptCount val="11"/>
                <c:pt idx="0">
                  <c:v>6.5868381245852703</c:v>
                </c:pt>
                <c:pt idx="1">
                  <c:v>6.8476769143188472</c:v>
                </c:pt>
                <c:pt idx="2">
                  <c:v>7.1188449201258743</c:v>
                </c:pt>
                <c:pt idx="3">
                  <c:v>7.4007511789628593</c:v>
                </c:pt>
                <c:pt idx="4">
                  <c:v>7.6938209256497894</c:v>
                </c:pt>
                <c:pt idx="5">
                  <c:v>7.9984962343055219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9E-4C36-BD28-608964063191}"/>
            </c:ext>
          </c:extLst>
        </c:ser>
        <c:ser>
          <c:idx val="3"/>
          <c:order val="4"/>
          <c:tx>
            <c:v>Crecimiento 4,50 %</c:v>
          </c:tx>
          <c:spPr>
            <a:ln w="31750"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1F497D"/>
              </a:solidFill>
              <a:ln>
                <a:solidFill>
                  <a:srgbClr val="1F497D"/>
                </a:solidFill>
              </a:ln>
            </c:spPr>
          </c:marker>
          <c:xVal>
            <c:numRef>
              <c:f>CORCEMAR!$C$19:$C$29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xVal>
          <c:yVal>
            <c:numRef>
              <c:f>CORCEMAR!$I$19:$I$29</c:f>
              <c:numCache>
                <c:formatCode>0.00</c:formatCode>
                <c:ptCount val="11"/>
                <c:pt idx="0">
                  <c:v>6.5868381245852703</c:v>
                </c:pt>
                <c:pt idx="1">
                  <c:v>6.8832458401916066</c:v>
                </c:pt>
                <c:pt idx="2">
                  <c:v>7.1929919030002285</c:v>
                </c:pt>
                <c:pt idx="3">
                  <c:v>7.5166765386352381</c:v>
                </c:pt>
                <c:pt idx="4">
                  <c:v>7.8549269828738231</c:v>
                </c:pt>
                <c:pt idx="5">
                  <c:v>8.208398697103144</c:v>
                </c:pt>
                <c:pt idx="6">
                  <c:v>8.577776638472784</c:v>
                </c:pt>
                <c:pt idx="7">
                  <c:v>8.9637765872040589</c:v>
                </c:pt>
                <c:pt idx="8">
                  <c:v>9.3671465336282402</c:v>
                </c:pt>
                <c:pt idx="9">
                  <c:v>9.7886681276415111</c:v>
                </c:pt>
                <c:pt idx="10">
                  <c:v>10.229158193385379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9E-4C36-BD28-608964063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358376"/>
        <c:axId val="516358768"/>
      </c:scatterChart>
      <c:valAx>
        <c:axId val="516358376"/>
        <c:scaling>
          <c:orientation val="minMax"/>
          <c:max val="2026"/>
          <c:min val="200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crossAx val="516358768"/>
        <c:crosses val="autoZero"/>
        <c:crossBetween val="midCat"/>
        <c:majorUnit val="2"/>
        <c:minorUnit val="1"/>
      </c:valAx>
      <c:valAx>
        <c:axId val="5163587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latin typeface="Arial" pitchFamily="34" charset="0"/>
                    <a:cs typeface="Arial" pitchFamily="34" charset="0"/>
                  </a:rPr>
                  <a:t>[MVA]</a:t>
                </a:r>
                <a:endParaRPr lang="es-ES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1.058201058201058E-2"/>
              <c:y val="2.282269171799069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516358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830438920308179"/>
          <c:y val="0.23807905199968815"/>
          <c:w val="0.19169561079691827"/>
          <c:h val="0.37766049045849476"/>
        </c:manualLayout>
      </c:layout>
      <c:overlay val="0"/>
      <c:txPr>
        <a:bodyPr/>
        <a:lstStyle/>
        <a:p>
          <a:pPr>
            <a:defRPr sz="90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2"/>
    </a:solidFill>
  </c:spPr>
  <c:printSettings>
    <c:headerFooter/>
    <c:pageMargins b="0.75000000000001088" l="0.70000000000000062" r="0.70000000000000062" t="0.75000000000001088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7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700" b="1" i="0" u="none" strike="noStrike" baseline="0">
                <a:latin typeface="Arial" pitchFamily="34" charset="0"/>
              </a:rPr>
              <a:t>Corcemar (Guma)</a:t>
            </a:r>
            <a:r>
              <a:rPr lang="en-US" sz="1700" baseline="0">
                <a:latin typeface="Arial" pitchFamily="34" charset="0"/>
              </a:rPr>
              <a:t>: </a:t>
            </a:r>
            <a:r>
              <a:rPr lang="en-US" sz="1700" b="1" i="0" u="none" strike="noStrike" baseline="0">
                <a:effectLst/>
                <a:latin typeface="Arial" panose="020B0604020202020204" pitchFamily="34" charset="0"/>
              </a:rPr>
              <a:t>Demanda Histórica y Pronósticos al 2025</a:t>
            </a:r>
            <a:endParaRPr lang="en-US" sz="1700" baseline="0">
              <a:latin typeface="Arial" pitchFamily="34" charset="0"/>
            </a:endParaRPr>
          </a:p>
        </c:rich>
      </c:tx>
      <c:layout>
        <c:manualLayout>
          <c:xMode val="edge"/>
          <c:yMode val="edge"/>
          <c:x val="0.11485285470955853"/>
          <c:y val="1.5636981020936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388249087911684E-2"/>
          <c:y val="8.4714014708557467E-2"/>
          <c:w val="0.92972719142626592"/>
          <c:h val="0.77967155034413271"/>
        </c:manualLayout>
      </c:layout>
      <c:scatterChart>
        <c:scatterStyle val="smoothMarker"/>
        <c:varyColors val="0"/>
        <c:ser>
          <c:idx val="0"/>
          <c:order val="0"/>
          <c:tx>
            <c:v>Potencia Instalada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CORCEMAR!$C$7:$C$29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CORCEMAR!$J$7:$J$29</c:f>
              <c:numCache>
                <c:formatCode>0.00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8A-40E4-A7BB-DC08CBA1E5CE}"/>
            </c:ext>
          </c:extLst>
        </c:ser>
        <c:ser>
          <c:idx val="1"/>
          <c:order val="1"/>
          <c:tx>
            <c:v>Precaución 80%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CORCEMAR!$C$7:$C$29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CORCEMAR!$K$7:$K$29</c:f>
              <c:numCache>
                <c:formatCode>0.00</c:formatCode>
                <c:ptCount val="2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8A-40E4-A7BB-DC08CBA1E5CE}"/>
            </c:ext>
          </c:extLst>
        </c:ser>
        <c:ser>
          <c:idx val="2"/>
          <c:order val="2"/>
          <c:tx>
            <c:v>Potencia Aparente S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name>Tendencia Lineal</c:name>
            <c:spPr>
              <a:ln w="31750" cap="sq" cmpd="sng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2.0057970001252617E-2"/>
                  <c:y val="3.5078090486213978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CORCEMAR!$C$7:$C$29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CORCEMAR!$E$7:$E$29</c:f>
              <c:numCache>
                <c:formatCode>0.00</c:formatCode>
                <c:ptCount val="23"/>
                <c:pt idx="0">
                  <c:v>4.62</c:v>
                </c:pt>
                <c:pt idx="1">
                  <c:v>11</c:v>
                </c:pt>
                <c:pt idx="2">
                  <c:v>11.53</c:v>
                </c:pt>
                <c:pt idx="3">
                  <c:v>11.18</c:v>
                </c:pt>
                <c:pt idx="4">
                  <c:v>14.58</c:v>
                </c:pt>
                <c:pt idx="5">
                  <c:v>12.29</c:v>
                </c:pt>
                <c:pt idx="6">
                  <c:v>13.77</c:v>
                </c:pt>
                <c:pt idx="7">
                  <c:v>13.668015927789119</c:v>
                </c:pt>
                <c:pt idx="8">
                  <c:v>12.897873462153209</c:v>
                </c:pt>
                <c:pt idx="9">
                  <c:v>13.118750524661296</c:v>
                </c:pt>
                <c:pt idx="10">
                  <c:v>6.1022497541242116</c:v>
                </c:pt>
                <c:pt idx="11">
                  <c:v>4.9233119622792545</c:v>
                </c:pt>
                <c:pt idx="12">
                  <c:v>6.5868381245852703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8A-40E4-A7BB-DC08CBA1E5CE}"/>
            </c:ext>
          </c:extLst>
        </c:ser>
        <c:ser>
          <c:idx val="4"/>
          <c:order val="3"/>
          <c:tx>
            <c:v>Planeamiento 2016 - 2020</c:v>
          </c:tx>
          <c:spPr>
            <a:ln w="34925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1F497D"/>
              </a:solidFill>
              <a:ln>
                <a:solidFill>
                  <a:srgbClr val="1F497D"/>
                </a:solidFill>
              </a:ln>
            </c:spPr>
          </c:marker>
          <c:xVal>
            <c:numRef>
              <c:f>CORCEMAR!$C$19:$C$29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xVal>
          <c:yVal>
            <c:numRef>
              <c:f>CORCEMAR!$H$19:$H$29</c:f>
              <c:numCache>
                <c:formatCode>0.00</c:formatCode>
                <c:ptCount val="11"/>
                <c:pt idx="0">
                  <c:v>6.5868381245852703</c:v>
                </c:pt>
                <c:pt idx="1">
                  <c:v>6.8476769143188472</c:v>
                </c:pt>
                <c:pt idx="2">
                  <c:v>7.1188449201258743</c:v>
                </c:pt>
                <c:pt idx="3">
                  <c:v>7.4007511789628593</c:v>
                </c:pt>
                <c:pt idx="4">
                  <c:v>7.6938209256497894</c:v>
                </c:pt>
                <c:pt idx="5">
                  <c:v>7.9984962343055219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8A-40E4-A7BB-DC08CBA1E5CE}"/>
            </c:ext>
          </c:extLst>
        </c:ser>
        <c:ser>
          <c:idx val="3"/>
          <c:order val="4"/>
          <c:tx>
            <c:v>Crecimiento 4,50 %</c:v>
          </c:tx>
          <c:spPr>
            <a:ln w="34925">
              <a:solidFill>
                <a:srgbClr val="F79646"/>
              </a:solidFill>
            </a:ln>
          </c:spPr>
          <c:marker>
            <c:symbol val="diamond"/>
            <c:size val="7"/>
            <c:spPr>
              <a:solidFill>
                <a:srgbClr val="1F497D"/>
              </a:solidFill>
              <a:ln w="6350">
                <a:solidFill>
                  <a:srgbClr val="1F497D"/>
                </a:solidFill>
              </a:ln>
            </c:spPr>
          </c:marker>
          <c:xVal>
            <c:numRef>
              <c:f>CORCEMAR!$C$19:$C$29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xVal>
          <c:yVal>
            <c:numRef>
              <c:f>CORCEMAR!$I$19:$I$29</c:f>
              <c:numCache>
                <c:formatCode>0.00</c:formatCode>
                <c:ptCount val="11"/>
                <c:pt idx="0">
                  <c:v>6.5868381245852703</c:v>
                </c:pt>
                <c:pt idx="1">
                  <c:v>6.8832458401916066</c:v>
                </c:pt>
                <c:pt idx="2">
                  <c:v>7.1929919030002285</c:v>
                </c:pt>
                <c:pt idx="3">
                  <c:v>7.5166765386352381</c:v>
                </c:pt>
                <c:pt idx="4">
                  <c:v>7.8549269828738231</c:v>
                </c:pt>
                <c:pt idx="5">
                  <c:v>8.208398697103144</c:v>
                </c:pt>
                <c:pt idx="6">
                  <c:v>8.577776638472784</c:v>
                </c:pt>
                <c:pt idx="7">
                  <c:v>8.9637765872040589</c:v>
                </c:pt>
                <c:pt idx="8">
                  <c:v>9.3671465336282402</c:v>
                </c:pt>
                <c:pt idx="9">
                  <c:v>9.7886681276415111</c:v>
                </c:pt>
                <c:pt idx="10">
                  <c:v>10.229158193385379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8A-40E4-A7BB-DC08CBA1E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29816"/>
        <c:axId val="489128640"/>
      </c:scatterChart>
      <c:valAx>
        <c:axId val="489129816"/>
        <c:scaling>
          <c:orientation val="minMax"/>
          <c:max val="2026"/>
          <c:min val="200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89128640"/>
        <c:crosses val="autoZero"/>
        <c:crossBetween val="midCat"/>
        <c:majorUnit val="2"/>
        <c:minorUnit val="1"/>
      </c:valAx>
      <c:valAx>
        <c:axId val="489128640"/>
        <c:scaling>
          <c:orientation val="minMax"/>
          <c:max val="2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latin typeface="Arial" pitchFamily="34" charset="0"/>
                    <a:cs typeface="Arial" pitchFamily="34" charset="0"/>
                  </a:rPr>
                  <a:t>[MVA]</a:t>
                </a:r>
                <a:endParaRPr lang="es-ES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1.058201058201058E-2"/>
              <c:y val="2.282269171799069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8912981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5151901794739597E-2"/>
          <c:y val="0.91455303381194997"/>
          <c:w val="0.90597428928487156"/>
          <c:h val="6.2743147818596981E-2"/>
        </c:manualLayout>
      </c:layout>
      <c:overlay val="0"/>
      <c:spPr>
        <a:noFill/>
        <a:ln>
          <a:solidFill>
            <a:sysClr val="window" lastClr="FFFFFF">
              <a:lumMod val="85000"/>
            </a:sysClr>
          </a:solidFill>
        </a:ln>
      </c:spPr>
      <c:txPr>
        <a:bodyPr/>
        <a:lstStyle/>
        <a:p>
          <a:pPr>
            <a:defRPr sz="1000" baseline="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000000000001088" l="0.70000000000000062" r="0.70000000000000062" t="0.75000000000001088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ET </a:t>
            </a:r>
            <a:r>
              <a:rPr lang="en-US" sz="1600">
                <a:latin typeface="Arial" pitchFamily="34" charset="0"/>
                <a:cs typeface="Arial" pitchFamily="34" charset="0"/>
              </a:rPr>
              <a:t>Minetti (Guma): </a:t>
            </a:r>
            <a:r>
              <a:rPr lang="en-US" sz="16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2025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2021079134201983"/>
          <c:y val="1.8613552066243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372518448405114E-2"/>
          <c:y val="9.8947816708097727E-2"/>
          <c:w val="0.76199421759285157"/>
          <c:h val="0.84214176931587903"/>
        </c:manualLayout>
      </c:layout>
      <c:scatterChart>
        <c:scatterStyle val="smoothMarker"/>
        <c:varyColors val="0"/>
        <c:ser>
          <c:idx val="0"/>
          <c:order val="0"/>
          <c:tx>
            <c:v>Potencia Instalada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MINETTI!$C$7:$C$29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MINETTI!$J$7:$J$29</c:f>
              <c:numCache>
                <c:formatCode>0.00</c:formatCode>
                <c:ptCount val="2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72-4D65-951C-54F0340272D0}"/>
            </c:ext>
          </c:extLst>
        </c:ser>
        <c:ser>
          <c:idx val="1"/>
          <c:order val="1"/>
          <c:tx>
            <c:v>Precaución (N - 1)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MINETTI!$C$7:$C$29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MINETTI!$K$7:$K$29</c:f>
              <c:numCache>
                <c:formatCode>0.00</c:formatCode>
                <c:ptCount val="2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72-4D65-951C-54F0340272D0}"/>
            </c:ext>
          </c:extLst>
        </c:ser>
        <c:ser>
          <c:idx val="2"/>
          <c:order val="2"/>
          <c:tx>
            <c:v>Potencia Aparente S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trendline>
            <c:name>Tendencia lineal</c:name>
            <c:spPr>
              <a:ln w="31750" cap="sq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1"/>
            <c:trendlineLbl>
              <c:layout>
                <c:manualLayout>
                  <c:x val="0.19805942202341634"/>
                  <c:y val="-1.4840972896214895E-3"/>
                </c:manualLayout>
              </c:layout>
              <c:numFmt formatCode="General" sourceLinked="0"/>
            </c:trendlineLbl>
          </c:trendline>
          <c:xVal>
            <c:numRef>
              <c:f>MINETTI!$C$7:$C$29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MINETTI!$E$7:$E$29</c:f>
              <c:numCache>
                <c:formatCode>0.00</c:formatCode>
                <c:ptCount val="23"/>
                <c:pt idx="0">
                  <c:v>17.440000000000001</c:v>
                </c:pt>
                <c:pt idx="1">
                  <c:v>16.649999999999999</c:v>
                </c:pt>
                <c:pt idx="2">
                  <c:v>16.989999999999998</c:v>
                </c:pt>
                <c:pt idx="3">
                  <c:v>16.829999999999998</c:v>
                </c:pt>
                <c:pt idx="4">
                  <c:v>20.64</c:v>
                </c:pt>
                <c:pt idx="5">
                  <c:v>23.19</c:v>
                </c:pt>
                <c:pt idx="6">
                  <c:v>17.579999999999998</c:v>
                </c:pt>
                <c:pt idx="7">
                  <c:v>18.783347802242282</c:v>
                </c:pt>
                <c:pt idx="8">
                  <c:v>17.969957820170674</c:v>
                </c:pt>
                <c:pt idx="9">
                  <c:v>19.65959562147706</c:v>
                </c:pt>
                <c:pt idx="10">
                  <c:v>18.632086680696421</c:v>
                </c:pt>
                <c:pt idx="11">
                  <c:v>19.255641904727298</c:v>
                </c:pt>
                <c:pt idx="12">
                  <c:v>19.365141631071872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72-4D65-951C-54F0340272D0}"/>
            </c:ext>
          </c:extLst>
        </c:ser>
        <c:ser>
          <c:idx val="3"/>
          <c:order val="3"/>
          <c:tx>
            <c:v>Crecimiento 4,50 %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5"/>
            <c:spPr>
              <a:solidFill>
                <a:schemeClr val="accent6"/>
              </a:solidFill>
            </c:spPr>
          </c:marker>
          <c:xVal>
            <c:numRef>
              <c:f>MINETTI!$C$19:$C$29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xVal>
          <c:yVal>
            <c:numRef>
              <c:f>MINETTI!$I$19:$I$29</c:f>
              <c:numCache>
                <c:formatCode>0.00</c:formatCode>
                <c:ptCount val="11"/>
                <c:pt idx="0">
                  <c:v>19.365141631071872</c:v>
                </c:pt>
                <c:pt idx="1">
                  <c:v>20.236573004470106</c:v>
                </c:pt>
                <c:pt idx="2">
                  <c:v>21.14721878967126</c:v>
                </c:pt>
                <c:pt idx="3">
                  <c:v>22.098843635206467</c:v>
                </c:pt>
                <c:pt idx="4">
                  <c:v>23.093291598790756</c:v>
                </c:pt>
                <c:pt idx="5">
                  <c:v>24.132489720736338</c:v>
                </c:pt>
                <c:pt idx="6">
                  <c:v>25.218451758169472</c:v>
                </c:pt>
                <c:pt idx="7">
                  <c:v>26.353282087287095</c:v>
                </c:pt>
                <c:pt idx="8">
                  <c:v>27.539179781215012</c:v>
                </c:pt>
                <c:pt idx="9">
                  <c:v>28.778442871369684</c:v>
                </c:pt>
                <c:pt idx="10">
                  <c:v>30.073472800581317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72-4D65-951C-54F0340272D0}"/>
            </c:ext>
          </c:extLst>
        </c:ser>
        <c:ser>
          <c:idx val="4"/>
          <c:order val="4"/>
          <c:tx>
            <c:v>Planeamiento 2016 - 2020</c:v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1F497D"/>
              </a:solidFill>
              <a:ln>
                <a:solidFill>
                  <a:srgbClr val="1F497D"/>
                </a:solidFill>
              </a:ln>
            </c:spPr>
          </c:marker>
          <c:xVal>
            <c:numRef>
              <c:f>MINETTI!$C$19:$C$29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xVal>
          <c:yVal>
            <c:numRef>
              <c:f>MINETTI!$H$19:$H$29</c:f>
              <c:numCache>
                <c:formatCode>0.00</c:formatCode>
                <c:ptCount val="11"/>
                <c:pt idx="0">
                  <c:v>19.365141631071872</c:v>
                </c:pt>
                <c:pt idx="1">
                  <c:v>19.940286337514706</c:v>
                </c:pt>
                <c:pt idx="2">
                  <c:v>20.532512841738896</c:v>
                </c:pt>
                <c:pt idx="3">
                  <c:v>21.142328473138541</c:v>
                </c:pt>
                <c:pt idx="4">
                  <c:v>21.770255628790757</c:v>
                </c:pt>
                <c:pt idx="5">
                  <c:v>22.416832220965844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72-4D65-951C-54F034027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29424"/>
        <c:axId val="489130208"/>
      </c:scatterChart>
      <c:valAx>
        <c:axId val="489129424"/>
        <c:scaling>
          <c:orientation val="minMax"/>
          <c:max val="2026"/>
          <c:min val="200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crossAx val="489130208"/>
        <c:crosses val="autoZero"/>
        <c:crossBetween val="midCat"/>
        <c:majorUnit val="2"/>
        <c:minorUnit val="1"/>
      </c:valAx>
      <c:valAx>
        <c:axId val="4891302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 sz="1100">
                    <a:latin typeface="Arial" pitchFamily="34" charset="0"/>
                    <a:cs typeface="Arial" pitchFamily="34" charset="0"/>
                  </a:rPr>
                  <a:t>[MVA]</a:t>
                </a:r>
              </a:p>
            </c:rich>
          </c:tx>
          <c:layout>
            <c:manualLayout>
              <c:xMode val="edge"/>
              <c:yMode val="edge"/>
              <c:x val="4.4444439259908675E-3"/>
              <c:y val="3.8884028385340719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489129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120473379422708"/>
          <c:y val="0.14946307135574508"/>
          <c:w val="0.18482148969568568"/>
          <c:h val="0.37524116580956351"/>
        </c:manualLayout>
      </c:layout>
      <c:overlay val="0"/>
      <c:txPr>
        <a:bodyPr/>
        <a:lstStyle/>
        <a:p>
          <a:pPr>
            <a:defRPr sz="90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2"/>
    </a:solidFill>
  </c:spPr>
  <c:printSettings>
    <c:headerFooter/>
    <c:pageMargins b="0.7500000000000111" l="0.70000000000000062" r="0.70000000000000062" t="0.7500000000000111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ET </a:t>
            </a:r>
            <a:r>
              <a:rPr lang="en-US" sz="1600">
                <a:latin typeface="Arial" pitchFamily="34" charset="0"/>
                <a:cs typeface="Arial" pitchFamily="34" charset="0"/>
              </a:rPr>
              <a:t>Minetti (Guma): </a:t>
            </a:r>
            <a:r>
              <a:rPr lang="en-US" sz="16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2025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2021079134201983"/>
          <c:y val="1.8613552066243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372518448405114E-2"/>
          <c:y val="9.8947816708097727E-2"/>
          <c:w val="0.92879577755204379"/>
          <c:h val="0.76791200442050012"/>
        </c:manualLayout>
      </c:layout>
      <c:scatterChart>
        <c:scatterStyle val="smoothMarker"/>
        <c:varyColors val="0"/>
        <c:ser>
          <c:idx val="0"/>
          <c:order val="0"/>
          <c:tx>
            <c:v>Potencia Instalada</c:v>
          </c:tx>
          <c:spPr>
            <a:ln w="444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MINETTI!$C$7:$C$29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MINETTI!$J$7:$J$29</c:f>
              <c:numCache>
                <c:formatCode>0.00</c:formatCode>
                <c:ptCount val="2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B7-433C-A994-DD5FC85C7525}"/>
            </c:ext>
          </c:extLst>
        </c:ser>
        <c:ser>
          <c:idx val="1"/>
          <c:order val="1"/>
          <c:tx>
            <c:v>Precaución (N - 1)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MINETTI!$C$7:$C$29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MINETTI!$K$7:$K$29</c:f>
              <c:numCache>
                <c:formatCode>0.00</c:formatCode>
                <c:ptCount val="2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B7-433C-A994-DD5FC85C7525}"/>
            </c:ext>
          </c:extLst>
        </c:ser>
        <c:ser>
          <c:idx val="2"/>
          <c:order val="2"/>
          <c:tx>
            <c:v>Potencia Aparente S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name>Tendencia lineal</c:name>
            <c:spPr>
              <a:ln w="31750" cap="sq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1.5111479643770302E-2"/>
                  <c:y val="-4.1327188257065724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aseline="0"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MINETTI!$C$7:$C$29</c:f>
              <c:numCache>
                <c:formatCode>General</c:formatCode>
                <c:ptCount val="2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</c:numCache>
            </c:numRef>
          </c:xVal>
          <c:yVal>
            <c:numRef>
              <c:f>MINETTI!$E$7:$E$29</c:f>
              <c:numCache>
                <c:formatCode>0.00</c:formatCode>
                <c:ptCount val="23"/>
                <c:pt idx="0">
                  <c:v>17.440000000000001</c:v>
                </c:pt>
                <c:pt idx="1">
                  <c:v>16.649999999999999</c:v>
                </c:pt>
                <c:pt idx="2">
                  <c:v>16.989999999999998</c:v>
                </c:pt>
                <c:pt idx="3">
                  <c:v>16.829999999999998</c:v>
                </c:pt>
                <c:pt idx="4">
                  <c:v>20.64</c:v>
                </c:pt>
                <c:pt idx="5">
                  <c:v>23.19</c:v>
                </c:pt>
                <c:pt idx="6">
                  <c:v>17.579999999999998</c:v>
                </c:pt>
                <c:pt idx="7">
                  <c:v>18.783347802242282</c:v>
                </c:pt>
                <c:pt idx="8">
                  <c:v>17.969957820170674</c:v>
                </c:pt>
                <c:pt idx="9">
                  <c:v>19.65959562147706</c:v>
                </c:pt>
                <c:pt idx="10">
                  <c:v>18.632086680696421</c:v>
                </c:pt>
                <c:pt idx="11">
                  <c:v>19.255641904727298</c:v>
                </c:pt>
                <c:pt idx="12">
                  <c:v>19.365141631071872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B7-433C-A994-DD5FC85C7525}"/>
            </c:ext>
          </c:extLst>
        </c:ser>
        <c:ser>
          <c:idx val="3"/>
          <c:order val="3"/>
          <c:tx>
            <c:v>Crecimiento 4,50 %</c:v>
          </c:tx>
          <c:spPr>
            <a:ln w="34925">
              <a:solidFill>
                <a:srgbClr val="F79646"/>
              </a:solidFill>
            </a:ln>
          </c:spPr>
          <c:marker>
            <c:symbol val="diamond"/>
            <c:size val="7"/>
            <c:spPr>
              <a:solidFill>
                <a:srgbClr val="1F497D"/>
              </a:solidFill>
              <a:ln w="6350">
                <a:solidFill>
                  <a:srgbClr val="1F497D"/>
                </a:solidFill>
              </a:ln>
            </c:spPr>
          </c:marker>
          <c:xVal>
            <c:numRef>
              <c:f>MINETTI!$C$19:$C$29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xVal>
          <c:yVal>
            <c:numRef>
              <c:f>MINETTI!$I$19:$I$29</c:f>
              <c:numCache>
                <c:formatCode>0.00</c:formatCode>
                <c:ptCount val="11"/>
                <c:pt idx="0">
                  <c:v>19.365141631071872</c:v>
                </c:pt>
                <c:pt idx="1">
                  <c:v>20.236573004470106</c:v>
                </c:pt>
                <c:pt idx="2">
                  <c:v>21.14721878967126</c:v>
                </c:pt>
                <c:pt idx="3">
                  <c:v>22.098843635206467</c:v>
                </c:pt>
                <c:pt idx="4">
                  <c:v>23.093291598790756</c:v>
                </c:pt>
                <c:pt idx="5">
                  <c:v>24.132489720736338</c:v>
                </c:pt>
                <c:pt idx="6">
                  <c:v>25.218451758169472</c:v>
                </c:pt>
                <c:pt idx="7">
                  <c:v>26.353282087287095</c:v>
                </c:pt>
                <c:pt idx="8">
                  <c:v>27.539179781215012</c:v>
                </c:pt>
                <c:pt idx="9">
                  <c:v>28.778442871369684</c:v>
                </c:pt>
                <c:pt idx="10">
                  <c:v>30.073472800581317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B7-433C-A994-DD5FC85C7525}"/>
            </c:ext>
          </c:extLst>
        </c:ser>
        <c:ser>
          <c:idx val="4"/>
          <c:order val="4"/>
          <c:tx>
            <c:v>Planeamiento 2016 - 2020</c:v>
          </c:tx>
          <c:spPr>
            <a:ln w="34925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1F497D"/>
              </a:solidFill>
              <a:ln>
                <a:solidFill>
                  <a:srgbClr val="1F497D"/>
                </a:solidFill>
              </a:ln>
            </c:spPr>
          </c:marker>
          <c:xVal>
            <c:numRef>
              <c:f>MINETTI!$C$19:$C$29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xVal>
          <c:yVal>
            <c:numRef>
              <c:f>MINETTI!$H$19:$H$29</c:f>
              <c:numCache>
                <c:formatCode>0.00</c:formatCode>
                <c:ptCount val="11"/>
                <c:pt idx="0">
                  <c:v>19.365141631071872</c:v>
                </c:pt>
                <c:pt idx="1">
                  <c:v>19.940286337514706</c:v>
                </c:pt>
                <c:pt idx="2">
                  <c:v>20.532512841738896</c:v>
                </c:pt>
                <c:pt idx="3">
                  <c:v>21.142328473138541</c:v>
                </c:pt>
                <c:pt idx="4">
                  <c:v>21.770255628790757</c:v>
                </c:pt>
                <c:pt idx="5">
                  <c:v>22.416832220965844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B7-433C-A994-DD5FC85C7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30600"/>
        <c:axId val="489128248"/>
      </c:scatterChart>
      <c:valAx>
        <c:axId val="489130600"/>
        <c:scaling>
          <c:orientation val="minMax"/>
          <c:max val="2026"/>
          <c:min val="200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89128248"/>
        <c:crosses val="autoZero"/>
        <c:crossBetween val="midCat"/>
        <c:majorUnit val="2"/>
        <c:minorUnit val="1"/>
      </c:valAx>
      <c:valAx>
        <c:axId val="489128248"/>
        <c:scaling>
          <c:orientation val="minMax"/>
          <c:max val="4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 sz="1100">
                    <a:latin typeface="Arial" pitchFamily="34" charset="0"/>
                    <a:cs typeface="Arial" pitchFamily="34" charset="0"/>
                  </a:rPr>
                  <a:t>[MVA]</a:t>
                </a:r>
              </a:p>
            </c:rich>
          </c:tx>
          <c:layout>
            <c:manualLayout>
              <c:xMode val="edge"/>
              <c:yMode val="edge"/>
              <c:x val="4.4444439259908675E-3"/>
              <c:y val="3.8884028385340719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8913060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843862925538277"/>
          <c:y val="0.91748584058571625"/>
          <c:w val="0.75359155603420358"/>
          <c:h val="7.1549247133581989E-2"/>
        </c:manualLayout>
      </c:layout>
      <c:overlay val="0"/>
      <c:txPr>
        <a:bodyPr/>
        <a:lstStyle/>
        <a:p>
          <a:pPr>
            <a:defRPr sz="1000" baseline="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00000000000111" l="0.70000000000000062" r="0.70000000000000062" t="0.7500000000000111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ET Calasanz</a:t>
            </a:r>
            <a:r>
              <a:rPr lang="en-US" sz="1600">
                <a:latin typeface="Arial" pitchFamily="34" charset="0"/>
                <a:cs typeface="Arial" pitchFamily="34" charset="0"/>
              </a:rPr>
              <a:t>: </a:t>
            </a:r>
            <a:r>
              <a:rPr lang="en-US" sz="16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2025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9.9767309391323222E-2"/>
          <c:y val="1.77103064022458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368609233942849E-2"/>
          <c:y val="0.10645806621781964"/>
          <c:w val="0.75658318306032757"/>
          <c:h val="0.83016015376290686"/>
        </c:manualLayout>
      </c:layout>
      <c:scatterChart>
        <c:scatterStyle val="smoothMarker"/>
        <c:varyColors val="0"/>
        <c:ser>
          <c:idx val="0"/>
          <c:order val="0"/>
          <c:tx>
            <c:v>Potencia Instalada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CALASANZ!$C$7:$C$18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xVal>
          <c:yVal>
            <c:numRef>
              <c:f>CALASANZ!$J$7:$J$18</c:f>
              <c:numCache>
                <c:formatCode>0.00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B0-4E27-A76D-F37D392C64F8}"/>
            </c:ext>
          </c:extLst>
        </c:ser>
        <c:ser>
          <c:idx val="1"/>
          <c:order val="1"/>
          <c:tx>
            <c:v>Precaución (N - 1)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CALASANZ!$C$7:$C$18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xVal>
          <c:yVal>
            <c:numRef>
              <c:f>CALASANZ!$K$7:$K$18</c:f>
              <c:numCache>
                <c:formatCode>0.00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B0-4E27-A76D-F37D392C64F8}"/>
            </c:ext>
          </c:extLst>
        </c:ser>
        <c:ser>
          <c:idx val="2"/>
          <c:order val="2"/>
          <c:tx>
            <c:v>Potencia Aparente S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trendline>
            <c:name>Tendencia Lineal</c:name>
            <c:spPr>
              <a:ln w="22225">
                <a:solidFill>
                  <a:srgbClr val="4F81BD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9556056637556404"/>
                  <c:y val="-5.0674585371645502E-3"/>
                </c:manualLayout>
              </c:layout>
              <c:numFmt formatCode="General" sourceLinked="0"/>
            </c:trendlineLbl>
          </c:trendline>
          <c:xVal>
            <c:numRef>
              <c:f>CALASANZ!$C$7:$C$18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xVal>
          <c:yVal>
            <c:numRef>
              <c:f>CALASANZ!$E$7:$E$18</c:f>
              <c:numCache>
                <c:formatCode>0.00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B0-4E27-A76D-F37D392C64F8}"/>
            </c:ext>
          </c:extLst>
        </c:ser>
        <c:ser>
          <c:idx val="3"/>
          <c:order val="3"/>
          <c:tx>
            <c:v>Crecimiento 4,5%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5"/>
            <c:spPr>
              <a:solidFill>
                <a:schemeClr val="accent6"/>
              </a:solidFill>
            </c:spPr>
          </c:marker>
          <c:xVal>
            <c:numRef>
              <c:f>CALASANZ!$C$7:$C$18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xVal>
          <c:yVal>
            <c:numRef>
              <c:f>CALASANZ!$I$7:$I$18</c:f>
              <c:numCache>
                <c:formatCode>0.00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B0-4E27-A76D-F37D392C64F8}"/>
            </c:ext>
          </c:extLst>
        </c:ser>
        <c:ser>
          <c:idx val="4"/>
          <c:order val="4"/>
          <c:tx>
            <c:v>Año de Saturación</c:v>
          </c:tx>
          <c:spPr>
            <a:ln w="19050" cmpd="sng">
              <a:solidFill>
                <a:srgbClr val="1F497D"/>
              </a:solidFill>
              <a:headEnd type="triangle"/>
            </a:ln>
          </c:spPr>
          <c:marker>
            <c:symbol val="none"/>
          </c:marker>
          <c:xVal>
            <c:numRef>
              <c:f>CALASANZ!$N$42:$N$51</c:f>
              <c:numCache>
                <c:formatCode>General</c:formatCode>
                <c:ptCount val="10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  <c:pt idx="8">
                  <c:v>2023</c:v>
                </c:pt>
                <c:pt idx="9">
                  <c:v>2023</c:v>
                </c:pt>
              </c:numCache>
            </c:numRef>
          </c:xVal>
          <c:yVal>
            <c:numRef>
              <c:f>CALASANZ!$O$42:$O$51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B0-4E27-A76D-F37D392C64F8}"/>
            </c:ext>
          </c:extLst>
        </c:ser>
        <c:ser>
          <c:idx val="5"/>
          <c:order val="5"/>
          <c:tx>
            <c:v>Guia de Referencia</c:v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1F497D"/>
              </a:solidFill>
              <a:ln>
                <a:solidFill>
                  <a:srgbClr val="1F497D"/>
                </a:solidFill>
              </a:ln>
            </c:spPr>
          </c:marker>
          <c:xVal>
            <c:numRef>
              <c:f>CALASANZ!$C$70:$C$75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xVal>
          <c:yVal>
            <c:numRef>
              <c:f>CALASANZ!$D$70:$D$75</c:f>
              <c:numCache>
                <c:formatCode>0.00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B0-4E27-A76D-F37D392C6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19624"/>
        <c:axId val="489121584"/>
      </c:scatterChart>
      <c:valAx>
        <c:axId val="489119624"/>
        <c:scaling>
          <c:orientation val="minMax"/>
          <c:max val="2026"/>
          <c:min val="199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crossAx val="489121584"/>
        <c:crosses val="autoZero"/>
        <c:crossBetween val="midCat"/>
        <c:majorUnit val="2"/>
        <c:minorUnit val="1"/>
      </c:valAx>
      <c:valAx>
        <c:axId val="4891215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latin typeface="Arial" pitchFamily="34" charset="0"/>
                  </a:rPr>
                  <a:t>[MVA]</a:t>
                </a:r>
                <a:endParaRPr lang="es-ES" baseline="0">
                  <a:latin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5.9193481818862678E-3"/>
              <c:y val="3.4245238138876012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489119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456196992424701"/>
          <c:y val="0.3172366104903982"/>
          <c:w val="0.17309572961390021"/>
          <c:h val="0.28247102004193098"/>
        </c:manualLayout>
      </c:layout>
      <c:overlay val="0"/>
      <c:txPr>
        <a:bodyPr/>
        <a:lstStyle/>
        <a:p>
          <a:pPr>
            <a:defRPr sz="90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2"/>
    </a:solidFill>
  </c:spPr>
  <c:printSettings>
    <c:headerFooter/>
    <c:pageMargins b="0.75000000000001088" l="0.70000000000000062" r="0.70000000000000062" t="0.75000000000001088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ET Santa Ana</a:t>
            </a:r>
            <a:r>
              <a:rPr lang="en-US" sz="1600">
                <a:latin typeface="Arial" pitchFamily="34" charset="0"/>
                <a:cs typeface="Arial" pitchFamily="34" charset="0"/>
              </a:rPr>
              <a:t>: </a:t>
            </a:r>
            <a:r>
              <a:rPr lang="en-US" sz="16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2025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160274786240575"/>
          <c:y val="2.78304814892435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368609233942849E-2"/>
          <c:y val="0.10645806621781964"/>
          <c:w val="0.75658318306032757"/>
          <c:h val="0.83016015376290686"/>
        </c:manualLayout>
      </c:layout>
      <c:scatterChart>
        <c:scatterStyle val="smoothMarker"/>
        <c:varyColors val="0"/>
        <c:ser>
          <c:idx val="0"/>
          <c:order val="0"/>
          <c:tx>
            <c:v>Potencia Instalada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'SANTA ANA'!$C$7:$C$18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xVal>
          <c:yVal>
            <c:numRef>
              <c:f>'SANTA ANA'!$J$7:$J$18</c:f>
              <c:numCache>
                <c:formatCode>0.00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41-4D19-96CF-17761ACD7347}"/>
            </c:ext>
          </c:extLst>
        </c:ser>
        <c:ser>
          <c:idx val="1"/>
          <c:order val="1"/>
          <c:tx>
            <c:v>Precaución (N - 1)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'SANTA ANA'!$C$7:$C$18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xVal>
          <c:yVal>
            <c:numRef>
              <c:f>'SANTA ANA'!$K$7:$K$18</c:f>
              <c:numCache>
                <c:formatCode>0.00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41-4D19-96CF-17761ACD7347}"/>
            </c:ext>
          </c:extLst>
        </c:ser>
        <c:ser>
          <c:idx val="2"/>
          <c:order val="2"/>
          <c:tx>
            <c:v>Potencia Aparente S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trendline>
            <c:name>Tendencia Lineal</c:name>
            <c:spPr>
              <a:ln w="22225">
                <a:solidFill>
                  <a:srgbClr val="4F81BD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9556056637556404"/>
                  <c:y val="-5.0674585371645502E-3"/>
                </c:manualLayout>
              </c:layout>
              <c:numFmt formatCode="General" sourceLinked="0"/>
            </c:trendlineLbl>
          </c:trendline>
          <c:xVal>
            <c:numRef>
              <c:f>'SANTA ANA'!$C$7:$C$18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xVal>
          <c:yVal>
            <c:numRef>
              <c:f>'SANTA ANA'!$E$7:$E$18</c:f>
              <c:numCache>
                <c:formatCode>0.00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41-4D19-96CF-17761ACD7347}"/>
            </c:ext>
          </c:extLst>
        </c:ser>
        <c:ser>
          <c:idx val="3"/>
          <c:order val="3"/>
          <c:tx>
            <c:v>Crecimiento 4,5%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5"/>
            <c:spPr>
              <a:solidFill>
                <a:schemeClr val="accent6"/>
              </a:solidFill>
            </c:spPr>
          </c:marker>
          <c:xVal>
            <c:numRef>
              <c:f>'SANTA ANA'!$C$7:$C$18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xVal>
          <c:yVal>
            <c:numRef>
              <c:f>'SANTA ANA'!$I$7:$I$18</c:f>
              <c:numCache>
                <c:formatCode>0.00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41-4D19-96CF-17761ACD7347}"/>
            </c:ext>
          </c:extLst>
        </c:ser>
        <c:ser>
          <c:idx val="4"/>
          <c:order val="4"/>
          <c:tx>
            <c:v>Año de Saturación</c:v>
          </c:tx>
          <c:spPr>
            <a:ln w="19050" cmpd="sng">
              <a:solidFill>
                <a:srgbClr val="1F497D"/>
              </a:solidFill>
              <a:headEnd type="triangle"/>
            </a:ln>
          </c:spPr>
          <c:marker>
            <c:symbol val="none"/>
          </c:marker>
          <c:xVal>
            <c:numRef>
              <c:f>'SANTA ANA'!$N$42:$N$51</c:f>
              <c:numCache>
                <c:formatCode>General</c:formatCode>
                <c:ptCount val="10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  <c:pt idx="8">
                  <c:v>2023</c:v>
                </c:pt>
                <c:pt idx="9">
                  <c:v>2023</c:v>
                </c:pt>
              </c:numCache>
            </c:numRef>
          </c:xVal>
          <c:yVal>
            <c:numRef>
              <c:f>'SANTA ANA'!$O$42:$O$51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41-4D19-96CF-17761ACD7347}"/>
            </c:ext>
          </c:extLst>
        </c:ser>
        <c:ser>
          <c:idx val="5"/>
          <c:order val="5"/>
          <c:tx>
            <c:v>Guia de Referencia</c:v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1F497D"/>
              </a:solidFill>
              <a:ln>
                <a:solidFill>
                  <a:srgbClr val="1F497D"/>
                </a:solidFill>
              </a:ln>
            </c:spPr>
          </c:marker>
          <c:xVal>
            <c:numRef>
              <c:f>'SANTA ANA'!$C$69:$C$74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xVal>
          <c:yVal>
            <c:numRef>
              <c:f>'SANTA ANA'!$D$69:$D$74</c:f>
              <c:numCache>
                <c:formatCode>0.00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41-4D19-96CF-17761ACD7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22368"/>
        <c:axId val="489116096"/>
      </c:scatterChart>
      <c:valAx>
        <c:axId val="489122368"/>
        <c:scaling>
          <c:orientation val="minMax"/>
          <c:max val="2026"/>
          <c:min val="199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crossAx val="489116096"/>
        <c:crosses val="autoZero"/>
        <c:crossBetween val="midCat"/>
        <c:majorUnit val="2"/>
        <c:minorUnit val="1"/>
      </c:valAx>
      <c:valAx>
        <c:axId val="4891160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latin typeface="Arial" pitchFamily="34" charset="0"/>
                  </a:rPr>
                  <a:t>[MVA]</a:t>
                </a:r>
                <a:endParaRPr lang="es-ES" baseline="0">
                  <a:latin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5.9193481818862678E-3"/>
              <c:y val="3.4245238138876012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489122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456196992424701"/>
          <c:y val="0.3172366104903982"/>
          <c:w val="0.17309572961390021"/>
          <c:h val="0.28247102004193098"/>
        </c:manualLayout>
      </c:layout>
      <c:overlay val="0"/>
      <c:txPr>
        <a:bodyPr/>
        <a:lstStyle/>
        <a:p>
          <a:pPr>
            <a:defRPr sz="90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2"/>
    </a:solidFill>
  </c:spPr>
  <c:printSettings>
    <c:headerFooter/>
    <c:pageMargins b="0.75000000000001088" l="0.70000000000000062" r="0.70000000000000062" t="0.75000000000001088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latin typeface="Arial" pitchFamily="34" charset="0"/>
                <a:cs typeface="Arial" pitchFamily="34" charset="0"/>
              </a:rPr>
              <a:t>ET Arguello</a:t>
            </a:r>
            <a:r>
              <a:rPr lang="en-US" sz="1600">
                <a:latin typeface="Arial" pitchFamily="34" charset="0"/>
                <a:cs typeface="Arial" pitchFamily="34" charset="0"/>
              </a:rPr>
              <a:t>: </a:t>
            </a:r>
            <a:r>
              <a:rPr lang="en-US" sz="16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2025</a:t>
            </a:r>
            <a:endParaRPr lang="en-US" sz="16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9.9767309391323222E-2"/>
          <c:y val="1.77103064022458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368609233942849E-2"/>
          <c:y val="0.10645806621781964"/>
          <c:w val="0.75658318306032757"/>
          <c:h val="0.83016015376290686"/>
        </c:manualLayout>
      </c:layout>
      <c:scatterChart>
        <c:scatterStyle val="smoothMarker"/>
        <c:varyColors val="0"/>
        <c:ser>
          <c:idx val="0"/>
          <c:order val="0"/>
          <c:tx>
            <c:v>Potencia Instalada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ARGUELLO!$C$7:$C$18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xVal>
          <c:yVal>
            <c:numRef>
              <c:f>ARGUELLO!$J$7:$J$18</c:f>
              <c:numCache>
                <c:formatCode>0.00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4F-4A61-98E8-51ABB3B3EA27}"/>
            </c:ext>
          </c:extLst>
        </c:ser>
        <c:ser>
          <c:idx val="1"/>
          <c:order val="1"/>
          <c:tx>
            <c:v>Precaución (N - 1)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ARGUELLO!$C$7:$C$18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xVal>
          <c:yVal>
            <c:numRef>
              <c:f>ARGUELLO!$K$7:$K$18</c:f>
              <c:numCache>
                <c:formatCode>0.00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4F-4A61-98E8-51ABB3B3EA27}"/>
            </c:ext>
          </c:extLst>
        </c:ser>
        <c:ser>
          <c:idx val="2"/>
          <c:order val="2"/>
          <c:tx>
            <c:v>Potencia Aparente S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trendline>
            <c:name>Tendencia Lineal</c:name>
            <c:spPr>
              <a:ln w="22225">
                <a:solidFill>
                  <a:srgbClr val="4F81BD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9556056637556404"/>
                  <c:y val="-5.0674585371645502E-3"/>
                </c:manualLayout>
              </c:layout>
              <c:numFmt formatCode="General" sourceLinked="0"/>
            </c:trendlineLbl>
          </c:trendline>
          <c:xVal>
            <c:numRef>
              <c:f>ARGUELLO!$C$7:$C$18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xVal>
          <c:yVal>
            <c:numRef>
              <c:f>ARGUELLO!$E$7:$E$18</c:f>
              <c:numCache>
                <c:formatCode>0.00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4F-4A61-98E8-51ABB3B3EA27}"/>
            </c:ext>
          </c:extLst>
        </c:ser>
        <c:ser>
          <c:idx val="3"/>
          <c:order val="3"/>
          <c:tx>
            <c:v>Crecimiento 4,5%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5"/>
            <c:spPr>
              <a:solidFill>
                <a:schemeClr val="accent6"/>
              </a:solidFill>
            </c:spPr>
          </c:marker>
          <c:xVal>
            <c:numRef>
              <c:f>ARGUELLO!$C$7:$C$18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xVal>
          <c:yVal>
            <c:numRef>
              <c:f>ARGUELLO!$I$7:$I$18</c:f>
              <c:numCache>
                <c:formatCode>0.00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4F-4A61-98E8-51ABB3B3EA27}"/>
            </c:ext>
          </c:extLst>
        </c:ser>
        <c:ser>
          <c:idx val="4"/>
          <c:order val="4"/>
          <c:tx>
            <c:v>Año de Saturación</c:v>
          </c:tx>
          <c:spPr>
            <a:ln w="19050" cmpd="sng">
              <a:solidFill>
                <a:srgbClr val="1F497D"/>
              </a:solidFill>
              <a:headEnd type="triangle"/>
            </a:ln>
          </c:spPr>
          <c:marker>
            <c:symbol val="none"/>
          </c:marker>
          <c:xVal>
            <c:numRef>
              <c:f>ARGUELLO!$N$42:$N$51</c:f>
              <c:numCache>
                <c:formatCode>General</c:formatCode>
                <c:ptCount val="10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  <c:pt idx="8">
                  <c:v>2023</c:v>
                </c:pt>
                <c:pt idx="9">
                  <c:v>2023</c:v>
                </c:pt>
              </c:numCache>
            </c:numRef>
          </c:xVal>
          <c:yVal>
            <c:numRef>
              <c:f>ARGUELLO!$O$42:$O$51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4F-4A61-98E8-51ABB3B3EA27}"/>
            </c:ext>
          </c:extLst>
        </c:ser>
        <c:ser>
          <c:idx val="5"/>
          <c:order val="5"/>
          <c:tx>
            <c:v>Guia de Referencia</c:v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1F497D"/>
              </a:solidFill>
              <a:ln>
                <a:solidFill>
                  <a:srgbClr val="1F497D"/>
                </a:solidFill>
              </a:ln>
            </c:spPr>
          </c:marker>
          <c:xVal>
            <c:numRef>
              <c:f>ARGUELLO!$C$69:$C$74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xVal>
          <c:yVal>
            <c:numRef>
              <c:f>ARGUELLO!$D$69:$D$74</c:f>
              <c:numCache>
                <c:formatCode>0.00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4F-4A61-98E8-51ABB3B3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16488"/>
        <c:axId val="489118448"/>
      </c:scatterChart>
      <c:valAx>
        <c:axId val="489116488"/>
        <c:scaling>
          <c:orientation val="minMax"/>
          <c:max val="2026"/>
          <c:min val="199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crossAx val="489118448"/>
        <c:crosses val="autoZero"/>
        <c:crossBetween val="midCat"/>
        <c:majorUnit val="2"/>
        <c:minorUnit val="1"/>
      </c:valAx>
      <c:valAx>
        <c:axId val="4891184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latin typeface="Arial" pitchFamily="34" charset="0"/>
                  </a:rPr>
                  <a:t>[MVA]</a:t>
                </a:r>
                <a:endParaRPr lang="es-ES" baseline="0">
                  <a:latin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5.9193481818862678E-3"/>
              <c:y val="3.4245238138876012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489116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456196992424701"/>
          <c:y val="0.3172366104903982"/>
          <c:w val="0.17309572961390021"/>
          <c:h val="0.28247102004193098"/>
        </c:manualLayout>
      </c:layout>
      <c:overlay val="0"/>
      <c:txPr>
        <a:bodyPr/>
        <a:lstStyle/>
        <a:p>
          <a:pPr>
            <a:defRPr sz="90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2"/>
    </a:solidFill>
  </c:spPr>
  <c:printSettings>
    <c:headerFooter/>
    <c:pageMargins b="0.75000000000001088" l="0.70000000000000062" r="0.70000000000000062" t="0.75000000000001088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ET Cura Brochero: Demanda Histórica y Pronósticos al 2027</a:t>
            </a:r>
            <a:endParaRPr lang="es-AR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5.5532847369349339E-2"/>
          <c:y val="8.8245491781224095E-2"/>
          <c:w val="0.91409359284849401"/>
          <c:h val="0.77484859074099433"/>
        </c:manualLayout>
      </c:layout>
      <c:scatterChart>
        <c:scatterStyle val="smoothMarker"/>
        <c:varyColors val="0"/>
        <c:ser>
          <c:idx val="0"/>
          <c:order val="0"/>
          <c:tx>
            <c:v>Potencia Aparente</c:v>
          </c:tx>
          <c:spPr>
            <a:ln w="349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6350">
                <a:solidFill>
                  <a:schemeClr val="tx1"/>
                </a:solidFill>
              </a:ln>
              <a:effectLst/>
            </c:spPr>
          </c:marker>
          <c:trendline>
            <c:name>Tendencia lineal</c:nam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6292417153994004E-2"/>
                  <c:y val="4.5305103876526608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'CURA BROCHERO'!$B$7:$B$31</c:f>
              <c:numCache>
                <c:formatCode>0</c:formatCode>
                <c:ptCount val="2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</c:numCache>
            </c:numRef>
          </c:xVal>
          <c:yVal>
            <c:numRef>
              <c:f>'CURA BROCHERO'!$E$7:$E$31</c:f>
              <c:numCache>
                <c:formatCode>0.00</c:formatCode>
                <c:ptCount val="25"/>
                <c:pt idx="0">
                  <c:v>6.44</c:v>
                </c:pt>
                <c:pt idx="1">
                  <c:v>7.19</c:v>
                </c:pt>
                <c:pt idx="2">
                  <c:v>7.71</c:v>
                </c:pt>
                <c:pt idx="3">
                  <c:v>8.11</c:v>
                </c:pt>
                <c:pt idx="4">
                  <c:v>8.57</c:v>
                </c:pt>
                <c:pt idx="5">
                  <c:v>9.34</c:v>
                </c:pt>
                <c:pt idx="6">
                  <c:v>9.9600000000000009</c:v>
                </c:pt>
                <c:pt idx="7">
                  <c:v>10.039999999999999</c:v>
                </c:pt>
                <c:pt idx="8">
                  <c:v>10.43</c:v>
                </c:pt>
                <c:pt idx="9">
                  <c:v>11.133896188566741</c:v>
                </c:pt>
                <c:pt idx="10">
                  <c:v>11.2</c:v>
                </c:pt>
                <c:pt idx="11">
                  <c:v>14.26</c:v>
                </c:pt>
                <c:pt idx="12">
                  <c:v>13.71</c:v>
                </c:pt>
                <c:pt idx="13">
                  <c:v>14.3</c:v>
                </c:pt>
                <c:pt idx="14">
                  <c:v>14.29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5-47E4-B364-447DA962D7C9}"/>
            </c:ext>
          </c:extLst>
        </c:ser>
        <c:ser>
          <c:idx val="1"/>
          <c:order val="1"/>
          <c:tx>
            <c:v>Potencia Instalada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'CURA BROCHERO'!$B$7:$B$31</c:f>
              <c:numCache>
                <c:formatCode>0</c:formatCode>
                <c:ptCount val="2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</c:numCache>
            </c:numRef>
          </c:xVal>
          <c:yVal>
            <c:numRef>
              <c:f>'CURA BROCHERO'!$J$7:$J$31</c:f>
              <c:numCache>
                <c:formatCode>0.00</c:formatCode>
                <c:ptCount val="25"/>
                <c:pt idx="0">
                  <c:v>16.3</c:v>
                </c:pt>
                <c:pt idx="1">
                  <c:v>16.3</c:v>
                </c:pt>
                <c:pt idx="2">
                  <c:v>16.3</c:v>
                </c:pt>
                <c:pt idx="3">
                  <c:v>16.3</c:v>
                </c:pt>
                <c:pt idx="4">
                  <c:v>16.3</c:v>
                </c:pt>
                <c:pt idx="5">
                  <c:v>16.3</c:v>
                </c:pt>
                <c:pt idx="6">
                  <c:v>16.3</c:v>
                </c:pt>
                <c:pt idx="7">
                  <c:v>16.3</c:v>
                </c:pt>
                <c:pt idx="8">
                  <c:v>16.3</c:v>
                </c:pt>
                <c:pt idx="9">
                  <c:v>16.3</c:v>
                </c:pt>
                <c:pt idx="10">
                  <c:v>16.3</c:v>
                </c:pt>
                <c:pt idx="11">
                  <c:v>16.3</c:v>
                </c:pt>
                <c:pt idx="12">
                  <c:v>16.3</c:v>
                </c:pt>
                <c:pt idx="13">
                  <c:v>16.3</c:v>
                </c:pt>
                <c:pt idx="14">
                  <c:v>16.3</c:v>
                </c:pt>
                <c:pt idx="15">
                  <c:v>16.3</c:v>
                </c:pt>
                <c:pt idx="16">
                  <c:v>16.3</c:v>
                </c:pt>
                <c:pt idx="17">
                  <c:v>16.3</c:v>
                </c:pt>
                <c:pt idx="18">
                  <c:v>16.3</c:v>
                </c:pt>
                <c:pt idx="19">
                  <c:v>16.3</c:v>
                </c:pt>
                <c:pt idx="20">
                  <c:v>16.3</c:v>
                </c:pt>
                <c:pt idx="21">
                  <c:v>16.3</c:v>
                </c:pt>
                <c:pt idx="22">
                  <c:v>16.3</c:v>
                </c:pt>
                <c:pt idx="23">
                  <c:v>16.3</c:v>
                </c:pt>
                <c:pt idx="24">
                  <c:v>16.3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F5-47E4-B364-447DA962D7C9}"/>
            </c:ext>
          </c:extLst>
        </c:ser>
        <c:ser>
          <c:idx val="2"/>
          <c:order val="2"/>
          <c:tx>
            <c:v>Precaución (N - 1)</c:v>
          </c:tx>
          <c:spPr>
            <a:ln w="3492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'CURA BROCHERO'!$B$7:$B$31</c:f>
              <c:numCache>
                <c:formatCode>0</c:formatCode>
                <c:ptCount val="2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</c:numCache>
            </c:numRef>
          </c:xVal>
          <c:yVal>
            <c:numRef>
              <c:f>'CURA BROCHERO'!$K$7:$K$31</c:f>
              <c:numCache>
                <c:formatCode>0.00</c:formatCode>
                <c:ptCount val="25"/>
                <c:pt idx="0">
                  <c:v>6.3000000000000007</c:v>
                </c:pt>
                <c:pt idx="1">
                  <c:v>6.3000000000000007</c:v>
                </c:pt>
                <c:pt idx="2">
                  <c:v>6.3000000000000007</c:v>
                </c:pt>
                <c:pt idx="3">
                  <c:v>6.3000000000000007</c:v>
                </c:pt>
                <c:pt idx="4">
                  <c:v>6.3000000000000007</c:v>
                </c:pt>
                <c:pt idx="5">
                  <c:v>6.3000000000000007</c:v>
                </c:pt>
                <c:pt idx="6">
                  <c:v>6.3000000000000007</c:v>
                </c:pt>
                <c:pt idx="7">
                  <c:v>6.3000000000000007</c:v>
                </c:pt>
                <c:pt idx="8">
                  <c:v>6.3000000000000007</c:v>
                </c:pt>
                <c:pt idx="9">
                  <c:v>6.3000000000000007</c:v>
                </c:pt>
                <c:pt idx="10">
                  <c:v>6.3000000000000007</c:v>
                </c:pt>
                <c:pt idx="11">
                  <c:v>6.3000000000000007</c:v>
                </c:pt>
                <c:pt idx="12">
                  <c:v>6.3000000000000007</c:v>
                </c:pt>
                <c:pt idx="13">
                  <c:v>6.3000000000000007</c:v>
                </c:pt>
                <c:pt idx="14">
                  <c:v>6.3000000000000007</c:v>
                </c:pt>
                <c:pt idx="15">
                  <c:v>6.3000000000000007</c:v>
                </c:pt>
                <c:pt idx="16">
                  <c:v>6.3000000000000007</c:v>
                </c:pt>
                <c:pt idx="17">
                  <c:v>6.3000000000000007</c:v>
                </c:pt>
                <c:pt idx="18">
                  <c:v>6.3000000000000007</c:v>
                </c:pt>
                <c:pt idx="19">
                  <c:v>6.3000000000000007</c:v>
                </c:pt>
                <c:pt idx="20">
                  <c:v>6.3000000000000007</c:v>
                </c:pt>
                <c:pt idx="21">
                  <c:v>6.3000000000000007</c:v>
                </c:pt>
                <c:pt idx="22">
                  <c:v>6.3000000000000007</c:v>
                </c:pt>
                <c:pt idx="23">
                  <c:v>6.3000000000000007</c:v>
                </c:pt>
                <c:pt idx="24">
                  <c:v>6.3000000000000007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F5-47E4-B364-447DA962D7C9}"/>
            </c:ext>
          </c:extLst>
        </c:ser>
        <c:ser>
          <c:idx val="4"/>
          <c:order val="3"/>
          <c:tx>
            <c:v>Año de Saturación</c:v>
          </c:tx>
          <c:spPr>
            <a:ln w="19050" cap="rnd">
              <a:solidFill>
                <a:srgbClr val="1F497D"/>
              </a:solidFill>
              <a:round/>
              <a:headEnd type="triangle" w="med" len="med"/>
              <a:tailEnd type="none"/>
            </a:ln>
            <a:effectLst/>
          </c:spPr>
          <c:marker>
            <c:symbol val="none"/>
          </c:marker>
          <c:xVal>
            <c:numRef>
              <c:f>'CURA BROCHERO'!$N$98:$N$103</c:f>
              <c:numCache>
                <c:formatCode>General</c:formatCode>
                <c:ptCount val="6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</c:numCache>
            </c:numRef>
          </c:xVal>
          <c:yVal>
            <c:numRef>
              <c:f>'CURA BROCHERO'!$O$98:$O$103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F5-47E4-B364-447DA962D7C9}"/>
            </c:ext>
          </c:extLst>
        </c:ser>
        <c:ser>
          <c:idx val="5"/>
          <c:order val="4"/>
          <c:tx>
            <c:v>Planeamiento 2018 - 2027</c:v>
          </c:tx>
          <c:spPr>
            <a:ln w="34925" cap="rnd">
              <a:solidFill>
                <a:srgbClr val="9BBB59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6350">
                <a:solidFill>
                  <a:srgbClr val="9BBB59">
                    <a:lumMod val="75000"/>
                  </a:srgbClr>
                </a:solidFill>
              </a:ln>
              <a:effectLst/>
            </c:spPr>
          </c:marker>
          <c:xVal>
            <c:numRef>
              <c:f>'CURA BROCHERO'!$B$53:$B$63</c:f>
              <c:numCache>
                <c:formatCode>0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'CURA BROCHERO'!$H$53:$H$63</c:f>
              <c:numCache>
                <c:formatCode>0.0</c:formatCode>
                <c:ptCount val="11"/>
                <c:pt idx="0" formatCode="0.00">
                  <c:v>14.29</c:v>
                </c:pt>
                <c:pt idx="1">
                  <c:v>15.583025083971767</c:v>
                </c:pt>
                <c:pt idx="2">
                  <c:v>16.253095162582554</c:v>
                </c:pt>
                <c:pt idx="3">
                  <c:v>16.951978254573604</c:v>
                </c:pt>
                <c:pt idx="4">
                  <c:v>17.680913319520268</c:v>
                </c:pt>
                <c:pt idx="5" formatCode="0.00">
                  <c:v>18.44119259225964</c:v>
                </c:pt>
                <c:pt idx="6" formatCode="0.00">
                  <c:v>19.234163873726803</c:v>
                </c:pt>
                <c:pt idx="7" formatCode="0.00">
                  <c:v>20.061232920297055</c:v>
                </c:pt>
                <c:pt idx="8" formatCode="0.00">
                  <c:v>20.923865935869827</c:v>
                </c:pt>
                <c:pt idx="9" formatCode="0.00">
                  <c:v>21.823592171112228</c:v>
                </c:pt>
                <c:pt idx="10" formatCode="0.00">
                  <c:v>22.762006634470051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F5-47E4-B364-447DA962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17272"/>
        <c:axId val="489121192"/>
      </c:scatterChart>
      <c:valAx>
        <c:axId val="489117272"/>
        <c:scaling>
          <c:orientation val="minMax"/>
          <c:max val="2028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9BBB59">
                <a:lumMod val="75000"/>
                <a:alpha val="99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89121192"/>
        <c:crosses val="autoZero"/>
        <c:crossBetween val="midCat"/>
        <c:majorUnit val="5"/>
        <c:minorUnit val="1"/>
      </c:valAx>
      <c:valAx>
        <c:axId val="48912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b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[MVA]</a:t>
                </a:r>
                <a:endParaRPr lang="es-AR" sz="10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s-AR"/>
              </a:p>
            </c:rich>
          </c:tx>
          <c:layout>
            <c:manualLayout>
              <c:xMode val="edge"/>
              <c:yMode val="edge"/>
              <c:x val="2.2988503146381671E-2"/>
              <c:y val="2.50236539715171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b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89117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358757086754781E-2"/>
          <c:y val="0.90429797260430733"/>
          <c:w val="0.92420446146659641"/>
          <c:h val="9.4352950632850166E-2"/>
        </c:manualLayout>
      </c:layout>
      <c:overlay val="0"/>
      <c:spPr>
        <a:solidFill>
          <a:sysClr val="window" lastClr="FFFFFF"/>
        </a:solidFill>
        <a:ln w="31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1166" l="0.70000000000000062" r="0.70000000000000062" t="0.75000000000001166" header="0.30000000000000032" footer="0.30000000000000032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latin typeface="Arial" pitchFamily="34" charset="0"/>
                <a:cs typeface="Arial" pitchFamily="34" charset="0"/>
              </a:rPr>
              <a:t>ET </a:t>
            </a:r>
            <a:r>
              <a:rPr lang="en-US" sz="1800" b="1" i="0" baseline="0">
                <a:latin typeface="Arial" pitchFamily="34" charset="0"/>
                <a:cs typeface="Arial" pitchFamily="34" charset="0"/>
              </a:rPr>
              <a:t>Norte: </a:t>
            </a:r>
            <a:r>
              <a:rPr lang="en-US" sz="18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2027</a:t>
            </a:r>
            <a:endParaRPr lang="en-US" sz="1800" b="1" i="0" baseline="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8916568605543307"/>
          <c:y val="2.678887004076259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1029769927407716E-2"/>
          <c:y val="0.10585547350953825"/>
          <c:w val="0.91176789345025766"/>
          <c:h val="0.71798296917065418"/>
        </c:manualLayout>
      </c:layout>
      <c:scatterChart>
        <c:scatterStyle val="smoothMarker"/>
        <c:varyColors val="0"/>
        <c:ser>
          <c:idx val="0"/>
          <c:order val="0"/>
          <c:tx>
            <c:v>Potencia Instalada</c:v>
          </c:tx>
          <c:spPr>
            <a:ln w="28575" cap="sq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xVal>
            <c:numRef>
              <c:f>NORTE!$B$43:$B$71</c:f>
              <c:numCache>
                <c:formatCode>General</c:formatCode>
                <c:ptCount val="2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</c:numCache>
            </c:numRef>
          </c:xVal>
          <c:yVal>
            <c:numRef>
              <c:f>NORTE!$I$43:$I$71</c:f>
              <c:numCache>
                <c:formatCode>0</c:formatCode>
                <c:ptCount val="29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105</c:v>
                </c:pt>
                <c:pt idx="20">
                  <c:v>105</c:v>
                </c:pt>
                <c:pt idx="21">
                  <c:v>105</c:v>
                </c:pt>
                <c:pt idx="22">
                  <c:v>105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A-455A-9F11-79AC8E9BB125}"/>
            </c:ext>
          </c:extLst>
        </c:ser>
        <c:ser>
          <c:idx val="1"/>
          <c:order val="1"/>
          <c:tx>
            <c:v>Precaución (N - 1) </c:v>
          </c:tx>
          <c:spPr>
            <a:ln w="28575" cap="sq">
              <a:solidFill>
                <a:srgbClr val="FFC000"/>
              </a:solidFill>
              <a:miter lim="800000"/>
            </a:ln>
          </c:spPr>
          <c:marker>
            <c:symbol val="none"/>
          </c:marker>
          <c:xVal>
            <c:numRef>
              <c:f>NORTE!$B$43:$B$71</c:f>
              <c:numCache>
                <c:formatCode>General</c:formatCode>
                <c:ptCount val="2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</c:numCache>
            </c:numRef>
          </c:xVal>
          <c:yVal>
            <c:numRef>
              <c:f>NORTE!$J$43:$J$71</c:f>
              <c:numCache>
                <c:formatCode>0</c:formatCode>
                <c:ptCount val="2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A-455A-9F11-79AC8E9BB125}"/>
            </c:ext>
          </c:extLst>
        </c:ser>
        <c:ser>
          <c:idx val="2"/>
          <c:order val="2"/>
          <c:tx>
            <c:v>Potencia Aparente S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</c:spPr>
          </c:marker>
          <c:dPt>
            <c:idx val="12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50A-455A-9F11-79AC8E9BB125}"/>
              </c:ext>
            </c:extLst>
          </c:dPt>
          <c:dPt>
            <c:idx val="13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50A-455A-9F11-79AC8E9BB125}"/>
              </c:ext>
            </c:extLst>
          </c:dPt>
          <c:dPt>
            <c:idx val="14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50A-455A-9F11-79AC8E9BB125}"/>
              </c:ext>
            </c:extLst>
          </c:dPt>
          <c:dPt>
            <c:idx val="15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50A-455A-9F11-79AC8E9BB125}"/>
              </c:ext>
            </c:extLst>
          </c:dPt>
          <c:dPt>
            <c:idx val="17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50A-455A-9F11-79AC8E9BB125}"/>
              </c:ext>
            </c:extLst>
          </c:dPt>
          <c:trendline>
            <c:name>Tendencia lineal</c:name>
            <c:spPr>
              <a:ln w="34925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1"/>
            <c:trendlineLbl>
              <c:layout>
                <c:manualLayout>
                  <c:x val="3.4644788777495904E-2"/>
                  <c:y val="-0.20401843333939693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solidFill>
                        <a:schemeClr val="tx1"/>
                      </a:solidFill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NORTE!$B$43:$B$71</c:f>
              <c:numCache>
                <c:formatCode>General</c:formatCode>
                <c:ptCount val="2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</c:numCache>
            </c:numRef>
          </c:xVal>
          <c:yVal>
            <c:numRef>
              <c:f>NORTE!$E$43:$E$71</c:f>
              <c:numCache>
                <c:formatCode>0.00</c:formatCode>
                <c:ptCount val="29"/>
                <c:pt idx="0">
                  <c:v>41.03444806921231</c:v>
                </c:pt>
                <c:pt idx="1">
                  <c:v>45.973872928732597</c:v>
                </c:pt>
                <c:pt idx="2">
                  <c:v>48.408375608984954</c:v>
                </c:pt>
                <c:pt idx="3">
                  <c:v>57.150453415345709</c:v>
                </c:pt>
                <c:pt idx="4">
                  <c:v>54.95</c:v>
                </c:pt>
                <c:pt idx="5">
                  <c:v>54.31</c:v>
                </c:pt>
                <c:pt idx="6">
                  <c:v>56.71</c:v>
                </c:pt>
                <c:pt idx="7">
                  <c:v>56.56</c:v>
                </c:pt>
                <c:pt idx="8">
                  <c:v>58.9</c:v>
                </c:pt>
                <c:pt idx="9">
                  <c:v>56.25</c:v>
                </c:pt>
                <c:pt idx="10">
                  <c:v>56.94</c:v>
                </c:pt>
                <c:pt idx="11">
                  <c:v>58.977064905605481</c:v>
                </c:pt>
                <c:pt idx="12">
                  <c:v>69.925832935371119</c:v>
                </c:pt>
                <c:pt idx="13">
                  <c:v>71.952314891538876</c:v>
                </c:pt>
                <c:pt idx="14">
                  <c:v>69.46348896255229</c:v>
                </c:pt>
                <c:pt idx="15">
                  <c:v>73.931127338979849</c:v>
                </c:pt>
                <c:pt idx="16">
                  <c:v>64.92</c:v>
                </c:pt>
                <c:pt idx="17">
                  <c:v>67.599999999999994</c:v>
                </c:pt>
                <c:pt idx="18">
                  <c:v>72.900000000000006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50A-455A-9F11-79AC8E9BB125}"/>
            </c:ext>
          </c:extLst>
        </c:ser>
        <c:ser>
          <c:idx val="5"/>
          <c:order val="3"/>
          <c:tx>
            <c:v>Planeamiento 2018 - 2027</c:v>
          </c:tx>
          <c:spPr>
            <a:ln w="34925"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rgbClr val="9BBB59">
                    <a:lumMod val="75000"/>
                  </a:srgbClr>
                </a:solidFill>
              </a:ln>
            </c:spPr>
          </c:marker>
          <c:dPt>
            <c:idx val="0"/>
            <c:marker>
              <c:spPr>
                <a:solidFill>
                  <a:srgbClr val="F79646"/>
                </a:solidFill>
                <a:ln w="15875">
                  <a:solidFill>
                    <a:srgbClr val="9BBB59">
                      <a:lumMod val="75000"/>
                    </a:srgb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50A-455A-9F11-79AC8E9BB125}"/>
              </c:ext>
            </c:extLst>
          </c:dPt>
          <c:xVal>
            <c:numRef>
              <c:f>'NORTE (2)'!$B$154:$B$164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'NORTE (2)'!$O$154:$O$164</c:f>
              <c:numCache>
                <c:formatCode>0.00</c:formatCode>
                <c:ptCount val="11"/>
                <c:pt idx="0">
                  <c:v>72.900000000000006</c:v>
                </c:pt>
                <c:pt idx="1">
                  <c:v>79.961799999999997</c:v>
                </c:pt>
                <c:pt idx="2">
                  <c:v>81.47359999999999</c:v>
                </c:pt>
                <c:pt idx="3">
                  <c:v>82.985399999999984</c:v>
                </c:pt>
                <c:pt idx="4">
                  <c:v>84.497199999999978</c:v>
                </c:pt>
                <c:pt idx="5">
                  <c:v>86.008999999999972</c:v>
                </c:pt>
                <c:pt idx="6">
                  <c:v>87.520799999999966</c:v>
                </c:pt>
                <c:pt idx="7">
                  <c:v>89.03259999999996</c:v>
                </c:pt>
                <c:pt idx="8">
                  <c:v>90.544399999999953</c:v>
                </c:pt>
                <c:pt idx="9">
                  <c:v>92.056199999999947</c:v>
                </c:pt>
                <c:pt idx="10">
                  <c:v>93.567999999999941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50A-455A-9F11-79AC8E9BB125}"/>
            </c:ext>
          </c:extLst>
        </c:ser>
        <c:ser>
          <c:idx val="3"/>
          <c:order val="4"/>
          <c:tx>
            <c:v>Pinst_2017_2027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NORTE!$B$61:$B$71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NORTE!$L$61:$L$71</c:f>
              <c:numCache>
                <c:formatCode>0</c:formatCode>
                <c:ptCount val="1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50A-455A-9F11-79AC8E9BB125}"/>
            </c:ext>
          </c:extLst>
        </c:ser>
        <c:ser>
          <c:idx val="4"/>
          <c:order val="5"/>
          <c:tx>
            <c:v>Año de Saturación</c:v>
          </c:tx>
          <c:spPr>
            <a:ln w="19050">
              <a:solidFill>
                <a:srgbClr val="1F497D"/>
              </a:solidFill>
              <a:headEnd type="triangle"/>
              <a:tailEnd type="none"/>
            </a:ln>
          </c:spPr>
          <c:marker>
            <c:symbol val="none"/>
          </c:marker>
          <c:xVal>
            <c:numRef>
              <c:f>NORTE!$O$86:$O$91</c:f>
              <c:numCache>
                <c:formatCode>0</c:formatCode>
                <c:ptCount val="6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</c:numCache>
            </c:numRef>
          </c:xVal>
          <c:yVal>
            <c:numRef>
              <c:f>NORTE!$P$86:$P$91</c:f>
              <c:numCache>
                <c:formatCode>0</c:formatCode>
                <c:ptCount val="6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110</c:v>
                </c:pt>
                <c:pt idx="5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50A-455A-9F11-79AC8E9BB125}"/>
            </c:ext>
          </c:extLst>
        </c:ser>
        <c:ser>
          <c:idx val="6"/>
          <c:order val="6"/>
          <c:tx>
            <c:v>+2 Se</c:v>
          </c:tx>
          <c:spPr>
            <a:ln w="34925" cmpd="sng">
              <a:solidFill>
                <a:srgbClr val="F79646"/>
              </a:solidFill>
              <a:prstDash val="sysDot"/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rgbClr val="F79646"/>
                </a:solidFill>
              </a:ln>
            </c:spPr>
          </c:marker>
          <c:xVal>
            <c:numRef>
              <c:f>'NORTE (2)'!$B$154:$B$164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'NORTE (2)'!$P$154:$P$164</c:f>
              <c:numCache>
                <c:formatCode>0.00</c:formatCode>
                <c:ptCount val="11"/>
                <c:pt idx="0">
                  <c:v>72.900000000000006</c:v>
                </c:pt>
                <c:pt idx="1">
                  <c:v>88.261799999999994</c:v>
                </c:pt>
                <c:pt idx="2">
                  <c:v>89.773599999999988</c:v>
                </c:pt>
                <c:pt idx="3">
                  <c:v>91.285399999999981</c:v>
                </c:pt>
                <c:pt idx="4">
                  <c:v>92.797199999999975</c:v>
                </c:pt>
                <c:pt idx="5">
                  <c:v>94.308999999999969</c:v>
                </c:pt>
                <c:pt idx="6">
                  <c:v>95.820799999999963</c:v>
                </c:pt>
                <c:pt idx="7">
                  <c:v>97.332599999999957</c:v>
                </c:pt>
                <c:pt idx="8">
                  <c:v>98.844399999999951</c:v>
                </c:pt>
                <c:pt idx="9">
                  <c:v>100.35619999999994</c:v>
                </c:pt>
                <c:pt idx="10">
                  <c:v>101.86799999999994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50A-455A-9F11-79AC8E9BB125}"/>
            </c:ext>
          </c:extLst>
        </c:ser>
        <c:ser>
          <c:idx val="7"/>
          <c:order val="7"/>
          <c:tx>
            <c:v>Planeamiento 1.43 %</c:v>
          </c:tx>
          <c:marker>
            <c:symbol val="none"/>
          </c:marker>
          <c:xVal>
            <c:numRef>
              <c:f>'NORTE (2)'!$B$154:$B$164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'NORTE (2)'!$H$154:$H$164</c:f>
              <c:numCache>
                <c:formatCode>0.00</c:formatCode>
                <c:ptCount val="11"/>
                <c:pt idx="0">
                  <c:v>72.900000000000006</c:v>
                </c:pt>
                <c:pt idx="1">
                  <c:v>81.584699999999998</c:v>
                </c:pt>
                <c:pt idx="2">
                  <c:v>84.719399999999993</c:v>
                </c:pt>
                <c:pt idx="3">
                  <c:v>87.854099999999988</c:v>
                </c:pt>
                <c:pt idx="4">
                  <c:v>90.988799999999983</c:v>
                </c:pt>
                <c:pt idx="5">
                  <c:v>94.123499999999979</c:v>
                </c:pt>
                <c:pt idx="6">
                  <c:v>97.258199999999974</c:v>
                </c:pt>
                <c:pt idx="7">
                  <c:v>100.39289999999997</c:v>
                </c:pt>
                <c:pt idx="8">
                  <c:v>103.52759999999996</c:v>
                </c:pt>
                <c:pt idx="9">
                  <c:v>106.66229999999996</c:v>
                </c:pt>
                <c:pt idx="10">
                  <c:v>109.79699999999995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50A-455A-9F11-79AC8E9BB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92512"/>
        <c:axId val="497991728"/>
      </c:scatterChart>
      <c:valAx>
        <c:axId val="497992512"/>
        <c:scaling>
          <c:orientation val="minMax"/>
          <c:max val="2028"/>
          <c:min val="1997"/>
        </c:scaling>
        <c:delete val="0"/>
        <c:axPos val="b"/>
        <c:majorGridlines>
          <c:spPr>
            <a:ln w="6350" cmpd="sng">
              <a:solidFill>
                <a:sysClr val="window" lastClr="FFFFFF">
                  <a:lumMod val="75000"/>
                </a:sysClr>
              </a:solidFill>
              <a:prstDash val="dash"/>
            </a:ln>
          </c:spPr>
        </c:majorGridlines>
        <c:minorGridlines>
          <c:spPr>
            <a:ln w="6350">
              <a:solidFill>
                <a:sysClr val="window" lastClr="FFFFFF">
                  <a:lumMod val="85000"/>
                </a:sysClr>
              </a:solidFill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spPr>
          <a:ln cmpd="sng">
            <a:solidFill>
              <a:srgbClr val="9BBB59">
                <a:lumMod val="75000"/>
              </a:srgbClr>
            </a:solidFill>
          </a:ln>
        </c:spPr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97991728"/>
        <c:crosses val="autoZero"/>
        <c:crossBetween val="midCat"/>
        <c:majorUnit val="5"/>
        <c:minorUnit val="1"/>
      </c:valAx>
      <c:valAx>
        <c:axId val="497991728"/>
        <c:scaling>
          <c:orientation val="minMax"/>
          <c:max val="140"/>
          <c:min val="40"/>
        </c:scaling>
        <c:delete val="0"/>
        <c:axPos val="l"/>
        <c:majorGridlines>
          <c:spPr>
            <a:ln w="6350"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latin typeface="Arial" pitchFamily="34" charset="0"/>
                    <a:cs typeface="Arial" pitchFamily="34" charset="0"/>
                  </a:rPr>
                  <a:t>[MVA]</a:t>
                </a:r>
                <a:endParaRPr lang="es-ES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6.0060060060060094E-3"/>
              <c:y val="4.1913129913706923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97992512"/>
        <c:crosses val="autoZero"/>
        <c:crossBetween val="midCat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4.1354742617248023E-2"/>
          <c:y val="0.89228190535588991"/>
          <c:w val="0.94317317429978531"/>
          <c:h val="9.4516774512096877E-2"/>
        </c:manualLayout>
      </c:layout>
      <c:overlay val="0"/>
      <c:spPr>
        <a:solidFill>
          <a:sysClr val="window" lastClr="FFFFFF"/>
        </a:solidFill>
        <a:ln w="3175">
          <a:solidFill>
            <a:sysClr val="window" lastClr="FFFFFF">
              <a:lumMod val="75000"/>
            </a:sysClr>
          </a:solidFill>
        </a:ln>
      </c:spPr>
      <c:txPr>
        <a:bodyPr/>
        <a:lstStyle/>
        <a:p>
          <a:pPr>
            <a:defRPr sz="1000" b="1" baseline="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4803149606299213" l="0.70866141732283472" r="0.70866141732283472" t="0.74803149606299213" header="0.31496062992125984" footer="0.31496062992125984"/>
    <c:pageSetup paperSize="9" orientation="landscape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latin typeface="Arial" pitchFamily="34" charset="0"/>
                <a:cs typeface="Arial" pitchFamily="34" charset="0"/>
              </a:rPr>
              <a:t>ET </a:t>
            </a:r>
            <a:r>
              <a:rPr lang="en-US" sz="1800" b="1" i="0" baseline="0">
                <a:latin typeface="Arial" pitchFamily="34" charset="0"/>
                <a:cs typeface="Arial" pitchFamily="34" charset="0"/>
              </a:rPr>
              <a:t>Norte: </a:t>
            </a:r>
            <a:r>
              <a:rPr lang="en-US" sz="18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2027</a:t>
            </a:r>
            <a:endParaRPr lang="en-US" sz="1800" b="1" i="0" baseline="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8916568605543307"/>
          <c:y val="2.678887004076259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1029769927407716E-2"/>
          <c:y val="0.10585547350953825"/>
          <c:w val="0.91176789345025766"/>
          <c:h val="0.71798296917065418"/>
        </c:manualLayout>
      </c:layout>
      <c:scatterChart>
        <c:scatterStyle val="smoothMarker"/>
        <c:varyColors val="0"/>
        <c:ser>
          <c:idx val="0"/>
          <c:order val="0"/>
          <c:tx>
            <c:v>Potencia Instalada</c:v>
          </c:tx>
          <c:spPr>
            <a:ln w="28575" cap="sq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xVal>
            <c:numRef>
              <c:f>NORTE!$B$43:$B$71</c:f>
              <c:numCache>
                <c:formatCode>General</c:formatCode>
                <c:ptCount val="2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</c:numCache>
            </c:numRef>
          </c:xVal>
          <c:yVal>
            <c:numRef>
              <c:f>NORTE!$I$43:$I$71</c:f>
              <c:numCache>
                <c:formatCode>0</c:formatCode>
                <c:ptCount val="29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105</c:v>
                </c:pt>
                <c:pt idx="20">
                  <c:v>105</c:v>
                </c:pt>
                <c:pt idx="21">
                  <c:v>105</c:v>
                </c:pt>
                <c:pt idx="22">
                  <c:v>105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B-48BF-B9EB-2F5A13A55551}"/>
            </c:ext>
          </c:extLst>
        </c:ser>
        <c:ser>
          <c:idx val="1"/>
          <c:order val="1"/>
          <c:tx>
            <c:v>Precaución (N - 1) </c:v>
          </c:tx>
          <c:spPr>
            <a:ln w="28575" cap="sq">
              <a:solidFill>
                <a:srgbClr val="FFC000"/>
              </a:solidFill>
              <a:miter lim="800000"/>
            </a:ln>
          </c:spPr>
          <c:marker>
            <c:symbol val="none"/>
          </c:marker>
          <c:xVal>
            <c:numRef>
              <c:f>NORTE!$B$43:$B$71</c:f>
              <c:numCache>
                <c:formatCode>General</c:formatCode>
                <c:ptCount val="2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</c:numCache>
            </c:numRef>
          </c:xVal>
          <c:yVal>
            <c:numRef>
              <c:f>NORTE!$J$43:$J$71</c:f>
              <c:numCache>
                <c:formatCode>0</c:formatCode>
                <c:ptCount val="2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B-48BF-B9EB-2F5A13A55551}"/>
            </c:ext>
          </c:extLst>
        </c:ser>
        <c:ser>
          <c:idx val="2"/>
          <c:order val="2"/>
          <c:tx>
            <c:v>Serie Historica S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</c:spPr>
          </c:marker>
          <c:dPt>
            <c:idx val="12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DDB-48BF-B9EB-2F5A13A55551}"/>
              </c:ext>
            </c:extLst>
          </c:dPt>
          <c:dPt>
            <c:idx val="13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DDB-48BF-B9EB-2F5A13A55551}"/>
              </c:ext>
            </c:extLst>
          </c:dPt>
          <c:dPt>
            <c:idx val="14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DDB-48BF-B9EB-2F5A13A55551}"/>
              </c:ext>
            </c:extLst>
          </c:dPt>
          <c:dPt>
            <c:idx val="15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DDB-48BF-B9EB-2F5A13A55551}"/>
              </c:ext>
            </c:extLst>
          </c:dPt>
          <c:dPt>
            <c:idx val="17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DDB-48BF-B9EB-2F5A13A55551}"/>
              </c:ext>
            </c:extLst>
          </c:dPt>
          <c:trendline>
            <c:name>Tendencia Lineal</c:name>
            <c:spPr>
              <a:ln w="34925" cmpd="sng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0.32006625893349533"/>
                  <c:y val="-0.3523249941298856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es-AR"/>
                </a:p>
              </c:txPr>
            </c:trendlineLbl>
          </c:trendline>
          <c:xVal>
            <c:numRef>
              <c:f>NORTE!$B$43:$B$61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xVal>
          <c:yVal>
            <c:numRef>
              <c:f>NORTE!$E$43:$E$61</c:f>
              <c:numCache>
                <c:formatCode>0.00</c:formatCode>
                <c:ptCount val="19"/>
                <c:pt idx="0">
                  <c:v>41.03444806921231</c:v>
                </c:pt>
                <c:pt idx="1">
                  <c:v>45.973872928732597</c:v>
                </c:pt>
                <c:pt idx="2">
                  <c:v>48.408375608984954</c:v>
                </c:pt>
                <c:pt idx="3">
                  <c:v>57.150453415345709</c:v>
                </c:pt>
                <c:pt idx="4">
                  <c:v>54.95</c:v>
                </c:pt>
                <c:pt idx="5">
                  <c:v>54.31</c:v>
                </c:pt>
                <c:pt idx="6">
                  <c:v>56.71</c:v>
                </c:pt>
                <c:pt idx="7">
                  <c:v>56.56</c:v>
                </c:pt>
                <c:pt idx="8">
                  <c:v>58.9</c:v>
                </c:pt>
                <c:pt idx="9">
                  <c:v>56.25</c:v>
                </c:pt>
                <c:pt idx="10">
                  <c:v>56.94</c:v>
                </c:pt>
                <c:pt idx="11">
                  <c:v>58.977064905605481</c:v>
                </c:pt>
                <c:pt idx="12">
                  <c:v>69.925832935371119</c:v>
                </c:pt>
                <c:pt idx="13">
                  <c:v>71.952314891538876</c:v>
                </c:pt>
                <c:pt idx="14">
                  <c:v>69.46348896255229</c:v>
                </c:pt>
                <c:pt idx="15">
                  <c:v>73.931127338979849</c:v>
                </c:pt>
                <c:pt idx="16">
                  <c:v>64.92</c:v>
                </c:pt>
                <c:pt idx="17">
                  <c:v>67.599999999999994</c:v>
                </c:pt>
                <c:pt idx="18">
                  <c:v>72.900000000000006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DDB-48BF-B9EB-2F5A13A55551}"/>
            </c:ext>
          </c:extLst>
        </c:ser>
        <c:ser>
          <c:idx val="5"/>
          <c:order val="3"/>
          <c:tx>
            <c:v>Planeamiento 2018 - 2027</c:v>
          </c:tx>
          <c:spPr>
            <a:ln w="34925"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rgbClr val="9BBB59">
                    <a:lumMod val="75000"/>
                  </a:srgbClr>
                </a:solidFill>
              </a:ln>
            </c:spPr>
          </c:marker>
          <c:dPt>
            <c:idx val="0"/>
            <c:marker>
              <c:spPr>
                <a:solidFill>
                  <a:srgbClr val="F79646"/>
                </a:solidFill>
                <a:ln w="15875">
                  <a:solidFill>
                    <a:srgbClr val="9BBB59">
                      <a:lumMod val="75000"/>
                    </a:srgb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DDB-48BF-B9EB-2F5A13A55551}"/>
              </c:ext>
            </c:extLst>
          </c:dPt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8.3000000000000007</c:v>
                </c:pt>
              </c:numLit>
            </c:plus>
            <c:minus>
              <c:numLit>
                <c:formatCode>General</c:formatCode>
                <c:ptCount val="1"/>
                <c:pt idx="0">
                  <c:v>8.3000000000000007</c:v>
                </c:pt>
              </c:numLit>
            </c:minus>
            <c:spPr>
              <a:ln>
                <a:solidFill>
                  <a:sysClr val="windowText" lastClr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>
                <a:noFill/>
              </a:ln>
            </c:spPr>
          </c:errBars>
          <c:xVal>
            <c:numRef>
              <c:f>'NORTE (2)'!$B$154:$B$164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'NORTE (2)'!$O$154:$O$164</c:f>
              <c:numCache>
                <c:formatCode>0.00</c:formatCode>
                <c:ptCount val="11"/>
                <c:pt idx="0">
                  <c:v>72.900000000000006</c:v>
                </c:pt>
                <c:pt idx="1">
                  <c:v>79.961799999999997</c:v>
                </c:pt>
                <c:pt idx="2">
                  <c:v>81.47359999999999</c:v>
                </c:pt>
                <c:pt idx="3">
                  <c:v>82.985399999999984</c:v>
                </c:pt>
                <c:pt idx="4">
                  <c:v>84.497199999999978</c:v>
                </c:pt>
                <c:pt idx="5">
                  <c:v>86.008999999999972</c:v>
                </c:pt>
                <c:pt idx="6">
                  <c:v>87.520799999999966</c:v>
                </c:pt>
                <c:pt idx="7">
                  <c:v>89.03259999999996</c:v>
                </c:pt>
                <c:pt idx="8">
                  <c:v>90.544399999999953</c:v>
                </c:pt>
                <c:pt idx="9">
                  <c:v>92.056199999999947</c:v>
                </c:pt>
                <c:pt idx="10">
                  <c:v>93.567999999999941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DDB-48BF-B9EB-2F5A13A55551}"/>
            </c:ext>
          </c:extLst>
        </c:ser>
        <c:ser>
          <c:idx val="4"/>
          <c:order val="4"/>
          <c:tx>
            <c:v>Año de Saturación</c:v>
          </c:tx>
          <c:spPr>
            <a:ln w="19050">
              <a:solidFill>
                <a:srgbClr val="1F497D"/>
              </a:solidFill>
              <a:headEnd type="triangle"/>
              <a:tailEnd type="none"/>
            </a:ln>
          </c:spPr>
          <c:marker>
            <c:symbol val="none"/>
          </c:marker>
          <c:xVal>
            <c:numRef>
              <c:f>NORTE!$O$86:$O$91</c:f>
              <c:numCache>
                <c:formatCode>0</c:formatCode>
                <c:ptCount val="6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</c:numCache>
            </c:numRef>
          </c:xVal>
          <c:yVal>
            <c:numRef>
              <c:f>NORTE!$P$86:$P$91</c:f>
              <c:numCache>
                <c:formatCode>0</c:formatCode>
                <c:ptCount val="6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110</c:v>
                </c:pt>
                <c:pt idx="5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DDB-48BF-B9EB-2F5A13A55551}"/>
            </c:ext>
          </c:extLst>
        </c:ser>
        <c:ser>
          <c:idx val="3"/>
          <c:order val="5"/>
          <c:tx>
            <c:v>Pinst_2021_2027</c:v>
          </c:tx>
          <c:spPr>
            <a:ln w="285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'NORTE (2)'!$B$158:$B$164</c:f>
              <c:numCache>
                <c:formatCode>General</c:formatCode>
                <c:ptCount val="7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</c:numCache>
            </c:numRef>
          </c:xVal>
          <c:yVal>
            <c:numRef>
              <c:f>'NORTE (2)'!$S$158:$S$164</c:f>
              <c:numCache>
                <c:formatCode>0</c:formatCode>
                <c:ptCount val="7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F6C-4EF9-85C3-3D44CE7E886C}"/>
            </c:ext>
          </c:extLst>
        </c:ser>
        <c:ser>
          <c:idx val="6"/>
          <c:order val="6"/>
          <c:tx>
            <c:v>Pinst_2017_2027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NORTE!$B$61:$B$71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NORTE!$L$61:$L$71</c:f>
              <c:numCache>
                <c:formatCode>0</c:formatCode>
                <c:ptCount val="1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F6C-4EF9-85C3-3D44CE7E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94472"/>
        <c:axId val="497993296"/>
      </c:scatterChart>
      <c:valAx>
        <c:axId val="497994472"/>
        <c:scaling>
          <c:orientation val="minMax"/>
          <c:max val="2028"/>
          <c:min val="1997"/>
        </c:scaling>
        <c:delete val="0"/>
        <c:axPos val="b"/>
        <c:majorGridlines>
          <c:spPr>
            <a:ln w="6350" cmpd="sng">
              <a:solidFill>
                <a:sysClr val="window" lastClr="FFFFFF">
                  <a:lumMod val="75000"/>
                </a:sysClr>
              </a:solidFill>
              <a:prstDash val="dash"/>
            </a:ln>
          </c:spPr>
        </c:majorGridlines>
        <c:minorGridlines>
          <c:spPr>
            <a:ln w="6350">
              <a:solidFill>
                <a:sysClr val="window" lastClr="FFFFFF">
                  <a:lumMod val="85000"/>
                </a:sysClr>
              </a:solidFill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spPr>
          <a:ln cmpd="sng">
            <a:solidFill>
              <a:srgbClr val="9BBB59">
                <a:lumMod val="75000"/>
              </a:srgbClr>
            </a:solidFill>
          </a:ln>
        </c:spPr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97993296"/>
        <c:crosses val="autoZero"/>
        <c:crossBetween val="midCat"/>
        <c:majorUnit val="5"/>
        <c:minorUnit val="1"/>
      </c:valAx>
      <c:valAx>
        <c:axId val="497993296"/>
        <c:scaling>
          <c:orientation val="minMax"/>
          <c:max val="140"/>
          <c:min val="40"/>
        </c:scaling>
        <c:delete val="0"/>
        <c:axPos val="l"/>
        <c:majorGridlines>
          <c:spPr>
            <a:ln w="6350"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latin typeface="Arial" pitchFamily="34" charset="0"/>
                    <a:cs typeface="Arial" pitchFamily="34" charset="0"/>
                  </a:rPr>
                  <a:t>[MVA]</a:t>
                </a:r>
                <a:endParaRPr lang="es-ES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6.0060060060060094E-3"/>
              <c:y val="4.1913129913706923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97994472"/>
        <c:crosses val="autoZero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1.188924488848081E-2"/>
          <c:y val="0.88740772673731516"/>
          <c:w val="0.98328544715862265"/>
          <c:h val="8.7930510791382047E-2"/>
        </c:manualLayout>
      </c:layout>
      <c:overlay val="0"/>
      <c:spPr>
        <a:solidFill>
          <a:sysClr val="window" lastClr="FFFFFF"/>
        </a:solidFill>
        <a:ln w="3175">
          <a:solidFill>
            <a:sysClr val="window" lastClr="FFFFFF">
              <a:lumMod val="75000"/>
            </a:sysClr>
          </a:solidFill>
        </a:ln>
      </c:spPr>
      <c:txPr>
        <a:bodyPr/>
        <a:lstStyle/>
        <a:p>
          <a:pPr>
            <a:defRPr sz="1000" b="1" baseline="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4803149606299213" l="0.70866141732283472" r="0.70866141732283472" t="0.74803149606299213" header="0.31496062992125984" footer="0.31496062992125984"/>
    <c:pageSetup paperSize="9" orientation="landscape" horizontalDpi="-3" verticalDpi="-3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latin typeface="Arial" pitchFamily="34" charset="0"/>
                <a:cs typeface="Arial" pitchFamily="34" charset="0"/>
              </a:rPr>
              <a:t>ET </a:t>
            </a:r>
            <a:r>
              <a:rPr lang="en-US" sz="1800" b="1" i="0" baseline="0">
                <a:latin typeface="Arial" pitchFamily="34" charset="0"/>
                <a:cs typeface="Arial" pitchFamily="34" charset="0"/>
              </a:rPr>
              <a:t>Norte: </a:t>
            </a:r>
            <a:r>
              <a:rPr lang="en-US" sz="18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2027</a:t>
            </a:r>
            <a:endParaRPr lang="en-US" sz="1800" b="1" i="0" baseline="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8916568605543307"/>
          <c:y val="2.678887004076259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1029769927407716E-2"/>
          <c:y val="0.10585547350953825"/>
          <c:w val="0.91176789345025766"/>
          <c:h val="0.71798296917065418"/>
        </c:manualLayout>
      </c:layout>
      <c:scatterChart>
        <c:scatterStyle val="smoothMarker"/>
        <c:varyColors val="0"/>
        <c:ser>
          <c:idx val="0"/>
          <c:order val="0"/>
          <c:tx>
            <c:v>Potencia Instalada</c:v>
          </c:tx>
          <c:spPr>
            <a:ln w="28575" cap="sq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xVal>
            <c:numRef>
              <c:f>NORTE!$B$43:$B$71</c:f>
              <c:numCache>
                <c:formatCode>General</c:formatCode>
                <c:ptCount val="2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</c:numCache>
            </c:numRef>
          </c:xVal>
          <c:yVal>
            <c:numRef>
              <c:f>NORTE!$I$43:$I$71</c:f>
              <c:numCache>
                <c:formatCode>0</c:formatCode>
                <c:ptCount val="29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105</c:v>
                </c:pt>
                <c:pt idx="20">
                  <c:v>105</c:v>
                </c:pt>
                <c:pt idx="21">
                  <c:v>105</c:v>
                </c:pt>
                <c:pt idx="22">
                  <c:v>105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5-4710-91B7-B216A345F801}"/>
            </c:ext>
          </c:extLst>
        </c:ser>
        <c:ser>
          <c:idx val="1"/>
          <c:order val="1"/>
          <c:tx>
            <c:v>Precaución (N - 1) </c:v>
          </c:tx>
          <c:spPr>
            <a:ln w="28575" cap="sq">
              <a:solidFill>
                <a:srgbClr val="FFC000"/>
              </a:solidFill>
              <a:miter lim="800000"/>
            </a:ln>
          </c:spPr>
          <c:marker>
            <c:symbol val="none"/>
          </c:marker>
          <c:xVal>
            <c:numRef>
              <c:f>NORTE!$B$43:$B$71</c:f>
              <c:numCache>
                <c:formatCode>General</c:formatCode>
                <c:ptCount val="2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</c:numCache>
            </c:numRef>
          </c:xVal>
          <c:yVal>
            <c:numRef>
              <c:f>NORTE!$J$43:$J$71</c:f>
              <c:numCache>
                <c:formatCode>0</c:formatCode>
                <c:ptCount val="2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5-4710-91B7-B216A345F801}"/>
            </c:ext>
          </c:extLst>
        </c:ser>
        <c:ser>
          <c:idx val="2"/>
          <c:order val="2"/>
          <c:tx>
            <c:v>Potencia Aparente S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</c:spPr>
          </c:marker>
          <c:dPt>
            <c:idx val="12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E65-4710-91B7-B216A345F801}"/>
              </c:ext>
            </c:extLst>
          </c:dPt>
          <c:dPt>
            <c:idx val="13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E65-4710-91B7-B216A345F801}"/>
              </c:ext>
            </c:extLst>
          </c:dPt>
          <c:dPt>
            <c:idx val="14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E65-4710-91B7-B216A345F801}"/>
              </c:ext>
            </c:extLst>
          </c:dPt>
          <c:dPt>
            <c:idx val="15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E65-4710-91B7-B216A345F801}"/>
              </c:ext>
            </c:extLst>
          </c:dPt>
          <c:dPt>
            <c:idx val="17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E65-4710-91B7-B216A345F801}"/>
              </c:ext>
            </c:extLst>
          </c:dPt>
          <c:trendline>
            <c:name>Tendencia lineal</c:name>
            <c:spPr>
              <a:ln w="34925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5.7783632745693397E-2"/>
                  <c:y val="-2.5800611557218713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solidFill>
                        <a:schemeClr val="tx1"/>
                      </a:solidFill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NORTE!$B$43:$B$71</c:f>
              <c:numCache>
                <c:formatCode>General</c:formatCode>
                <c:ptCount val="2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</c:numCache>
            </c:numRef>
          </c:xVal>
          <c:yVal>
            <c:numRef>
              <c:f>NORTE!$E$43:$E$71</c:f>
              <c:numCache>
                <c:formatCode>0.00</c:formatCode>
                <c:ptCount val="29"/>
                <c:pt idx="0">
                  <c:v>41.03444806921231</c:v>
                </c:pt>
                <c:pt idx="1">
                  <c:v>45.973872928732597</c:v>
                </c:pt>
                <c:pt idx="2">
                  <c:v>48.408375608984954</c:v>
                </c:pt>
                <c:pt idx="3">
                  <c:v>57.150453415345709</c:v>
                </c:pt>
                <c:pt idx="4">
                  <c:v>54.95</c:v>
                </c:pt>
                <c:pt idx="5">
                  <c:v>54.31</c:v>
                </c:pt>
                <c:pt idx="6">
                  <c:v>56.71</c:v>
                </c:pt>
                <c:pt idx="7">
                  <c:v>56.56</c:v>
                </c:pt>
                <c:pt idx="8">
                  <c:v>58.9</c:v>
                </c:pt>
                <c:pt idx="9">
                  <c:v>56.25</c:v>
                </c:pt>
                <c:pt idx="10">
                  <c:v>56.94</c:v>
                </c:pt>
                <c:pt idx="11">
                  <c:v>58.977064905605481</c:v>
                </c:pt>
                <c:pt idx="12">
                  <c:v>69.925832935371119</c:v>
                </c:pt>
                <c:pt idx="13">
                  <c:v>71.952314891538876</c:v>
                </c:pt>
                <c:pt idx="14">
                  <c:v>69.46348896255229</c:v>
                </c:pt>
                <c:pt idx="15">
                  <c:v>73.931127338979849</c:v>
                </c:pt>
                <c:pt idx="16">
                  <c:v>64.92</c:v>
                </c:pt>
                <c:pt idx="17">
                  <c:v>67.599999999999994</c:v>
                </c:pt>
                <c:pt idx="18">
                  <c:v>72.900000000000006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65-4710-91B7-B216A345F801}"/>
            </c:ext>
          </c:extLst>
        </c:ser>
        <c:ser>
          <c:idx val="3"/>
          <c:order val="3"/>
          <c:tx>
            <c:v>Pinst_2017_2027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NORTE!$B$61:$B$71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NORTE!$L$61:$L$71</c:f>
              <c:numCache>
                <c:formatCode>0</c:formatCode>
                <c:ptCount val="1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65-4710-91B7-B216A345F801}"/>
            </c:ext>
          </c:extLst>
        </c:ser>
        <c:ser>
          <c:idx val="4"/>
          <c:order val="4"/>
          <c:tx>
            <c:v>Año de Saturación</c:v>
          </c:tx>
          <c:spPr>
            <a:ln w="19050">
              <a:solidFill>
                <a:srgbClr val="1F497D"/>
              </a:solidFill>
              <a:headEnd type="triangle"/>
              <a:tailEnd type="none"/>
            </a:ln>
          </c:spPr>
          <c:marker>
            <c:symbol val="none"/>
          </c:marker>
          <c:xVal>
            <c:numRef>
              <c:f>NORTE!$O$86:$O$91</c:f>
              <c:numCache>
                <c:formatCode>0</c:formatCode>
                <c:ptCount val="6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</c:numCache>
            </c:numRef>
          </c:xVal>
          <c:yVal>
            <c:numRef>
              <c:f>NORTE!$P$86:$P$91</c:f>
              <c:numCache>
                <c:formatCode>0</c:formatCode>
                <c:ptCount val="6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110</c:v>
                </c:pt>
                <c:pt idx="5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65-4710-91B7-B216A345F801}"/>
            </c:ext>
          </c:extLst>
        </c:ser>
        <c:ser>
          <c:idx val="6"/>
          <c:order val="5"/>
          <c:tx>
            <c:v>+2 Se</c:v>
          </c:tx>
          <c:spPr>
            <a:ln w="34925" cmpd="sng">
              <a:solidFill>
                <a:srgbClr val="9BBB59">
                  <a:lumMod val="75000"/>
                </a:srgbClr>
              </a:solidFill>
              <a:prstDash val="solid"/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rgbClr val="9BBB59">
                    <a:lumMod val="75000"/>
                  </a:srgbClr>
                </a:solidFill>
              </a:ln>
            </c:spPr>
          </c:marker>
          <c:xVal>
            <c:numRef>
              <c:f>'NORTE (2)'!$B$154:$B$164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'NORTE (2)'!$P$154:$P$164</c:f>
              <c:numCache>
                <c:formatCode>0.00</c:formatCode>
                <c:ptCount val="11"/>
                <c:pt idx="0">
                  <c:v>72.900000000000006</c:v>
                </c:pt>
                <c:pt idx="1">
                  <c:v>88.261799999999994</c:v>
                </c:pt>
                <c:pt idx="2">
                  <c:v>89.773599999999988</c:v>
                </c:pt>
                <c:pt idx="3">
                  <c:v>91.285399999999981</c:v>
                </c:pt>
                <c:pt idx="4">
                  <c:v>92.797199999999975</c:v>
                </c:pt>
                <c:pt idx="5">
                  <c:v>94.308999999999969</c:v>
                </c:pt>
                <c:pt idx="6">
                  <c:v>95.820799999999963</c:v>
                </c:pt>
                <c:pt idx="7">
                  <c:v>97.332599999999957</c:v>
                </c:pt>
                <c:pt idx="8">
                  <c:v>98.844399999999951</c:v>
                </c:pt>
                <c:pt idx="9">
                  <c:v>100.35619999999994</c:v>
                </c:pt>
                <c:pt idx="10">
                  <c:v>101.86799999999994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E65-4710-91B7-B216A345F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90160"/>
        <c:axId val="442773024"/>
      </c:scatterChart>
      <c:valAx>
        <c:axId val="497990160"/>
        <c:scaling>
          <c:orientation val="minMax"/>
          <c:max val="2028"/>
          <c:min val="1997"/>
        </c:scaling>
        <c:delete val="0"/>
        <c:axPos val="b"/>
        <c:majorGridlines>
          <c:spPr>
            <a:ln w="6350" cmpd="sng">
              <a:solidFill>
                <a:sysClr val="window" lastClr="FFFFFF">
                  <a:lumMod val="75000"/>
                </a:sysClr>
              </a:solidFill>
              <a:prstDash val="dash"/>
            </a:ln>
          </c:spPr>
        </c:majorGridlines>
        <c:minorGridlines>
          <c:spPr>
            <a:ln w="6350">
              <a:solidFill>
                <a:sysClr val="window" lastClr="FFFFFF">
                  <a:lumMod val="85000"/>
                </a:sysClr>
              </a:solidFill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spPr>
          <a:ln cmpd="sng">
            <a:solidFill>
              <a:srgbClr val="9BBB59">
                <a:lumMod val="75000"/>
              </a:srgbClr>
            </a:solidFill>
          </a:ln>
        </c:spPr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42773024"/>
        <c:crosses val="autoZero"/>
        <c:crossBetween val="midCat"/>
        <c:majorUnit val="5"/>
        <c:minorUnit val="1"/>
      </c:valAx>
      <c:valAx>
        <c:axId val="442773024"/>
        <c:scaling>
          <c:orientation val="minMax"/>
          <c:max val="140"/>
          <c:min val="40"/>
        </c:scaling>
        <c:delete val="0"/>
        <c:axPos val="l"/>
        <c:majorGridlines>
          <c:spPr>
            <a:ln w="6350"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latin typeface="Arial" pitchFamily="34" charset="0"/>
                    <a:cs typeface="Arial" pitchFamily="34" charset="0"/>
                  </a:rPr>
                  <a:t>[MVA]</a:t>
                </a:r>
                <a:endParaRPr lang="es-ES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6.0060060060060094E-3"/>
              <c:y val="4.1913129913706923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97990160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4.1354742617248023E-2"/>
          <c:y val="0.89228190535588991"/>
          <c:w val="0.94317317429978531"/>
          <c:h val="9.4516774512096877E-2"/>
        </c:manualLayout>
      </c:layout>
      <c:overlay val="0"/>
      <c:spPr>
        <a:solidFill>
          <a:sysClr val="window" lastClr="FFFFFF"/>
        </a:solidFill>
        <a:ln w="3175">
          <a:solidFill>
            <a:sysClr val="window" lastClr="FFFFFF">
              <a:lumMod val="75000"/>
            </a:sysClr>
          </a:solidFill>
        </a:ln>
      </c:spPr>
      <c:txPr>
        <a:bodyPr/>
        <a:lstStyle/>
        <a:p>
          <a:pPr>
            <a:defRPr sz="1000" b="1" baseline="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4803149606299213" l="0.70866141732283472" r="0.70866141732283472" t="0.74803149606299213" header="0.31496062992125984" footer="0.31496062992125984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latin typeface="Arial" pitchFamily="34" charset="0"/>
                <a:cs typeface="Arial" pitchFamily="34" charset="0"/>
              </a:rPr>
              <a:t>ET </a:t>
            </a:r>
            <a:r>
              <a:rPr lang="en-US" sz="1800" b="1" i="0" baseline="0">
                <a:latin typeface="Arial" pitchFamily="34" charset="0"/>
                <a:cs typeface="Arial" pitchFamily="34" charset="0"/>
              </a:rPr>
              <a:t>Norte: </a:t>
            </a:r>
            <a:r>
              <a:rPr lang="en-US" sz="18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 Histórica y Pronósticos al 2027</a:t>
            </a:r>
            <a:endParaRPr lang="en-US" sz="1800" b="1" i="0" baseline="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8916568605543307"/>
          <c:y val="2.678887004076259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1029769927407716E-2"/>
          <c:y val="0.10585547350953825"/>
          <c:w val="0.91176789345025766"/>
          <c:h val="0.71798296917065418"/>
        </c:manualLayout>
      </c:layout>
      <c:scatterChart>
        <c:scatterStyle val="smoothMarker"/>
        <c:varyColors val="0"/>
        <c:ser>
          <c:idx val="0"/>
          <c:order val="0"/>
          <c:tx>
            <c:v>Potencia Instalada</c:v>
          </c:tx>
          <c:spPr>
            <a:ln w="28575" cap="sq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xVal>
            <c:numRef>
              <c:f>NORTE!$B$43:$B$71</c:f>
              <c:numCache>
                <c:formatCode>General</c:formatCode>
                <c:ptCount val="2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</c:numCache>
            </c:numRef>
          </c:xVal>
          <c:yVal>
            <c:numRef>
              <c:f>NORTE!$I$43:$I$71</c:f>
              <c:numCache>
                <c:formatCode>0</c:formatCode>
                <c:ptCount val="29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105</c:v>
                </c:pt>
                <c:pt idx="20">
                  <c:v>105</c:v>
                </c:pt>
                <c:pt idx="21">
                  <c:v>105</c:v>
                </c:pt>
                <c:pt idx="22">
                  <c:v>105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3-4BE4-B16F-4394F9C981FA}"/>
            </c:ext>
          </c:extLst>
        </c:ser>
        <c:ser>
          <c:idx val="1"/>
          <c:order val="1"/>
          <c:tx>
            <c:v>Precaución (N - 1) </c:v>
          </c:tx>
          <c:spPr>
            <a:ln w="28575" cap="sq">
              <a:solidFill>
                <a:srgbClr val="FFC000"/>
              </a:solidFill>
              <a:miter lim="800000"/>
            </a:ln>
          </c:spPr>
          <c:marker>
            <c:symbol val="none"/>
          </c:marker>
          <c:xVal>
            <c:numRef>
              <c:f>NORTE!$B$43:$B$71</c:f>
              <c:numCache>
                <c:formatCode>General</c:formatCode>
                <c:ptCount val="2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</c:numCache>
            </c:numRef>
          </c:xVal>
          <c:yVal>
            <c:numRef>
              <c:f>NORTE!$J$43:$J$71</c:f>
              <c:numCache>
                <c:formatCode>0</c:formatCode>
                <c:ptCount val="2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3-4BE4-B16F-4394F9C981FA}"/>
            </c:ext>
          </c:extLst>
        </c:ser>
        <c:ser>
          <c:idx val="2"/>
          <c:order val="2"/>
          <c:tx>
            <c:v>Potencia Aparente S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</c:spPr>
          </c:marker>
          <c:dPt>
            <c:idx val="12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6D3-4BE4-B16F-4394F9C981FA}"/>
              </c:ext>
            </c:extLst>
          </c:dPt>
          <c:dPt>
            <c:idx val="13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6D3-4BE4-B16F-4394F9C981FA}"/>
              </c:ext>
            </c:extLst>
          </c:dPt>
          <c:dPt>
            <c:idx val="14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6D3-4BE4-B16F-4394F9C981FA}"/>
              </c:ext>
            </c:extLst>
          </c:dPt>
          <c:dPt>
            <c:idx val="15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6D3-4BE4-B16F-4394F9C981FA}"/>
              </c:ext>
            </c:extLst>
          </c:dPt>
          <c:dPt>
            <c:idx val="17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6D3-4BE4-B16F-4394F9C981FA}"/>
              </c:ext>
            </c:extLst>
          </c:dPt>
          <c:trendline>
            <c:name>Tendencia lineal</c:name>
            <c:spPr>
              <a:ln w="34925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3.4764383612912925E-2"/>
                  <c:y val="-0.13361139263532656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solidFill>
                        <a:schemeClr val="tx1"/>
                      </a:solidFill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NORTE!$B$43:$B$71</c:f>
              <c:numCache>
                <c:formatCode>General</c:formatCode>
                <c:ptCount val="2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</c:numCache>
            </c:numRef>
          </c:xVal>
          <c:yVal>
            <c:numRef>
              <c:f>NORTE!$E$43:$E$71</c:f>
              <c:numCache>
                <c:formatCode>0.00</c:formatCode>
                <c:ptCount val="29"/>
                <c:pt idx="0">
                  <c:v>41.03444806921231</c:v>
                </c:pt>
                <c:pt idx="1">
                  <c:v>45.973872928732597</c:v>
                </c:pt>
                <c:pt idx="2">
                  <c:v>48.408375608984954</c:v>
                </c:pt>
                <c:pt idx="3">
                  <c:v>57.150453415345709</c:v>
                </c:pt>
                <c:pt idx="4">
                  <c:v>54.95</c:v>
                </c:pt>
                <c:pt idx="5">
                  <c:v>54.31</c:v>
                </c:pt>
                <c:pt idx="6">
                  <c:v>56.71</c:v>
                </c:pt>
                <c:pt idx="7">
                  <c:v>56.56</c:v>
                </c:pt>
                <c:pt idx="8">
                  <c:v>58.9</c:v>
                </c:pt>
                <c:pt idx="9">
                  <c:v>56.25</c:v>
                </c:pt>
                <c:pt idx="10">
                  <c:v>56.94</c:v>
                </c:pt>
                <c:pt idx="11">
                  <c:v>58.977064905605481</c:v>
                </c:pt>
                <c:pt idx="12">
                  <c:v>69.925832935371119</c:v>
                </c:pt>
                <c:pt idx="13">
                  <c:v>71.952314891538876</c:v>
                </c:pt>
                <c:pt idx="14">
                  <c:v>69.46348896255229</c:v>
                </c:pt>
                <c:pt idx="15">
                  <c:v>73.931127338979849</c:v>
                </c:pt>
                <c:pt idx="16">
                  <c:v>64.92</c:v>
                </c:pt>
                <c:pt idx="17">
                  <c:v>67.599999999999994</c:v>
                </c:pt>
                <c:pt idx="18">
                  <c:v>72.900000000000006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D3-4BE4-B16F-4394F9C981FA}"/>
            </c:ext>
          </c:extLst>
        </c:ser>
        <c:ser>
          <c:idx val="5"/>
          <c:order val="3"/>
          <c:tx>
            <c:v>Planeamiento 2018 - 2027</c:v>
          </c:tx>
          <c:spPr>
            <a:ln w="34925"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rgbClr val="9BBB59">
                    <a:lumMod val="75000"/>
                  </a:srgbClr>
                </a:solidFill>
              </a:ln>
            </c:spPr>
          </c:marker>
          <c:dPt>
            <c:idx val="0"/>
            <c:marker>
              <c:spPr>
                <a:solidFill>
                  <a:srgbClr val="F79646"/>
                </a:solidFill>
                <a:ln w="15875">
                  <a:solidFill>
                    <a:srgbClr val="9BBB59">
                      <a:lumMod val="75000"/>
                    </a:srgb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6D3-4BE4-B16F-4394F9C981FA}"/>
              </c:ext>
            </c:extLst>
          </c:dPt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8.3000000000000007</c:v>
                </c:pt>
              </c:numLit>
            </c:plus>
            <c:minus>
              <c:numLit>
                <c:formatCode>General</c:formatCode>
                <c:ptCount val="1"/>
                <c:pt idx="0">
                  <c:v>8.3000000000000007</c:v>
                </c:pt>
              </c:numLit>
            </c:minus>
            <c:spPr>
              <a:ln>
                <a:solidFill>
                  <a:sysClr val="windowText" lastClr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>
                <a:noFill/>
              </a:ln>
            </c:spPr>
          </c:errBars>
          <c:xVal>
            <c:numRef>
              <c:f>'NORTE (2)'!$B$154:$B$164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'NORTE (2)'!$O$154:$O$164</c:f>
              <c:numCache>
                <c:formatCode>0.00</c:formatCode>
                <c:ptCount val="11"/>
                <c:pt idx="0">
                  <c:v>72.900000000000006</c:v>
                </c:pt>
                <c:pt idx="1">
                  <c:v>79.961799999999997</c:v>
                </c:pt>
                <c:pt idx="2">
                  <c:v>81.47359999999999</c:v>
                </c:pt>
                <c:pt idx="3">
                  <c:v>82.985399999999984</c:v>
                </c:pt>
                <c:pt idx="4">
                  <c:v>84.497199999999978</c:v>
                </c:pt>
                <c:pt idx="5">
                  <c:v>86.008999999999972</c:v>
                </c:pt>
                <c:pt idx="6">
                  <c:v>87.520799999999966</c:v>
                </c:pt>
                <c:pt idx="7">
                  <c:v>89.03259999999996</c:v>
                </c:pt>
                <c:pt idx="8">
                  <c:v>90.544399999999953</c:v>
                </c:pt>
                <c:pt idx="9">
                  <c:v>92.056199999999947</c:v>
                </c:pt>
                <c:pt idx="10">
                  <c:v>93.567999999999941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6D3-4BE4-B16F-4394F9C981FA}"/>
            </c:ext>
          </c:extLst>
        </c:ser>
        <c:ser>
          <c:idx val="3"/>
          <c:order val="4"/>
          <c:tx>
            <c:v>Pinst_2017_2027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NORTE!$B$61:$B$71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NORTE!$L$61:$L$71</c:f>
              <c:numCache>
                <c:formatCode>0</c:formatCode>
                <c:ptCount val="1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6D3-4BE4-B16F-4394F9C981FA}"/>
            </c:ext>
          </c:extLst>
        </c:ser>
        <c:ser>
          <c:idx val="4"/>
          <c:order val="5"/>
          <c:tx>
            <c:v>Año de Saturación</c:v>
          </c:tx>
          <c:spPr>
            <a:ln w="19050">
              <a:solidFill>
                <a:srgbClr val="1F497D"/>
              </a:solidFill>
              <a:headEnd type="triangle"/>
              <a:tailEnd type="none"/>
            </a:ln>
          </c:spPr>
          <c:marker>
            <c:symbol val="none"/>
          </c:marker>
          <c:xVal>
            <c:numRef>
              <c:f>NORTE!$O$86:$O$91</c:f>
              <c:numCache>
                <c:formatCode>0</c:formatCode>
                <c:ptCount val="6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</c:numCache>
            </c:numRef>
          </c:xVal>
          <c:yVal>
            <c:numRef>
              <c:f>NORTE!$P$86:$P$91</c:f>
              <c:numCache>
                <c:formatCode>0</c:formatCode>
                <c:ptCount val="6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80</c:v>
                </c:pt>
                <c:pt idx="4">
                  <c:v>110</c:v>
                </c:pt>
                <c:pt idx="5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6D3-4BE4-B16F-4394F9C98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73808"/>
        <c:axId val="442774200"/>
      </c:scatterChart>
      <c:valAx>
        <c:axId val="442773808"/>
        <c:scaling>
          <c:orientation val="minMax"/>
          <c:max val="2028"/>
          <c:min val="1997"/>
        </c:scaling>
        <c:delete val="0"/>
        <c:axPos val="b"/>
        <c:majorGridlines>
          <c:spPr>
            <a:ln w="6350" cmpd="sng">
              <a:solidFill>
                <a:sysClr val="window" lastClr="FFFFFF">
                  <a:lumMod val="75000"/>
                </a:sysClr>
              </a:solidFill>
              <a:prstDash val="dash"/>
            </a:ln>
          </c:spPr>
        </c:majorGridlines>
        <c:minorGridlines>
          <c:spPr>
            <a:ln w="6350">
              <a:solidFill>
                <a:sysClr val="window" lastClr="FFFFFF">
                  <a:lumMod val="85000"/>
                </a:sysClr>
              </a:solidFill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spPr>
          <a:ln cmpd="sng">
            <a:solidFill>
              <a:srgbClr val="9BBB59">
                <a:lumMod val="75000"/>
              </a:srgbClr>
            </a:solidFill>
          </a:ln>
        </c:spPr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42774200"/>
        <c:crosses val="autoZero"/>
        <c:crossBetween val="midCat"/>
        <c:majorUnit val="5"/>
        <c:minorUnit val="1"/>
      </c:valAx>
      <c:valAx>
        <c:axId val="442774200"/>
        <c:scaling>
          <c:orientation val="minMax"/>
          <c:max val="140"/>
          <c:min val="40"/>
        </c:scaling>
        <c:delete val="0"/>
        <c:axPos val="l"/>
        <c:majorGridlines>
          <c:spPr>
            <a:ln w="6350"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latin typeface="Arial" pitchFamily="34" charset="0"/>
                    <a:cs typeface="Arial" pitchFamily="34" charset="0"/>
                  </a:rPr>
                  <a:t>[MVA]</a:t>
                </a:r>
                <a:endParaRPr lang="es-ES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6.0060060060060094E-3"/>
              <c:y val="4.1913129913706923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42773808"/>
        <c:crosses val="autoZero"/>
        <c:crossBetween val="midCat"/>
      </c:valAx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4.5530069867131644E-2"/>
          <c:y val="0.89008168533388776"/>
          <c:w val="0.93060013407496511"/>
          <c:h val="9.4516774512096877E-2"/>
        </c:manualLayout>
      </c:layout>
      <c:overlay val="0"/>
      <c:spPr>
        <a:solidFill>
          <a:sysClr val="window" lastClr="FFFFFF"/>
        </a:solidFill>
        <a:ln w="3175">
          <a:solidFill>
            <a:sysClr val="window" lastClr="FFFFFF">
              <a:lumMod val="75000"/>
            </a:sysClr>
          </a:solidFill>
        </a:ln>
      </c:spPr>
      <c:txPr>
        <a:bodyPr/>
        <a:lstStyle/>
        <a:p>
          <a:pPr>
            <a:defRPr sz="1000" b="1" baseline="0"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4803149606299213" l="0.70866141732283472" r="0.70866141732283472" t="0.74803149606299213" header="0.31496062992125984" footer="0.31496062992125984"/>
    <c:pageSetup paperSize="5" orientation="landscape" horizontalDpi="-3" verticalDpi="-3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E.T. Oeste: </a:t>
            </a:r>
            <a:r>
              <a:rPr lang="en-US" sz="1800" b="1" i="0" baseline="0">
                <a:latin typeface="Arial" pitchFamily="34" charset="0"/>
              </a:rPr>
              <a:t>Demanda Histórica y Pronósticos al 2027 </a:t>
            </a:r>
          </a:p>
        </c:rich>
      </c:tx>
      <c:layout>
        <c:manualLayout>
          <c:xMode val="edge"/>
          <c:yMode val="edge"/>
          <c:x val="0.18513066554804955"/>
          <c:y val="3.67539852081208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5752415162940124E-2"/>
          <c:y val="0.10686362067469179"/>
          <c:w val="0.92704285993107693"/>
          <c:h val="0.69287399405652794"/>
        </c:manualLayout>
      </c:layout>
      <c:scatterChart>
        <c:scatterStyle val="smoothMarker"/>
        <c:varyColors val="0"/>
        <c:ser>
          <c:idx val="0"/>
          <c:order val="0"/>
          <c:tx>
            <c:v>Potencia Instalada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OESTE!$B$49:$B$79</c:f>
              <c:numCache>
                <c:formatCode>General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OESTE!$I$49:$I$79</c:f>
              <c:numCache>
                <c:formatCode>0</c:formatCode>
                <c:ptCount val="31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D5-43C5-8BD2-1B864C78D34E}"/>
            </c:ext>
          </c:extLst>
        </c:ser>
        <c:ser>
          <c:idx val="1"/>
          <c:order val="1"/>
          <c:tx>
            <c:v>Precaución (N - 1)</c:v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OESTE!$B$49:$B$79</c:f>
              <c:numCache>
                <c:formatCode>General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OESTE!$J$49:$J$79</c:f>
              <c:numCache>
                <c:formatCode>0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D5-43C5-8BD2-1B864C78D34E}"/>
            </c:ext>
          </c:extLst>
        </c:ser>
        <c:ser>
          <c:idx val="2"/>
          <c:order val="2"/>
          <c:tx>
            <c:v>Potencia Aparente S</c:v>
          </c:tx>
          <c:spPr>
            <a:ln w="34925">
              <a:solidFill>
                <a:sysClr val="windowText" lastClr="000000"/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ysClr val="windowText" lastClr="000000"/>
                </a:solidFill>
              </a:ln>
            </c:spPr>
          </c:marker>
          <c:dPt>
            <c:idx val="16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FD5-43C5-8BD2-1B864C78D34E}"/>
              </c:ext>
            </c:extLst>
          </c:dPt>
          <c:dPt>
            <c:idx val="17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FD5-43C5-8BD2-1B864C78D34E}"/>
              </c:ext>
            </c:extLst>
          </c:dPt>
          <c:dPt>
            <c:idx val="18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FD5-43C5-8BD2-1B864C78D34E}"/>
              </c:ext>
            </c:extLst>
          </c:dPt>
          <c:dPt>
            <c:idx val="19"/>
            <c:marker>
              <c:spPr>
                <a:solidFill>
                  <a:srgbClr val="FF9900"/>
                </a:solidFill>
                <a:ln w="15875">
                  <a:solidFill>
                    <a:sysClr val="windowText" lastClr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FD5-43C5-8BD2-1B864C78D34E}"/>
              </c:ext>
            </c:extLst>
          </c:dPt>
          <c:trendline>
            <c:name>Tendencia Lineal</c:name>
            <c:spPr>
              <a:ln w="34925" cmpd="sng">
                <a:solidFill>
                  <a:srgbClr val="4F81BD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7.2259472337961993E-3"/>
                  <c:y val="-3.1704242542177172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</c:spPr>
              <c:txPr>
                <a:bodyPr/>
                <a:lstStyle/>
                <a:p>
                  <a:pPr>
                    <a:defRPr baseline="0">
                      <a:solidFill>
                        <a:schemeClr val="tx1"/>
                      </a:solidFill>
                      <a:latin typeface="Arial" panose="020B0604020202020204" pitchFamily="34" charset="0"/>
                    </a:defRPr>
                  </a:pPr>
                  <a:endParaRPr lang="es-AR"/>
                </a:p>
              </c:txPr>
            </c:trendlineLbl>
          </c:trendline>
          <c:xVal>
            <c:numRef>
              <c:f>OESTE!$B$49:$B$79</c:f>
              <c:numCache>
                <c:formatCode>General</c:formatCode>
                <c:ptCount val="3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  <c:pt idx="29">
                  <c:v>2026</c:v>
                </c:pt>
                <c:pt idx="30">
                  <c:v>2027</c:v>
                </c:pt>
              </c:numCache>
            </c:numRef>
          </c:xVal>
          <c:yVal>
            <c:numRef>
              <c:f>OESTE!$E$49:$E$79</c:f>
              <c:numCache>
                <c:formatCode>0.00</c:formatCode>
                <c:ptCount val="31"/>
                <c:pt idx="0">
                  <c:v>108.11580167569075</c:v>
                </c:pt>
                <c:pt idx="1">
                  <c:v>87.336942964886802</c:v>
                </c:pt>
                <c:pt idx="2">
                  <c:v>74.754589074261574</c:v>
                </c:pt>
                <c:pt idx="3">
                  <c:v>70.769321066455376</c:v>
                </c:pt>
                <c:pt idx="4">
                  <c:v>100.78208683658347</c:v>
                </c:pt>
                <c:pt idx="5">
                  <c:v>105.39390471159631</c:v>
                </c:pt>
                <c:pt idx="6">
                  <c:v>99.25</c:v>
                </c:pt>
                <c:pt idx="7">
                  <c:v>101.1</c:v>
                </c:pt>
                <c:pt idx="8">
                  <c:v>99.16</c:v>
                </c:pt>
                <c:pt idx="9">
                  <c:v>99.79</c:v>
                </c:pt>
                <c:pt idx="10">
                  <c:v>104.85</c:v>
                </c:pt>
                <c:pt idx="11">
                  <c:v>104.64</c:v>
                </c:pt>
                <c:pt idx="12">
                  <c:v>101.94</c:v>
                </c:pt>
                <c:pt idx="13">
                  <c:v>110.91723614183002</c:v>
                </c:pt>
                <c:pt idx="14">
                  <c:v>98.463908496398446</c:v>
                </c:pt>
                <c:pt idx="15">
                  <c:v>102.6527351451964</c:v>
                </c:pt>
                <c:pt idx="16">
                  <c:v>108.09479326377067</c:v>
                </c:pt>
                <c:pt idx="17">
                  <c:v>115.05162020672945</c:v>
                </c:pt>
                <c:pt idx="18">
                  <c:v>107.40654200752692</c:v>
                </c:pt>
                <c:pt idx="19">
                  <c:v>112.31</c:v>
                </c:pt>
                <c:pt idx="20">
                  <c:v>100.33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D5-43C5-8BD2-1B864C78D34E}"/>
            </c:ext>
          </c:extLst>
        </c:ser>
        <c:ser>
          <c:idx val="5"/>
          <c:order val="3"/>
          <c:tx>
            <c:v>Planeamiento 2018 - 2027</c:v>
          </c:tx>
          <c:spPr>
            <a:ln w="34925">
              <a:solidFill>
                <a:srgbClr val="9BBB59">
                  <a:lumMod val="75000"/>
                </a:srgbClr>
              </a:solidFill>
            </a:ln>
          </c:spPr>
          <c:marker>
            <c:symbol val="circle"/>
            <c:size val="6"/>
            <c:spPr>
              <a:solidFill>
                <a:sysClr val="window" lastClr="FFFFFF"/>
              </a:solidFill>
              <a:ln w="15875">
                <a:solidFill>
                  <a:srgbClr val="9BBB59">
                    <a:lumMod val="75000"/>
                  </a:srgbClr>
                </a:solidFill>
              </a:ln>
            </c:spPr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7-DFD5-43C5-8BD2-1B864C78D34E}"/>
              </c:ext>
            </c:extLst>
          </c:dPt>
          <c:xVal>
            <c:numRef>
              <c:f>OESTE!$B$69:$B$79</c:f>
              <c:numCache>
                <c:formatCode>General</c:formatCode>
                <c:ptCount val="11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</c:numCache>
            </c:numRef>
          </c:xVal>
          <c:yVal>
            <c:numRef>
              <c:f>OESTE!$H$69:$H$79</c:f>
              <c:numCache>
                <c:formatCode>0.00</c:formatCode>
                <c:ptCount val="11"/>
                <c:pt idx="0">
                  <c:v>100.33</c:v>
                </c:pt>
                <c:pt idx="1">
                  <c:v>72.33</c:v>
                </c:pt>
                <c:pt idx="2">
                  <c:v>73.83</c:v>
                </c:pt>
                <c:pt idx="3">
                  <c:v>43.61</c:v>
                </c:pt>
                <c:pt idx="4">
                  <c:v>45.61</c:v>
                </c:pt>
                <c:pt idx="5">
                  <c:v>47.61</c:v>
                </c:pt>
                <c:pt idx="6">
                  <c:v>49.61</c:v>
                </c:pt>
                <c:pt idx="7">
                  <c:v>51.61</c:v>
                </c:pt>
                <c:pt idx="8">
                  <c:v>53.61</c:v>
                </c:pt>
                <c:pt idx="9">
                  <c:v>55.61</c:v>
                </c:pt>
                <c:pt idx="10">
                  <c:v>57.61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FD5-43C5-8BD2-1B864C78D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74592"/>
        <c:axId val="442773416"/>
      </c:scatterChart>
      <c:valAx>
        <c:axId val="442774592"/>
        <c:scaling>
          <c:orientation val="minMax"/>
          <c:max val="2028"/>
          <c:min val="1997"/>
        </c:scaling>
        <c:delete val="0"/>
        <c:axPos val="b"/>
        <c:majorGridlines>
          <c:spPr>
            <a:ln w="6350" cmpd="sng">
              <a:solidFill>
                <a:sysClr val="window" lastClr="FFFFFF">
                  <a:lumMod val="65000"/>
                </a:sysClr>
              </a:solidFill>
              <a:prstDash val="dash"/>
            </a:ln>
          </c:spPr>
        </c:majorGridlines>
        <c:minorGridlines>
          <c:spPr>
            <a:ln w="6350">
              <a:solidFill>
                <a:sysClr val="window" lastClr="FFFFFF">
                  <a:lumMod val="85000"/>
                </a:sysClr>
              </a:solidFill>
              <a:prstDash val="sysDot"/>
            </a:ln>
          </c:spPr>
        </c:minorGridlines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42773416"/>
        <c:crosses val="autoZero"/>
        <c:crossBetween val="midCat"/>
        <c:majorUnit val="5"/>
        <c:minorUnit val="1"/>
      </c:valAx>
      <c:valAx>
        <c:axId val="442773416"/>
        <c:scaling>
          <c:orientation val="minMax"/>
          <c:min val="30"/>
        </c:scaling>
        <c:delete val="0"/>
        <c:axPos val="l"/>
        <c:majorGridlines>
          <c:spPr>
            <a:ln w="6350">
              <a:solidFill>
                <a:sysClr val="window" lastClr="FFFFFF">
                  <a:lumMod val="65000"/>
                </a:sys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latin typeface="Arial" pitchFamily="34" charset="0"/>
                  </a:rPr>
                  <a:t>[MVA]</a:t>
                </a:r>
                <a:endParaRPr lang="es-ES" baseline="0">
                  <a:latin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5.9062377776920565E-3"/>
              <c:y val="4.5169344798031294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ial" panose="020B0604020202020204" pitchFamily="34" charset="0"/>
              </a:defRPr>
            </a:pPr>
            <a:endParaRPr lang="es-AR"/>
          </a:p>
        </c:txPr>
        <c:crossAx val="442774592"/>
        <c:crosses val="autoZero"/>
        <c:crossBetween val="midCat"/>
      </c:valAx>
    </c:plotArea>
    <c:legend>
      <c:legendPos val="b"/>
      <c:legendEntry>
        <c:idx val="1"/>
        <c:txPr>
          <a:bodyPr/>
          <a:lstStyle/>
          <a:p>
            <a:pPr>
              <a:defRPr sz="1000" b="1" baseline="0">
                <a:solidFill>
                  <a:schemeClr val="tx1"/>
                </a:solidFill>
                <a:latin typeface="Arial" pitchFamily="34" charset="0"/>
                <a:cs typeface="Arial" pitchFamily="34" charset="0"/>
              </a:defRPr>
            </a:pPr>
            <a:endParaRPr lang="es-AR"/>
          </a:p>
        </c:txPr>
      </c:legendEntry>
      <c:layout>
        <c:manualLayout>
          <c:xMode val="edge"/>
          <c:yMode val="edge"/>
          <c:x val="3.7798058911777073E-2"/>
          <c:y val="0.85666754185523764"/>
          <c:w val="0.9387109326074432"/>
          <c:h val="7.4108917336889416E-2"/>
        </c:manualLayout>
      </c:layout>
      <c:overlay val="0"/>
      <c:spPr>
        <a:solidFill>
          <a:sysClr val="window" lastClr="FFFFFF"/>
        </a:solidFill>
        <a:ln w="3175">
          <a:solidFill>
            <a:sysClr val="window" lastClr="FFFFFF">
              <a:lumMod val="75000"/>
            </a:sysClr>
          </a:solidFill>
        </a:ln>
      </c:spPr>
      <c:txPr>
        <a:bodyPr/>
        <a:lstStyle/>
        <a:p>
          <a:pPr>
            <a:defRPr sz="1000" b="1" baseline="0">
              <a:solidFill>
                <a:schemeClr val="tx1"/>
              </a:solidFill>
              <a:latin typeface="Arial" pitchFamily="34" charset="0"/>
              <a:cs typeface="Arial" pitchFamily="34" charset="0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000000000001155" l="0.70000000000000062" r="0.70000000000000062" t="0.75000000000001155" header="0.30000000000000032" footer="0.30000000000000032"/>
    <c:pageSetup/>
  </c:printSettings>
  <c:userShapes r:id="rId2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219075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190500"/>
          <a:ext cx="2314575" cy="714375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0.28309</cdr:x>
      <cdr:y>0.20517</cdr:y>
    </cdr:from>
    <cdr:to>
      <cdr:x>0.5288</cdr:x>
      <cdr:y>0.24808</cdr:y>
    </cdr:to>
    <cdr:sp macro="" textlink="">
      <cdr:nvSpPr>
        <cdr:cNvPr id="2" name="Llamada con línea 2 1"/>
        <cdr:cNvSpPr/>
      </cdr:nvSpPr>
      <cdr:spPr>
        <a:xfrm xmlns:a="http://schemas.openxmlformats.org/drawingml/2006/main">
          <a:off x="2571750" y="1184273"/>
          <a:ext cx="2232078" cy="247683"/>
        </a:xfrm>
        <a:prstGeom xmlns:a="http://schemas.openxmlformats.org/drawingml/2006/main" prst="borderCallout2">
          <a:avLst>
            <a:gd name="adj1" fmla="val 43750"/>
            <a:gd name="adj2" fmla="val 102626"/>
            <a:gd name="adj3" fmla="val 47322"/>
            <a:gd name="adj4" fmla="val 128539"/>
            <a:gd name="adj5" fmla="val 47394"/>
            <a:gd name="adj6" fmla="val 143317"/>
          </a:avLst>
        </a:prstGeom>
        <a:solidFill xmlns:a="http://schemas.openxmlformats.org/drawingml/2006/main">
          <a:schemeClr val="bg1"/>
        </a:solidFill>
        <a:ln xmlns:a="http://schemas.openxmlformats.org/drawingml/2006/main" w="6350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000" b="1" i="0" baseline="0">
              <a:solidFill>
                <a:sysClr val="windowText" lastClr="000000"/>
              </a:solidFill>
              <a:latin typeface="Arial" panose="020B0604020202020204" pitchFamily="34" charset="0"/>
            </a:rPr>
            <a:t>Saturación a partir del 2017 / 2018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83</xdr:row>
      <xdr:rowOff>28575</xdr:rowOff>
    </xdr:from>
    <xdr:to>
      <xdr:col>12</xdr:col>
      <xdr:colOff>752475</xdr:colOff>
      <xdr:row>112</xdr:row>
      <xdr:rowOff>95251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117</xdr:row>
      <xdr:rowOff>114300</xdr:rowOff>
    </xdr:from>
    <xdr:to>
      <xdr:col>6</xdr:col>
      <xdr:colOff>428625</xdr:colOff>
      <xdr:row>118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43719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117</xdr:row>
      <xdr:rowOff>114300</xdr:rowOff>
    </xdr:from>
    <xdr:to>
      <xdr:col>9</xdr:col>
      <xdr:colOff>428625</xdr:colOff>
      <xdr:row>118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11505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117</xdr:row>
      <xdr:rowOff>114300</xdr:rowOff>
    </xdr:from>
    <xdr:to>
      <xdr:col>12</xdr:col>
      <xdr:colOff>428625</xdr:colOff>
      <xdr:row>118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117</xdr:row>
      <xdr:rowOff>114300</xdr:rowOff>
    </xdr:from>
    <xdr:to>
      <xdr:col>15</xdr:col>
      <xdr:colOff>428625</xdr:colOff>
      <xdr:row>118</xdr:row>
      <xdr:rowOff>133350</xdr:rowOff>
    </xdr:to>
    <xdr:sp macro="" textlink="">
      <xdr:nvSpPr>
        <xdr:cNvPr id="10" name="Text Box 120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117</xdr:row>
      <xdr:rowOff>114300</xdr:rowOff>
    </xdr:from>
    <xdr:to>
      <xdr:col>18</xdr:col>
      <xdr:colOff>428625</xdr:colOff>
      <xdr:row>118</xdr:row>
      <xdr:rowOff>133350</xdr:rowOff>
    </xdr:to>
    <xdr:sp macro="" textlink="">
      <xdr:nvSpPr>
        <xdr:cNvPr id="11" name="Text Box 12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113442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117</xdr:row>
      <xdr:rowOff>114300</xdr:rowOff>
    </xdr:from>
    <xdr:to>
      <xdr:col>12</xdr:col>
      <xdr:colOff>428625</xdr:colOff>
      <xdr:row>118</xdr:row>
      <xdr:rowOff>133350</xdr:rowOff>
    </xdr:to>
    <xdr:sp macro="" textlink="">
      <xdr:nvSpPr>
        <xdr:cNvPr id="12" name="Text Box 12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117</xdr:row>
      <xdr:rowOff>114300</xdr:rowOff>
    </xdr:from>
    <xdr:to>
      <xdr:col>15</xdr:col>
      <xdr:colOff>428625</xdr:colOff>
      <xdr:row>118</xdr:row>
      <xdr:rowOff>133350</xdr:rowOff>
    </xdr:to>
    <xdr:sp macro="" textlink="">
      <xdr:nvSpPr>
        <xdr:cNvPr id="13" name="Text Box 120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0.43003</cdr:x>
      <cdr:y>0.55025</cdr:y>
    </cdr:from>
    <cdr:to>
      <cdr:x>0.5843</cdr:x>
      <cdr:y>0.62521</cdr:y>
    </cdr:to>
    <cdr:sp macro="" textlink="">
      <cdr:nvSpPr>
        <cdr:cNvPr id="2" name="Llamada con línea 2 1"/>
        <cdr:cNvSpPr/>
      </cdr:nvSpPr>
      <cdr:spPr>
        <a:xfrm xmlns:a="http://schemas.openxmlformats.org/drawingml/2006/main">
          <a:off x="3862570" y="3076557"/>
          <a:ext cx="1385664" cy="419114"/>
        </a:xfrm>
        <a:prstGeom xmlns:a="http://schemas.openxmlformats.org/drawingml/2006/main" prst="borderCallout2">
          <a:avLst>
            <a:gd name="adj1" fmla="val 50567"/>
            <a:gd name="adj2" fmla="val 101219"/>
            <a:gd name="adj3" fmla="val 52839"/>
            <a:gd name="adj4" fmla="val 119994"/>
            <a:gd name="adj5" fmla="val -49586"/>
            <a:gd name="adj6" fmla="val 155791"/>
          </a:avLst>
        </a:prstGeom>
        <a:solidFill xmlns:a="http://schemas.openxmlformats.org/drawingml/2006/main">
          <a:schemeClr val="bg1"/>
        </a:solidFill>
        <a:ln xmlns:a="http://schemas.openxmlformats.org/drawingml/2006/main" w="6350" cap="sq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s-AR" sz="1000" baseline="0">
              <a:solidFill>
                <a:sysClr val="windowText" lastClr="000000"/>
              </a:solidFill>
              <a:latin typeface="Arial" panose="020B0604020202020204" pitchFamily="34" charset="0"/>
            </a:rPr>
            <a:t>Transfiere 28 MW a ET Calasanz</a:t>
          </a:r>
        </a:p>
      </cdr:txBody>
    </cdr:sp>
  </cdr:relSizeAnchor>
  <cdr:relSizeAnchor xmlns:cdr="http://schemas.openxmlformats.org/drawingml/2006/chartDrawing">
    <cdr:from>
      <cdr:x>0.79322</cdr:x>
      <cdr:y>0.72288</cdr:y>
    </cdr:from>
    <cdr:to>
      <cdr:x>0.93936</cdr:x>
      <cdr:y>0.79897</cdr:y>
    </cdr:to>
    <cdr:sp macro="" textlink="">
      <cdr:nvSpPr>
        <cdr:cNvPr id="3" name="Llamada con línea 2 2"/>
        <cdr:cNvSpPr/>
      </cdr:nvSpPr>
      <cdr:spPr>
        <a:xfrm xmlns:a="http://schemas.openxmlformats.org/drawingml/2006/main">
          <a:off x="7124742" y="4041738"/>
          <a:ext cx="1312640" cy="425433"/>
        </a:xfrm>
        <a:prstGeom xmlns:a="http://schemas.openxmlformats.org/drawingml/2006/main" prst="borderCallout2">
          <a:avLst>
            <a:gd name="adj1" fmla="val 52332"/>
            <a:gd name="adj2" fmla="val -3018"/>
            <a:gd name="adj3" fmla="val 54570"/>
            <a:gd name="adj4" fmla="val -42474"/>
            <a:gd name="adj5" fmla="val -14672"/>
            <a:gd name="adj6" fmla="val -41532"/>
          </a:avLst>
        </a:prstGeom>
        <a:solidFill xmlns:a="http://schemas.openxmlformats.org/drawingml/2006/main">
          <a:schemeClr val="bg1"/>
        </a:solidFill>
        <a:ln xmlns:a="http://schemas.openxmlformats.org/drawingml/2006/main" w="6350" cap="sq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Transfiere 29 MW a </a:t>
          </a:r>
          <a:r>
            <a:rPr lang="es-AR" sz="1000" baseline="0">
              <a:solidFill>
                <a:sysClr val="windowText" lastClr="000000"/>
              </a:solidFill>
              <a:latin typeface="Arial" panose="020B0604020202020204" pitchFamily="34" charset="0"/>
            </a:rPr>
            <a:t>ET Santa Ana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75</xdr:row>
      <xdr:rowOff>0</xdr:rowOff>
    </xdr:from>
    <xdr:to>
      <xdr:col>12</xdr:col>
      <xdr:colOff>752476</xdr:colOff>
      <xdr:row>104</xdr:row>
      <xdr:rowOff>133350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109</xdr:row>
      <xdr:rowOff>114300</xdr:rowOff>
    </xdr:from>
    <xdr:to>
      <xdr:col>6</xdr:col>
      <xdr:colOff>428625</xdr:colOff>
      <xdr:row>110</xdr:row>
      <xdr:rowOff>133350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43719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109</xdr:row>
      <xdr:rowOff>114300</xdr:rowOff>
    </xdr:from>
    <xdr:to>
      <xdr:col>9</xdr:col>
      <xdr:colOff>428625</xdr:colOff>
      <xdr:row>110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>
          <a:spLocks noChangeArrowheads="1"/>
        </xdr:cNvSpPr>
      </xdr:nvSpPr>
      <xdr:spPr bwMode="auto">
        <a:xfrm>
          <a:off x="611505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109</xdr:row>
      <xdr:rowOff>114300</xdr:rowOff>
    </xdr:from>
    <xdr:to>
      <xdr:col>12</xdr:col>
      <xdr:colOff>428625</xdr:colOff>
      <xdr:row>110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109</xdr:row>
      <xdr:rowOff>114300</xdr:rowOff>
    </xdr:from>
    <xdr:to>
      <xdr:col>15</xdr:col>
      <xdr:colOff>428625</xdr:colOff>
      <xdr:row>110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109</xdr:row>
      <xdr:rowOff>114300</xdr:rowOff>
    </xdr:from>
    <xdr:to>
      <xdr:col>18</xdr:col>
      <xdr:colOff>428625</xdr:colOff>
      <xdr:row>110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 noChangeArrowheads="1"/>
        </xdr:cNvSpPr>
      </xdr:nvSpPr>
      <xdr:spPr bwMode="auto">
        <a:xfrm>
          <a:off x="113442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109</xdr:row>
      <xdr:rowOff>114300</xdr:rowOff>
    </xdr:from>
    <xdr:to>
      <xdr:col>12</xdr:col>
      <xdr:colOff>428625</xdr:colOff>
      <xdr:row>110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109</xdr:row>
      <xdr:rowOff>114300</xdr:rowOff>
    </xdr:from>
    <xdr:to>
      <xdr:col>15</xdr:col>
      <xdr:colOff>428625</xdr:colOff>
      <xdr:row>110</xdr:row>
      <xdr:rowOff>133350</xdr:rowOff>
    </xdr:to>
    <xdr:sp macro="" textlink="">
      <xdr:nvSpPr>
        <xdr:cNvPr id="10" name="Text Box 120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158</xdr:row>
      <xdr:rowOff>0</xdr:rowOff>
    </xdr:from>
    <xdr:to>
      <xdr:col>12</xdr:col>
      <xdr:colOff>752476</xdr:colOff>
      <xdr:row>187</xdr:row>
      <xdr:rowOff>133350</xdr:rowOff>
    </xdr:to>
    <xdr:graphicFrame macro="">
      <xdr:nvGraphicFramePr>
        <xdr:cNvPr id="12" name="1 Gráfico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0.8012</cdr:x>
      <cdr:y>0.66218</cdr:y>
    </cdr:from>
    <cdr:to>
      <cdr:x>0.95531</cdr:x>
      <cdr:y>0.75589</cdr:y>
    </cdr:to>
    <cdr:sp macro="" textlink="">
      <cdr:nvSpPr>
        <cdr:cNvPr id="2" name="Llamada con línea 2 1"/>
        <cdr:cNvSpPr/>
      </cdr:nvSpPr>
      <cdr:spPr>
        <a:xfrm xmlns:a="http://schemas.openxmlformats.org/drawingml/2006/main">
          <a:off x="7204075" y="3746499"/>
          <a:ext cx="1385664" cy="530225"/>
        </a:xfrm>
        <a:prstGeom xmlns:a="http://schemas.openxmlformats.org/drawingml/2006/main" prst="borderCallout2">
          <a:avLst>
            <a:gd name="adj1" fmla="val 46974"/>
            <a:gd name="adj2" fmla="val -516"/>
            <a:gd name="adj3" fmla="val 47450"/>
            <a:gd name="adj4" fmla="val -38108"/>
            <a:gd name="adj5" fmla="val -78329"/>
            <a:gd name="adj6" fmla="val -37367"/>
          </a:avLst>
        </a:prstGeom>
        <a:solidFill xmlns:a="http://schemas.openxmlformats.org/drawingml/2006/main">
          <a:schemeClr val="bg1"/>
        </a:solidFill>
        <a:ln xmlns:a="http://schemas.openxmlformats.org/drawingml/2006/main" w="6350" cap="sq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000" baseline="0">
              <a:solidFill>
                <a:sysClr val="windowText" lastClr="000000"/>
              </a:solidFill>
              <a:latin typeface="Arial" panose="020B0604020202020204" pitchFamily="34" charset="0"/>
            </a:rPr>
            <a:t>Transfiere Carga a ET Santa Ana y ET Arguello (2020)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76</xdr:row>
      <xdr:rowOff>190499</xdr:rowOff>
    </xdr:from>
    <xdr:to>
      <xdr:col>13</xdr:col>
      <xdr:colOff>723901</xdr:colOff>
      <xdr:row>108</xdr:row>
      <xdr:rowOff>85725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113</xdr:row>
      <xdr:rowOff>114300</xdr:rowOff>
    </xdr:from>
    <xdr:to>
      <xdr:col>6</xdr:col>
      <xdr:colOff>428625</xdr:colOff>
      <xdr:row>114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43719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113</xdr:row>
      <xdr:rowOff>114300</xdr:rowOff>
    </xdr:from>
    <xdr:to>
      <xdr:col>9</xdr:col>
      <xdr:colOff>428625</xdr:colOff>
      <xdr:row>114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611505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113</xdr:row>
      <xdr:rowOff>114300</xdr:rowOff>
    </xdr:from>
    <xdr:to>
      <xdr:col>12</xdr:col>
      <xdr:colOff>428625</xdr:colOff>
      <xdr:row>114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113</xdr:row>
      <xdr:rowOff>114300</xdr:rowOff>
    </xdr:from>
    <xdr:to>
      <xdr:col>15</xdr:col>
      <xdr:colOff>428625</xdr:colOff>
      <xdr:row>114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113</xdr:row>
      <xdr:rowOff>114300</xdr:rowOff>
    </xdr:from>
    <xdr:to>
      <xdr:col>18</xdr:col>
      <xdr:colOff>428625</xdr:colOff>
      <xdr:row>114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>
          <a:spLocks noChangeArrowheads="1"/>
        </xdr:cNvSpPr>
      </xdr:nvSpPr>
      <xdr:spPr bwMode="auto">
        <a:xfrm>
          <a:off x="113442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113</xdr:row>
      <xdr:rowOff>114300</xdr:rowOff>
    </xdr:from>
    <xdr:to>
      <xdr:col>12</xdr:col>
      <xdr:colOff>428625</xdr:colOff>
      <xdr:row>114</xdr:row>
      <xdr:rowOff>133350</xdr:rowOff>
    </xdr:to>
    <xdr:sp macro="" textlink="">
      <xdr:nvSpPr>
        <xdr:cNvPr id="10" name="Text Box 120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113</xdr:row>
      <xdr:rowOff>114300</xdr:rowOff>
    </xdr:from>
    <xdr:to>
      <xdr:col>15</xdr:col>
      <xdr:colOff>428625</xdr:colOff>
      <xdr:row>114</xdr:row>
      <xdr:rowOff>133350</xdr:rowOff>
    </xdr:to>
    <xdr:sp macro="" textlink="">
      <xdr:nvSpPr>
        <xdr:cNvPr id="11" name="Text Box 12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19049</xdr:colOff>
      <xdr:row>44</xdr:row>
      <xdr:rowOff>14286</xdr:rowOff>
    </xdr:from>
    <xdr:to>
      <xdr:col>23</xdr:col>
      <xdr:colOff>733424</xdr:colOff>
      <xdr:row>65</xdr:row>
      <xdr:rowOff>57149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0.76525</cdr:x>
      <cdr:y>0.28776</cdr:y>
    </cdr:from>
    <cdr:to>
      <cdr:x>0.96898</cdr:x>
      <cdr:y>0.33227</cdr:y>
    </cdr:to>
    <cdr:sp macro="" textlink="">
      <cdr:nvSpPr>
        <cdr:cNvPr id="2" name="Llamada con línea 2 1"/>
        <cdr:cNvSpPr/>
      </cdr:nvSpPr>
      <cdr:spPr>
        <a:xfrm xmlns:a="http://schemas.openxmlformats.org/drawingml/2006/main">
          <a:off x="7048500" y="1724026"/>
          <a:ext cx="1876426" cy="266700"/>
        </a:xfrm>
        <a:prstGeom xmlns:a="http://schemas.openxmlformats.org/drawingml/2006/main" prst="borderCallout2">
          <a:avLst>
            <a:gd name="adj1" fmla="val 43750"/>
            <a:gd name="adj2" fmla="val -1172"/>
            <a:gd name="adj3" fmla="val 47321"/>
            <a:gd name="adj4" fmla="val -30549"/>
            <a:gd name="adj5" fmla="val 241073"/>
            <a:gd name="adj6" fmla="val -42893"/>
          </a:avLst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  <a:tailEnd type="triangle" w="sm" len="med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s-AR" sz="1000" b="1" i="0" baseline="0">
              <a:solidFill>
                <a:schemeClr val="tx1"/>
              </a:solidFill>
              <a:latin typeface="Arial" panose="020B0604020202020204" pitchFamily="34" charset="0"/>
            </a:rPr>
            <a:t>Saturación a partir del 2018</a:t>
          </a:r>
        </a:p>
      </cdr:txBody>
    </cdr:sp>
  </cdr:relSizeAnchor>
  <cdr:relSizeAnchor xmlns:cdr="http://schemas.openxmlformats.org/drawingml/2006/chartDrawing">
    <cdr:from>
      <cdr:x>0.79455</cdr:x>
      <cdr:y>0.71278</cdr:y>
    </cdr:from>
    <cdr:to>
      <cdr:x>0.94499</cdr:x>
      <cdr:y>0.77743</cdr:y>
    </cdr:to>
    <cdr:sp macro="" textlink="">
      <cdr:nvSpPr>
        <cdr:cNvPr id="3" name="Llamada con línea 2 2"/>
        <cdr:cNvSpPr/>
      </cdr:nvSpPr>
      <cdr:spPr>
        <a:xfrm xmlns:a="http://schemas.openxmlformats.org/drawingml/2006/main">
          <a:off x="7318343" y="4270398"/>
          <a:ext cx="1385654" cy="387332"/>
        </a:xfrm>
        <a:prstGeom xmlns:a="http://schemas.openxmlformats.org/drawingml/2006/main" prst="borderCallout2">
          <a:avLst>
            <a:gd name="adj1" fmla="val 46974"/>
            <a:gd name="adj2" fmla="val -516"/>
            <a:gd name="adj3" fmla="val 47450"/>
            <a:gd name="adj4" fmla="val -38108"/>
            <a:gd name="adj5" fmla="val -102919"/>
            <a:gd name="adj6" fmla="val -38055"/>
          </a:avLst>
        </a:prstGeom>
        <a:solidFill xmlns:a="http://schemas.openxmlformats.org/drawingml/2006/main">
          <a:schemeClr val="bg1"/>
        </a:solidFill>
        <a:ln xmlns:a="http://schemas.openxmlformats.org/drawingml/2006/main" w="6350" cap="sq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000" baseline="0">
              <a:solidFill>
                <a:sysClr val="windowText" lastClr="000000"/>
              </a:solidFill>
              <a:latin typeface="Arial" panose="020B0604020202020204" pitchFamily="34" charset="0"/>
            </a:rPr>
            <a:t>Transfiere Carga a ET Santa Ana (2020)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78</xdr:row>
      <xdr:rowOff>47624</xdr:rowOff>
    </xdr:from>
    <xdr:to>
      <xdr:col>14</xdr:col>
      <xdr:colOff>19051</xdr:colOff>
      <xdr:row>109</xdr:row>
      <xdr:rowOff>133350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113</xdr:row>
      <xdr:rowOff>114300</xdr:rowOff>
    </xdr:from>
    <xdr:to>
      <xdr:col>6</xdr:col>
      <xdr:colOff>428625</xdr:colOff>
      <xdr:row>114</xdr:row>
      <xdr:rowOff>133350</xdr:rowOff>
    </xdr:to>
    <xdr:sp macro="" textlink="">
      <xdr:nvSpPr>
        <xdr:cNvPr id="3" name="Text Box 120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>
          <a:spLocks noChangeArrowheads="1"/>
        </xdr:cNvSpPr>
      </xdr:nvSpPr>
      <xdr:spPr bwMode="auto">
        <a:xfrm>
          <a:off x="4371975" y="223932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113</xdr:row>
      <xdr:rowOff>114300</xdr:rowOff>
    </xdr:from>
    <xdr:to>
      <xdr:col>9</xdr:col>
      <xdr:colOff>428625</xdr:colOff>
      <xdr:row>114</xdr:row>
      <xdr:rowOff>133350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>
          <a:spLocks noChangeArrowheads="1"/>
        </xdr:cNvSpPr>
      </xdr:nvSpPr>
      <xdr:spPr bwMode="auto">
        <a:xfrm>
          <a:off x="6781800" y="223932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113</xdr:row>
      <xdr:rowOff>114300</xdr:rowOff>
    </xdr:from>
    <xdr:to>
      <xdr:col>12</xdr:col>
      <xdr:colOff>428625</xdr:colOff>
      <xdr:row>114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>
          <a:spLocks noChangeArrowheads="1"/>
        </xdr:cNvSpPr>
      </xdr:nvSpPr>
      <xdr:spPr bwMode="auto">
        <a:xfrm>
          <a:off x="8458200" y="223932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113</xdr:row>
      <xdr:rowOff>114300</xdr:rowOff>
    </xdr:from>
    <xdr:to>
      <xdr:col>15</xdr:col>
      <xdr:colOff>428625</xdr:colOff>
      <xdr:row>114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>
          <a:spLocks noChangeArrowheads="1"/>
        </xdr:cNvSpPr>
      </xdr:nvSpPr>
      <xdr:spPr bwMode="auto">
        <a:xfrm>
          <a:off x="10744200" y="223932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113</xdr:row>
      <xdr:rowOff>114300</xdr:rowOff>
    </xdr:from>
    <xdr:to>
      <xdr:col>18</xdr:col>
      <xdr:colOff>428625</xdr:colOff>
      <xdr:row>114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>
          <a:spLocks noChangeArrowheads="1"/>
        </xdr:cNvSpPr>
      </xdr:nvSpPr>
      <xdr:spPr bwMode="auto">
        <a:xfrm>
          <a:off x="13030200" y="223932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113</xdr:row>
      <xdr:rowOff>114300</xdr:rowOff>
    </xdr:from>
    <xdr:to>
      <xdr:col>12</xdr:col>
      <xdr:colOff>428625</xdr:colOff>
      <xdr:row>114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>
          <a:spLocks noChangeArrowheads="1"/>
        </xdr:cNvSpPr>
      </xdr:nvSpPr>
      <xdr:spPr bwMode="auto">
        <a:xfrm>
          <a:off x="8458200" y="223932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113</xdr:row>
      <xdr:rowOff>114300</xdr:rowOff>
    </xdr:from>
    <xdr:to>
      <xdr:col>15</xdr:col>
      <xdr:colOff>428625</xdr:colOff>
      <xdr:row>114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>
          <a:spLocks noChangeArrowheads="1"/>
        </xdr:cNvSpPr>
      </xdr:nvSpPr>
      <xdr:spPr bwMode="auto">
        <a:xfrm>
          <a:off x="10744200" y="223932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0.35367</cdr:x>
      <cdr:y>0.2496</cdr:y>
    </cdr:from>
    <cdr:to>
      <cdr:x>0.55947</cdr:x>
      <cdr:y>0.31638</cdr:y>
    </cdr:to>
    <cdr:sp macro="" textlink="">
      <cdr:nvSpPr>
        <cdr:cNvPr id="2" name="Llamada con línea 2 1"/>
        <cdr:cNvSpPr/>
      </cdr:nvSpPr>
      <cdr:spPr>
        <a:xfrm xmlns:a="http://schemas.openxmlformats.org/drawingml/2006/main">
          <a:off x="3257550" y="1495435"/>
          <a:ext cx="1895511" cy="400041"/>
        </a:xfrm>
        <a:prstGeom xmlns:a="http://schemas.openxmlformats.org/drawingml/2006/main" prst="borderCallout2">
          <a:avLst>
            <a:gd name="adj1" fmla="val 50894"/>
            <a:gd name="adj2" fmla="val 100347"/>
            <a:gd name="adj3" fmla="val 52291"/>
            <a:gd name="adj4" fmla="val 114623"/>
            <a:gd name="adj5" fmla="val 112925"/>
            <a:gd name="adj6" fmla="val 141872"/>
          </a:avLst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  <a:tailEnd type="triangle" w="sm" len="med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s-AR" sz="1000" b="1" i="0" baseline="0">
              <a:solidFill>
                <a:schemeClr val="tx1"/>
              </a:solidFill>
              <a:latin typeface="Arial" panose="020B0604020202020204" pitchFamily="34" charset="0"/>
            </a:rPr>
            <a:t>Si no se repontencia:   Saturación a partir del 2017</a:t>
          </a:r>
        </a:p>
      </cdr:txBody>
    </cdr:sp>
  </cdr:relSizeAnchor>
  <cdr:relSizeAnchor xmlns:cdr="http://schemas.openxmlformats.org/drawingml/2006/chartDrawing">
    <cdr:from>
      <cdr:x>0.79455</cdr:x>
      <cdr:y>0.71278</cdr:y>
    </cdr:from>
    <cdr:to>
      <cdr:x>0.94499</cdr:x>
      <cdr:y>0.77743</cdr:y>
    </cdr:to>
    <cdr:sp macro="" textlink="">
      <cdr:nvSpPr>
        <cdr:cNvPr id="3" name="Llamada con línea 2 2"/>
        <cdr:cNvSpPr/>
      </cdr:nvSpPr>
      <cdr:spPr>
        <a:xfrm xmlns:a="http://schemas.openxmlformats.org/drawingml/2006/main">
          <a:off x="7318343" y="4270398"/>
          <a:ext cx="1385654" cy="387332"/>
        </a:xfrm>
        <a:prstGeom xmlns:a="http://schemas.openxmlformats.org/drawingml/2006/main" prst="borderCallout2">
          <a:avLst>
            <a:gd name="adj1" fmla="val 46974"/>
            <a:gd name="adj2" fmla="val -516"/>
            <a:gd name="adj3" fmla="val 47450"/>
            <a:gd name="adj4" fmla="val -38108"/>
            <a:gd name="adj5" fmla="val -102919"/>
            <a:gd name="adj6" fmla="val -38055"/>
          </a:avLst>
        </a:prstGeom>
        <a:solidFill xmlns:a="http://schemas.openxmlformats.org/drawingml/2006/main">
          <a:schemeClr val="bg1"/>
        </a:solidFill>
        <a:ln xmlns:a="http://schemas.openxmlformats.org/drawingml/2006/main" w="6350" cap="sq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000" baseline="0">
              <a:solidFill>
                <a:sysClr val="windowText" lastClr="000000"/>
              </a:solidFill>
              <a:latin typeface="Arial" panose="020B0604020202020204" pitchFamily="34" charset="0"/>
            </a:rPr>
            <a:t>Transfiere Carga a ET Santa Ana (2020)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95251</xdr:colOff>
      <xdr:row>79</xdr:row>
      <xdr:rowOff>123824</xdr:rowOff>
    </xdr:from>
    <xdr:to>
      <xdr:col>13</xdr:col>
      <xdr:colOff>66676</xdr:colOff>
      <xdr:row>111</xdr:row>
      <xdr:rowOff>28575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115</xdr:row>
      <xdr:rowOff>114300</xdr:rowOff>
    </xdr:from>
    <xdr:to>
      <xdr:col>6</xdr:col>
      <xdr:colOff>428625</xdr:colOff>
      <xdr:row>116</xdr:row>
      <xdr:rowOff>133350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>
          <a:spLocks noChangeArrowheads="1"/>
        </xdr:cNvSpPr>
      </xdr:nvSpPr>
      <xdr:spPr bwMode="auto">
        <a:xfrm>
          <a:off x="43719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115</xdr:row>
      <xdr:rowOff>114300</xdr:rowOff>
    </xdr:from>
    <xdr:to>
      <xdr:col>9</xdr:col>
      <xdr:colOff>428625</xdr:colOff>
      <xdr:row>116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>
          <a:spLocks noChangeArrowheads="1"/>
        </xdr:cNvSpPr>
      </xdr:nvSpPr>
      <xdr:spPr bwMode="auto">
        <a:xfrm>
          <a:off x="611505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115</xdr:row>
      <xdr:rowOff>114300</xdr:rowOff>
    </xdr:from>
    <xdr:to>
      <xdr:col>12</xdr:col>
      <xdr:colOff>428625</xdr:colOff>
      <xdr:row>116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115</xdr:row>
      <xdr:rowOff>114300</xdr:rowOff>
    </xdr:from>
    <xdr:to>
      <xdr:col>15</xdr:col>
      <xdr:colOff>428625</xdr:colOff>
      <xdr:row>116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115</xdr:row>
      <xdr:rowOff>114300</xdr:rowOff>
    </xdr:from>
    <xdr:to>
      <xdr:col>18</xdr:col>
      <xdr:colOff>428625</xdr:colOff>
      <xdr:row>116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>
          <a:spLocks noChangeArrowheads="1"/>
        </xdr:cNvSpPr>
      </xdr:nvSpPr>
      <xdr:spPr bwMode="auto">
        <a:xfrm>
          <a:off x="113442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115</xdr:row>
      <xdr:rowOff>114300</xdr:rowOff>
    </xdr:from>
    <xdr:to>
      <xdr:col>12</xdr:col>
      <xdr:colOff>428625</xdr:colOff>
      <xdr:row>116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115</xdr:row>
      <xdr:rowOff>114300</xdr:rowOff>
    </xdr:from>
    <xdr:to>
      <xdr:col>15</xdr:col>
      <xdr:colOff>428625</xdr:colOff>
      <xdr:row>116</xdr:row>
      <xdr:rowOff>133350</xdr:rowOff>
    </xdr:to>
    <xdr:sp macro="" textlink="">
      <xdr:nvSpPr>
        <xdr:cNvPr id="10" name="Text Box 120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38</xdr:row>
      <xdr:rowOff>85724</xdr:rowOff>
    </xdr:from>
    <xdr:to>
      <xdr:col>11</xdr:col>
      <xdr:colOff>57150</xdr:colOff>
      <xdr:row>68</xdr:row>
      <xdr:rowOff>57150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175</xdr:row>
      <xdr:rowOff>180975</xdr:rowOff>
    </xdr:from>
    <xdr:to>
      <xdr:col>12</xdr:col>
      <xdr:colOff>514350</xdr:colOff>
      <xdr:row>205</xdr:row>
      <xdr:rowOff>19050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76</xdr:row>
      <xdr:rowOff>190498</xdr:rowOff>
    </xdr:from>
    <xdr:to>
      <xdr:col>13</xdr:col>
      <xdr:colOff>9525</xdr:colOff>
      <xdr:row>110</xdr:row>
      <xdr:rowOff>133349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114</xdr:row>
      <xdr:rowOff>114300</xdr:rowOff>
    </xdr:from>
    <xdr:to>
      <xdr:col>6</xdr:col>
      <xdr:colOff>428625</xdr:colOff>
      <xdr:row>115</xdr:row>
      <xdr:rowOff>133350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43719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114</xdr:row>
      <xdr:rowOff>114300</xdr:rowOff>
    </xdr:from>
    <xdr:to>
      <xdr:col>9</xdr:col>
      <xdr:colOff>428625</xdr:colOff>
      <xdr:row>115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>
          <a:spLocks noChangeArrowheads="1"/>
        </xdr:cNvSpPr>
      </xdr:nvSpPr>
      <xdr:spPr bwMode="auto">
        <a:xfrm>
          <a:off x="611505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114</xdr:row>
      <xdr:rowOff>114300</xdr:rowOff>
    </xdr:from>
    <xdr:to>
      <xdr:col>12</xdr:col>
      <xdr:colOff>428625</xdr:colOff>
      <xdr:row>115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114</xdr:row>
      <xdr:rowOff>114300</xdr:rowOff>
    </xdr:from>
    <xdr:to>
      <xdr:col>15</xdr:col>
      <xdr:colOff>428625</xdr:colOff>
      <xdr:row>115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114</xdr:row>
      <xdr:rowOff>114300</xdr:rowOff>
    </xdr:from>
    <xdr:to>
      <xdr:col>18</xdr:col>
      <xdr:colOff>428625</xdr:colOff>
      <xdr:row>115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>
          <a:spLocks noChangeArrowheads="1"/>
        </xdr:cNvSpPr>
      </xdr:nvSpPr>
      <xdr:spPr bwMode="auto">
        <a:xfrm>
          <a:off x="113442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114</xdr:row>
      <xdr:rowOff>114300</xdr:rowOff>
    </xdr:from>
    <xdr:to>
      <xdr:col>12</xdr:col>
      <xdr:colOff>428625</xdr:colOff>
      <xdr:row>115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114</xdr:row>
      <xdr:rowOff>114300</xdr:rowOff>
    </xdr:from>
    <xdr:to>
      <xdr:col>15</xdr:col>
      <xdr:colOff>428625</xdr:colOff>
      <xdr:row>115</xdr:row>
      <xdr:rowOff>133350</xdr:rowOff>
    </xdr:to>
    <xdr:sp macro="" textlink="">
      <xdr:nvSpPr>
        <xdr:cNvPr id="10" name="Text Box 120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0.42736</cdr:x>
      <cdr:y>0.17425</cdr:y>
    </cdr:from>
    <cdr:to>
      <cdr:x>0.63309</cdr:x>
      <cdr:y>0.21507</cdr:y>
    </cdr:to>
    <cdr:sp macro="" textlink="">
      <cdr:nvSpPr>
        <cdr:cNvPr id="2" name="Llamada con línea 2 1"/>
        <cdr:cNvSpPr/>
      </cdr:nvSpPr>
      <cdr:spPr>
        <a:xfrm xmlns:a="http://schemas.openxmlformats.org/drawingml/2006/main">
          <a:off x="3838575" y="1057248"/>
          <a:ext cx="1847890" cy="247672"/>
        </a:xfrm>
        <a:prstGeom xmlns:a="http://schemas.openxmlformats.org/drawingml/2006/main" prst="borderCallout2">
          <a:avLst>
            <a:gd name="adj1" fmla="val 43750"/>
            <a:gd name="adj2" fmla="val 102626"/>
            <a:gd name="adj3" fmla="val 39630"/>
            <a:gd name="adj4" fmla="val 120292"/>
            <a:gd name="adj5" fmla="val 35855"/>
            <a:gd name="adj6" fmla="val 137532"/>
          </a:avLst>
        </a:prstGeom>
        <a:solidFill xmlns:a="http://schemas.openxmlformats.org/drawingml/2006/main">
          <a:schemeClr val="bg1"/>
        </a:solidFill>
        <a:ln xmlns:a="http://schemas.openxmlformats.org/drawingml/2006/main" w="6350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s-AR" sz="1000" b="1" i="0" baseline="0">
              <a:solidFill>
                <a:sysClr val="windowText" lastClr="000000"/>
              </a:solidFill>
              <a:latin typeface="Arial" panose="020B0604020202020204" pitchFamily="34" charset="0"/>
            </a:rPr>
            <a:t>Saturación a partir del 2019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76</xdr:row>
      <xdr:rowOff>190499</xdr:rowOff>
    </xdr:from>
    <xdr:to>
      <xdr:col>13</xdr:col>
      <xdr:colOff>9525</xdr:colOff>
      <xdr:row>108</xdr:row>
      <xdr:rowOff>161925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114</xdr:row>
      <xdr:rowOff>114300</xdr:rowOff>
    </xdr:from>
    <xdr:to>
      <xdr:col>6</xdr:col>
      <xdr:colOff>428625</xdr:colOff>
      <xdr:row>115</xdr:row>
      <xdr:rowOff>133350</xdr:rowOff>
    </xdr:to>
    <xdr:sp macro="" textlink="">
      <xdr:nvSpPr>
        <xdr:cNvPr id="3" name="Text Box 120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>
          <a:spLocks noChangeArrowheads="1"/>
        </xdr:cNvSpPr>
      </xdr:nvSpPr>
      <xdr:spPr bwMode="auto">
        <a:xfrm>
          <a:off x="4371975" y="226218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114</xdr:row>
      <xdr:rowOff>114300</xdr:rowOff>
    </xdr:from>
    <xdr:to>
      <xdr:col>9</xdr:col>
      <xdr:colOff>428625</xdr:colOff>
      <xdr:row>115</xdr:row>
      <xdr:rowOff>133350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>
          <a:spLocks noChangeArrowheads="1"/>
        </xdr:cNvSpPr>
      </xdr:nvSpPr>
      <xdr:spPr bwMode="auto">
        <a:xfrm>
          <a:off x="6781800" y="226218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114</xdr:row>
      <xdr:rowOff>114300</xdr:rowOff>
    </xdr:from>
    <xdr:to>
      <xdr:col>12</xdr:col>
      <xdr:colOff>428625</xdr:colOff>
      <xdr:row>115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>
          <a:spLocks noChangeArrowheads="1"/>
        </xdr:cNvSpPr>
      </xdr:nvSpPr>
      <xdr:spPr bwMode="auto">
        <a:xfrm>
          <a:off x="8972550" y="226218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114</xdr:row>
      <xdr:rowOff>114300</xdr:rowOff>
    </xdr:from>
    <xdr:to>
      <xdr:col>15</xdr:col>
      <xdr:colOff>428625</xdr:colOff>
      <xdr:row>115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>
          <a:spLocks noChangeArrowheads="1"/>
        </xdr:cNvSpPr>
      </xdr:nvSpPr>
      <xdr:spPr bwMode="auto">
        <a:xfrm>
          <a:off x="11344275" y="226218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114</xdr:row>
      <xdr:rowOff>114300</xdr:rowOff>
    </xdr:from>
    <xdr:to>
      <xdr:col>18</xdr:col>
      <xdr:colOff>428625</xdr:colOff>
      <xdr:row>115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 txBox="1">
          <a:spLocks noChangeArrowheads="1"/>
        </xdr:cNvSpPr>
      </xdr:nvSpPr>
      <xdr:spPr bwMode="auto">
        <a:xfrm>
          <a:off x="13630275" y="226218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114</xdr:row>
      <xdr:rowOff>114300</xdr:rowOff>
    </xdr:from>
    <xdr:to>
      <xdr:col>12</xdr:col>
      <xdr:colOff>428625</xdr:colOff>
      <xdr:row>115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>
          <a:spLocks noChangeArrowheads="1"/>
        </xdr:cNvSpPr>
      </xdr:nvSpPr>
      <xdr:spPr bwMode="auto">
        <a:xfrm>
          <a:off x="8972550" y="226218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114</xdr:row>
      <xdr:rowOff>114300</xdr:rowOff>
    </xdr:from>
    <xdr:to>
      <xdr:col>15</xdr:col>
      <xdr:colOff>428625</xdr:colOff>
      <xdr:row>115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>
          <a:spLocks noChangeArrowheads="1"/>
        </xdr:cNvSpPr>
      </xdr:nvSpPr>
      <xdr:spPr bwMode="auto">
        <a:xfrm>
          <a:off x="11344275" y="2262187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0.36373</cdr:x>
      <cdr:y>0.17111</cdr:y>
    </cdr:from>
    <cdr:to>
      <cdr:x>0.5737</cdr:x>
      <cdr:y>0.23548</cdr:y>
    </cdr:to>
    <cdr:sp macro="" textlink="">
      <cdr:nvSpPr>
        <cdr:cNvPr id="2" name="Llamada con línea 2 1"/>
        <cdr:cNvSpPr/>
      </cdr:nvSpPr>
      <cdr:spPr>
        <a:xfrm xmlns:a="http://schemas.openxmlformats.org/drawingml/2006/main">
          <a:off x="3267074" y="1038199"/>
          <a:ext cx="1885987" cy="390552"/>
        </a:xfrm>
        <a:prstGeom xmlns:a="http://schemas.openxmlformats.org/drawingml/2006/main" prst="borderCallout2">
          <a:avLst>
            <a:gd name="adj1" fmla="val 43750"/>
            <a:gd name="adj2" fmla="val 102626"/>
            <a:gd name="adj3" fmla="val 39630"/>
            <a:gd name="adj4" fmla="val 120292"/>
            <a:gd name="adj5" fmla="val 35855"/>
            <a:gd name="adj6" fmla="val 137532"/>
          </a:avLst>
        </a:prstGeom>
        <a:solidFill xmlns:a="http://schemas.openxmlformats.org/drawingml/2006/main">
          <a:schemeClr val="bg1"/>
        </a:solidFill>
        <a:ln xmlns:a="http://schemas.openxmlformats.org/drawingml/2006/main" w="6350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s-AR" sz="1000" b="1" i="0" baseline="0">
              <a:solidFill>
                <a:sysClr val="windowText" lastClr="000000"/>
              </a:solidFill>
              <a:latin typeface="Arial" panose="020B0604020202020204" pitchFamily="34" charset="0"/>
            </a:rPr>
            <a:t>Puede presentar Saturación a partir del 2017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78</xdr:row>
      <xdr:rowOff>190499</xdr:rowOff>
    </xdr:from>
    <xdr:to>
      <xdr:col>12</xdr:col>
      <xdr:colOff>714377</xdr:colOff>
      <xdr:row>110</xdr:row>
      <xdr:rowOff>47624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114</xdr:row>
      <xdr:rowOff>114300</xdr:rowOff>
    </xdr:from>
    <xdr:to>
      <xdr:col>6</xdr:col>
      <xdr:colOff>428625</xdr:colOff>
      <xdr:row>115</xdr:row>
      <xdr:rowOff>133350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>
          <a:spLocks noChangeArrowheads="1"/>
        </xdr:cNvSpPr>
      </xdr:nvSpPr>
      <xdr:spPr bwMode="auto">
        <a:xfrm>
          <a:off x="43719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114</xdr:row>
      <xdr:rowOff>114300</xdr:rowOff>
    </xdr:from>
    <xdr:to>
      <xdr:col>9</xdr:col>
      <xdr:colOff>428625</xdr:colOff>
      <xdr:row>115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>
          <a:spLocks noChangeArrowheads="1"/>
        </xdr:cNvSpPr>
      </xdr:nvSpPr>
      <xdr:spPr bwMode="auto">
        <a:xfrm>
          <a:off x="611505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114</xdr:row>
      <xdr:rowOff>114300</xdr:rowOff>
    </xdr:from>
    <xdr:to>
      <xdr:col>12</xdr:col>
      <xdr:colOff>428625</xdr:colOff>
      <xdr:row>115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114</xdr:row>
      <xdr:rowOff>114300</xdr:rowOff>
    </xdr:from>
    <xdr:to>
      <xdr:col>15</xdr:col>
      <xdr:colOff>428625</xdr:colOff>
      <xdr:row>115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114</xdr:row>
      <xdr:rowOff>114300</xdr:rowOff>
    </xdr:from>
    <xdr:to>
      <xdr:col>18</xdr:col>
      <xdr:colOff>428625</xdr:colOff>
      <xdr:row>115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>
          <a:spLocks noChangeArrowheads="1"/>
        </xdr:cNvSpPr>
      </xdr:nvSpPr>
      <xdr:spPr bwMode="auto">
        <a:xfrm>
          <a:off x="113442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114</xdr:row>
      <xdr:rowOff>114300</xdr:rowOff>
    </xdr:from>
    <xdr:to>
      <xdr:col>12</xdr:col>
      <xdr:colOff>428625</xdr:colOff>
      <xdr:row>115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114</xdr:row>
      <xdr:rowOff>114300</xdr:rowOff>
    </xdr:from>
    <xdr:to>
      <xdr:col>15</xdr:col>
      <xdr:colOff>428625</xdr:colOff>
      <xdr:row>115</xdr:row>
      <xdr:rowOff>133350</xdr:rowOff>
    </xdr:to>
    <xdr:sp macro="" textlink="">
      <xdr:nvSpPr>
        <xdr:cNvPr id="10" name="Text Box 120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78</xdr:row>
      <xdr:rowOff>9525</xdr:rowOff>
    </xdr:from>
    <xdr:to>
      <xdr:col>14</xdr:col>
      <xdr:colOff>28575</xdr:colOff>
      <xdr:row>108</xdr:row>
      <xdr:rowOff>180975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113</xdr:row>
      <xdr:rowOff>114300</xdr:rowOff>
    </xdr:from>
    <xdr:to>
      <xdr:col>6</xdr:col>
      <xdr:colOff>428625</xdr:colOff>
      <xdr:row>114</xdr:row>
      <xdr:rowOff>133350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>
          <a:spLocks noChangeArrowheads="1"/>
        </xdr:cNvSpPr>
      </xdr:nvSpPr>
      <xdr:spPr bwMode="auto">
        <a:xfrm>
          <a:off x="43719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113</xdr:row>
      <xdr:rowOff>114300</xdr:rowOff>
    </xdr:from>
    <xdr:to>
      <xdr:col>9</xdr:col>
      <xdr:colOff>428625</xdr:colOff>
      <xdr:row>114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 txBox="1">
          <a:spLocks noChangeArrowheads="1"/>
        </xdr:cNvSpPr>
      </xdr:nvSpPr>
      <xdr:spPr bwMode="auto">
        <a:xfrm>
          <a:off x="611505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113</xdr:row>
      <xdr:rowOff>114300</xdr:rowOff>
    </xdr:from>
    <xdr:to>
      <xdr:col>12</xdr:col>
      <xdr:colOff>428625</xdr:colOff>
      <xdr:row>114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113</xdr:row>
      <xdr:rowOff>114300</xdr:rowOff>
    </xdr:from>
    <xdr:to>
      <xdr:col>15</xdr:col>
      <xdr:colOff>428625</xdr:colOff>
      <xdr:row>114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113</xdr:row>
      <xdr:rowOff>114300</xdr:rowOff>
    </xdr:from>
    <xdr:to>
      <xdr:col>18</xdr:col>
      <xdr:colOff>428625</xdr:colOff>
      <xdr:row>114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>
          <a:spLocks noChangeArrowheads="1"/>
        </xdr:cNvSpPr>
      </xdr:nvSpPr>
      <xdr:spPr bwMode="auto">
        <a:xfrm>
          <a:off x="113442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113</xdr:row>
      <xdr:rowOff>114300</xdr:rowOff>
    </xdr:from>
    <xdr:to>
      <xdr:col>12</xdr:col>
      <xdr:colOff>428625</xdr:colOff>
      <xdr:row>114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113</xdr:row>
      <xdr:rowOff>114300</xdr:rowOff>
    </xdr:from>
    <xdr:to>
      <xdr:col>15</xdr:col>
      <xdr:colOff>428625</xdr:colOff>
      <xdr:row>114</xdr:row>
      <xdr:rowOff>133350</xdr:rowOff>
    </xdr:to>
    <xdr:sp macro="" textlink="">
      <xdr:nvSpPr>
        <xdr:cNvPr id="10" name="Text Box 120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82</xdr:row>
      <xdr:rowOff>1</xdr:rowOff>
    </xdr:from>
    <xdr:to>
      <xdr:col>14</xdr:col>
      <xdr:colOff>390525</xdr:colOff>
      <xdr:row>112</xdr:row>
      <xdr:rowOff>152401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120</xdr:row>
      <xdr:rowOff>114300</xdr:rowOff>
    </xdr:from>
    <xdr:to>
      <xdr:col>6</xdr:col>
      <xdr:colOff>428625</xdr:colOff>
      <xdr:row>121</xdr:row>
      <xdr:rowOff>133350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 txBox="1">
          <a:spLocks noChangeArrowheads="1"/>
        </xdr:cNvSpPr>
      </xdr:nvSpPr>
      <xdr:spPr bwMode="auto">
        <a:xfrm>
          <a:off x="43719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120</xdr:row>
      <xdr:rowOff>114300</xdr:rowOff>
    </xdr:from>
    <xdr:to>
      <xdr:col>9</xdr:col>
      <xdr:colOff>428625</xdr:colOff>
      <xdr:row>121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 txBox="1">
          <a:spLocks noChangeArrowheads="1"/>
        </xdr:cNvSpPr>
      </xdr:nvSpPr>
      <xdr:spPr bwMode="auto">
        <a:xfrm>
          <a:off x="611505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120</xdr:row>
      <xdr:rowOff>114300</xdr:rowOff>
    </xdr:from>
    <xdr:to>
      <xdr:col>12</xdr:col>
      <xdr:colOff>428625</xdr:colOff>
      <xdr:row>121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120</xdr:row>
      <xdr:rowOff>114300</xdr:rowOff>
    </xdr:from>
    <xdr:to>
      <xdr:col>15</xdr:col>
      <xdr:colOff>428625</xdr:colOff>
      <xdr:row>121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120</xdr:row>
      <xdr:rowOff>114300</xdr:rowOff>
    </xdr:from>
    <xdr:to>
      <xdr:col>18</xdr:col>
      <xdr:colOff>428625</xdr:colOff>
      <xdr:row>121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>
          <a:spLocks noChangeArrowheads="1"/>
        </xdr:cNvSpPr>
      </xdr:nvSpPr>
      <xdr:spPr bwMode="auto">
        <a:xfrm>
          <a:off x="113442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120</xdr:row>
      <xdr:rowOff>114300</xdr:rowOff>
    </xdr:from>
    <xdr:to>
      <xdr:col>12</xdr:col>
      <xdr:colOff>428625</xdr:colOff>
      <xdr:row>121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120</xdr:row>
      <xdr:rowOff>114300</xdr:rowOff>
    </xdr:from>
    <xdr:to>
      <xdr:col>15</xdr:col>
      <xdr:colOff>428625</xdr:colOff>
      <xdr:row>121</xdr:row>
      <xdr:rowOff>133350</xdr:rowOff>
    </xdr:to>
    <xdr:sp macro="" textlink="">
      <xdr:nvSpPr>
        <xdr:cNvPr id="10" name="Text Box 120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0.76094</cdr:x>
      <cdr:y>0.76941</cdr:y>
    </cdr:from>
    <cdr:to>
      <cdr:x>0.90696</cdr:x>
      <cdr:y>0.84349</cdr:y>
    </cdr:to>
    <cdr:sp macro="" textlink="">
      <cdr:nvSpPr>
        <cdr:cNvPr id="5" name="Llamada con línea 2 4"/>
        <cdr:cNvSpPr/>
      </cdr:nvSpPr>
      <cdr:spPr>
        <a:xfrm xmlns:a="http://schemas.openxmlformats.org/drawingml/2006/main">
          <a:off x="7168255" y="4514459"/>
          <a:ext cx="1375541" cy="434657"/>
        </a:xfrm>
        <a:prstGeom xmlns:a="http://schemas.openxmlformats.org/drawingml/2006/main" prst="borderCallout2">
          <a:avLst>
            <a:gd name="adj1" fmla="val 40664"/>
            <a:gd name="adj2" fmla="val -716"/>
            <a:gd name="adj3" fmla="val 40664"/>
            <a:gd name="adj4" fmla="val -18052"/>
            <a:gd name="adj5" fmla="val -50200"/>
            <a:gd name="adj6" fmla="val -28564"/>
          </a:avLst>
        </a:prstGeom>
        <a:solidFill xmlns:a="http://schemas.openxmlformats.org/drawingml/2006/main">
          <a:schemeClr val="bg1"/>
        </a:solidFill>
        <a:ln xmlns:a="http://schemas.openxmlformats.org/drawingml/2006/main" w="12700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s-AR" sz="1000" baseline="0">
              <a:solidFill>
                <a:sysClr val="windowText" lastClr="000000"/>
              </a:solidFill>
              <a:latin typeface="Arial" panose="020B0604020202020204" pitchFamily="34" charset="0"/>
            </a:rPr>
            <a:t>Transfiere 18 MW a ET ARGUELLO</a:t>
          </a:r>
        </a:p>
      </cdr:txBody>
    </cdr:sp>
  </cdr:relSizeAnchor>
  <cdr:relSizeAnchor xmlns:cdr="http://schemas.openxmlformats.org/drawingml/2006/chartDrawing">
    <cdr:from>
      <cdr:x>0.57465</cdr:x>
      <cdr:y>0.7684</cdr:y>
    </cdr:from>
    <cdr:to>
      <cdr:x>0.72067</cdr:x>
      <cdr:y>0.84248</cdr:y>
    </cdr:to>
    <cdr:sp macro="" textlink="">
      <cdr:nvSpPr>
        <cdr:cNvPr id="3" name="Llamada con línea 2 2"/>
        <cdr:cNvSpPr/>
      </cdr:nvSpPr>
      <cdr:spPr>
        <a:xfrm xmlns:a="http://schemas.openxmlformats.org/drawingml/2006/main">
          <a:off x="5413342" y="4508493"/>
          <a:ext cx="1375541" cy="434657"/>
        </a:xfrm>
        <a:prstGeom xmlns:a="http://schemas.openxmlformats.org/drawingml/2006/main" prst="borderCallout2">
          <a:avLst>
            <a:gd name="adj1" fmla="val 1219"/>
            <a:gd name="adj2" fmla="val 51910"/>
            <a:gd name="adj3" fmla="val -75480"/>
            <a:gd name="adj4" fmla="val 52579"/>
            <a:gd name="adj5" fmla="val -212362"/>
            <a:gd name="adj6" fmla="val 55223"/>
          </a:avLst>
        </a:prstGeom>
        <a:solidFill xmlns:a="http://schemas.openxmlformats.org/drawingml/2006/main">
          <a:schemeClr val="bg1"/>
        </a:solidFill>
        <a:ln xmlns:a="http://schemas.openxmlformats.org/drawingml/2006/main" w="12700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000" baseline="0">
              <a:solidFill>
                <a:sysClr val="windowText" lastClr="000000"/>
              </a:solidFill>
              <a:latin typeface="Arial" panose="020B0604020202020204" pitchFamily="34" charset="0"/>
            </a:rPr>
            <a:t>Transfiere 5 MW a ET NORTE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79</xdr:row>
      <xdr:rowOff>0</xdr:rowOff>
    </xdr:from>
    <xdr:to>
      <xdr:col>13</xdr:col>
      <xdr:colOff>9526</xdr:colOff>
      <xdr:row>108</xdr:row>
      <xdr:rowOff>161926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113</xdr:row>
      <xdr:rowOff>114300</xdr:rowOff>
    </xdr:from>
    <xdr:to>
      <xdr:col>6</xdr:col>
      <xdr:colOff>428625</xdr:colOff>
      <xdr:row>114</xdr:row>
      <xdr:rowOff>133350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>
          <a:spLocks noChangeArrowheads="1"/>
        </xdr:cNvSpPr>
      </xdr:nvSpPr>
      <xdr:spPr bwMode="auto">
        <a:xfrm>
          <a:off x="43719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113</xdr:row>
      <xdr:rowOff>114300</xdr:rowOff>
    </xdr:from>
    <xdr:to>
      <xdr:col>9</xdr:col>
      <xdr:colOff>428625</xdr:colOff>
      <xdr:row>114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 txBox="1">
          <a:spLocks noChangeArrowheads="1"/>
        </xdr:cNvSpPr>
      </xdr:nvSpPr>
      <xdr:spPr bwMode="auto">
        <a:xfrm>
          <a:off x="611505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113</xdr:row>
      <xdr:rowOff>114300</xdr:rowOff>
    </xdr:from>
    <xdr:to>
      <xdr:col>12</xdr:col>
      <xdr:colOff>428625</xdr:colOff>
      <xdr:row>114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113</xdr:row>
      <xdr:rowOff>114300</xdr:rowOff>
    </xdr:from>
    <xdr:to>
      <xdr:col>15</xdr:col>
      <xdr:colOff>428625</xdr:colOff>
      <xdr:row>114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113</xdr:row>
      <xdr:rowOff>114300</xdr:rowOff>
    </xdr:from>
    <xdr:to>
      <xdr:col>18</xdr:col>
      <xdr:colOff>428625</xdr:colOff>
      <xdr:row>114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>
          <a:spLocks noChangeArrowheads="1"/>
        </xdr:cNvSpPr>
      </xdr:nvSpPr>
      <xdr:spPr bwMode="auto">
        <a:xfrm>
          <a:off x="113442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113</xdr:row>
      <xdr:rowOff>114300</xdr:rowOff>
    </xdr:from>
    <xdr:to>
      <xdr:col>12</xdr:col>
      <xdr:colOff>428625</xdr:colOff>
      <xdr:row>114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113</xdr:row>
      <xdr:rowOff>114300</xdr:rowOff>
    </xdr:from>
    <xdr:to>
      <xdr:col>15</xdr:col>
      <xdr:colOff>428625</xdr:colOff>
      <xdr:row>114</xdr:row>
      <xdr:rowOff>133350</xdr:rowOff>
    </xdr:to>
    <xdr:sp macro="" textlink="">
      <xdr:nvSpPr>
        <xdr:cNvPr id="10" name="Text Box 120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72</xdr:row>
      <xdr:rowOff>0</xdr:rowOff>
    </xdr:from>
    <xdr:to>
      <xdr:col>13</xdr:col>
      <xdr:colOff>9526</xdr:colOff>
      <xdr:row>102</xdr:row>
      <xdr:rowOff>38100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107</xdr:row>
      <xdr:rowOff>114300</xdr:rowOff>
    </xdr:from>
    <xdr:to>
      <xdr:col>6</xdr:col>
      <xdr:colOff>428625</xdr:colOff>
      <xdr:row>108</xdr:row>
      <xdr:rowOff>133350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 txBox="1">
          <a:spLocks noChangeArrowheads="1"/>
        </xdr:cNvSpPr>
      </xdr:nvSpPr>
      <xdr:spPr bwMode="auto">
        <a:xfrm>
          <a:off x="43719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107</xdr:row>
      <xdr:rowOff>114300</xdr:rowOff>
    </xdr:from>
    <xdr:to>
      <xdr:col>9</xdr:col>
      <xdr:colOff>428625</xdr:colOff>
      <xdr:row>108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 txBox="1">
          <a:spLocks noChangeArrowheads="1"/>
        </xdr:cNvSpPr>
      </xdr:nvSpPr>
      <xdr:spPr bwMode="auto">
        <a:xfrm>
          <a:off x="611505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107</xdr:row>
      <xdr:rowOff>114300</xdr:rowOff>
    </xdr:from>
    <xdr:to>
      <xdr:col>12</xdr:col>
      <xdr:colOff>428625</xdr:colOff>
      <xdr:row>108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107</xdr:row>
      <xdr:rowOff>114300</xdr:rowOff>
    </xdr:from>
    <xdr:to>
      <xdr:col>15</xdr:col>
      <xdr:colOff>428625</xdr:colOff>
      <xdr:row>108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107</xdr:row>
      <xdr:rowOff>114300</xdr:rowOff>
    </xdr:from>
    <xdr:to>
      <xdr:col>18</xdr:col>
      <xdr:colOff>428625</xdr:colOff>
      <xdr:row>108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>
          <a:spLocks noChangeArrowheads="1"/>
        </xdr:cNvSpPr>
      </xdr:nvSpPr>
      <xdr:spPr bwMode="auto">
        <a:xfrm>
          <a:off x="113442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107</xdr:row>
      <xdr:rowOff>114300</xdr:rowOff>
    </xdr:from>
    <xdr:to>
      <xdr:col>12</xdr:col>
      <xdr:colOff>428625</xdr:colOff>
      <xdr:row>108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107</xdr:row>
      <xdr:rowOff>114300</xdr:rowOff>
    </xdr:from>
    <xdr:to>
      <xdr:col>15</xdr:col>
      <xdr:colOff>428625</xdr:colOff>
      <xdr:row>108</xdr:row>
      <xdr:rowOff>133350</xdr:rowOff>
    </xdr:to>
    <xdr:sp macro="" textlink="">
      <xdr:nvSpPr>
        <xdr:cNvPr id="10" name="Text Box 120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352425</xdr:colOff>
      <xdr:row>111</xdr:row>
      <xdr:rowOff>114300</xdr:rowOff>
    </xdr:from>
    <xdr:to>
      <xdr:col>6</xdr:col>
      <xdr:colOff>428625</xdr:colOff>
      <xdr:row>112</xdr:row>
      <xdr:rowOff>95250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43719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111</xdr:row>
      <xdr:rowOff>114300</xdr:rowOff>
    </xdr:from>
    <xdr:to>
      <xdr:col>9</xdr:col>
      <xdr:colOff>428625</xdr:colOff>
      <xdr:row>112</xdr:row>
      <xdr:rowOff>95250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611505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111</xdr:row>
      <xdr:rowOff>114300</xdr:rowOff>
    </xdr:from>
    <xdr:to>
      <xdr:col>12</xdr:col>
      <xdr:colOff>428625</xdr:colOff>
      <xdr:row>112</xdr:row>
      <xdr:rowOff>95250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111</xdr:row>
      <xdr:rowOff>114300</xdr:rowOff>
    </xdr:from>
    <xdr:to>
      <xdr:col>15</xdr:col>
      <xdr:colOff>428625</xdr:colOff>
      <xdr:row>112</xdr:row>
      <xdr:rowOff>95250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111</xdr:row>
      <xdr:rowOff>114300</xdr:rowOff>
    </xdr:from>
    <xdr:to>
      <xdr:col>18</xdr:col>
      <xdr:colOff>428625</xdr:colOff>
      <xdr:row>112</xdr:row>
      <xdr:rowOff>95250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113442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111</xdr:row>
      <xdr:rowOff>114300</xdr:rowOff>
    </xdr:from>
    <xdr:to>
      <xdr:col>12</xdr:col>
      <xdr:colOff>428625</xdr:colOff>
      <xdr:row>112</xdr:row>
      <xdr:rowOff>95250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111</xdr:row>
      <xdr:rowOff>114300</xdr:rowOff>
    </xdr:from>
    <xdr:to>
      <xdr:col>15</xdr:col>
      <xdr:colOff>428625</xdr:colOff>
      <xdr:row>112</xdr:row>
      <xdr:rowOff>95250</xdr:rowOff>
    </xdr:to>
    <xdr:sp macro="" textlink="">
      <xdr:nvSpPr>
        <xdr:cNvPr id="10" name="Text Box 12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19050</xdr:colOff>
      <xdr:row>81</xdr:row>
      <xdr:rowOff>38100</xdr:rowOff>
    </xdr:from>
    <xdr:to>
      <xdr:col>13</xdr:col>
      <xdr:colOff>16670</xdr:colOff>
      <xdr:row>111</xdr:row>
      <xdr:rowOff>47625</xdr:rowOff>
    </xdr:to>
    <xdr:graphicFrame macro="">
      <xdr:nvGraphicFramePr>
        <xdr:cNvPr id="12" name="1 Gráfico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352425</xdr:colOff>
      <xdr:row>125</xdr:row>
      <xdr:rowOff>114300</xdr:rowOff>
    </xdr:from>
    <xdr:ext cx="76200" cy="180975"/>
    <xdr:sp macro="" textlink="">
      <xdr:nvSpPr>
        <xdr:cNvPr id="14" name="Text Box 12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>
          <a:spLocks noChangeArrowheads="1"/>
        </xdr:cNvSpPr>
      </xdr:nvSpPr>
      <xdr:spPr bwMode="auto">
        <a:xfrm>
          <a:off x="4371975" y="2200275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352425</xdr:colOff>
      <xdr:row>125</xdr:row>
      <xdr:rowOff>114300</xdr:rowOff>
    </xdr:from>
    <xdr:ext cx="76200" cy="180975"/>
    <xdr:sp macro="" textlink="">
      <xdr:nvSpPr>
        <xdr:cNvPr id="15" name="Text Box 120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>
          <a:spLocks noChangeArrowheads="1"/>
        </xdr:cNvSpPr>
      </xdr:nvSpPr>
      <xdr:spPr bwMode="auto">
        <a:xfrm>
          <a:off x="6781800" y="2200275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352425</xdr:colOff>
      <xdr:row>125</xdr:row>
      <xdr:rowOff>114300</xdr:rowOff>
    </xdr:from>
    <xdr:ext cx="76200" cy="180975"/>
    <xdr:sp macro="" textlink="">
      <xdr:nvSpPr>
        <xdr:cNvPr id="16" name="Text Box 120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>
          <a:spLocks noChangeArrowheads="1"/>
        </xdr:cNvSpPr>
      </xdr:nvSpPr>
      <xdr:spPr bwMode="auto">
        <a:xfrm>
          <a:off x="8972550" y="2200275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352425</xdr:colOff>
      <xdr:row>125</xdr:row>
      <xdr:rowOff>114300</xdr:rowOff>
    </xdr:from>
    <xdr:ext cx="76200" cy="180975"/>
    <xdr:sp macro="" textlink="">
      <xdr:nvSpPr>
        <xdr:cNvPr id="17" name="Text Box 120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>
          <a:spLocks noChangeArrowheads="1"/>
        </xdr:cNvSpPr>
      </xdr:nvSpPr>
      <xdr:spPr bwMode="auto">
        <a:xfrm>
          <a:off x="11382375" y="2200275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352425</xdr:colOff>
      <xdr:row>125</xdr:row>
      <xdr:rowOff>114300</xdr:rowOff>
    </xdr:from>
    <xdr:ext cx="76200" cy="180975"/>
    <xdr:sp macro="" textlink="">
      <xdr:nvSpPr>
        <xdr:cNvPr id="18" name="Text Box 12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>
          <a:spLocks noChangeArrowheads="1"/>
        </xdr:cNvSpPr>
      </xdr:nvSpPr>
      <xdr:spPr bwMode="auto">
        <a:xfrm>
          <a:off x="13620750" y="2200275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352425</xdr:colOff>
      <xdr:row>125</xdr:row>
      <xdr:rowOff>114300</xdr:rowOff>
    </xdr:from>
    <xdr:ext cx="76200" cy="180975"/>
    <xdr:sp macro="" textlink="">
      <xdr:nvSpPr>
        <xdr:cNvPr id="19" name="Text Box 120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>
          <a:spLocks noChangeArrowheads="1"/>
        </xdr:cNvSpPr>
      </xdr:nvSpPr>
      <xdr:spPr bwMode="auto">
        <a:xfrm>
          <a:off x="8972550" y="2200275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352425</xdr:colOff>
      <xdr:row>125</xdr:row>
      <xdr:rowOff>114300</xdr:rowOff>
    </xdr:from>
    <xdr:ext cx="76200" cy="180975"/>
    <xdr:sp macro="" textlink="">
      <xdr:nvSpPr>
        <xdr:cNvPr id="20" name="Text Box 120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>
          <a:spLocks noChangeArrowheads="1"/>
        </xdr:cNvSpPr>
      </xdr:nvSpPr>
      <xdr:spPr bwMode="auto">
        <a:xfrm>
          <a:off x="11382375" y="2200275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70</xdr:row>
      <xdr:rowOff>142874</xdr:rowOff>
    </xdr:from>
    <xdr:to>
      <xdr:col>13</xdr:col>
      <xdr:colOff>19050</xdr:colOff>
      <xdr:row>101</xdr:row>
      <xdr:rowOff>76199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106</xdr:row>
      <xdr:rowOff>114300</xdr:rowOff>
    </xdr:from>
    <xdr:to>
      <xdr:col>6</xdr:col>
      <xdr:colOff>428625</xdr:colOff>
      <xdr:row>107</xdr:row>
      <xdr:rowOff>133350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 txBox="1">
          <a:spLocks noChangeArrowheads="1"/>
        </xdr:cNvSpPr>
      </xdr:nvSpPr>
      <xdr:spPr bwMode="auto">
        <a:xfrm>
          <a:off x="43719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106</xdr:row>
      <xdr:rowOff>114300</xdr:rowOff>
    </xdr:from>
    <xdr:to>
      <xdr:col>9</xdr:col>
      <xdr:colOff>428625</xdr:colOff>
      <xdr:row>107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 txBox="1">
          <a:spLocks noChangeArrowheads="1"/>
        </xdr:cNvSpPr>
      </xdr:nvSpPr>
      <xdr:spPr bwMode="auto">
        <a:xfrm>
          <a:off x="611505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106</xdr:row>
      <xdr:rowOff>114300</xdr:rowOff>
    </xdr:from>
    <xdr:to>
      <xdr:col>12</xdr:col>
      <xdr:colOff>428625</xdr:colOff>
      <xdr:row>107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106</xdr:row>
      <xdr:rowOff>114300</xdr:rowOff>
    </xdr:from>
    <xdr:to>
      <xdr:col>15</xdr:col>
      <xdr:colOff>428625</xdr:colOff>
      <xdr:row>107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106</xdr:row>
      <xdr:rowOff>114300</xdr:rowOff>
    </xdr:from>
    <xdr:to>
      <xdr:col>18</xdr:col>
      <xdr:colOff>428625</xdr:colOff>
      <xdr:row>107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 txBox="1">
          <a:spLocks noChangeArrowheads="1"/>
        </xdr:cNvSpPr>
      </xdr:nvSpPr>
      <xdr:spPr bwMode="auto">
        <a:xfrm>
          <a:off x="113442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106</xdr:row>
      <xdr:rowOff>114300</xdr:rowOff>
    </xdr:from>
    <xdr:to>
      <xdr:col>12</xdr:col>
      <xdr:colOff>428625</xdr:colOff>
      <xdr:row>107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106</xdr:row>
      <xdr:rowOff>114300</xdr:rowOff>
    </xdr:from>
    <xdr:to>
      <xdr:col>15</xdr:col>
      <xdr:colOff>428625</xdr:colOff>
      <xdr:row>107</xdr:row>
      <xdr:rowOff>133350</xdr:rowOff>
    </xdr:to>
    <xdr:sp macro="" textlink="">
      <xdr:nvSpPr>
        <xdr:cNvPr id="10" name="Text Box 120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119</xdr:row>
      <xdr:rowOff>0</xdr:rowOff>
    </xdr:from>
    <xdr:to>
      <xdr:col>13</xdr:col>
      <xdr:colOff>76200</xdr:colOff>
      <xdr:row>149</xdr:row>
      <xdr:rowOff>123825</xdr:rowOff>
    </xdr:to>
    <xdr:graphicFrame macro="">
      <xdr:nvGraphicFramePr>
        <xdr:cNvPr id="11" name="1 Gráfico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0.78021</cdr:x>
      <cdr:y>0.85568</cdr:y>
    </cdr:from>
    <cdr:to>
      <cdr:x>0.83526</cdr:x>
      <cdr:y>0.90216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7082183" y="4996193"/>
          <a:ext cx="499707" cy="27138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100" b="1" i="0" baseline="0">
              <a:latin typeface="Arial" panose="020B0604020202020204" pitchFamily="34" charset="0"/>
            </a:rPr>
            <a:t>2023</a:t>
          </a:r>
        </a:p>
      </cdr:txBody>
    </cdr:sp>
  </cdr:relSizeAnchor>
  <cdr:relSizeAnchor xmlns:cdr="http://schemas.openxmlformats.org/drawingml/2006/chartDrawing">
    <cdr:from>
      <cdr:x>0.51941</cdr:x>
      <cdr:y>0.66612</cdr:y>
    </cdr:from>
    <cdr:to>
      <cdr:x>0.74397</cdr:x>
      <cdr:y>0.72757</cdr:y>
    </cdr:to>
    <cdr:sp macro="" textlink="">
      <cdr:nvSpPr>
        <cdr:cNvPr id="3" name="Llamada con línea 2 2"/>
        <cdr:cNvSpPr/>
      </cdr:nvSpPr>
      <cdr:spPr>
        <a:xfrm xmlns:a="http://schemas.openxmlformats.org/drawingml/2006/main">
          <a:off x="4714853" y="3889357"/>
          <a:ext cx="2038404" cy="358793"/>
        </a:xfrm>
        <a:prstGeom xmlns:a="http://schemas.openxmlformats.org/drawingml/2006/main" prst="borderCallout2">
          <a:avLst>
            <a:gd name="adj1" fmla="val 43750"/>
            <a:gd name="adj2" fmla="val 102626"/>
            <a:gd name="adj3" fmla="val 50914"/>
            <a:gd name="adj4" fmla="val 104909"/>
            <a:gd name="adj5" fmla="val 54578"/>
            <a:gd name="adj6" fmla="val 123796"/>
          </a:avLst>
        </a:prstGeom>
        <a:solidFill xmlns:a="http://schemas.openxmlformats.org/drawingml/2006/main">
          <a:schemeClr val="bg1"/>
        </a:solidFill>
        <a:ln xmlns:a="http://schemas.openxmlformats.org/drawingml/2006/main" w="6350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000" b="1" i="0" baseline="0">
              <a:solidFill>
                <a:sysClr val="windowText" lastClr="000000"/>
              </a:solidFill>
              <a:latin typeface="Arial" panose="020B0604020202020204" pitchFamily="34" charset="0"/>
            </a:rPr>
            <a:t>Puede presentar Saturación a partir del 2023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0.78021</cdr:x>
      <cdr:y>0.85568</cdr:y>
    </cdr:from>
    <cdr:to>
      <cdr:x>0.83526</cdr:x>
      <cdr:y>0.90216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7082183" y="4996193"/>
          <a:ext cx="499707" cy="27138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100" b="1" i="0" baseline="0">
              <a:latin typeface="Arial" panose="020B0604020202020204" pitchFamily="34" charset="0"/>
            </a:rPr>
            <a:t>2023</a:t>
          </a:r>
        </a:p>
      </cdr:txBody>
    </cdr:sp>
  </cdr:relSizeAnchor>
  <cdr:relSizeAnchor xmlns:cdr="http://schemas.openxmlformats.org/drawingml/2006/chartDrawing">
    <cdr:from>
      <cdr:x>0.5397</cdr:x>
      <cdr:y>0.66612</cdr:y>
    </cdr:from>
    <cdr:to>
      <cdr:x>0.74397</cdr:x>
      <cdr:y>0.71154</cdr:y>
    </cdr:to>
    <cdr:sp macro="" textlink="">
      <cdr:nvSpPr>
        <cdr:cNvPr id="3" name="Llamada con línea 2 2"/>
        <cdr:cNvSpPr/>
      </cdr:nvSpPr>
      <cdr:spPr>
        <a:xfrm xmlns:a="http://schemas.openxmlformats.org/drawingml/2006/main">
          <a:off x="4899026" y="3889375"/>
          <a:ext cx="1854200" cy="265167"/>
        </a:xfrm>
        <a:prstGeom xmlns:a="http://schemas.openxmlformats.org/drawingml/2006/main" prst="borderCallout2">
          <a:avLst>
            <a:gd name="adj1" fmla="val 43750"/>
            <a:gd name="adj2" fmla="val 102626"/>
            <a:gd name="adj3" fmla="val 50914"/>
            <a:gd name="adj4" fmla="val 104909"/>
            <a:gd name="adj5" fmla="val 54578"/>
            <a:gd name="adj6" fmla="val 123796"/>
          </a:avLst>
        </a:prstGeom>
        <a:solidFill xmlns:a="http://schemas.openxmlformats.org/drawingml/2006/main">
          <a:schemeClr val="bg1"/>
        </a:solidFill>
        <a:ln xmlns:a="http://schemas.openxmlformats.org/drawingml/2006/main" w="6350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000" b="1" i="0" baseline="0">
              <a:solidFill>
                <a:sysClr val="windowText" lastClr="000000"/>
              </a:solidFill>
              <a:latin typeface="Arial" panose="020B0604020202020204" pitchFamily="34" charset="0"/>
            </a:rPr>
            <a:t>Saturación a partir del 2023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57</xdr:row>
      <xdr:rowOff>190499</xdr:rowOff>
    </xdr:from>
    <xdr:to>
      <xdr:col>13</xdr:col>
      <xdr:colOff>166650</xdr:colOff>
      <xdr:row>87</xdr:row>
      <xdr:rowOff>161924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92</xdr:row>
      <xdr:rowOff>114300</xdr:rowOff>
    </xdr:from>
    <xdr:to>
      <xdr:col>6</xdr:col>
      <xdr:colOff>428625</xdr:colOff>
      <xdr:row>93</xdr:row>
      <xdr:rowOff>133350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 txBox="1">
          <a:spLocks noChangeArrowheads="1"/>
        </xdr:cNvSpPr>
      </xdr:nvSpPr>
      <xdr:spPr bwMode="auto">
        <a:xfrm>
          <a:off x="43719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92</xdr:row>
      <xdr:rowOff>114300</xdr:rowOff>
    </xdr:from>
    <xdr:to>
      <xdr:col>9</xdr:col>
      <xdr:colOff>428625</xdr:colOff>
      <xdr:row>93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SpPr txBox="1">
          <a:spLocks noChangeArrowheads="1"/>
        </xdr:cNvSpPr>
      </xdr:nvSpPr>
      <xdr:spPr bwMode="auto">
        <a:xfrm>
          <a:off x="611505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92</xdr:row>
      <xdr:rowOff>114300</xdr:rowOff>
    </xdr:from>
    <xdr:to>
      <xdr:col>12</xdr:col>
      <xdr:colOff>428625</xdr:colOff>
      <xdr:row>93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92</xdr:row>
      <xdr:rowOff>114300</xdr:rowOff>
    </xdr:from>
    <xdr:to>
      <xdr:col>15</xdr:col>
      <xdr:colOff>428625</xdr:colOff>
      <xdr:row>93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92</xdr:row>
      <xdr:rowOff>114300</xdr:rowOff>
    </xdr:from>
    <xdr:to>
      <xdr:col>18</xdr:col>
      <xdr:colOff>428625</xdr:colOff>
      <xdr:row>93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SpPr txBox="1">
          <a:spLocks noChangeArrowheads="1"/>
        </xdr:cNvSpPr>
      </xdr:nvSpPr>
      <xdr:spPr bwMode="auto">
        <a:xfrm>
          <a:off x="113442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92</xdr:row>
      <xdr:rowOff>114300</xdr:rowOff>
    </xdr:from>
    <xdr:to>
      <xdr:col>12</xdr:col>
      <xdr:colOff>428625</xdr:colOff>
      <xdr:row>93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92</xdr:row>
      <xdr:rowOff>114300</xdr:rowOff>
    </xdr:from>
    <xdr:to>
      <xdr:col>15</xdr:col>
      <xdr:colOff>428625</xdr:colOff>
      <xdr:row>93</xdr:row>
      <xdr:rowOff>133350</xdr:rowOff>
    </xdr:to>
    <xdr:sp macro="" textlink="">
      <xdr:nvSpPr>
        <xdr:cNvPr id="10" name="Text Box 120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371477</xdr:colOff>
      <xdr:row>37</xdr:row>
      <xdr:rowOff>104775</xdr:rowOff>
    </xdr:from>
    <xdr:to>
      <xdr:col>13</xdr:col>
      <xdr:colOff>19050</xdr:colOff>
      <xdr:row>66</xdr:row>
      <xdr:rowOff>9525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13</xdr:col>
      <xdr:colOff>28573</xdr:colOff>
      <xdr:row>127</xdr:row>
      <xdr:rowOff>38100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352425</xdr:colOff>
      <xdr:row>131</xdr:row>
      <xdr:rowOff>114300</xdr:rowOff>
    </xdr:from>
    <xdr:to>
      <xdr:col>6</xdr:col>
      <xdr:colOff>428625</xdr:colOff>
      <xdr:row>132</xdr:row>
      <xdr:rowOff>133350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 txBox="1">
          <a:spLocks noChangeArrowheads="1"/>
        </xdr:cNvSpPr>
      </xdr:nvSpPr>
      <xdr:spPr bwMode="auto">
        <a:xfrm>
          <a:off x="43719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131</xdr:row>
      <xdr:rowOff>114300</xdr:rowOff>
    </xdr:from>
    <xdr:to>
      <xdr:col>9</xdr:col>
      <xdr:colOff>428625</xdr:colOff>
      <xdr:row>132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 txBox="1">
          <a:spLocks noChangeArrowheads="1"/>
        </xdr:cNvSpPr>
      </xdr:nvSpPr>
      <xdr:spPr bwMode="auto">
        <a:xfrm>
          <a:off x="611505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131</xdr:row>
      <xdr:rowOff>114300</xdr:rowOff>
    </xdr:from>
    <xdr:to>
      <xdr:col>12</xdr:col>
      <xdr:colOff>428625</xdr:colOff>
      <xdr:row>132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131</xdr:row>
      <xdr:rowOff>114300</xdr:rowOff>
    </xdr:from>
    <xdr:to>
      <xdr:col>15</xdr:col>
      <xdr:colOff>428625</xdr:colOff>
      <xdr:row>132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131</xdr:row>
      <xdr:rowOff>114300</xdr:rowOff>
    </xdr:from>
    <xdr:to>
      <xdr:col>18</xdr:col>
      <xdr:colOff>428625</xdr:colOff>
      <xdr:row>132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 txBox="1">
          <a:spLocks noChangeArrowheads="1"/>
        </xdr:cNvSpPr>
      </xdr:nvSpPr>
      <xdr:spPr bwMode="auto">
        <a:xfrm>
          <a:off x="113442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131</xdr:row>
      <xdr:rowOff>114300</xdr:rowOff>
    </xdr:from>
    <xdr:to>
      <xdr:col>12</xdr:col>
      <xdr:colOff>428625</xdr:colOff>
      <xdr:row>132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131</xdr:row>
      <xdr:rowOff>114300</xdr:rowOff>
    </xdr:from>
    <xdr:to>
      <xdr:col>15</xdr:col>
      <xdr:colOff>428625</xdr:colOff>
      <xdr:row>132</xdr:row>
      <xdr:rowOff>133350</xdr:rowOff>
    </xdr:to>
    <xdr:sp macro="" textlink="">
      <xdr:nvSpPr>
        <xdr:cNvPr id="10" name="Text Box 120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62</xdr:row>
      <xdr:rowOff>66673</xdr:rowOff>
    </xdr:from>
    <xdr:to>
      <xdr:col>13</xdr:col>
      <xdr:colOff>104775</xdr:colOff>
      <xdr:row>94</xdr:row>
      <xdr:rowOff>85724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99</xdr:row>
      <xdr:rowOff>114300</xdr:rowOff>
    </xdr:from>
    <xdr:to>
      <xdr:col>6</xdr:col>
      <xdr:colOff>428625</xdr:colOff>
      <xdr:row>100</xdr:row>
      <xdr:rowOff>133350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 txBox="1">
          <a:spLocks noChangeArrowheads="1"/>
        </xdr:cNvSpPr>
      </xdr:nvSpPr>
      <xdr:spPr bwMode="auto">
        <a:xfrm>
          <a:off x="43719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99</xdr:row>
      <xdr:rowOff>114300</xdr:rowOff>
    </xdr:from>
    <xdr:to>
      <xdr:col>9</xdr:col>
      <xdr:colOff>428625</xdr:colOff>
      <xdr:row>100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 txBox="1">
          <a:spLocks noChangeArrowheads="1"/>
        </xdr:cNvSpPr>
      </xdr:nvSpPr>
      <xdr:spPr bwMode="auto">
        <a:xfrm>
          <a:off x="611505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99</xdr:row>
      <xdr:rowOff>114300</xdr:rowOff>
    </xdr:from>
    <xdr:to>
      <xdr:col>12</xdr:col>
      <xdr:colOff>428625</xdr:colOff>
      <xdr:row>100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99</xdr:row>
      <xdr:rowOff>114300</xdr:rowOff>
    </xdr:from>
    <xdr:to>
      <xdr:col>15</xdr:col>
      <xdr:colOff>428625</xdr:colOff>
      <xdr:row>100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99</xdr:row>
      <xdr:rowOff>114300</xdr:rowOff>
    </xdr:from>
    <xdr:to>
      <xdr:col>18</xdr:col>
      <xdr:colOff>428625</xdr:colOff>
      <xdr:row>100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 txBox="1">
          <a:spLocks noChangeArrowheads="1"/>
        </xdr:cNvSpPr>
      </xdr:nvSpPr>
      <xdr:spPr bwMode="auto">
        <a:xfrm>
          <a:off x="113442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99</xdr:row>
      <xdr:rowOff>114300</xdr:rowOff>
    </xdr:from>
    <xdr:to>
      <xdr:col>12</xdr:col>
      <xdr:colOff>428625</xdr:colOff>
      <xdr:row>100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99</xdr:row>
      <xdr:rowOff>114300</xdr:rowOff>
    </xdr:from>
    <xdr:to>
      <xdr:col>15</xdr:col>
      <xdr:colOff>428625</xdr:colOff>
      <xdr:row>100</xdr:row>
      <xdr:rowOff>133350</xdr:rowOff>
    </xdr:to>
    <xdr:sp macro="" textlink="">
      <xdr:nvSpPr>
        <xdr:cNvPr id="10" name="Text Box 120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111</xdr:row>
      <xdr:rowOff>0</xdr:rowOff>
    </xdr:from>
    <xdr:to>
      <xdr:col>13</xdr:col>
      <xdr:colOff>114300</xdr:colOff>
      <xdr:row>143</xdr:row>
      <xdr:rowOff>19051</xdr:rowOff>
    </xdr:to>
    <xdr:graphicFrame macro="">
      <xdr:nvGraphicFramePr>
        <xdr:cNvPr id="11" name="1 Gráfico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0.05678</cdr:x>
      <cdr:y>0.18277</cdr:y>
    </cdr:from>
    <cdr:to>
      <cdr:x>0.57402</cdr:x>
      <cdr:y>0.22741</cdr:y>
    </cdr:to>
    <cdr:sp macro="" textlink="">
      <cdr:nvSpPr>
        <cdr:cNvPr id="2" name="Abrir llave 1"/>
        <cdr:cNvSpPr/>
      </cdr:nvSpPr>
      <cdr:spPr>
        <a:xfrm xmlns:a="http://schemas.openxmlformats.org/drawingml/2006/main" rot="5400000">
          <a:off x="2738452" y="-1103289"/>
          <a:ext cx="273023" cy="4714862"/>
        </a:xfrm>
        <a:prstGeom xmlns:a="http://schemas.openxmlformats.org/drawingml/2006/main" prst="leftBrac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0.28353</cdr:x>
      <cdr:y>0.12825</cdr:y>
    </cdr:from>
    <cdr:to>
      <cdr:x>0.35632</cdr:x>
      <cdr:y>0.17342</cdr:y>
    </cdr:to>
    <cdr:sp macro="" textlink="">
      <cdr:nvSpPr>
        <cdr:cNvPr id="6" name="CuadroTexto 1"/>
        <cdr:cNvSpPr txBox="1"/>
      </cdr:nvSpPr>
      <cdr:spPr>
        <a:xfrm xmlns:a="http://schemas.openxmlformats.org/drawingml/2006/main">
          <a:off x="2584480" y="784254"/>
          <a:ext cx="663546" cy="27621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 b="1" i="0" baseline="0">
              <a:effectLst/>
              <a:latin typeface="Arial" panose="020B0604020202020204" pitchFamily="34" charset="0"/>
              <a:ea typeface="+mn-ea"/>
              <a:cs typeface="+mn-cs"/>
            </a:rPr>
            <a:t>ET FIAT</a:t>
          </a:r>
          <a:endParaRPr lang="es-AR" b="1" baseline="0">
            <a:effectLst/>
            <a:latin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0.66179</cdr:x>
      <cdr:y>0.11578</cdr:y>
    </cdr:from>
    <cdr:to>
      <cdr:x>0.85789</cdr:x>
      <cdr:y>0.16096</cdr:y>
    </cdr:to>
    <cdr:sp macro="" textlink="">
      <cdr:nvSpPr>
        <cdr:cNvPr id="8" name="CuadroTexto 1"/>
        <cdr:cNvSpPr txBox="1"/>
      </cdr:nvSpPr>
      <cdr:spPr>
        <a:xfrm xmlns:a="http://schemas.openxmlformats.org/drawingml/2006/main">
          <a:off x="6032480" y="708001"/>
          <a:ext cx="1787546" cy="27627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 b="1" i="0" baseline="0">
              <a:effectLst/>
              <a:latin typeface="Arial" panose="020B0604020202020204" pitchFamily="34" charset="0"/>
              <a:ea typeface="+mn-ea"/>
              <a:cs typeface="+mn-cs"/>
            </a:rPr>
            <a:t>ES 2015 ET Interfabricas</a:t>
          </a:r>
          <a:endParaRPr lang="es-AR" b="1" i="0">
            <a:effectLst/>
            <a:latin typeface="Arial" panose="020B0604020202020204" pitchFamily="34" charset="0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0.05678</cdr:x>
      <cdr:y>0.18277</cdr:y>
    </cdr:from>
    <cdr:to>
      <cdr:x>0.57402</cdr:x>
      <cdr:y>0.22741</cdr:y>
    </cdr:to>
    <cdr:sp macro="" textlink="">
      <cdr:nvSpPr>
        <cdr:cNvPr id="2" name="Abrir llave 1"/>
        <cdr:cNvSpPr/>
      </cdr:nvSpPr>
      <cdr:spPr>
        <a:xfrm xmlns:a="http://schemas.openxmlformats.org/drawingml/2006/main" rot="5400000">
          <a:off x="2738452" y="-1103289"/>
          <a:ext cx="273023" cy="4714862"/>
        </a:xfrm>
        <a:prstGeom xmlns:a="http://schemas.openxmlformats.org/drawingml/2006/main" prst="leftBrac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0.59909</cdr:x>
      <cdr:y>0.18899</cdr:y>
    </cdr:from>
    <cdr:to>
      <cdr:x>0.94671</cdr:x>
      <cdr:y>0.22741</cdr:y>
    </cdr:to>
    <cdr:sp macro="" textlink="">
      <cdr:nvSpPr>
        <cdr:cNvPr id="3" name="Abrir llave 2"/>
        <cdr:cNvSpPr/>
      </cdr:nvSpPr>
      <cdr:spPr>
        <a:xfrm xmlns:a="http://schemas.openxmlformats.org/drawingml/2006/main" rot="5400000">
          <a:off x="6927834" y="-311162"/>
          <a:ext cx="234939" cy="3168689"/>
        </a:xfrm>
        <a:prstGeom xmlns:a="http://schemas.openxmlformats.org/drawingml/2006/main" prst="leftBrac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0.28353</cdr:x>
      <cdr:y>0.12825</cdr:y>
    </cdr:from>
    <cdr:to>
      <cdr:x>0.35632</cdr:x>
      <cdr:y>0.17342</cdr:y>
    </cdr:to>
    <cdr:sp macro="" textlink="">
      <cdr:nvSpPr>
        <cdr:cNvPr id="6" name="CuadroTexto 1"/>
        <cdr:cNvSpPr txBox="1"/>
      </cdr:nvSpPr>
      <cdr:spPr>
        <a:xfrm xmlns:a="http://schemas.openxmlformats.org/drawingml/2006/main">
          <a:off x="2584480" y="784254"/>
          <a:ext cx="663546" cy="27621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 b="0" i="0" baseline="0">
              <a:effectLst/>
              <a:latin typeface="Arial" panose="020B0604020202020204" pitchFamily="34" charset="0"/>
              <a:ea typeface="+mn-ea"/>
              <a:cs typeface="+mn-cs"/>
            </a:rPr>
            <a:t>ET FIAT</a:t>
          </a:r>
          <a:endParaRPr lang="es-AR" baseline="0">
            <a:effectLst/>
            <a:latin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0.65447</cdr:x>
      <cdr:y>0.11734</cdr:y>
    </cdr:from>
    <cdr:to>
      <cdr:x>0.86207</cdr:x>
      <cdr:y>0.16252</cdr:y>
    </cdr:to>
    <cdr:sp macro="" textlink="">
      <cdr:nvSpPr>
        <cdr:cNvPr id="8" name="CuadroTexto 1"/>
        <cdr:cNvSpPr txBox="1"/>
      </cdr:nvSpPr>
      <cdr:spPr>
        <a:xfrm xmlns:a="http://schemas.openxmlformats.org/drawingml/2006/main">
          <a:off x="5965804" y="717526"/>
          <a:ext cx="1892321" cy="27627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 b="0" i="0" baseline="0">
              <a:effectLst/>
              <a:latin typeface="Arial" panose="020B0604020202020204" pitchFamily="34" charset="0"/>
              <a:ea typeface="+mn-ea"/>
              <a:cs typeface="+mn-cs"/>
            </a:rPr>
            <a:t>    ES 2015 ET Interfabricas</a:t>
          </a:r>
          <a:endParaRPr lang="es-AR" b="0" i="0">
            <a:effectLst/>
            <a:latin typeface="Arial" panose="020B0604020202020204" pitchFamily="34" charset="0"/>
          </a:endParaRP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333376</xdr:colOff>
      <xdr:row>32</xdr:row>
      <xdr:rowOff>180976</xdr:rowOff>
    </xdr:from>
    <xdr:to>
      <xdr:col>12</xdr:col>
      <xdr:colOff>733426</xdr:colOff>
      <xdr:row>61</xdr:row>
      <xdr:rowOff>85726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84</xdr:row>
      <xdr:rowOff>190499</xdr:rowOff>
    </xdr:from>
    <xdr:to>
      <xdr:col>13</xdr:col>
      <xdr:colOff>19050</xdr:colOff>
      <xdr:row>115</xdr:row>
      <xdr:rowOff>161924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352425</xdr:colOff>
      <xdr:row>120</xdr:row>
      <xdr:rowOff>114300</xdr:rowOff>
    </xdr:from>
    <xdr:to>
      <xdr:col>6</xdr:col>
      <xdr:colOff>428625</xdr:colOff>
      <xdr:row>121</xdr:row>
      <xdr:rowOff>133350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 txBox="1">
          <a:spLocks noChangeArrowheads="1"/>
        </xdr:cNvSpPr>
      </xdr:nvSpPr>
      <xdr:spPr bwMode="auto">
        <a:xfrm>
          <a:off x="43719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120</xdr:row>
      <xdr:rowOff>114300</xdr:rowOff>
    </xdr:from>
    <xdr:to>
      <xdr:col>9</xdr:col>
      <xdr:colOff>428625</xdr:colOff>
      <xdr:row>121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SpPr txBox="1">
          <a:spLocks noChangeArrowheads="1"/>
        </xdr:cNvSpPr>
      </xdr:nvSpPr>
      <xdr:spPr bwMode="auto">
        <a:xfrm>
          <a:off x="611505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120</xdr:row>
      <xdr:rowOff>114300</xdr:rowOff>
    </xdr:from>
    <xdr:to>
      <xdr:col>12</xdr:col>
      <xdr:colOff>428625</xdr:colOff>
      <xdr:row>121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120</xdr:row>
      <xdr:rowOff>114300</xdr:rowOff>
    </xdr:from>
    <xdr:to>
      <xdr:col>15</xdr:col>
      <xdr:colOff>428625</xdr:colOff>
      <xdr:row>121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120</xdr:row>
      <xdr:rowOff>114300</xdr:rowOff>
    </xdr:from>
    <xdr:to>
      <xdr:col>18</xdr:col>
      <xdr:colOff>428625</xdr:colOff>
      <xdr:row>121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SpPr txBox="1">
          <a:spLocks noChangeArrowheads="1"/>
        </xdr:cNvSpPr>
      </xdr:nvSpPr>
      <xdr:spPr bwMode="auto">
        <a:xfrm>
          <a:off x="113442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120</xdr:row>
      <xdr:rowOff>114300</xdr:rowOff>
    </xdr:from>
    <xdr:to>
      <xdr:col>12</xdr:col>
      <xdr:colOff>428625</xdr:colOff>
      <xdr:row>121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120</xdr:row>
      <xdr:rowOff>114300</xdr:rowOff>
    </xdr:from>
    <xdr:to>
      <xdr:col>15</xdr:col>
      <xdr:colOff>428625</xdr:colOff>
      <xdr:row>121</xdr:row>
      <xdr:rowOff>133350</xdr:rowOff>
    </xdr:to>
    <xdr:sp macro="" textlink="">
      <xdr:nvSpPr>
        <xdr:cNvPr id="10" name="Text Box 120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352425</xdr:colOff>
      <xdr:row>103</xdr:row>
      <xdr:rowOff>114300</xdr:rowOff>
    </xdr:from>
    <xdr:to>
      <xdr:col>6</xdr:col>
      <xdr:colOff>428625</xdr:colOff>
      <xdr:row>104</xdr:row>
      <xdr:rowOff>133350</xdr:rowOff>
    </xdr:to>
    <xdr:sp macro="" textlink="">
      <xdr:nvSpPr>
        <xdr:cNvPr id="2" name="Text Box 120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 txBox="1">
          <a:spLocks noChangeArrowheads="1"/>
        </xdr:cNvSpPr>
      </xdr:nvSpPr>
      <xdr:spPr bwMode="auto">
        <a:xfrm>
          <a:off x="4371975" y="204216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103</xdr:row>
      <xdr:rowOff>114300</xdr:rowOff>
    </xdr:from>
    <xdr:to>
      <xdr:col>9</xdr:col>
      <xdr:colOff>428625</xdr:colOff>
      <xdr:row>104</xdr:row>
      <xdr:rowOff>133350</xdr:rowOff>
    </xdr:to>
    <xdr:sp macro="" textlink="">
      <xdr:nvSpPr>
        <xdr:cNvPr id="3" name="Text Box 120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 txBox="1">
          <a:spLocks noChangeArrowheads="1"/>
        </xdr:cNvSpPr>
      </xdr:nvSpPr>
      <xdr:spPr bwMode="auto">
        <a:xfrm>
          <a:off x="6781800" y="204216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103</xdr:row>
      <xdr:rowOff>114300</xdr:rowOff>
    </xdr:from>
    <xdr:to>
      <xdr:col>12</xdr:col>
      <xdr:colOff>428625</xdr:colOff>
      <xdr:row>104</xdr:row>
      <xdr:rowOff>133350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SpPr txBox="1">
          <a:spLocks noChangeArrowheads="1"/>
        </xdr:cNvSpPr>
      </xdr:nvSpPr>
      <xdr:spPr bwMode="auto">
        <a:xfrm>
          <a:off x="8972550" y="204216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103</xdr:row>
      <xdr:rowOff>114300</xdr:rowOff>
    </xdr:from>
    <xdr:to>
      <xdr:col>15</xdr:col>
      <xdr:colOff>428625</xdr:colOff>
      <xdr:row>104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SpPr txBox="1">
          <a:spLocks noChangeArrowheads="1"/>
        </xdr:cNvSpPr>
      </xdr:nvSpPr>
      <xdr:spPr bwMode="auto">
        <a:xfrm>
          <a:off x="11258550" y="204216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103</xdr:row>
      <xdr:rowOff>114300</xdr:rowOff>
    </xdr:from>
    <xdr:to>
      <xdr:col>18</xdr:col>
      <xdr:colOff>428625</xdr:colOff>
      <xdr:row>104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SpPr txBox="1">
          <a:spLocks noChangeArrowheads="1"/>
        </xdr:cNvSpPr>
      </xdr:nvSpPr>
      <xdr:spPr bwMode="auto">
        <a:xfrm>
          <a:off x="13544550" y="204216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103</xdr:row>
      <xdr:rowOff>114300</xdr:rowOff>
    </xdr:from>
    <xdr:to>
      <xdr:col>12</xdr:col>
      <xdr:colOff>428625</xdr:colOff>
      <xdr:row>104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SpPr txBox="1">
          <a:spLocks noChangeArrowheads="1"/>
        </xdr:cNvSpPr>
      </xdr:nvSpPr>
      <xdr:spPr bwMode="auto">
        <a:xfrm>
          <a:off x="8972550" y="204216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103</xdr:row>
      <xdr:rowOff>114300</xdr:rowOff>
    </xdr:from>
    <xdr:to>
      <xdr:col>15</xdr:col>
      <xdr:colOff>428625</xdr:colOff>
      <xdr:row>104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SpPr txBox="1">
          <a:spLocks noChangeArrowheads="1"/>
        </xdr:cNvSpPr>
      </xdr:nvSpPr>
      <xdr:spPr bwMode="auto">
        <a:xfrm>
          <a:off x="11258550" y="204216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19050</xdr:colOff>
      <xdr:row>65</xdr:row>
      <xdr:rowOff>28576</xdr:rowOff>
    </xdr:from>
    <xdr:to>
      <xdr:col>12</xdr:col>
      <xdr:colOff>666750</xdr:colOff>
      <xdr:row>98</xdr:row>
      <xdr:rowOff>190499</xdr:rowOff>
    </xdr:to>
    <xdr:graphicFrame macro="">
      <xdr:nvGraphicFramePr>
        <xdr:cNvPr id="9" name="1 Gráfico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0.28309</cdr:x>
      <cdr:y>0.20517</cdr:y>
    </cdr:from>
    <cdr:to>
      <cdr:x>0.5288</cdr:x>
      <cdr:y>0.24808</cdr:y>
    </cdr:to>
    <cdr:sp macro="" textlink="">
      <cdr:nvSpPr>
        <cdr:cNvPr id="2" name="Llamada con línea 2 1"/>
        <cdr:cNvSpPr/>
      </cdr:nvSpPr>
      <cdr:spPr>
        <a:xfrm xmlns:a="http://schemas.openxmlformats.org/drawingml/2006/main">
          <a:off x="2571750" y="1184273"/>
          <a:ext cx="2232078" cy="247683"/>
        </a:xfrm>
        <a:prstGeom xmlns:a="http://schemas.openxmlformats.org/drawingml/2006/main" prst="borderCallout2">
          <a:avLst>
            <a:gd name="adj1" fmla="val 43750"/>
            <a:gd name="adj2" fmla="val 102626"/>
            <a:gd name="adj3" fmla="val 47322"/>
            <a:gd name="adj4" fmla="val 128539"/>
            <a:gd name="adj5" fmla="val 47394"/>
            <a:gd name="adj6" fmla="val 143317"/>
          </a:avLst>
        </a:prstGeom>
        <a:solidFill xmlns:a="http://schemas.openxmlformats.org/drawingml/2006/main">
          <a:schemeClr val="bg1"/>
        </a:solidFill>
        <a:ln xmlns:a="http://schemas.openxmlformats.org/drawingml/2006/main" w="6350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000" b="1" i="0" baseline="0">
              <a:solidFill>
                <a:sysClr val="windowText" lastClr="000000"/>
              </a:solidFill>
              <a:latin typeface="Arial" panose="020B0604020202020204" pitchFamily="34" charset="0"/>
            </a:rPr>
            <a:t>Saturación a partir del 2017 / 2018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0.08253</cdr:x>
      <cdr:y>0.16687</cdr:y>
    </cdr:from>
    <cdr:to>
      <cdr:x>0.61308</cdr:x>
      <cdr:y>0.2017</cdr:y>
    </cdr:to>
    <cdr:sp macro="" textlink="">
      <cdr:nvSpPr>
        <cdr:cNvPr id="4" name="Abrir llave 3"/>
        <cdr:cNvSpPr/>
      </cdr:nvSpPr>
      <cdr:spPr>
        <a:xfrm xmlns:a="http://schemas.openxmlformats.org/drawingml/2006/main" rot="5400000">
          <a:off x="2978575" y="-1169091"/>
          <a:ext cx="224574" cy="4714875"/>
        </a:xfrm>
        <a:prstGeom xmlns:a="http://schemas.openxmlformats.org/drawingml/2006/main" prst="leftBrac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0.61558</cdr:x>
      <cdr:y>0.17276</cdr:y>
    </cdr:from>
    <cdr:to>
      <cdr:x>0.93998</cdr:x>
      <cdr:y>0.19709</cdr:y>
    </cdr:to>
    <cdr:sp macro="" textlink="">
      <cdr:nvSpPr>
        <cdr:cNvPr id="5" name="Abrir llave 4"/>
        <cdr:cNvSpPr/>
      </cdr:nvSpPr>
      <cdr:spPr>
        <a:xfrm xmlns:a="http://schemas.openxmlformats.org/drawingml/2006/main" rot="5400000">
          <a:off x="6833554" y="-248981"/>
          <a:ext cx="156844" cy="2882897"/>
        </a:xfrm>
        <a:prstGeom xmlns:a="http://schemas.openxmlformats.org/drawingml/2006/main" prst="leftBrac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0.63558</cdr:x>
      <cdr:y>0.11669</cdr:y>
    </cdr:from>
    <cdr:to>
      <cdr:x>0.93248</cdr:x>
      <cdr:y>0.15953</cdr:y>
    </cdr:to>
    <cdr:sp macro="" textlink="">
      <cdr:nvSpPr>
        <cdr:cNvPr id="6" name="CuadroTexto 5"/>
        <cdr:cNvSpPr txBox="1"/>
      </cdr:nvSpPr>
      <cdr:spPr>
        <a:xfrm xmlns:a="http://schemas.openxmlformats.org/drawingml/2006/main">
          <a:off x="5648324" y="752473"/>
          <a:ext cx="2638425" cy="2762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 b="0" i="0" baseline="0">
              <a:effectLst/>
              <a:latin typeface="Arial" panose="020B0604020202020204" pitchFamily="34" charset="0"/>
              <a:ea typeface="+mn-ea"/>
              <a:cs typeface="+mn-cs"/>
            </a:rPr>
            <a:t>    ES 2018 ET MonteCristo Nueva</a:t>
          </a:r>
          <a:endParaRPr lang="es-AR" b="0" i="0">
            <a:effectLst/>
            <a:latin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0.26402</cdr:x>
      <cdr:y>0.11718</cdr:y>
    </cdr:from>
    <cdr:to>
      <cdr:x>0.4373</cdr:x>
      <cdr:y>0.16002</cdr:y>
    </cdr:to>
    <cdr:sp macro="" textlink="">
      <cdr:nvSpPr>
        <cdr:cNvPr id="7" name="CuadroTexto 1"/>
        <cdr:cNvSpPr txBox="1"/>
      </cdr:nvSpPr>
      <cdr:spPr>
        <a:xfrm xmlns:a="http://schemas.openxmlformats.org/drawingml/2006/main">
          <a:off x="2346325" y="755650"/>
          <a:ext cx="1539875" cy="2762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175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100" b="0" i="0" baseline="0">
              <a:effectLst/>
              <a:latin typeface="Arial" panose="020B0604020202020204" pitchFamily="34" charset="0"/>
              <a:ea typeface="+mn-ea"/>
              <a:cs typeface="+mn-cs"/>
            </a:rPr>
            <a:t>ET MonteCristo Vieja</a:t>
          </a:r>
          <a:endParaRPr lang="es-AR" baseline="0">
            <a:effectLst/>
            <a:latin typeface="Arial" panose="020B0604020202020204" pitchFamily="34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64</xdr:row>
      <xdr:rowOff>123824</xdr:rowOff>
    </xdr:from>
    <xdr:to>
      <xdr:col>13</xdr:col>
      <xdr:colOff>19050</xdr:colOff>
      <xdr:row>95</xdr:row>
      <xdr:rowOff>171449</xdr:rowOff>
    </xdr:to>
    <xdr:graphicFrame macro="">
      <xdr:nvGraphicFramePr>
        <xdr:cNvPr id="4" name="2 Gráfico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100</xdr:row>
      <xdr:rowOff>114300</xdr:rowOff>
    </xdr:from>
    <xdr:to>
      <xdr:col>6</xdr:col>
      <xdr:colOff>428625</xdr:colOff>
      <xdr:row>101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SpPr txBox="1">
          <a:spLocks noChangeArrowheads="1"/>
        </xdr:cNvSpPr>
      </xdr:nvSpPr>
      <xdr:spPr bwMode="auto">
        <a:xfrm>
          <a:off x="43719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100</xdr:row>
      <xdr:rowOff>114300</xdr:rowOff>
    </xdr:from>
    <xdr:to>
      <xdr:col>9</xdr:col>
      <xdr:colOff>428625</xdr:colOff>
      <xdr:row>101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SpPr txBox="1">
          <a:spLocks noChangeArrowheads="1"/>
        </xdr:cNvSpPr>
      </xdr:nvSpPr>
      <xdr:spPr bwMode="auto">
        <a:xfrm>
          <a:off x="611505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100</xdr:row>
      <xdr:rowOff>114300</xdr:rowOff>
    </xdr:from>
    <xdr:to>
      <xdr:col>12</xdr:col>
      <xdr:colOff>428625</xdr:colOff>
      <xdr:row>101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100</xdr:row>
      <xdr:rowOff>114300</xdr:rowOff>
    </xdr:from>
    <xdr:to>
      <xdr:col>15</xdr:col>
      <xdr:colOff>428625</xdr:colOff>
      <xdr:row>101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100</xdr:row>
      <xdr:rowOff>114300</xdr:rowOff>
    </xdr:from>
    <xdr:to>
      <xdr:col>18</xdr:col>
      <xdr:colOff>428625</xdr:colOff>
      <xdr:row>101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SpPr txBox="1">
          <a:spLocks noChangeArrowheads="1"/>
        </xdr:cNvSpPr>
      </xdr:nvSpPr>
      <xdr:spPr bwMode="auto">
        <a:xfrm>
          <a:off x="113442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100</xdr:row>
      <xdr:rowOff>114300</xdr:rowOff>
    </xdr:from>
    <xdr:to>
      <xdr:col>12</xdr:col>
      <xdr:colOff>428625</xdr:colOff>
      <xdr:row>101</xdr:row>
      <xdr:rowOff>133350</xdr:rowOff>
    </xdr:to>
    <xdr:sp macro="" textlink="">
      <xdr:nvSpPr>
        <xdr:cNvPr id="10" name="Text Box 120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100</xdr:row>
      <xdr:rowOff>114300</xdr:rowOff>
    </xdr:from>
    <xdr:to>
      <xdr:col>15</xdr:col>
      <xdr:colOff>428625</xdr:colOff>
      <xdr:row>101</xdr:row>
      <xdr:rowOff>133350</xdr:rowOff>
    </xdr:to>
    <xdr:sp macro="" textlink="">
      <xdr:nvSpPr>
        <xdr:cNvPr id="11" name="Text Box 12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0</xdr:rowOff>
    </xdr:from>
    <xdr:to>
      <xdr:col>12</xdr:col>
      <xdr:colOff>742950</xdr:colOff>
      <xdr:row>114</xdr:row>
      <xdr:rowOff>171450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120</xdr:row>
      <xdr:rowOff>114300</xdr:rowOff>
    </xdr:from>
    <xdr:to>
      <xdr:col>6</xdr:col>
      <xdr:colOff>428625</xdr:colOff>
      <xdr:row>121</xdr:row>
      <xdr:rowOff>133350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SpPr txBox="1">
          <a:spLocks noChangeArrowheads="1"/>
        </xdr:cNvSpPr>
      </xdr:nvSpPr>
      <xdr:spPr bwMode="auto">
        <a:xfrm>
          <a:off x="43719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120</xdr:row>
      <xdr:rowOff>114300</xdr:rowOff>
    </xdr:from>
    <xdr:to>
      <xdr:col>9</xdr:col>
      <xdr:colOff>428625</xdr:colOff>
      <xdr:row>121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SpPr txBox="1">
          <a:spLocks noChangeArrowheads="1"/>
        </xdr:cNvSpPr>
      </xdr:nvSpPr>
      <xdr:spPr bwMode="auto">
        <a:xfrm>
          <a:off x="611505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120</xdr:row>
      <xdr:rowOff>114300</xdr:rowOff>
    </xdr:from>
    <xdr:to>
      <xdr:col>12</xdr:col>
      <xdr:colOff>428625</xdr:colOff>
      <xdr:row>121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120</xdr:row>
      <xdr:rowOff>114300</xdr:rowOff>
    </xdr:from>
    <xdr:to>
      <xdr:col>15</xdr:col>
      <xdr:colOff>428625</xdr:colOff>
      <xdr:row>121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120</xdr:row>
      <xdr:rowOff>114300</xdr:rowOff>
    </xdr:from>
    <xdr:to>
      <xdr:col>18</xdr:col>
      <xdr:colOff>428625</xdr:colOff>
      <xdr:row>121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SpPr txBox="1">
          <a:spLocks noChangeArrowheads="1"/>
        </xdr:cNvSpPr>
      </xdr:nvSpPr>
      <xdr:spPr bwMode="auto">
        <a:xfrm>
          <a:off x="113442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120</xdr:row>
      <xdr:rowOff>114300</xdr:rowOff>
    </xdr:from>
    <xdr:to>
      <xdr:col>12</xdr:col>
      <xdr:colOff>428625</xdr:colOff>
      <xdr:row>121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120</xdr:row>
      <xdr:rowOff>114300</xdr:rowOff>
    </xdr:from>
    <xdr:to>
      <xdr:col>15</xdr:col>
      <xdr:colOff>428625</xdr:colOff>
      <xdr:row>121</xdr:row>
      <xdr:rowOff>133350</xdr:rowOff>
    </xdr:to>
    <xdr:sp macro="" textlink="">
      <xdr:nvSpPr>
        <xdr:cNvPr id="10" name="Text Box 120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65</xdr:row>
      <xdr:rowOff>171450</xdr:rowOff>
    </xdr:from>
    <xdr:to>
      <xdr:col>13</xdr:col>
      <xdr:colOff>304802</xdr:colOff>
      <xdr:row>96</xdr:row>
      <xdr:rowOff>76200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101</xdr:row>
      <xdr:rowOff>114300</xdr:rowOff>
    </xdr:from>
    <xdr:to>
      <xdr:col>6</xdr:col>
      <xdr:colOff>428625</xdr:colOff>
      <xdr:row>102</xdr:row>
      <xdr:rowOff>133350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SpPr txBox="1">
          <a:spLocks noChangeArrowheads="1"/>
        </xdr:cNvSpPr>
      </xdr:nvSpPr>
      <xdr:spPr bwMode="auto">
        <a:xfrm>
          <a:off x="43719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101</xdr:row>
      <xdr:rowOff>114300</xdr:rowOff>
    </xdr:from>
    <xdr:to>
      <xdr:col>9</xdr:col>
      <xdr:colOff>428625</xdr:colOff>
      <xdr:row>102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SpPr txBox="1">
          <a:spLocks noChangeArrowheads="1"/>
        </xdr:cNvSpPr>
      </xdr:nvSpPr>
      <xdr:spPr bwMode="auto">
        <a:xfrm>
          <a:off x="611505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101</xdr:row>
      <xdr:rowOff>114300</xdr:rowOff>
    </xdr:from>
    <xdr:to>
      <xdr:col>12</xdr:col>
      <xdr:colOff>428625</xdr:colOff>
      <xdr:row>102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101</xdr:row>
      <xdr:rowOff>114300</xdr:rowOff>
    </xdr:from>
    <xdr:to>
      <xdr:col>15</xdr:col>
      <xdr:colOff>428625</xdr:colOff>
      <xdr:row>102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101</xdr:row>
      <xdr:rowOff>114300</xdr:rowOff>
    </xdr:from>
    <xdr:to>
      <xdr:col>18</xdr:col>
      <xdr:colOff>428625</xdr:colOff>
      <xdr:row>102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SpPr txBox="1">
          <a:spLocks noChangeArrowheads="1"/>
        </xdr:cNvSpPr>
      </xdr:nvSpPr>
      <xdr:spPr bwMode="auto">
        <a:xfrm>
          <a:off x="113442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101</xdr:row>
      <xdr:rowOff>114300</xdr:rowOff>
    </xdr:from>
    <xdr:to>
      <xdr:col>12</xdr:col>
      <xdr:colOff>428625</xdr:colOff>
      <xdr:row>102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1900-000009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101</xdr:row>
      <xdr:rowOff>114300</xdr:rowOff>
    </xdr:from>
    <xdr:to>
      <xdr:col>15</xdr:col>
      <xdr:colOff>428625</xdr:colOff>
      <xdr:row>102</xdr:row>
      <xdr:rowOff>133350</xdr:rowOff>
    </xdr:to>
    <xdr:sp macro="" textlink="">
      <xdr:nvSpPr>
        <xdr:cNvPr id="10" name="Text Box 120">
          <a:extLst>
            <a:ext uri="{FF2B5EF4-FFF2-40B4-BE49-F238E27FC236}">
              <a16:creationId xmlns:a16="http://schemas.microsoft.com/office/drawing/2014/main" id="{00000000-0008-0000-1900-00000A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371477</xdr:colOff>
      <xdr:row>31</xdr:row>
      <xdr:rowOff>104775</xdr:rowOff>
    </xdr:from>
    <xdr:to>
      <xdr:col>14</xdr:col>
      <xdr:colOff>0</xdr:colOff>
      <xdr:row>59</xdr:row>
      <xdr:rowOff>170775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13</xdr:col>
      <xdr:colOff>28573</xdr:colOff>
      <xdr:row>119</xdr:row>
      <xdr:rowOff>95250</xdr:rowOff>
    </xdr:to>
    <xdr:graphicFrame macro="">
      <xdr:nvGraphicFramePr>
        <xdr:cNvPr id="5" name="1 Gráfico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380999</xdr:colOff>
      <xdr:row>121</xdr:row>
      <xdr:rowOff>0</xdr:rowOff>
    </xdr:from>
    <xdr:to>
      <xdr:col>13</xdr:col>
      <xdr:colOff>66675</xdr:colOff>
      <xdr:row>151</xdr:row>
      <xdr:rowOff>123825</xdr:rowOff>
    </xdr:to>
    <xdr:graphicFrame macro="">
      <xdr:nvGraphicFramePr>
        <xdr:cNvPr id="8" name="1 Gráfico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153</xdr:row>
      <xdr:rowOff>190499</xdr:rowOff>
    </xdr:from>
    <xdr:to>
      <xdr:col>13</xdr:col>
      <xdr:colOff>0</xdr:colOff>
      <xdr:row>185</xdr:row>
      <xdr:rowOff>0</xdr:rowOff>
    </xdr:to>
    <xdr:graphicFrame macro="">
      <xdr:nvGraphicFramePr>
        <xdr:cNvPr id="6" name="1 Gráfico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352425</xdr:colOff>
      <xdr:row>189</xdr:row>
      <xdr:rowOff>114300</xdr:rowOff>
    </xdr:from>
    <xdr:to>
      <xdr:col>6</xdr:col>
      <xdr:colOff>428625</xdr:colOff>
      <xdr:row>190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SpPr txBox="1">
          <a:spLocks noChangeArrowheads="1"/>
        </xdr:cNvSpPr>
      </xdr:nvSpPr>
      <xdr:spPr bwMode="auto">
        <a:xfrm>
          <a:off x="43719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189</xdr:row>
      <xdr:rowOff>114300</xdr:rowOff>
    </xdr:from>
    <xdr:to>
      <xdr:col>9</xdr:col>
      <xdr:colOff>428625</xdr:colOff>
      <xdr:row>190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SpPr txBox="1">
          <a:spLocks noChangeArrowheads="1"/>
        </xdr:cNvSpPr>
      </xdr:nvSpPr>
      <xdr:spPr bwMode="auto">
        <a:xfrm>
          <a:off x="611505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189</xdr:row>
      <xdr:rowOff>114300</xdr:rowOff>
    </xdr:from>
    <xdr:to>
      <xdr:col>12</xdr:col>
      <xdr:colOff>428625</xdr:colOff>
      <xdr:row>190</xdr:row>
      <xdr:rowOff>133350</xdr:rowOff>
    </xdr:to>
    <xdr:sp macro="" textlink="">
      <xdr:nvSpPr>
        <xdr:cNvPr id="10" name="Text Box 120">
          <a:extLst>
            <a:ext uri="{FF2B5EF4-FFF2-40B4-BE49-F238E27FC236}">
              <a16:creationId xmlns:a16="http://schemas.microsoft.com/office/drawing/2014/main" id="{00000000-0008-0000-1A00-00000A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189</xdr:row>
      <xdr:rowOff>114300</xdr:rowOff>
    </xdr:from>
    <xdr:to>
      <xdr:col>15</xdr:col>
      <xdr:colOff>428625</xdr:colOff>
      <xdr:row>190</xdr:row>
      <xdr:rowOff>133350</xdr:rowOff>
    </xdr:to>
    <xdr:sp macro="" textlink="">
      <xdr:nvSpPr>
        <xdr:cNvPr id="11" name="Text Box 120">
          <a:extLst>
            <a:ext uri="{FF2B5EF4-FFF2-40B4-BE49-F238E27FC236}">
              <a16:creationId xmlns:a16="http://schemas.microsoft.com/office/drawing/2014/main" id="{00000000-0008-0000-1A00-00000B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189</xdr:row>
      <xdr:rowOff>114300</xdr:rowOff>
    </xdr:from>
    <xdr:to>
      <xdr:col>18</xdr:col>
      <xdr:colOff>428625</xdr:colOff>
      <xdr:row>190</xdr:row>
      <xdr:rowOff>133350</xdr:rowOff>
    </xdr:to>
    <xdr:sp macro="" textlink="">
      <xdr:nvSpPr>
        <xdr:cNvPr id="12" name="Text Box 120">
          <a:extLst>
            <a:ext uri="{FF2B5EF4-FFF2-40B4-BE49-F238E27FC236}">
              <a16:creationId xmlns:a16="http://schemas.microsoft.com/office/drawing/2014/main" id="{00000000-0008-0000-1A00-00000C000000}"/>
            </a:ext>
          </a:extLst>
        </xdr:cNvPr>
        <xdr:cNvSpPr txBox="1">
          <a:spLocks noChangeArrowheads="1"/>
        </xdr:cNvSpPr>
      </xdr:nvSpPr>
      <xdr:spPr bwMode="auto">
        <a:xfrm>
          <a:off x="113442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189</xdr:row>
      <xdr:rowOff>114300</xdr:rowOff>
    </xdr:from>
    <xdr:to>
      <xdr:col>12</xdr:col>
      <xdr:colOff>428625</xdr:colOff>
      <xdr:row>190</xdr:row>
      <xdr:rowOff>133350</xdr:rowOff>
    </xdr:to>
    <xdr:sp macro="" textlink="">
      <xdr:nvSpPr>
        <xdr:cNvPr id="13" name="Text Box 120">
          <a:extLst>
            <a:ext uri="{FF2B5EF4-FFF2-40B4-BE49-F238E27FC236}">
              <a16:creationId xmlns:a16="http://schemas.microsoft.com/office/drawing/2014/main" id="{00000000-0008-0000-1A00-00000D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189</xdr:row>
      <xdr:rowOff>114300</xdr:rowOff>
    </xdr:from>
    <xdr:to>
      <xdr:col>15</xdr:col>
      <xdr:colOff>428625</xdr:colOff>
      <xdr:row>190</xdr:row>
      <xdr:rowOff>133350</xdr:rowOff>
    </xdr:to>
    <xdr:sp macro="" textlink="">
      <xdr:nvSpPr>
        <xdr:cNvPr id="14" name="Text Box 120">
          <a:extLst>
            <a:ext uri="{FF2B5EF4-FFF2-40B4-BE49-F238E27FC236}">
              <a16:creationId xmlns:a16="http://schemas.microsoft.com/office/drawing/2014/main" id="{00000000-0008-0000-1A00-00000E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31</xdr:row>
      <xdr:rowOff>9525</xdr:rowOff>
    </xdr:from>
    <xdr:to>
      <xdr:col>12</xdr:col>
      <xdr:colOff>733425</xdr:colOff>
      <xdr:row>61</xdr:row>
      <xdr:rowOff>66675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12</xdr:col>
      <xdr:colOff>742950</xdr:colOff>
      <xdr:row>122</xdr:row>
      <xdr:rowOff>57150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352425</xdr:colOff>
      <xdr:row>127</xdr:row>
      <xdr:rowOff>114300</xdr:rowOff>
    </xdr:from>
    <xdr:to>
      <xdr:col>6</xdr:col>
      <xdr:colOff>428625</xdr:colOff>
      <xdr:row>128</xdr:row>
      <xdr:rowOff>133350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SpPr txBox="1">
          <a:spLocks noChangeArrowheads="1"/>
        </xdr:cNvSpPr>
      </xdr:nvSpPr>
      <xdr:spPr bwMode="auto">
        <a:xfrm>
          <a:off x="43719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127</xdr:row>
      <xdr:rowOff>114300</xdr:rowOff>
    </xdr:from>
    <xdr:to>
      <xdr:col>9</xdr:col>
      <xdr:colOff>428625</xdr:colOff>
      <xdr:row>128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SpPr txBox="1">
          <a:spLocks noChangeArrowheads="1"/>
        </xdr:cNvSpPr>
      </xdr:nvSpPr>
      <xdr:spPr bwMode="auto">
        <a:xfrm>
          <a:off x="611505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127</xdr:row>
      <xdr:rowOff>114300</xdr:rowOff>
    </xdr:from>
    <xdr:to>
      <xdr:col>12</xdr:col>
      <xdr:colOff>428625</xdr:colOff>
      <xdr:row>128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127</xdr:row>
      <xdr:rowOff>114300</xdr:rowOff>
    </xdr:from>
    <xdr:to>
      <xdr:col>15</xdr:col>
      <xdr:colOff>428625</xdr:colOff>
      <xdr:row>128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1B00-000007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127</xdr:row>
      <xdr:rowOff>114300</xdr:rowOff>
    </xdr:from>
    <xdr:to>
      <xdr:col>18</xdr:col>
      <xdr:colOff>428625</xdr:colOff>
      <xdr:row>128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1B00-000008000000}"/>
            </a:ext>
          </a:extLst>
        </xdr:cNvPr>
        <xdr:cNvSpPr txBox="1">
          <a:spLocks noChangeArrowheads="1"/>
        </xdr:cNvSpPr>
      </xdr:nvSpPr>
      <xdr:spPr bwMode="auto">
        <a:xfrm>
          <a:off x="113442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127</xdr:row>
      <xdr:rowOff>114300</xdr:rowOff>
    </xdr:from>
    <xdr:to>
      <xdr:col>12</xdr:col>
      <xdr:colOff>428625</xdr:colOff>
      <xdr:row>128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1B00-000009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127</xdr:row>
      <xdr:rowOff>114300</xdr:rowOff>
    </xdr:from>
    <xdr:to>
      <xdr:col>15</xdr:col>
      <xdr:colOff>428625</xdr:colOff>
      <xdr:row>128</xdr:row>
      <xdr:rowOff>133350</xdr:rowOff>
    </xdr:to>
    <xdr:sp macro="" textlink="">
      <xdr:nvSpPr>
        <xdr:cNvPr id="10" name="Text Box 120">
          <a:extLst>
            <a:ext uri="{FF2B5EF4-FFF2-40B4-BE49-F238E27FC236}">
              <a16:creationId xmlns:a16="http://schemas.microsoft.com/office/drawing/2014/main" id="{00000000-0008-0000-1B00-00000A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380998</xdr:colOff>
      <xdr:row>33</xdr:row>
      <xdr:rowOff>180974</xdr:rowOff>
    </xdr:from>
    <xdr:to>
      <xdr:col>13</xdr:col>
      <xdr:colOff>0</xdr:colOff>
      <xdr:row>61</xdr:row>
      <xdr:rowOff>28575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13</xdr:col>
      <xdr:colOff>2</xdr:colOff>
      <xdr:row>115</xdr:row>
      <xdr:rowOff>76200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352425</xdr:colOff>
      <xdr:row>120</xdr:row>
      <xdr:rowOff>114300</xdr:rowOff>
    </xdr:from>
    <xdr:to>
      <xdr:col>6</xdr:col>
      <xdr:colOff>428625</xdr:colOff>
      <xdr:row>121</xdr:row>
      <xdr:rowOff>133350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SpPr txBox="1">
          <a:spLocks noChangeArrowheads="1"/>
        </xdr:cNvSpPr>
      </xdr:nvSpPr>
      <xdr:spPr bwMode="auto">
        <a:xfrm>
          <a:off x="43719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120</xdr:row>
      <xdr:rowOff>114300</xdr:rowOff>
    </xdr:from>
    <xdr:to>
      <xdr:col>9</xdr:col>
      <xdr:colOff>428625</xdr:colOff>
      <xdr:row>121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SpPr txBox="1">
          <a:spLocks noChangeArrowheads="1"/>
        </xdr:cNvSpPr>
      </xdr:nvSpPr>
      <xdr:spPr bwMode="auto">
        <a:xfrm>
          <a:off x="611505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120</xdr:row>
      <xdr:rowOff>114300</xdr:rowOff>
    </xdr:from>
    <xdr:to>
      <xdr:col>12</xdr:col>
      <xdr:colOff>428625</xdr:colOff>
      <xdr:row>121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120</xdr:row>
      <xdr:rowOff>114300</xdr:rowOff>
    </xdr:from>
    <xdr:to>
      <xdr:col>15</xdr:col>
      <xdr:colOff>428625</xdr:colOff>
      <xdr:row>121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1C00-000007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120</xdr:row>
      <xdr:rowOff>114300</xdr:rowOff>
    </xdr:from>
    <xdr:to>
      <xdr:col>18</xdr:col>
      <xdr:colOff>428625</xdr:colOff>
      <xdr:row>121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1C00-000008000000}"/>
            </a:ext>
          </a:extLst>
        </xdr:cNvPr>
        <xdr:cNvSpPr txBox="1">
          <a:spLocks noChangeArrowheads="1"/>
        </xdr:cNvSpPr>
      </xdr:nvSpPr>
      <xdr:spPr bwMode="auto">
        <a:xfrm>
          <a:off x="113442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120</xdr:row>
      <xdr:rowOff>114300</xdr:rowOff>
    </xdr:from>
    <xdr:to>
      <xdr:col>12</xdr:col>
      <xdr:colOff>428625</xdr:colOff>
      <xdr:row>121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120</xdr:row>
      <xdr:rowOff>114300</xdr:rowOff>
    </xdr:from>
    <xdr:to>
      <xdr:col>15</xdr:col>
      <xdr:colOff>428625</xdr:colOff>
      <xdr:row>121</xdr:row>
      <xdr:rowOff>133350</xdr:rowOff>
    </xdr:to>
    <xdr:sp macro="" textlink="">
      <xdr:nvSpPr>
        <xdr:cNvPr id="10" name="Text Box 120">
          <a:extLst>
            <a:ext uri="{FF2B5EF4-FFF2-40B4-BE49-F238E27FC236}">
              <a16:creationId xmlns:a16="http://schemas.microsoft.com/office/drawing/2014/main" id="{00000000-0008-0000-1C00-00000A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24</xdr:row>
      <xdr:rowOff>0</xdr:rowOff>
    </xdr:from>
    <xdr:to>
      <xdr:col>13</xdr:col>
      <xdr:colOff>0</xdr:colOff>
      <xdr:row>50</xdr:row>
      <xdr:rowOff>66676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82</xdr:row>
      <xdr:rowOff>114300</xdr:rowOff>
    </xdr:from>
    <xdr:to>
      <xdr:col>6</xdr:col>
      <xdr:colOff>428625</xdr:colOff>
      <xdr:row>83</xdr:row>
      <xdr:rowOff>133350</xdr:rowOff>
    </xdr:to>
    <xdr:sp macro="" textlink="">
      <xdr:nvSpPr>
        <xdr:cNvPr id="3" name="Text Box 120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SpPr txBox="1">
          <a:spLocks noChangeArrowheads="1"/>
        </xdr:cNvSpPr>
      </xdr:nvSpPr>
      <xdr:spPr bwMode="auto">
        <a:xfrm>
          <a:off x="43719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82</xdr:row>
      <xdr:rowOff>114300</xdr:rowOff>
    </xdr:from>
    <xdr:to>
      <xdr:col>9</xdr:col>
      <xdr:colOff>428625</xdr:colOff>
      <xdr:row>83</xdr:row>
      <xdr:rowOff>133350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SpPr txBox="1">
          <a:spLocks noChangeArrowheads="1"/>
        </xdr:cNvSpPr>
      </xdr:nvSpPr>
      <xdr:spPr bwMode="auto">
        <a:xfrm>
          <a:off x="611505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82</xdr:row>
      <xdr:rowOff>114300</xdr:rowOff>
    </xdr:from>
    <xdr:to>
      <xdr:col>12</xdr:col>
      <xdr:colOff>428625</xdr:colOff>
      <xdr:row>83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82</xdr:row>
      <xdr:rowOff>114300</xdr:rowOff>
    </xdr:from>
    <xdr:to>
      <xdr:col>15</xdr:col>
      <xdr:colOff>428625</xdr:colOff>
      <xdr:row>83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1D00-000006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82</xdr:row>
      <xdr:rowOff>114300</xdr:rowOff>
    </xdr:from>
    <xdr:to>
      <xdr:col>18</xdr:col>
      <xdr:colOff>428625</xdr:colOff>
      <xdr:row>83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1D00-000007000000}"/>
            </a:ext>
          </a:extLst>
        </xdr:cNvPr>
        <xdr:cNvSpPr txBox="1">
          <a:spLocks noChangeArrowheads="1"/>
        </xdr:cNvSpPr>
      </xdr:nvSpPr>
      <xdr:spPr bwMode="auto">
        <a:xfrm>
          <a:off x="113442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82</xdr:row>
      <xdr:rowOff>114300</xdr:rowOff>
    </xdr:from>
    <xdr:to>
      <xdr:col>12</xdr:col>
      <xdr:colOff>428625</xdr:colOff>
      <xdr:row>83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1D00-000008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82</xdr:row>
      <xdr:rowOff>114300</xdr:rowOff>
    </xdr:from>
    <xdr:to>
      <xdr:col>15</xdr:col>
      <xdr:colOff>428625</xdr:colOff>
      <xdr:row>83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1D00-000009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24</xdr:row>
      <xdr:rowOff>0</xdr:rowOff>
    </xdr:from>
    <xdr:to>
      <xdr:col>12</xdr:col>
      <xdr:colOff>742950</xdr:colOff>
      <xdr:row>50</xdr:row>
      <xdr:rowOff>66676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79</xdr:row>
      <xdr:rowOff>114300</xdr:rowOff>
    </xdr:from>
    <xdr:to>
      <xdr:col>6</xdr:col>
      <xdr:colOff>428625</xdr:colOff>
      <xdr:row>80</xdr:row>
      <xdr:rowOff>133350</xdr:rowOff>
    </xdr:to>
    <xdr:sp macro="" textlink="">
      <xdr:nvSpPr>
        <xdr:cNvPr id="3" name="Text Box 120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SpPr txBox="1">
          <a:spLocks noChangeArrowheads="1"/>
        </xdr:cNvSpPr>
      </xdr:nvSpPr>
      <xdr:spPr bwMode="auto">
        <a:xfrm>
          <a:off x="43719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79</xdr:row>
      <xdr:rowOff>114300</xdr:rowOff>
    </xdr:from>
    <xdr:to>
      <xdr:col>9</xdr:col>
      <xdr:colOff>428625</xdr:colOff>
      <xdr:row>80</xdr:row>
      <xdr:rowOff>133350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SpPr txBox="1">
          <a:spLocks noChangeArrowheads="1"/>
        </xdr:cNvSpPr>
      </xdr:nvSpPr>
      <xdr:spPr bwMode="auto">
        <a:xfrm>
          <a:off x="611505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79</xdr:row>
      <xdr:rowOff>114300</xdr:rowOff>
    </xdr:from>
    <xdr:to>
      <xdr:col>12</xdr:col>
      <xdr:colOff>428625</xdr:colOff>
      <xdr:row>80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79</xdr:row>
      <xdr:rowOff>114300</xdr:rowOff>
    </xdr:from>
    <xdr:to>
      <xdr:col>15</xdr:col>
      <xdr:colOff>428625</xdr:colOff>
      <xdr:row>80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1E00-000006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79</xdr:row>
      <xdr:rowOff>114300</xdr:rowOff>
    </xdr:from>
    <xdr:to>
      <xdr:col>18</xdr:col>
      <xdr:colOff>428625</xdr:colOff>
      <xdr:row>80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1E00-000007000000}"/>
            </a:ext>
          </a:extLst>
        </xdr:cNvPr>
        <xdr:cNvSpPr txBox="1">
          <a:spLocks noChangeArrowheads="1"/>
        </xdr:cNvSpPr>
      </xdr:nvSpPr>
      <xdr:spPr bwMode="auto">
        <a:xfrm>
          <a:off x="113442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79</xdr:row>
      <xdr:rowOff>114300</xdr:rowOff>
    </xdr:from>
    <xdr:to>
      <xdr:col>12</xdr:col>
      <xdr:colOff>428625</xdr:colOff>
      <xdr:row>80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1E00-000008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79</xdr:row>
      <xdr:rowOff>114300</xdr:rowOff>
    </xdr:from>
    <xdr:to>
      <xdr:col>15</xdr:col>
      <xdr:colOff>428625</xdr:colOff>
      <xdr:row>80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1E00-000009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24</xdr:row>
      <xdr:rowOff>0</xdr:rowOff>
    </xdr:from>
    <xdr:to>
      <xdr:col>12</xdr:col>
      <xdr:colOff>742950</xdr:colOff>
      <xdr:row>50</xdr:row>
      <xdr:rowOff>66676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352425</xdr:colOff>
      <xdr:row>79</xdr:row>
      <xdr:rowOff>114300</xdr:rowOff>
    </xdr:from>
    <xdr:to>
      <xdr:col>6</xdr:col>
      <xdr:colOff>428625</xdr:colOff>
      <xdr:row>80</xdr:row>
      <xdr:rowOff>133350</xdr:rowOff>
    </xdr:to>
    <xdr:sp macro="" textlink="">
      <xdr:nvSpPr>
        <xdr:cNvPr id="3" name="Text Box 120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 txBox="1">
          <a:spLocks noChangeArrowheads="1"/>
        </xdr:cNvSpPr>
      </xdr:nvSpPr>
      <xdr:spPr bwMode="auto">
        <a:xfrm>
          <a:off x="43719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79</xdr:row>
      <xdr:rowOff>114300</xdr:rowOff>
    </xdr:from>
    <xdr:to>
      <xdr:col>9</xdr:col>
      <xdr:colOff>428625</xdr:colOff>
      <xdr:row>80</xdr:row>
      <xdr:rowOff>133350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SpPr txBox="1">
          <a:spLocks noChangeArrowheads="1"/>
        </xdr:cNvSpPr>
      </xdr:nvSpPr>
      <xdr:spPr bwMode="auto">
        <a:xfrm>
          <a:off x="611505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79</xdr:row>
      <xdr:rowOff>114300</xdr:rowOff>
    </xdr:from>
    <xdr:to>
      <xdr:col>12</xdr:col>
      <xdr:colOff>428625</xdr:colOff>
      <xdr:row>80</xdr:row>
      <xdr:rowOff>133350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79</xdr:row>
      <xdr:rowOff>114300</xdr:rowOff>
    </xdr:from>
    <xdr:to>
      <xdr:col>15</xdr:col>
      <xdr:colOff>428625</xdr:colOff>
      <xdr:row>80</xdr:row>
      <xdr:rowOff>133350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79</xdr:row>
      <xdr:rowOff>114300</xdr:rowOff>
    </xdr:from>
    <xdr:to>
      <xdr:col>18</xdr:col>
      <xdr:colOff>428625</xdr:colOff>
      <xdr:row>80</xdr:row>
      <xdr:rowOff>133350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1F00-000007000000}"/>
            </a:ext>
          </a:extLst>
        </xdr:cNvPr>
        <xdr:cNvSpPr txBox="1">
          <a:spLocks noChangeArrowheads="1"/>
        </xdr:cNvSpPr>
      </xdr:nvSpPr>
      <xdr:spPr bwMode="auto">
        <a:xfrm>
          <a:off x="1134427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79</xdr:row>
      <xdr:rowOff>114300</xdr:rowOff>
    </xdr:from>
    <xdr:to>
      <xdr:col>12</xdr:col>
      <xdr:colOff>428625</xdr:colOff>
      <xdr:row>80</xdr:row>
      <xdr:rowOff>133350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1F00-000008000000}"/>
            </a:ext>
          </a:extLst>
        </xdr:cNvPr>
        <xdr:cNvSpPr txBox="1">
          <a:spLocks noChangeArrowheads="1"/>
        </xdr:cNvSpPr>
      </xdr:nvSpPr>
      <xdr:spPr bwMode="auto">
        <a:xfrm>
          <a:off x="7858125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79</xdr:row>
      <xdr:rowOff>114300</xdr:rowOff>
    </xdr:from>
    <xdr:to>
      <xdr:col>15</xdr:col>
      <xdr:colOff>428625</xdr:colOff>
      <xdr:row>80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1F00-000009000000}"/>
            </a:ext>
          </a:extLst>
        </xdr:cNvPr>
        <xdr:cNvSpPr txBox="1">
          <a:spLocks noChangeArrowheads="1"/>
        </xdr:cNvSpPr>
      </xdr:nvSpPr>
      <xdr:spPr bwMode="auto">
        <a:xfrm>
          <a:off x="9601200" y="1447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352425</xdr:colOff>
      <xdr:row>111</xdr:row>
      <xdr:rowOff>114300</xdr:rowOff>
    </xdr:from>
    <xdr:to>
      <xdr:col>6</xdr:col>
      <xdr:colOff>428625</xdr:colOff>
      <xdr:row>112</xdr:row>
      <xdr:rowOff>95250</xdr:rowOff>
    </xdr:to>
    <xdr:sp macro="" textlink="">
      <xdr:nvSpPr>
        <xdr:cNvPr id="2" name="Text Box 12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4371975" y="2200275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111</xdr:row>
      <xdr:rowOff>114300</xdr:rowOff>
    </xdr:from>
    <xdr:to>
      <xdr:col>9</xdr:col>
      <xdr:colOff>428625</xdr:colOff>
      <xdr:row>112</xdr:row>
      <xdr:rowOff>95250</xdr:rowOff>
    </xdr:to>
    <xdr:sp macro="" textlink="">
      <xdr:nvSpPr>
        <xdr:cNvPr id="3" name="Text Box 12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6781800" y="2200275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111</xdr:row>
      <xdr:rowOff>114300</xdr:rowOff>
    </xdr:from>
    <xdr:to>
      <xdr:col>12</xdr:col>
      <xdr:colOff>428625</xdr:colOff>
      <xdr:row>112</xdr:row>
      <xdr:rowOff>95250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8972550" y="2200275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111</xdr:row>
      <xdr:rowOff>114300</xdr:rowOff>
    </xdr:from>
    <xdr:to>
      <xdr:col>15</xdr:col>
      <xdr:colOff>428625</xdr:colOff>
      <xdr:row>112</xdr:row>
      <xdr:rowOff>95250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11382375" y="2200275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111</xdr:row>
      <xdr:rowOff>114300</xdr:rowOff>
    </xdr:from>
    <xdr:to>
      <xdr:col>18</xdr:col>
      <xdr:colOff>428625</xdr:colOff>
      <xdr:row>112</xdr:row>
      <xdr:rowOff>95250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13620750" y="2200275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111</xdr:row>
      <xdr:rowOff>114300</xdr:rowOff>
    </xdr:from>
    <xdr:to>
      <xdr:col>12</xdr:col>
      <xdr:colOff>428625</xdr:colOff>
      <xdr:row>112</xdr:row>
      <xdr:rowOff>95250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8972550" y="2200275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111</xdr:row>
      <xdr:rowOff>114300</xdr:rowOff>
    </xdr:from>
    <xdr:to>
      <xdr:col>15</xdr:col>
      <xdr:colOff>428625</xdr:colOff>
      <xdr:row>112</xdr:row>
      <xdr:rowOff>95250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11382375" y="2200275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371475</xdr:colOff>
      <xdr:row>87</xdr:row>
      <xdr:rowOff>28575</xdr:rowOff>
    </xdr:from>
    <xdr:to>
      <xdr:col>12</xdr:col>
      <xdr:colOff>835820</xdr:colOff>
      <xdr:row>116</xdr:row>
      <xdr:rowOff>161925</xdr:rowOff>
    </xdr:to>
    <xdr:graphicFrame macro="">
      <xdr:nvGraphicFramePr>
        <xdr:cNvPr id="9" name="1 Gráfic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352425</xdr:colOff>
      <xdr:row>125</xdr:row>
      <xdr:rowOff>114300</xdr:rowOff>
    </xdr:from>
    <xdr:ext cx="76200" cy="180975"/>
    <xdr:sp macro="" textlink="">
      <xdr:nvSpPr>
        <xdr:cNvPr id="10" name="Text Box 120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4371975" y="2478405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352425</xdr:colOff>
      <xdr:row>125</xdr:row>
      <xdr:rowOff>114300</xdr:rowOff>
    </xdr:from>
    <xdr:ext cx="76200" cy="180975"/>
    <xdr:sp macro="" textlink="">
      <xdr:nvSpPr>
        <xdr:cNvPr id="11" name="Text Box 12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6781800" y="2478405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352425</xdr:colOff>
      <xdr:row>125</xdr:row>
      <xdr:rowOff>114300</xdr:rowOff>
    </xdr:from>
    <xdr:ext cx="76200" cy="180975"/>
    <xdr:sp macro="" textlink="">
      <xdr:nvSpPr>
        <xdr:cNvPr id="12" name="Text Box 120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8972550" y="2478405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352425</xdr:colOff>
      <xdr:row>125</xdr:row>
      <xdr:rowOff>114300</xdr:rowOff>
    </xdr:from>
    <xdr:ext cx="76200" cy="180975"/>
    <xdr:sp macro="" textlink="">
      <xdr:nvSpPr>
        <xdr:cNvPr id="13" name="Text Box 120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11382375" y="2478405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352425</xdr:colOff>
      <xdr:row>125</xdr:row>
      <xdr:rowOff>114300</xdr:rowOff>
    </xdr:from>
    <xdr:ext cx="76200" cy="180975"/>
    <xdr:sp macro="" textlink="">
      <xdr:nvSpPr>
        <xdr:cNvPr id="14" name="Text Box 12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>
          <a:spLocks noChangeArrowheads="1"/>
        </xdr:cNvSpPr>
      </xdr:nvSpPr>
      <xdr:spPr bwMode="auto">
        <a:xfrm>
          <a:off x="13620750" y="2478405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352425</xdr:colOff>
      <xdr:row>125</xdr:row>
      <xdr:rowOff>114300</xdr:rowOff>
    </xdr:from>
    <xdr:ext cx="76200" cy="180975"/>
    <xdr:sp macro="" textlink="">
      <xdr:nvSpPr>
        <xdr:cNvPr id="15" name="Text Box 120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>
          <a:spLocks noChangeArrowheads="1"/>
        </xdr:cNvSpPr>
      </xdr:nvSpPr>
      <xdr:spPr bwMode="auto">
        <a:xfrm>
          <a:off x="8972550" y="2478405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15</xdr:col>
      <xdr:colOff>352425</xdr:colOff>
      <xdr:row>125</xdr:row>
      <xdr:rowOff>114300</xdr:rowOff>
    </xdr:from>
    <xdr:ext cx="76200" cy="180975"/>
    <xdr:sp macro="" textlink="">
      <xdr:nvSpPr>
        <xdr:cNvPr id="16" name="Text Box 120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>
          <a:spLocks noChangeArrowheads="1"/>
        </xdr:cNvSpPr>
      </xdr:nvSpPr>
      <xdr:spPr bwMode="auto">
        <a:xfrm>
          <a:off x="11382375" y="2478405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2</xdr:col>
      <xdr:colOff>0</xdr:colOff>
      <xdr:row>169</xdr:row>
      <xdr:rowOff>0</xdr:rowOff>
    </xdr:from>
    <xdr:to>
      <xdr:col>13</xdr:col>
      <xdr:colOff>445295</xdr:colOff>
      <xdr:row>199</xdr:row>
      <xdr:rowOff>57150</xdr:rowOff>
    </xdr:to>
    <xdr:graphicFrame macro="">
      <xdr:nvGraphicFramePr>
        <xdr:cNvPr id="17" name="1 Gráfico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39157</xdr:colOff>
      <xdr:row>299</xdr:row>
      <xdr:rowOff>64560</xdr:rowOff>
    </xdr:from>
    <xdr:to>
      <xdr:col>14</xdr:col>
      <xdr:colOff>183091</xdr:colOff>
      <xdr:row>331</xdr:row>
      <xdr:rowOff>148167</xdr:rowOff>
    </xdr:to>
    <xdr:graphicFrame macro="">
      <xdr:nvGraphicFramePr>
        <xdr:cNvPr id="18" name="1 Gráfico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63501</xdr:colOff>
      <xdr:row>200</xdr:row>
      <xdr:rowOff>42333</xdr:rowOff>
    </xdr:from>
    <xdr:to>
      <xdr:col>13</xdr:col>
      <xdr:colOff>64296</xdr:colOff>
      <xdr:row>230</xdr:row>
      <xdr:rowOff>99483</xdr:rowOff>
    </xdr:to>
    <xdr:graphicFrame macro="">
      <xdr:nvGraphicFramePr>
        <xdr:cNvPr id="19" name="1 Gráfico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402167</xdr:colOff>
      <xdr:row>232</xdr:row>
      <xdr:rowOff>21167</xdr:rowOff>
    </xdr:from>
    <xdr:to>
      <xdr:col>13</xdr:col>
      <xdr:colOff>402962</xdr:colOff>
      <xdr:row>262</xdr:row>
      <xdr:rowOff>78317</xdr:rowOff>
    </xdr:to>
    <xdr:graphicFrame macro="">
      <xdr:nvGraphicFramePr>
        <xdr:cNvPr id="20" name="1 Gráfico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352425</xdr:colOff>
      <xdr:row>126</xdr:row>
      <xdr:rowOff>0</xdr:rowOff>
    </xdr:from>
    <xdr:to>
      <xdr:col>6</xdr:col>
      <xdr:colOff>428625</xdr:colOff>
      <xdr:row>126</xdr:row>
      <xdr:rowOff>180975</xdr:rowOff>
    </xdr:to>
    <xdr:sp macro="" textlink="">
      <xdr:nvSpPr>
        <xdr:cNvPr id="2" name="Text Box 120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SpPr txBox="1">
          <a:spLocks noChangeArrowheads="1"/>
        </xdr:cNvSpPr>
      </xdr:nvSpPr>
      <xdr:spPr bwMode="auto">
        <a:xfrm>
          <a:off x="4371975" y="247650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126</xdr:row>
      <xdr:rowOff>0</xdr:rowOff>
    </xdr:from>
    <xdr:to>
      <xdr:col>9</xdr:col>
      <xdr:colOff>428625</xdr:colOff>
      <xdr:row>126</xdr:row>
      <xdr:rowOff>180975</xdr:rowOff>
    </xdr:to>
    <xdr:sp macro="" textlink="">
      <xdr:nvSpPr>
        <xdr:cNvPr id="3" name="Text Box 120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SpPr txBox="1">
          <a:spLocks noChangeArrowheads="1"/>
        </xdr:cNvSpPr>
      </xdr:nvSpPr>
      <xdr:spPr bwMode="auto">
        <a:xfrm>
          <a:off x="6781800" y="247650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126</xdr:row>
      <xdr:rowOff>0</xdr:rowOff>
    </xdr:from>
    <xdr:to>
      <xdr:col>12</xdr:col>
      <xdr:colOff>428625</xdr:colOff>
      <xdr:row>126</xdr:row>
      <xdr:rowOff>180975</xdr:rowOff>
    </xdr:to>
    <xdr:sp macro="" textlink="">
      <xdr:nvSpPr>
        <xdr:cNvPr id="4" name="Text Box 120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SpPr txBox="1">
          <a:spLocks noChangeArrowheads="1"/>
        </xdr:cNvSpPr>
      </xdr:nvSpPr>
      <xdr:spPr bwMode="auto">
        <a:xfrm>
          <a:off x="8972550" y="247650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126</xdr:row>
      <xdr:rowOff>0</xdr:rowOff>
    </xdr:from>
    <xdr:to>
      <xdr:col>15</xdr:col>
      <xdr:colOff>428625</xdr:colOff>
      <xdr:row>126</xdr:row>
      <xdr:rowOff>180975</xdr:rowOff>
    </xdr:to>
    <xdr:sp macro="" textlink="">
      <xdr:nvSpPr>
        <xdr:cNvPr id="5" name="Text Box 120"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SpPr txBox="1">
          <a:spLocks noChangeArrowheads="1"/>
        </xdr:cNvSpPr>
      </xdr:nvSpPr>
      <xdr:spPr bwMode="auto">
        <a:xfrm>
          <a:off x="11382375" y="247650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126</xdr:row>
      <xdr:rowOff>0</xdr:rowOff>
    </xdr:from>
    <xdr:to>
      <xdr:col>18</xdr:col>
      <xdr:colOff>428625</xdr:colOff>
      <xdr:row>126</xdr:row>
      <xdr:rowOff>180975</xdr:rowOff>
    </xdr:to>
    <xdr:sp macro="" textlink="">
      <xdr:nvSpPr>
        <xdr:cNvPr id="6" name="Text Box 120">
          <a:extLst>
            <a:ext uri="{FF2B5EF4-FFF2-40B4-BE49-F238E27FC236}">
              <a16:creationId xmlns:a16="http://schemas.microsoft.com/office/drawing/2014/main" id="{00000000-0008-0000-2200-000006000000}"/>
            </a:ext>
          </a:extLst>
        </xdr:cNvPr>
        <xdr:cNvSpPr txBox="1">
          <a:spLocks noChangeArrowheads="1"/>
        </xdr:cNvSpPr>
      </xdr:nvSpPr>
      <xdr:spPr bwMode="auto">
        <a:xfrm>
          <a:off x="13620750" y="247650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126</xdr:row>
      <xdr:rowOff>0</xdr:rowOff>
    </xdr:from>
    <xdr:to>
      <xdr:col>12</xdr:col>
      <xdr:colOff>428625</xdr:colOff>
      <xdr:row>126</xdr:row>
      <xdr:rowOff>180975</xdr:rowOff>
    </xdr:to>
    <xdr:sp macro="" textlink="">
      <xdr:nvSpPr>
        <xdr:cNvPr id="7" name="Text Box 120">
          <a:extLst>
            <a:ext uri="{FF2B5EF4-FFF2-40B4-BE49-F238E27FC236}">
              <a16:creationId xmlns:a16="http://schemas.microsoft.com/office/drawing/2014/main" id="{00000000-0008-0000-2200-000007000000}"/>
            </a:ext>
          </a:extLst>
        </xdr:cNvPr>
        <xdr:cNvSpPr txBox="1">
          <a:spLocks noChangeArrowheads="1"/>
        </xdr:cNvSpPr>
      </xdr:nvSpPr>
      <xdr:spPr bwMode="auto">
        <a:xfrm>
          <a:off x="8972550" y="247650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126</xdr:row>
      <xdr:rowOff>0</xdr:rowOff>
    </xdr:from>
    <xdr:to>
      <xdr:col>15</xdr:col>
      <xdr:colOff>428625</xdr:colOff>
      <xdr:row>126</xdr:row>
      <xdr:rowOff>180975</xdr:rowOff>
    </xdr:to>
    <xdr:sp macro="" textlink="">
      <xdr:nvSpPr>
        <xdr:cNvPr id="8" name="Text Box 120">
          <a:extLst>
            <a:ext uri="{FF2B5EF4-FFF2-40B4-BE49-F238E27FC236}">
              <a16:creationId xmlns:a16="http://schemas.microsoft.com/office/drawing/2014/main" id="{00000000-0008-0000-2200-000008000000}"/>
            </a:ext>
          </a:extLst>
        </xdr:cNvPr>
        <xdr:cNvSpPr txBox="1">
          <a:spLocks noChangeArrowheads="1"/>
        </xdr:cNvSpPr>
      </xdr:nvSpPr>
      <xdr:spPr bwMode="auto">
        <a:xfrm>
          <a:off x="11382375" y="247650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352425</xdr:colOff>
      <xdr:row>128</xdr:row>
      <xdr:rowOff>114300</xdr:rowOff>
    </xdr:from>
    <xdr:to>
      <xdr:col>6</xdr:col>
      <xdr:colOff>428625</xdr:colOff>
      <xdr:row>129</xdr:row>
      <xdr:rowOff>133350</xdr:rowOff>
    </xdr:to>
    <xdr:sp macro="" textlink="">
      <xdr:nvSpPr>
        <xdr:cNvPr id="9" name="Text Box 120">
          <a:extLst>
            <a:ext uri="{FF2B5EF4-FFF2-40B4-BE49-F238E27FC236}">
              <a16:creationId xmlns:a16="http://schemas.microsoft.com/office/drawing/2014/main" id="{00000000-0008-0000-2200-000009000000}"/>
            </a:ext>
          </a:extLst>
        </xdr:cNvPr>
        <xdr:cNvSpPr txBox="1">
          <a:spLocks noChangeArrowheads="1"/>
        </xdr:cNvSpPr>
      </xdr:nvSpPr>
      <xdr:spPr bwMode="auto">
        <a:xfrm>
          <a:off x="4371975" y="25269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352425</xdr:colOff>
      <xdr:row>128</xdr:row>
      <xdr:rowOff>114300</xdr:rowOff>
    </xdr:from>
    <xdr:to>
      <xdr:col>9</xdr:col>
      <xdr:colOff>428625</xdr:colOff>
      <xdr:row>129</xdr:row>
      <xdr:rowOff>133350</xdr:rowOff>
    </xdr:to>
    <xdr:sp macro="" textlink="">
      <xdr:nvSpPr>
        <xdr:cNvPr id="10" name="Text Box 120">
          <a:extLst>
            <a:ext uri="{FF2B5EF4-FFF2-40B4-BE49-F238E27FC236}">
              <a16:creationId xmlns:a16="http://schemas.microsoft.com/office/drawing/2014/main" id="{00000000-0008-0000-2200-00000A000000}"/>
            </a:ext>
          </a:extLst>
        </xdr:cNvPr>
        <xdr:cNvSpPr txBox="1">
          <a:spLocks noChangeArrowheads="1"/>
        </xdr:cNvSpPr>
      </xdr:nvSpPr>
      <xdr:spPr bwMode="auto">
        <a:xfrm>
          <a:off x="6781800" y="25269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128</xdr:row>
      <xdr:rowOff>114300</xdr:rowOff>
    </xdr:from>
    <xdr:to>
      <xdr:col>12</xdr:col>
      <xdr:colOff>428625</xdr:colOff>
      <xdr:row>129</xdr:row>
      <xdr:rowOff>133350</xdr:rowOff>
    </xdr:to>
    <xdr:sp macro="" textlink="">
      <xdr:nvSpPr>
        <xdr:cNvPr id="11" name="Text Box 120">
          <a:extLst>
            <a:ext uri="{FF2B5EF4-FFF2-40B4-BE49-F238E27FC236}">
              <a16:creationId xmlns:a16="http://schemas.microsoft.com/office/drawing/2014/main" id="{00000000-0008-0000-2200-00000B000000}"/>
            </a:ext>
          </a:extLst>
        </xdr:cNvPr>
        <xdr:cNvSpPr txBox="1">
          <a:spLocks noChangeArrowheads="1"/>
        </xdr:cNvSpPr>
      </xdr:nvSpPr>
      <xdr:spPr bwMode="auto">
        <a:xfrm>
          <a:off x="8972550" y="25269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128</xdr:row>
      <xdr:rowOff>114300</xdr:rowOff>
    </xdr:from>
    <xdr:to>
      <xdr:col>15</xdr:col>
      <xdr:colOff>428625</xdr:colOff>
      <xdr:row>129</xdr:row>
      <xdr:rowOff>133350</xdr:rowOff>
    </xdr:to>
    <xdr:sp macro="" textlink="">
      <xdr:nvSpPr>
        <xdr:cNvPr id="12" name="Text Box 120">
          <a:extLst>
            <a:ext uri="{FF2B5EF4-FFF2-40B4-BE49-F238E27FC236}">
              <a16:creationId xmlns:a16="http://schemas.microsoft.com/office/drawing/2014/main" id="{00000000-0008-0000-2200-00000C000000}"/>
            </a:ext>
          </a:extLst>
        </xdr:cNvPr>
        <xdr:cNvSpPr txBox="1">
          <a:spLocks noChangeArrowheads="1"/>
        </xdr:cNvSpPr>
      </xdr:nvSpPr>
      <xdr:spPr bwMode="auto">
        <a:xfrm>
          <a:off x="11382375" y="25269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352425</xdr:colOff>
      <xdr:row>128</xdr:row>
      <xdr:rowOff>114300</xdr:rowOff>
    </xdr:from>
    <xdr:to>
      <xdr:col>18</xdr:col>
      <xdr:colOff>428625</xdr:colOff>
      <xdr:row>129</xdr:row>
      <xdr:rowOff>133350</xdr:rowOff>
    </xdr:to>
    <xdr:sp macro="" textlink="">
      <xdr:nvSpPr>
        <xdr:cNvPr id="13" name="Text Box 120">
          <a:extLst>
            <a:ext uri="{FF2B5EF4-FFF2-40B4-BE49-F238E27FC236}">
              <a16:creationId xmlns:a16="http://schemas.microsoft.com/office/drawing/2014/main" id="{00000000-0008-0000-2200-00000D000000}"/>
            </a:ext>
          </a:extLst>
        </xdr:cNvPr>
        <xdr:cNvSpPr txBox="1">
          <a:spLocks noChangeArrowheads="1"/>
        </xdr:cNvSpPr>
      </xdr:nvSpPr>
      <xdr:spPr bwMode="auto">
        <a:xfrm>
          <a:off x="13620750" y="25269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352425</xdr:colOff>
      <xdr:row>128</xdr:row>
      <xdr:rowOff>114300</xdr:rowOff>
    </xdr:from>
    <xdr:to>
      <xdr:col>12</xdr:col>
      <xdr:colOff>428625</xdr:colOff>
      <xdr:row>129</xdr:row>
      <xdr:rowOff>133350</xdr:rowOff>
    </xdr:to>
    <xdr:sp macro="" textlink="">
      <xdr:nvSpPr>
        <xdr:cNvPr id="14" name="Text Box 120">
          <a:extLst>
            <a:ext uri="{FF2B5EF4-FFF2-40B4-BE49-F238E27FC236}">
              <a16:creationId xmlns:a16="http://schemas.microsoft.com/office/drawing/2014/main" id="{00000000-0008-0000-2200-00000E000000}"/>
            </a:ext>
          </a:extLst>
        </xdr:cNvPr>
        <xdr:cNvSpPr txBox="1">
          <a:spLocks noChangeArrowheads="1"/>
        </xdr:cNvSpPr>
      </xdr:nvSpPr>
      <xdr:spPr bwMode="auto">
        <a:xfrm>
          <a:off x="8972550" y="25269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352425</xdr:colOff>
      <xdr:row>128</xdr:row>
      <xdr:rowOff>114300</xdr:rowOff>
    </xdr:from>
    <xdr:to>
      <xdr:col>15</xdr:col>
      <xdr:colOff>428625</xdr:colOff>
      <xdr:row>129</xdr:row>
      <xdr:rowOff>133350</xdr:rowOff>
    </xdr:to>
    <xdr:sp macro="" textlink="">
      <xdr:nvSpPr>
        <xdr:cNvPr id="15" name="Text Box 120">
          <a:extLst>
            <a:ext uri="{FF2B5EF4-FFF2-40B4-BE49-F238E27FC236}">
              <a16:creationId xmlns:a16="http://schemas.microsoft.com/office/drawing/2014/main" id="{00000000-0008-0000-2200-00000F000000}"/>
            </a:ext>
          </a:extLst>
        </xdr:cNvPr>
        <xdr:cNvSpPr txBox="1">
          <a:spLocks noChangeArrowheads="1"/>
        </xdr:cNvSpPr>
      </xdr:nvSpPr>
      <xdr:spPr bwMode="auto">
        <a:xfrm>
          <a:off x="11382375" y="252698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19050</xdr:colOff>
      <xdr:row>89</xdr:row>
      <xdr:rowOff>28575</xdr:rowOff>
    </xdr:from>
    <xdr:to>
      <xdr:col>12</xdr:col>
      <xdr:colOff>485776</xdr:colOff>
      <xdr:row>119</xdr:row>
      <xdr:rowOff>185739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2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0.62284</cdr:x>
      <cdr:y>0.86942</cdr:y>
    </cdr:from>
    <cdr:to>
      <cdr:x>0.6778</cdr:x>
      <cdr:y>0.90673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5505449" y="5105400"/>
          <a:ext cx="485775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6350" cap="rnd">
          <a:solidFill>
            <a:schemeClr val="tx1">
              <a:lumMod val="50000"/>
              <a:lumOff val="50000"/>
            </a:schemeClr>
          </a:solidFill>
          <a:beve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2019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0.28309</cdr:x>
      <cdr:y>0.20517</cdr:y>
    </cdr:from>
    <cdr:to>
      <cdr:x>0.5288</cdr:x>
      <cdr:y>0.24808</cdr:y>
    </cdr:to>
    <cdr:sp macro="" textlink="">
      <cdr:nvSpPr>
        <cdr:cNvPr id="2" name="Llamada con línea 2 1"/>
        <cdr:cNvSpPr/>
      </cdr:nvSpPr>
      <cdr:spPr>
        <a:xfrm xmlns:a="http://schemas.openxmlformats.org/drawingml/2006/main">
          <a:off x="2571750" y="1184273"/>
          <a:ext cx="2232078" cy="247683"/>
        </a:xfrm>
        <a:prstGeom xmlns:a="http://schemas.openxmlformats.org/drawingml/2006/main" prst="borderCallout2">
          <a:avLst>
            <a:gd name="adj1" fmla="val 43750"/>
            <a:gd name="adj2" fmla="val 102626"/>
            <a:gd name="adj3" fmla="val 47322"/>
            <a:gd name="adj4" fmla="val 128539"/>
            <a:gd name="adj5" fmla="val 47394"/>
            <a:gd name="adj6" fmla="val 143317"/>
          </a:avLst>
        </a:prstGeom>
        <a:solidFill xmlns:a="http://schemas.openxmlformats.org/drawingml/2006/main">
          <a:schemeClr val="bg1"/>
        </a:solidFill>
        <a:ln xmlns:a="http://schemas.openxmlformats.org/drawingml/2006/main" w="6350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000" b="1" i="0" baseline="0">
              <a:solidFill>
                <a:sysClr val="windowText" lastClr="000000"/>
              </a:solidFill>
              <a:latin typeface="Arial" panose="020B0604020202020204" pitchFamily="34" charset="0"/>
            </a:rPr>
            <a:t>Saturación a partir del 2017 / 2018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0.28309</cdr:x>
      <cdr:y>0.20517</cdr:y>
    </cdr:from>
    <cdr:to>
      <cdr:x>0.5288</cdr:x>
      <cdr:y>0.24808</cdr:y>
    </cdr:to>
    <cdr:sp macro="" textlink="">
      <cdr:nvSpPr>
        <cdr:cNvPr id="2" name="Llamada con línea 2 1"/>
        <cdr:cNvSpPr/>
      </cdr:nvSpPr>
      <cdr:spPr>
        <a:xfrm xmlns:a="http://schemas.openxmlformats.org/drawingml/2006/main">
          <a:off x="2571750" y="1184273"/>
          <a:ext cx="2232078" cy="247683"/>
        </a:xfrm>
        <a:prstGeom xmlns:a="http://schemas.openxmlformats.org/drawingml/2006/main" prst="borderCallout2">
          <a:avLst>
            <a:gd name="adj1" fmla="val 43750"/>
            <a:gd name="adj2" fmla="val 102626"/>
            <a:gd name="adj3" fmla="val 47322"/>
            <a:gd name="adj4" fmla="val 128539"/>
            <a:gd name="adj5" fmla="val 47394"/>
            <a:gd name="adj6" fmla="val 143317"/>
          </a:avLst>
        </a:prstGeom>
        <a:solidFill xmlns:a="http://schemas.openxmlformats.org/drawingml/2006/main">
          <a:schemeClr val="bg1"/>
        </a:solidFill>
        <a:ln xmlns:a="http://schemas.openxmlformats.org/drawingml/2006/main" w="6350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000" b="1" i="0" baseline="0">
              <a:solidFill>
                <a:sysClr val="windowText" lastClr="000000"/>
              </a:solidFill>
              <a:latin typeface="Arial" panose="020B0604020202020204" pitchFamily="34" charset="0"/>
            </a:rPr>
            <a:t>Saturación a partir del 2017 / 2018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0.3086</cdr:x>
      <cdr:y>0.20517</cdr:y>
    </cdr:from>
    <cdr:to>
      <cdr:x>0.5288</cdr:x>
      <cdr:y>0.26546</cdr:y>
    </cdr:to>
    <cdr:sp macro="" textlink="">
      <cdr:nvSpPr>
        <cdr:cNvPr id="2" name="Llamada con línea 2 1"/>
        <cdr:cNvSpPr/>
      </cdr:nvSpPr>
      <cdr:spPr>
        <a:xfrm xmlns:a="http://schemas.openxmlformats.org/drawingml/2006/main">
          <a:off x="3027893" y="1267870"/>
          <a:ext cx="2160592" cy="372545"/>
        </a:xfrm>
        <a:prstGeom xmlns:a="http://schemas.openxmlformats.org/drawingml/2006/main" prst="borderCallout2">
          <a:avLst>
            <a:gd name="adj1" fmla="val 43750"/>
            <a:gd name="adj2" fmla="val 102626"/>
            <a:gd name="adj3" fmla="val 47322"/>
            <a:gd name="adj4" fmla="val 128539"/>
            <a:gd name="adj5" fmla="val 47394"/>
            <a:gd name="adj6" fmla="val 143317"/>
          </a:avLst>
        </a:prstGeom>
        <a:solidFill xmlns:a="http://schemas.openxmlformats.org/drawingml/2006/main">
          <a:schemeClr val="bg1"/>
        </a:solidFill>
        <a:ln xmlns:a="http://schemas.openxmlformats.org/drawingml/2006/main" w="6350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000" b="1" i="0" baseline="0">
              <a:solidFill>
                <a:sysClr val="windowText" lastClr="000000"/>
              </a:solidFill>
              <a:latin typeface="Arial" panose="020B0604020202020204" pitchFamily="34" charset="0"/>
            </a:rPr>
            <a:t>Si no se repotencia: Saturación a partir del 2017 / 2018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0.28309</cdr:x>
      <cdr:y>0.20517</cdr:y>
    </cdr:from>
    <cdr:to>
      <cdr:x>0.5288</cdr:x>
      <cdr:y>0.24808</cdr:y>
    </cdr:to>
    <cdr:sp macro="" textlink="">
      <cdr:nvSpPr>
        <cdr:cNvPr id="2" name="Llamada con línea 2 1"/>
        <cdr:cNvSpPr/>
      </cdr:nvSpPr>
      <cdr:spPr>
        <a:xfrm xmlns:a="http://schemas.openxmlformats.org/drawingml/2006/main">
          <a:off x="2571750" y="1184273"/>
          <a:ext cx="2232078" cy="247683"/>
        </a:xfrm>
        <a:prstGeom xmlns:a="http://schemas.openxmlformats.org/drawingml/2006/main" prst="borderCallout2">
          <a:avLst>
            <a:gd name="adj1" fmla="val 43750"/>
            <a:gd name="adj2" fmla="val 102626"/>
            <a:gd name="adj3" fmla="val 47322"/>
            <a:gd name="adj4" fmla="val 128539"/>
            <a:gd name="adj5" fmla="val 47394"/>
            <a:gd name="adj6" fmla="val 143317"/>
          </a:avLst>
        </a:prstGeom>
        <a:solidFill xmlns:a="http://schemas.openxmlformats.org/drawingml/2006/main">
          <a:schemeClr val="bg1"/>
        </a:solidFill>
        <a:ln xmlns:a="http://schemas.openxmlformats.org/drawingml/2006/main" w="6350">
          <a:solidFill>
            <a:schemeClr val="tx1"/>
          </a:solidFill>
          <a:tailEnd type="triangle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AR" sz="1000" b="1" i="0" baseline="0">
              <a:solidFill>
                <a:sysClr val="windowText" lastClr="000000"/>
              </a:solidFill>
              <a:latin typeface="Arial" panose="020B0604020202020204" pitchFamily="34" charset="0"/>
            </a:rPr>
            <a:t>Saturación a partir del 2017 / 2018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E39"/>
  <sheetViews>
    <sheetView topLeftCell="A7" workbookViewId="0">
      <selection activeCell="B30" sqref="B30:E39"/>
    </sheetView>
  </sheetViews>
  <sheetFormatPr baseColWidth="10" defaultRowHeight="15" x14ac:dyDescent="0.25"/>
  <cols>
    <col min="1" max="1" width="2.7109375" customWidth="1"/>
    <col min="2" max="3" width="15.7109375" customWidth="1"/>
    <col min="4" max="4" width="50.7109375" customWidth="1"/>
    <col min="5" max="5" width="20.7109375" customWidth="1"/>
  </cols>
  <sheetData>
    <row r="1" spans="2:5" x14ac:dyDescent="0.25">
      <c r="B1" s="1014"/>
      <c r="C1" s="1014"/>
      <c r="D1" s="1014"/>
      <c r="E1" s="1014"/>
    </row>
    <row r="2" spans="2:5" x14ac:dyDescent="0.25">
      <c r="B2" s="1014"/>
      <c r="C2" s="1014"/>
      <c r="D2" s="1014"/>
      <c r="E2" s="1014"/>
    </row>
    <row r="3" spans="2:5" x14ac:dyDescent="0.25">
      <c r="B3" s="1014"/>
      <c r="C3" s="1014"/>
      <c r="D3" s="1014"/>
      <c r="E3" s="1014"/>
    </row>
    <row r="4" spans="2:5" x14ac:dyDescent="0.25">
      <c r="B4" s="1014"/>
      <c r="C4" s="1014"/>
      <c r="D4" s="1014"/>
      <c r="E4" s="1014"/>
    </row>
    <row r="5" spans="2:5" x14ac:dyDescent="0.25">
      <c r="B5" s="1014"/>
      <c r="C5" s="1014"/>
      <c r="D5" s="1014"/>
      <c r="E5" s="1014"/>
    </row>
    <row r="6" spans="2:5" x14ac:dyDescent="0.25">
      <c r="B6" s="1014"/>
      <c r="C6" s="1014"/>
      <c r="D6" s="1014"/>
      <c r="E6" s="1014"/>
    </row>
    <row r="7" spans="2:5" x14ac:dyDescent="0.25">
      <c r="B7" s="1015" t="s">
        <v>57</v>
      </c>
      <c r="C7" s="1015"/>
      <c r="D7" s="1015"/>
      <c r="E7" s="1015"/>
    </row>
    <row r="8" spans="2:5" x14ac:dyDescent="0.25">
      <c r="B8" s="1015"/>
      <c r="C8" s="1015"/>
      <c r="D8" s="1015"/>
      <c r="E8" s="1015"/>
    </row>
    <row r="9" spans="2:5" x14ac:dyDescent="0.25">
      <c r="B9" s="1016" t="s">
        <v>58</v>
      </c>
      <c r="C9" s="1016"/>
      <c r="D9" s="1016"/>
      <c r="E9" s="1016"/>
    </row>
    <row r="10" spans="2:5" x14ac:dyDescent="0.25">
      <c r="B10" s="1016"/>
      <c r="C10" s="1016"/>
      <c r="D10" s="1016"/>
      <c r="E10" s="1016"/>
    </row>
    <row r="11" spans="2:5" x14ac:dyDescent="0.25">
      <c r="B11" s="15"/>
      <c r="C11" s="5"/>
      <c r="D11" s="5"/>
      <c r="E11" s="5"/>
    </row>
    <row r="12" spans="2:5" x14ac:dyDescent="0.25">
      <c r="B12" s="15"/>
      <c r="C12" s="5"/>
      <c r="D12" s="5"/>
      <c r="E12" s="5"/>
    </row>
    <row r="13" spans="2:5" x14ac:dyDescent="0.25">
      <c r="B13" s="1017" t="s">
        <v>59</v>
      </c>
      <c r="C13" s="1018"/>
      <c r="D13" s="1018"/>
      <c r="E13" s="1019"/>
    </row>
    <row r="14" spans="2:5" x14ac:dyDescent="0.25">
      <c r="B14" s="16" t="s">
        <v>60</v>
      </c>
      <c r="C14" s="17" t="s">
        <v>61</v>
      </c>
      <c r="D14" s="18" t="s">
        <v>62</v>
      </c>
      <c r="E14" s="19" t="s">
        <v>63</v>
      </c>
    </row>
    <row r="15" spans="2:5" x14ac:dyDescent="0.25">
      <c r="B15" s="20">
        <v>41408</v>
      </c>
      <c r="C15" s="21" t="s">
        <v>64</v>
      </c>
      <c r="D15" s="22" t="s">
        <v>65</v>
      </c>
      <c r="E15" s="23" t="s">
        <v>66</v>
      </c>
    </row>
    <row r="16" spans="2:5" x14ac:dyDescent="0.25">
      <c r="B16" s="24">
        <v>41653</v>
      </c>
      <c r="C16" s="5" t="s">
        <v>311</v>
      </c>
      <c r="D16" s="25" t="s">
        <v>76</v>
      </c>
      <c r="E16" s="33" t="s">
        <v>66</v>
      </c>
    </row>
    <row r="17" spans="2:5" x14ac:dyDescent="0.25">
      <c r="B17" s="24">
        <v>41684</v>
      </c>
      <c r="C17" s="5" t="s">
        <v>312</v>
      </c>
      <c r="D17" s="25" t="s">
        <v>93</v>
      </c>
      <c r="E17" s="26" t="s">
        <v>66</v>
      </c>
    </row>
    <row r="18" spans="2:5" x14ac:dyDescent="0.25">
      <c r="B18" s="24">
        <v>42373</v>
      </c>
      <c r="C18" s="5" t="s">
        <v>107</v>
      </c>
      <c r="D18" s="25" t="s">
        <v>108</v>
      </c>
      <c r="E18" s="26" t="s">
        <v>66</v>
      </c>
    </row>
    <row r="19" spans="2:5" x14ac:dyDescent="0.25">
      <c r="B19" s="27">
        <v>43101</v>
      </c>
      <c r="C19" s="28" t="s">
        <v>310</v>
      </c>
      <c r="D19" s="29" t="s">
        <v>67</v>
      </c>
      <c r="E19" s="30" t="s">
        <v>68</v>
      </c>
    </row>
    <row r="20" spans="2:5" x14ac:dyDescent="0.25">
      <c r="B20" s="15"/>
      <c r="C20" s="5"/>
      <c r="D20" s="5"/>
      <c r="E20" s="5"/>
    </row>
    <row r="21" spans="2:5" x14ac:dyDescent="0.25">
      <c r="B21" s="15"/>
      <c r="C21" s="5"/>
      <c r="D21" s="5"/>
      <c r="E21" s="5"/>
    </row>
    <row r="22" spans="2:5" x14ac:dyDescent="0.25">
      <c r="B22" s="1020" t="s">
        <v>69</v>
      </c>
      <c r="C22" s="1021"/>
      <c r="D22" s="1021"/>
      <c r="E22" s="1022"/>
    </row>
    <row r="23" spans="2:5" x14ac:dyDescent="0.25">
      <c r="B23" s="1012" t="s">
        <v>70</v>
      </c>
      <c r="C23" s="1013"/>
      <c r="D23" s="18" t="s">
        <v>71</v>
      </c>
      <c r="E23" s="19" t="s">
        <v>60</v>
      </c>
    </row>
    <row r="24" spans="2:5" x14ac:dyDescent="0.25">
      <c r="B24" s="1024" t="s">
        <v>77</v>
      </c>
      <c r="C24" s="1025"/>
      <c r="D24" s="24" t="s">
        <v>78</v>
      </c>
      <c r="E24" s="34">
        <v>41275</v>
      </c>
    </row>
    <row r="25" spans="2:5" x14ac:dyDescent="0.25">
      <c r="B25" s="1026"/>
      <c r="C25" s="1027"/>
      <c r="D25" s="25"/>
      <c r="E25" s="26"/>
    </row>
    <row r="26" spans="2:5" x14ac:dyDescent="0.25">
      <c r="B26" s="1026"/>
      <c r="C26" s="1027"/>
      <c r="D26" s="25"/>
      <c r="E26" s="26"/>
    </row>
    <row r="27" spans="2:5" x14ac:dyDescent="0.25">
      <c r="B27" s="1028"/>
      <c r="C27" s="1029"/>
      <c r="D27" s="29"/>
      <c r="E27" s="30"/>
    </row>
    <row r="28" spans="2:5" x14ac:dyDescent="0.25">
      <c r="B28" s="15"/>
      <c r="C28" s="5"/>
      <c r="D28" s="5"/>
      <c r="E28" s="5"/>
    </row>
    <row r="29" spans="2:5" x14ac:dyDescent="0.25">
      <c r="B29" s="15"/>
      <c r="C29" s="5"/>
      <c r="D29" s="5"/>
      <c r="E29" s="5"/>
    </row>
    <row r="30" spans="2:5" x14ac:dyDescent="0.25">
      <c r="B30" s="1023" t="s">
        <v>126</v>
      </c>
      <c r="C30" s="1023"/>
      <c r="D30" s="1023"/>
      <c r="E30" s="1023"/>
    </row>
    <row r="31" spans="2:5" x14ac:dyDescent="0.25">
      <c r="B31" s="1023"/>
      <c r="C31" s="1023"/>
      <c r="D31" s="1023"/>
      <c r="E31" s="1023"/>
    </row>
    <row r="32" spans="2:5" x14ac:dyDescent="0.25">
      <c r="B32" s="1023"/>
      <c r="C32" s="1023"/>
      <c r="D32" s="1023"/>
      <c r="E32" s="1023"/>
    </row>
    <row r="33" spans="2:5" x14ac:dyDescent="0.25">
      <c r="B33" s="1023"/>
      <c r="C33" s="1023"/>
      <c r="D33" s="1023"/>
      <c r="E33" s="1023"/>
    </row>
    <row r="34" spans="2:5" x14ac:dyDescent="0.25">
      <c r="B34" s="1023"/>
      <c r="C34" s="1023"/>
      <c r="D34" s="1023"/>
      <c r="E34" s="1023"/>
    </row>
    <row r="35" spans="2:5" x14ac:dyDescent="0.25">
      <c r="B35" s="1023"/>
      <c r="C35" s="1023"/>
      <c r="D35" s="1023"/>
      <c r="E35" s="1023"/>
    </row>
    <row r="36" spans="2:5" x14ac:dyDescent="0.25">
      <c r="B36" s="1023"/>
      <c r="C36" s="1023"/>
      <c r="D36" s="1023"/>
      <c r="E36" s="1023"/>
    </row>
    <row r="37" spans="2:5" x14ac:dyDescent="0.25">
      <c r="B37" s="1023"/>
      <c r="C37" s="1023"/>
      <c r="D37" s="1023"/>
      <c r="E37" s="1023"/>
    </row>
    <row r="38" spans="2:5" x14ac:dyDescent="0.25">
      <c r="B38" s="1023"/>
      <c r="C38" s="1023"/>
      <c r="D38" s="1023"/>
      <c r="E38" s="1023"/>
    </row>
    <row r="39" spans="2:5" x14ac:dyDescent="0.25">
      <c r="B39" s="1023"/>
      <c r="C39" s="1023"/>
      <c r="D39" s="1023"/>
      <c r="E39" s="1023"/>
    </row>
  </sheetData>
  <mergeCells count="11">
    <mergeCell ref="B30:E39"/>
    <mergeCell ref="B24:C24"/>
    <mergeCell ref="B25:C25"/>
    <mergeCell ref="B26:C26"/>
    <mergeCell ref="B27:C27"/>
    <mergeCell ref="B23:C23"/>
    <mergeCell ref="B1:E6"/>
    <mergeCell ref="B7:E8"/>
    <mergeCell ref="B9:E10"/>
    <mergeCell ref="B13:E13"/>
    <mergeCell ref="B22:E2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2:T132"/>
  <sheetViews>
    <sheetView topLeftCell="A80" zoomScaleNormal="100" workbookViewId="0">
      <selection activeCell="G74" sqref="G74"/>
    </sheetView>
  </sheetViews>
  <sheetFormatPr baseColWidth="10" defaultRowHeight="15" x14ac:dyDescent="0.25"/>
  <cols>
    <col min="1" max="1" width="5.7109375" customWidth="1"/>
    <col min="2" max="2" width="6.7109375" customWidth="1"/>
    <col min="3" max="3" width="14.7109375" customWidth="1"/>
    <col min="4" max="5" width="10.7109375" customWidth="1"/>
    <col min="6" max="6" width="11.7109375" customWidth="1"/>
    <col min="7" max="8" width="12.7109375" customWidth="1"/>
    <col min="9" max="11" width="10.7109375" customWidth="1"/>
    <col min="12" max="12" width="6.85546875" customWidth="1"/>
    <col min="14" max="15" width="10.7109375" style="10" customWidth="1"/>
    <col min="16" max="16" width="10.7109375" style="7" customWidth="1"/>
    <col min="17" max="17" width="11.42578125" style="11"/>
    <col min="18" max="18" width="12.7109375" style="10" customWidth="1"/>
  </cols>
  <sheetData>
    <row r="2" spans="2:18" ht="15.75" thickBot="1" x14ac:dyDescent="0.3"/>
    <row r="3" spans="2:18" ht="15.95" customHeight="1" x14ac:dyDescent="0.25">
      <c r="B3" s="1213" t="s">
        <v>45</v>
      </c>
      <c r="C3" s="1214"/>
      <c r="D3" s="1214"/>
      <c r="E3" s="1214"/>
      <c r="F3" s="1214"/>
      <c r="G3" s="1214"/>
      <c r="H3" s="1214"/>
      <c r="I3" s="1214"/>
      <c r="J3" s="1214"/>
      <c r="K3" s="1215"/>
      <c r="L3" s="73"/>
      <c r="M3" s="73"/>
      <c r="N3" s="39"/>
    </row>
    <row r="4" spans="2:18" ht="15.95" customHeight="1" thickBot="1" x14ac:dyDescent="0.3">
      <c r="B4" s="1216" t="s">
        <v>39</v>
      </c>
      <c r="C4" s="1217"/>
      <c r="D4" s="1217"/>
      <c r="E4" s="1217"/>
      <c r="F4" s="1217"/>
      <c r="G4" s="1217"/>
      <c r="H4" s="1217"/>
      <c r="I4" s="1217"/>
      <c r="J4" s="1217"/>
      <c r="K4" s="1218"/>
      <c r="L4" s="73"/>
      <c r="M4" s="73"/>
      <c r="N4" s="39"/>
    </row>
    <row r="5" spans="2:18" ht="15.95" customHeight="1" x14ac:dyDescent="0.25">
      <c r="B5" s="1166" t="s">
        <v>124</v>
      </c>
      <c r="C5" s="1223" t="s">
        <v>26</v>
      </c>
      <c r="D5" s="1167" t="s">
        <v>110</v>
      </c>
      <c r="E5" s="1167"/>
      <c r="F5" s="1168"/>
      <c r="G5" s="1219" t="s">
        <v>75</v>
      </c>
      <c r="H5" s="1220"/>
      <c r="I5" s="1220"/>
      <c r="J5" s="1181" t="s">
        <v>105</v>
      </c>
      <c r="K5" s="1221" t="s">
        <v>188</v>
      </c>
      <c r="L5" s="116"/>
      <c r="M5" s="116"/>
      <c r="N5" s="200"/>
    </row>
    <row r="6" spans="2:18" ht="39.950000000000003" customHeight="1" x14ac:dyDescent="0.25">
      <c r="B6" s="1118"/>
      <c r="C6" s="1196"/>
      <c r="D6" s="259" t="s">
        <v>189</v>
      </c>
      <c r="E6" s="306" t="s">
        <v>133</v>
      </c>
      <c r="F6" s="259" t="s">
        <v>167</v>
      </c>
      <c r="G6" s="306" t="s">
        <v>186</v>
      </c>
      <c r="H6" s="259" t="s">
        <v>232</v>
      </c>
      <c r="I6" s="113" t="s">
        <v>187</v>
      </c>
      <c r="J6" s="1032"/>
      <c r="K6" s="1222"/>
      <c r="L6" s="39"/>
      <c r="M6" s="200" t="s">
        <v>185</v>
      </c>
      <c r="N6" s="39"/>
      <c r="O6" s="39"/>
      <c r="P6" s="40"/>
      <c r="Q6" s="306" t="s">
        <v>239</v>
      </c>
      <c r="R6" s="259" t="s">
        <v>240</v>
      </c>
    </row>
    <row r="7" spans="2:18" x14ac:dyDescent="0.25">
      <c r="B7" s="521"/>
      <c r="C7" s="90">
        <v>1997</v>
      </c>
      <c r="D7" s="65">
        <v>37.1</v>
      </c>
      <c r="E7" s="61">
        <f>D7/M26</f>
        <v>37.352560776326079</v>
      </c>
      <c r="F7" s="176"/>
      <c r="G7" s="88"/>
      <c r="H7" s="65"/>
      <c r="I7" s="88"/>
      <c r="J7" s="131">
        <f>2*25</f>
        <v>50</v>
      </c>
      <c r="K7" s="178">
        <f>J7-25</f>
        <v>25</v>
      </c>
      <c r="L7" s="39"/>
      <c r="M7" s="261"/>
      <c r="N7" s="266">
        <v>1997</v>
      </c>
      <c r="O7" s="61">
        <f>2*25</f>
        <v>50</v>
      </c>
      <c r="P7" s="264">
        <f>O7-25</f>
        <v>25</v>
      </c>
      <c r="Q7" s="40"/>
    </row>
    <row r="8" spans="2:18" ht="15" customHeight="1" x14ac:dyDescent="0.25">
      <c r="B8" s="196"/>
      <c r="C8" s="91">
        <v>1998</v>
      </c>
      <c r="D8" s="40">
        <v>29.38</v>
      </c>
      <c r="E8" s="62">
        <f>D8/M26</f>
        <v>29.580006350632349</v>
      </c>
      <c r="F8" s="177">
        <f>(E8-E7)/E7</f>
        <v>-0.20808625336927228</v>
      </c>
      <c r="G8" s="42"/>
      <c r="H8" s="40"/>
      <c r="I8" s="42"/>
      <c r="J8" s="119">
        <f t="shared" ref="J8:J25" si="0">2*25</f>
        <v>50</v>
      </c>
      <c r="K8" s="179">
        <f t="shared" ref="K8:K37" si="1">J8-25</f>
        <v>25</v>
      </c>
      <c r="L8" s="39"/>
      <c r="M8" s="261"/>
      <c r="N8" s="101">
        <v>1998</v>
      </c>
      <c r="O8" s="62">
        <f t="shared" ref="O8:O25" si="2">2*25</f>
        <v>50</v>
      </c>
      <c r="P8" s="204">
        <f t="shared" ref="P8:P36" si="3">O8-25</f>
        <v>25</v>
      </c>
      <c r="Q8" s="40"/>
    </row>
    <row r="9" spans="2:18" x14ac:dyDescent="0.25">
      <c r="B9" s="196"/>
      <c r="C9" s="91">
        <v>1999</v>
      </c>
      <c r="D9" s="40">
        <v>32.590000000000003</v>
      </c>
      <c r="E9" s="62">
        <f>D9/M26</f>
        <v>32.811858644217438</v>
      </c>
      <c r="F9" s="177">
        <f t="shared" ref="F9:F27" si="4">(E9-E8)/E8</f>
        <v>0.10925799863852968</v>
      </c>
      <c r="G9" s="42"/>
      <c r="H9" s="40"/>
      <c r="I9" s="42"/>
      <c r="J9" s="119">
        <f t="shared" si="0"/>
        <v>50</v>
      </c>
      <c r="K9" s="179">
        <f t="shared" si="1"/>
        <v>25</v>
      </c>
      <c r="L9" s="39"/>
      <c r="M9" s="261"/>
      <c r="N9" s="101">
        <v>1999</v>
      </c>
      <c r="O9" s="62">
        <f t="shared" si="2"/>
        <v>50</v>
      </c>
      <c r="P9" s="204">
        <f t="shared" si="3"/>
        <v>25</v>
      </c>
      <c r="Q9" s="40"/>
    </row>
    <row r="10" spans="2:18" x14ac:dyDescent="0.25">
      <c r="B10" s="196"/>
      <c r="C10" s="91">
        <v>2000</v>
      </c>
      <c r="D10" s="40">
        <v>35.299999999999997</v>
      </c>
      <c r="E10" s="62">
        <f>D10/M26</f>
        <v>35.540307153755002</v>
      </c>
      <c r="F10" s="177">
        <f t="shared" si="4"/>
        <v>8.3154341822644945E-2</v>
      </c>
      <c r="G10" s="42"/>
      <c r="H10" s="40"/>
      <c r="I10" s="42"/>
      <c r="J10" s="119">
        <f t="shared" si="0"/>
        <v>50</v>
      </c>
      <c r="K10" s="179">
        <f t="shared" si="1"/>
        <v>25</v>
      </c>
      <c r="L10" s="39"/>
      <c r="M10" s="261"/>
      <c r="N10" s="101">
        <v>2000</v>
      </c>
      <c r="O10" s="62">
        <f t="shared" si="2"/>
        <v>50</v>
      </c>
      <c r="P10" s="204">
        <f t="shared" si="3"/>
        <v>25</v>
      </c>
      <c r="Q10" s="40"/>
    </row>
    <row r="11" spans="2:18" x14ac:dyDescent="0.25">
      <c r="B11" s="196"/>
      <c r="C11" s="91">
        <v>2001</v>
      </c>
      <c r="D11" s="40">
        <v>33.9</v>
      </c>
      <c r="E11" s="62">
        <f>D11/M26</f>
        <v>34.130776558421942</v>
      </c>
      <c r="F11" s="177">
        <f t="shared" si="4"/>
        <v>-3.9660056657223795E-2</v>
      </c>
      <c r="G11" s="42"/>
      <c r="H11" s="40"/>
      <c r="I11" s="42"/>
      <c r="J11" s="119">
        <f t="shared" si="0"/>
        <v>50</v>
      </c>
      <c r="K11" s="179">
        <f t="shared" si="1"/>
        <v>25</v>
      </c>
      <c r="L11" s="39"/>
      <c r="M11" s="261"/>
      <c r="N11" s="101">
        <v>2001</v>
      </c>
      <c r="O11" s="62">
        <f t="shared" si="2"/>
        <v>50</v>
      </c>
      <c r="P11" s="204">
        <f t="shared" si="3"/>
        <v>25</v>
      </c>
      <c r="Q11" s="40"/>
    </row>
    <row r="12" spans="2:18" x14ac:dyDescent="0.25">
      <c r="B12" s="196"/>
      <c r="C12" s="91">
        <v>2002</v>
      </c>
      <c r="D12" s="40">
        <v>36.630000000000003</v>
      </c>
      <c r="E12" s="62">
        <f>D12/M26</f>
        <v>36.87936121932141</v>
      </c>
      <c r="F12" s="177">
        <f t="shared" si="4"/>
        <v>8.0530973451327481E-2</v>
      </c>
      <c r="G12" s="42"/>
      <c r="H12" s="40"/>
      <c r="I12" s="42"/>
      <c r="J12" s="119">
        <f t="shared" si="0"/>
        <v>50</v>
      </c>
      <c r="K12" s="179">
        <f t="shared" si="1"/>
        <v>25</v>
      </c>
      <c r="L12" s="39"/>
      <c r="M12" s="261"/>
      <c r="N12" s="101">
        <v>2002</v>
      </c>
      <c r="O12" s="62">
        <f t="shared" si="2"/>
        <v>50</v>
      </c>
      <c r="P12" s="204">
        <f t="shared" si="3"/>
        <v>25</v>
      </c>
      <c r="Q12" s="40"/>
    </row>
    <row r="13" spans="2:18" x14ac:dyDescent="0.25">
      <c r="B13" s="196">
        <v>6</v>
      </c>
      <c r="C13" s="91">
        <v>2003</v>
      </c>
      <c r="D13" s="40">
        <v>31.84</v>
      </c>
      <c r="E13" s="62">
        <v>32.19</v>
      </c>
      <c r="F13" s="177">
        <f t="shared" si="4"/>
        <v>-0.12715407925407929</v>
      </c>
      <c r="G13" s="42"/>
      <c r="H13" s="40"/>
      <c r="I13" s="42"/>
      <c r="J13" s="119">
        <f t="shared" si="0"/>
        <v>50</v>
      </c>
      <c r="K13" s="179">
        <f t="shared" si="1"/>
        <v>25</v>
      </c>
      <c r="L13" s="39"/>
      <c r="M13" s="261">
        <v>0.98960000000000004</v>
      </c>
      <c r="N13" s="101">
        <v>2003</v>
      </c>
      <c r="O13" s="62">
        <f t="shared" si="2"/>
        <v>50</v>
      </c>
      <c r="P13" s="204">
        <f t="shared" si="3"/>
        <v>25</v>
      </c>
      <c r="Q13" s="40"/>
    </row>
    <row r="14" spans="2:18" x14ac:dyDescent="0.25">
      <c r="B14" s="196">
        <v>7</v>
      </c>
      <c r="C14" s="91">
        <v>2004</v>
      </c>
      <c r="D14" s="40">
        <v>34.04</v>
      </c>
      <c r="E14" s="62">
        <v>34.4</v>
      </c>
      <c r="F14" s="177">
        <f t="shared" si="4"/>
        <v>6.8654861758310065E-2</v>
      </c>
      <c r="G14" s="42"/>
      <c r="H14" s="40"/>
      <c r="I14" s="42"/>
      <c r="J14" s="119">
        <f t="shared" si="0"/>
        <v>50</v>
      </c>
      <c r="K14" s="179">
        <f t="shared" si="1"/>
        <v>25</v>
      </c>
      <c r="L14" s="39"/>
      <c r="M14" s="261">
        <v>0.98939999999999995</v>
      </c>
      <c r="N14" s="101">
        <v>2004</v>
      </c>
      <c r="O14" s="62">
        <f t="shared" si="2"/>
        <v>50</v>
      </c>
      <c r="P14" s="204">
        <f t="shared" si="3"/>
        <v>25</v>
      </c>
      <c r="Q14" s="40"/>
    </row>
    <row r="15" spans="2:18" x14ac:dyDescent="0.25">
      <c r="B15" s="196">
        <v>6</v>
      </c>
      <c r="C15" s="91">
        <v>2005</v>
      </c>
      <c r="D15" s="40">
        <v>39.869999999999997</v>
      </c>
      <c r="E15" s="62">
        <v>39.9</v>
      </c>
      <c r="F15" s="177">
        <f t="shared" si="4"/>
        <v>0.15988372093023256</v>
      </c>
      <c r="G15" s="42"/>
      <c r="H15" s="40"/>
      <c r="I15" s="42"/>
      <c r="J15" s="119">
        <f t="shared" si="0"/>
        <v>50</v>
      </c>
      <c r="K15" s="179">
        <f t="shared" si="1"/>
        <v>25</v>
      </c>
      <c r="L15" s="39"/>
      <c r="M15" s="261">
        <v>0.99939999999999996</v>
      </c>
      <c r="N15" s="101">
        <v>2005</v>
      </c>
      <c r="O15" s="62">
        <f t="shared" si="2"/>
        <v>50</v>
      </c>
      <c r="P15" s="204">
        <f t="shared" si="3"/>
        <v>25</v>
      </c>
      <c r="Q15" s="40"/>
    </row>
    <row r="16" spans="2:18" x14ac:dyDescent="0.25">
      <c r="B16" s="196">
        <v>11</v>
      </c>
      <c r="C16" s="91">
        <v>2006</v>
      </c>
      <c r="D16" s="40">
        <v>39.93</v>
      </c>
      <c r="E16" s="62">
        <v>40.49</v>
      </c>
      <c r="F16" s="177">
        <f t="shared" si="4"/>
        <v>1.4786967418546453E-2</v>
      </c>
      <c r="G16" s="42"/>
      <c r="H16" s="40"/>
      <c r="I16" s="42"/>
      <c r="J16" s="119">
        <f t="shared" si="0"/>
        <v>50</v>
      </c>
      <c r="K16" s="179">
        <f t="shared" si="1"/>
        <v>25</v>
      </c>
      <c r="L16" s="39"/>
      <c r="M16" s="261">
        <v>0.98619999999999997</v>
      </c>
      <c r="N16" s="101">
        <v>2006</v>
      </c>
      <c r="O16" s="62">
        <f t="shared" si="2"/>
        <v>50</v>
      </c>
      <c r="P16" s="204">
        <f t="shared" si="3"/>
        <v>25</v>
      </c>
      <c r="Q16" s="40"/>
    </row>
    <row r="17" spans="2:18" x14ac:dyDescent="0.25">
      <c r="B17" s="196">
        <v>12</v>
      </c>
      <c r="C17" s="91">
        <v>2007</v>
      </c>
      <c r="D17" s="40">
        <v>41.25</v>
      </c>
      <c r="E17" s="62">
        <v>41.5</v>
      </c>
      <c r="F17" s="177">
        <f t="shared" si="4"/>
        <v>2.4944430723635416E-2</v>
      </c>
      <c r="G17" s="42"/>
      <c r="H17" s="40"/>
      <c r="I17" s="42"/>
      <c r="J17" s="119">
        <f t="shared" si="0"/>
        <v>50</v>
      </c>
      <c r="K17" s="179">
        <f t="shared" si="1"/>
        <v>25</v>
      </c>
      <c r="L17" s="39"/>
      <c r="M17" s="261">
        <v>0.99409999999999998</v>
      </c>
      <c r="N17" s="101">
        <v>2007</v>
      </c>
      <c r="O17" s="62">
        <f t="shared" si="2"/>
        <v>50</v>
      </c>
      <c r="P17" s="204">
        <f t="shared" si="3"/>
        <v>25</v>
      </c>
      <c r="Q17" s="40"/>
    </row>
    <row r="18" spans="2:18" x14ac:dyDescent="0.25">
      <c r="B18" s="196">
        <v>6</v>
      </c>
      <c r="C18" s="91">
        <v>2008</v>
      </c>
      <c r="D18" s="40">
        <v>45.53</v>
      </c>
      <c r="E18" s="62">
        <v>45.54</v>
      </c>
      <c r="F18" s="177">
        <f t="shared" si="4"/>
        <v>9.7349397590361431E-2</v>
      </c>
      <c r="G18" s="42"/>
      <c r="H18" s="40"/>
      <c r="I18" s="42"/>
      <c r="J18" s="119">
        <f t="shared" si="0"/>
        <v>50</v>
      </c>
      <c r="K18" s="179">
        <f t="shared" si="1"/>
        <v>25</v>
      </c>
      <c r="L18" s="39"/>
      <c r="M18" s="261">
        <v>0.99960000000000004</v>
      </c>
      <c r="N18" s="101">
        <v>2008</v>
      </c>
      <c r="O18" s="62">
        <f t="shared" si="2"/>
        <v>50</v>
      </c>
      <c r="P18" s="204">
        <f t="shared" si="3"/>
        <v>25</v>
      </c>
      <c r="Q18" s="40"/>
    </row>
    <row r="19" spans="2:18" x14ac:dyDescent="0.25">
      <c r="B19" s="196">
        <v>7</v>
      </c>
      <c r="C19" s="91">
        <v>2009</v>
      </c>
      <c r="D19" s="40">
        <v>45.26</v>
      </c>
      <c r="E19" s="62">
        <v>45.31</v>
      </c>
      <c r="F19" s="177">
        <f t="shared" si="4"/>
        <v>-5.0505050505049815E-3</v>
      </c>
      <c r="G19" s="42"/>
      <c r="H19" s="40"/>
      <c r="I19" s="42"/>
      <c r="J19" s="119">
        <f t="shared" si="0"/>
        <v>50</v>
      </c>
      <c r="K19" s="179">
        <f t="shared" si="1"/>
        <v>25</v>
      </c>
      <c r="L19" s="39"/>
      <c r="M19" s="261">
        <v>0.99890000000000001</v>
      </c>
      <c r="N19" s="101">
        <v>2009</v>
      </c>
      <c r="O19" s="62">
        <f t="shared" si="2"/>
        <v>50</v>
      </c>
      <c r="P19" s="204">
        <f t="shared" si="3"/>
        <v>25</v>
      </c>
      <c r="Q19" s="40"/>
    </row>
    <row r="20" spans="2:18" x14ac:dyDescent="0.25">
      <c r="B20" s="196">
        <v>12</v>
      </c>
      <c r="C20" s="91">
        <v>2010</v>
      </c>
      <c r="D20" s="40">
        <f>M26*E20</f>
        <v>47.327812692307695</v>
      </c>
      <c r="E20" s="62">
        <v>47.65</v>
      </c>
      <c r="F20" s="177">
        <f t="shared" si="4"/>
        <v>5.1644228647097688E-2</v>
      </c>
      <c r="G20" s="42"/>
      <c r="H20" s="40"/>
      <c r="I20" s="42"/>
      <c r="J20" s="119">
        <f t="shared" si="0"/>
        <v>50</v>
      </c>
      <c r="K20" s="179">
        <f t="shared" si="1"/>
        <v>25</v>
      </c>
      <c r="L20" s="39"/>
      <c r="M20" s="261">
        <v>0.99229999999999996</v>
      </c>
      <c r="N20" s="101">
        <v>2010</v>
      </c>
      <c r="O20" s="62">
        <f t="shared" si="2"/>
        <v>50</v>
      </c>
      <c r="P20" s="204">
        <f t="shared" si="3"/>
        <v>25</v>
      </c>
      <c r="Q20" s="378"/>
    </row>
    <row r="21" spans="2:18" x14ac:dyDescent="0.25">
      <c r="B21" s="196">
        <v>11</v>
      </c>
      <c r="C21" s="91">
        <v>2011</v>
      </c>
      <c r="D21" s="40">
        <f>M26*E21</f>
        <v>51.201442692307694</v>
      </c>
      <c r="E21" s="62">
        <v>51.55</v>
      </c>
      <c r="F21" s="177">
        <f t="shared" si="4"/>
        <v>8.18467995802728E-2</v>
      </c>
      <c r="G21" s="42"/>
      <c r="H21" s="40"/>
      <c r="I21" s="42"/>
      <c r="J21" s="119">
        <f t="shared" si="0"/>
        <v>50</v>
      </c>
      <c r="K21" s="179">
        <f t="shared" si="1"/>
        <v>25</v>
      </c>
      <c r="L21" s="39"/>
      <c r="M21" s="261">
        <v>0.9919</v>
      </c>
      <c r="N21" s="101">
        <v>2011</v>
      </c>
      <c r="O21" s="62">
        <f t="shared" si="2"/>
        <v>50</v>
      </c>
      <c r="P21" s="204">
        <f t="shared" si="3"/>
        <v>25</v>
      </c>
      <c r="Q21" s="144"/>
      <c r="R21" s="386"/>
    </row>
    <row r="22" spans="2:18" x14ac:dyDescent="0.25">
      <c r="B22" s="196">
        <v>2</v>
      </c>
      <c r="C22" s="91">
        <v>2012</v>
      </c>
      <c r="D22" s="40">
        <f>M26*E22</f>
        <v>46.106129384615393</v>
      </c>
      <c r="E22" s="62">
        <v>46.42</v>
      </c>
      <c r="F22" s="177">
        <f t="shared" si="4"/>
        <v>-9.951503394762358E-2</v>
      </c>
      <c r="G22" s="42"/>
      <c r="H22" s="40"/>
      <c r="I22" s="42"/>
      <c r="J22" s="119">
        <f t="shared" si="0"/>
        <v>50</v>
      </c>
      <c r="K22" s="179">
        <f t="shared" si="1"/>
        <v>25</v>
      </c>
      <c r="L22" s="39"/>
      <c r="M22" s="261">
        <v>0.97070000000000001</v>
      </c>
      <c r="N22" s="101">
        <v>2012</v>
      </c>
      <c r="O22" s="62">
        <f t="shared" si="2"/>
        <v>50</v>
      </c>
      <c r="P22" s="204">
        <f t="shared" si="3"/>
        <v>25</v>
      </c>
      <c r="Q22" s="378"/>
      <c r="R22" s="386"/>
    </row>
    <row r="23" spans="2:18" x14ac:dyDescent="0.25">
      <c r="B23" s="196">
        <v>12</v>
      </c>
      <c r="C23" s="91">
        <v>2013</v>
      </c>
      <c r="D23" s="40">
        <f>M26*E23</f>
        <v>46.106129384615393</v>
      </c>
      <c r="E23" s="62">
        <v>46.42</v>
      </c>
      <c r="F23" s="177">
        <f t="shared" si="4"/>
        <v>0</v>
      </c>
      <c r="G23" s="42"/>
      <c r="H23" s="40"/>
      <c r="I23" s="42"/>
      <c r="J23" s="119">
        <f t="shared" si="0"/>
        <v>50</v>
      </c>
      <c r="K23" s="179">
        <f t="shared" si="1"/>
        <v>25</v>
      </c>
      <c r="L23" s="39"/>
      <c r="M23" s="261">
        <v>1</v>
      </c>
      <c r="N23" s="101">
        <v>2013</v>
      </c>
      <c r="O23" s="62">
        <f t="shared" si="2"/>
        <v>50</v>
      </c>
      <c r="P23" s="204">
        <f t="shared" si="3"/>
        <v>25</v>
      </c>
      <c r="Q23" s="144"/>
      <c r="R23" s="386"/>
    </row>
    <row r="24" spans="2:18" x14ac:dyDescent="0.25">
      <c r="B24" s="196">
        <v>12</v>
      </c>
      <c r="C24" s="91">
        <v>2014</v>
      </c>
      <c r="D24" s="40">
        <f>M26*E24</f>
        <v>41.487570538461547</v>
      </c>
      <c r="E24" s="62">
        <v>41.77</v>
      </c>
      <c r="F24" s="177">
        <f t="shared" si="4"/>
        <v>-0.10017233950883236</v>
      </c>
      <c r="G24" s="42"/>
      <c r="H24" s="40"/>
      <c r="I24" s="42"/>
      <c r="J24" s="119">
        <f t="shared" si="0"/>
        <v>50</v>
      </c>
      <c r="K24" s="179">
        <f t="shared" si="1"/>
        <v>25</v>
      </c>
      <c r="L24" s="39"/>
      <c r="M24" s="261">
        <v>1</v>
      </c>
      <c r="N24" s="101">
        <v>2014</v>
      </c>
      <c r="O24" s="62">
        <f t="shared" si="2"/>
        <v>50</v>
      </c>
      <c r="P24" s="204">
        <f t="shared" si="3"/>
        <v>25</v>
      </c>
      <c r="Q24" s="379"/>
      <c r="R24" s="386"/>
    </row>
    <row r="25" spans="2:18" x14ac:dyDescent="0.25">
      <c r="B25" s="196">
        <v>6</v>
      </c>
      <c r="C25" s="91">
        <v>2015</v>
      </c>
      <c r="D25" s="40">
        <f>M26*E25</f>
        <v>43.414453153846161</v>
      </c>
      <c r="E25" s="62">
        <v>43.71</v>
      </c>
      <c r="F25" s="177">
        <f t="shared" si="4"/>
        <v>4.6444816854201522E-2</v>
      </c>
      <c r="G25" s="42"/>
      <c r="H25" s="40"/>
      <c r="I25" s="42"/>
      <c r="J25" s="119">
        <f t="shared" si="0"/>
        <v>50</v>
      </c>
      <c r="K25" s="179">
        <f t="shared" si="1"/>
        <v>25</v>
      </c>
      <c r="L25" s="39"/>
      <c r="M25" s="261">
        <v>1</v>
      </c>
      <c r="N25" s="101">
        <v>2015</v>
      </c>
      <c r="O25" s="62">
        <f t="shared" si="2"/>
        <v>50</v>
      </c>
      <c r="P25" s="204">
        <f t="shared" si="3"/>
        <v>25</v>
      </c>
      <c r="Q25" s="380"/>
      <c r="R25" s="387"/>
    </row>
    <row r="26" spans="2:18" x14ac:dyDescent="0.25">
      <c r="B26" s="196">
        <v>2</v>
      </c>
      <c r="C26" s="91">
        <v>2016</v>
      </c>
      <c r="D26" s="40">
        <v>36.43</v>
      </c>
      <c r="E26" s="62">
        <v>36.82</v>
      </c>
      <c r="F26" s="177">
        <f t="shared" si="4"/>
        <v>-0.15762983299016245</v>
      </c>
      <c r="G26" s="475"/>
      <c r="H26" s="258"/>
      <c r="I26" s="475"/>
      <c r="J26" s="119">
        <f>3*25</f>
        <v>75</v>
      </c>
      <c r="K26" s="179">
        <f t="shared" si="1"/>
        <v>50</v>
      </c>
      <c r="L26" s="39"/>
      <c r="M26" s="261">
        <f>AVERAGE(M13:M25)</f>
        <v>0.99323846153846163</v>
      </c>
      <c r="N26" s="101">
        <v>2016</v>
      </c>
      <c r="O26" s="62">
        <v>50</v>
      </c>
      <c r="P26" s="204">
        <f t="shared" si="3"/>
        <v>25</v>
      </c>
      <c r="Q26" s="381"/>
      <c r="R26" s="387" t="e">
        <f>(H26-H25)/H25</f>
        <v>#DIV/0!</v>
      </c>
    </row>
    <row r="27" spans="2:18" x14ac:dyDescent="0.25">
      <c r="B27" s="196"/>
      <c r="C27" s="91">
        <v>2017</v>
      </c>
      <c r="D27" s="40"/>
      <c r="E27" s="62">
        <v>100</v>
      </c>
      <c r="F27" s="177">
        <f t="shared" si="4"/>
        <v>1.7159152634437804</v>
      </c>
      <c r="G27" s="475"/>
      <c r="H27" s="258">
        <f>E27</f>
        <v>100</v>
      </c>
      <c r="I27" s="475">
        <f>E27</f>
        <v>100</v>
      </c>
      <c r="J27" s="119">
        <f>3*25</f>
        <v>75</v>
      </c>
      <c r="K27" s="179">
        <f t="shared" si="1"/>
        <v>50</v>
      </c>
      <c r="L27" s="39"/>
      <c r="M27" s="261"/>
      <c r="N27" s="101">
        <v>2016</v>
      </c>
      <c r="O27" s="62">
        <f>3*25</f>
        <v>75</v>
      </c>
      <c r="P27" s="204">
        <v>50</v>
      </c>
      <c r="Q27" s="382" t="e">
        <f>(G27-G26)/G26</f>
        <v>#DIV/0!</v>
      </c>
      <c r="R27" s="387" t="e">
        <f>(H27-H26)/H26</f>
        <v>#DIV/0!</v>
      </c>
    </row>
    <row r="28" spans="2:18" x14ac:dyDescent="0.25">
      <c r="B28" s="197"/>
      <c r="C28" s="92">
        <v>2018</v>
      </c>
      <c r="D28" s="55"/>
      <c r="E28" s="109"/>
      <c r="F28" s="242"/>
      <c r="G28" s="368"/>
      <c r="H28" s="375"/>
      <c r="I28" s="394">
        <f t="shared" ref="I28:I37" si="5">1.045*I27</f>
        <v>104.5</v>
      </c>
      <c r="J28" s="119">
        <f t="shared" ref="J28:J37" si="6">3*25</f>
        <v>75</v>
      </c>
      <c r="K28" s="179">
        <f t="shared" si="1"/>
        <v>50</v>
      </c>
      <c r="L28" s="39"/>
      <c r="M28" s="261"/>
      <c r="N28" s="101">
        <v>2017</v>
      </c>
      <c r="O28" s="62">
        <f t="shared" ref="O28:O35" si="7">3*25</f>
        <v>75</v>
      </c>
      <c r="P28" s="204">
        <f t="shared" si="3"/>
        <v>50</v>
      </c>
      <c r="Q28" s="382" t="e">
        <f t="shared" ref="Q28:Q34" si="8">(G28-G27)/G27</f>
        <v>#DIV/0!</v>
      </c>
      <c r="R28" s="387">
        <f>(H28-H27)/H27</f>
        <v>-1</v>
      </c>
    </row>
    <row r="29" spans="2:18" x14ac:dyDescent="0.25">
      <c r="B29" s="197"/>
      <c r="C29" s="92">
        <v>2019</v>
      </c>
      <c r="D29" s="55"/>
      <c r="E29" s="109"/>
      <c r="F29" s="242"/>
      <c r="G29" s="368"/>
      <c r="H29" s="375"/>
      <c r="I29" s="394">
        <f t="shared" si="5"/>
        <v>109.20249999999999</v>
      </c>
      <c r="J29" s="119">
        <f t="shared" si="6"/>
        <v>75</v>
      </c>
      <c r="K29" s="179">
        <f t="shared" si="1"/>
        <v>50</v>
      </c>
      <c r="L29" s="39"/>
      <c r="M29" s="261"/>
      <c r="N29" s="101">
        <v>2018</v>
      </c>
      <c r="O29" s="62">
        <f t="shared" si="7"/>
        <v>75</v>
      </c>
      <c r="P29" s="204">
        <f t="shared" si="3"/>
        <v>50</v>
      </c>
      <c r="Q29" s="382" t="e">
        <f t="shared" si="8"/>
        <v>#DIV/0!</v>
      </c>
      <c r="R29" s="387" t="e">
        <f>(H29-H28)/H28</f>
        <v>#DIV/0!</v>
      </c>
    </row>
    <row r="30" spans="2:18" x14ac:dyDescent="0.25">
      <c r="B30" s="197"/>
      <c r="C30" s="92">
        <v>2020</v>
      </c>
      <c r="D30" s="55"/>
      <c r="E30" s="109"/>
      <c r="F30" s="242"/>
      <c r="G30" s="368"/>
      <c r="H30" s="375"/>
      <c r="I30" s="394">
        <f t="shared" si="5"/>
        <v>114.11661249999997</v>
      </c>
      <c r="J30" s="119">
        <f t="shared" si="6"/>
        <v>75</v>
      </c>
      <c r="K30" s="179">
        <f t="shared" si="1"/>
        <v>50</v>
      </c>
      <c r="L30" s="39"/>
      <c r="M30" s="261"/>
      <c r="N30" s="101">
        <v>2019</v>
      </c>
      <c r="O30" s="62">
        <f t="shared" si="7"/>
        <v>75</v>
      </c>
      <c r="P30" s="204">
        <f t="shared" si="3"/>
        <v>50</v>
      </c>
      <c r="Q30" s="382" t="e">
        <f t="shared" si="8"/>
        <v>#DIV/0!</v>
      </c>
      <c r="R30" s="387" t="e">
        <f>(H30-H29)/H29</f>
        <v>#DIV/0!</v>
      </c>
    </row>
    <row r="31" spans="2:18" x14ac:dyDescent="0.25">
      <c r="B31" s="197"/>
      <c r="C31" s="92">
        <v>2021</v>
      </c>
      <c r="D31" s="55"/>
      <c r="E31" s="109"/>
      <c r="F31" s="242"/>
      <c r="G31" s="368"/>
      <c r="H31" s="375"/>
      <c r="I31" s="394">
        <f t="shared" si="5"/>
        <v>119.25186006249996</v>
      </c>
      <c r="J31" s="119">
        <f t="shared" si="6"/>
        <v>75</v>
      </c>
      <c r="K31" s="179">
        <f t="shared" si="1"/>
        <v>50</v>
      </c>
      <c r="M31" s="265"/>
      <c r="N31" s="101">
        <v>2020</v>
      </c>
      <c r="O31" s="62">
        <f t="shared" si="7"/>
        <v>75</v>
      </c>
      <c r="P31" s="204">
        <f t="shared" si="3"/>
        <v>50</v>
      </c>
      <c r="Q31" s="382" t="e">
        <f t="shared" si="8"/>
        <v>#DIV/0!</v>
      </c>
      <c r="R31" s="387"/>
    </row>
    <row r="32" spans="2:18" x14ac:dyDescent="0.25">
      <c r="B32" s="197"/>
      <c r="C32" s="92">
        <v>2022</v>
      </c>
      <c r="D32" s="55"/>
      <c r="E32" s="109"/>
      <c r="F32" s="242"/>
      <c r="G32" s="368"/>
      <c r="H32" s="375"/>
      <c r="I32" s="394">
        <f t="shared" si="5"/>
        <v>124.61819376531244</v>
      </c>
      <c r="J32" s="119">
        <f t="shared" si="6"/>
        <v>75</v>
      </c>
      <c r="K32" s="179">
        <f t="shared" si="1"/>
        <v>50</v>
      </c>
      <c r="M32" s="260"/>
      <c r="N32" s="101">
        <v>2021</v>
      </c>
      <c r="O32" s="62">
        <f t="shared" si="7"/>
        <v>75</v>
      </c>
      <c r="P32" s="204">
        <f t="shared" si="3"/>
        <v>50</v>
      </c>
      <c r="Q32" s="382" t="e">
        <f t="shared" si="8"/>
        <v>#DIV/0!</v>
      </c>
      <c r="R32" s="387"/>
    </row>
    <row r="33" spans="2:18" x14ac:dyDescent="0.25">
      <c r="B33" s="197"/>
      <c r="C33" s="92">
        <v>2023</v>
      </c>
      <c r="D33" s="55"/>
      <c r="E33" s="109"/>
      <c r="F33" s="242"/>
      <c r="G33" s="368"/>
      <c r="H33" s="375"/>
      <c r="I33" s="394">
        <f t="shared" si="5"/>
        <v>130.22601248475149</v>
      </c>
      <c r="J33" s="119">
        <f t="shared" si="6"/>
        <v>75</v>
      </c>
      <c r="K33" s="179">
        <f t="shared" si="1"/>
        <v>50</v>
      </c>
      <c r="M33" s="260"/>
      <c r="N33" s="101">
        <v>2022</v>
      </c>
      <c r="O33" s="62">
        <f t="shared" si="7"/>
        <v>75</v>
      </c>
      <c r="P33" s="204">
        <f t="shared" si="3"/>
        <v>50</v>
      </c>
      <c r="Q33" s="382" t="e">
        <f t="shared" si="8"/>
        <v>#DIV/0!</v>
      </c>
      <c r="R33" s="387"/>
    </row>
    <row r="34" spans="2:18" x14ac:dyDescent="0.25">
      <c r="B34" s="197"/>
      <c r="C34" s="92">
        <v>2024</v>
      </c>
      <c r="D34" s="55"/>
      <c r="E34" s="109"/>
      <c r="F34" s="242"/>
      <c r="G34" s="368"/>
      <c r="H34" s="375"/>
      <c r="I34" s="394">
        <f t="shared" si="5"/>
        <v>136.08618304656531</v>
      </c>
      <c r="J34" s="119">
        <f t="shared" si="6"/>
        <v>75</v>
      </c>
      <c r="K34" s="179">
        <f t="shared" si="1"/>
        <v>50</v>
      </c>
      <c r="M34" s="260"/>
      <c r="N34" s="101">
        <v>2023</v>
      </c>
      <c r="O34" s="62">
        <f t="shared" si="7"/>
        <v>75</v>
      </c>
      <c r="P34" s="204">
        <f t="shared" si="3"/>
        <v>50</v>
      </c>
      <c r="Q34" s="382" t="e">
        <f t="shared" si="8"/>
        <v>#DIV/0!</v>
      </c>
      <c r="R34" s="387"/>
    </row>
    <row r="35" spans="2:18" x14ac:dyDescent="0.25">
      <c r="B35" s="197"/>
      <c r="C35" s="92">
        <v>2025</v>
      </c>
      <c r="D35" s="55"/>
      <c r="E35" s="109"/>
      <c r="F35" s="242"/>
      <c r="G35" s="368"/>
      <c r="H35" s="375"/>
      <c r="I35" s="394">
        <f t="shared" si="5"/>
        <v>142.21006128366074</v>
      </c>
      <c r="J35" s="119">
        <f t="shared" si="6"/>
        <v>75</v>
      </c>
      <c r="K35" s="179">
        <f t="shared" si="1"/>
        <v>50</v>
      </c>
      <c r="M35" s="260"/>
      <c r="N35" s="101">
        <v>2024</v>
      </c>
      <c r="O35" s="62">
        <f t="shared" si="7"/>
        <v>75</v>
      </c>
      <c r="P35" s="204">
        <f t="shared" si="3"/>
        <v>50</v>
      </c>
      <c r="Q35" s="382" t="e">
        <f>(G35-G34)/G34</f>
        <v>#DIV/0!</v>
      </c>
      <c r="R35" s="387"/>
    </row>
    <row r="36" spans="2:18" ht="15.75" thickBot="1" x14ac:dyDescent="0.3">
      <c r="B36" s="494"/>
      <c r="C36" s="92">
        <v>2026</v>
      </c>
      <c r="D36" s="495"/>
      <c r="E36" s="103"/>
      <c r="F36" s="103"/>
      <c r="G36" s="368"/>
      <c r="H36" s="510"/>
      <c r="I36" s="394">
        <f t="shared" si="5"/>
        <v>148.60951404142546</v>
      </c>
      <c r="J36" s="119">
        <f t="shared" si="6"/>
        <v>75</v>
      </c>
      <c r="K36" s="179">
        <f t="shared" si="1"/>
        <v>50</v>
      </c>
      <c r="N36" s="267">
        <v>2025</v>
      </c>
      <c r="O36" s="63">
        <v>75</v>
      </c>
      <c r="P36" s="206">
        <f t="shared" si="3"/>
        <v>50</v>
      </c>
      <c r="Q36" s="385" t="e">
        <f>AVERAGE(Q27:Q35)</f>
        <v>#DIV/0!</v>
      </c>
      <c r="R36" s="388" t="e">
        <f>AVERAGE(R27:R35)</f>
        <v>#DIV/0!</v>
      </c>
    </row>
    <row r="37" spans="2:18" ht="15.75" thickBot="1" x14ac:dyDescent="0.3">
      <c r="B37" s="497"/>
      <c r="C37" s="195">
        <v>2027</v>
      </c>
      <c r="D37" s="498"/>
      <c r="E37" s="501"/>
      <c r="F37" s="501"/>
      <c r="G37" s="369"/>
      <c r="H37" s="511"/>
      <c r="I37" s="395">
        <f t="shared" si="5"/>
        <v>155.29694217328958</v>
      </c>
      <c r="J37" s="193">
        <f t="shared" si="6"/>
        <v>75</v>
      </c>
      <c r="K37" s="181">
        <f t="shared" si="1"/>
        <v>50</v>
      </c>
      <c r="N37" s="39">
        <v>2016</v>
      </c>
      <c r="O37" s="40">
        <v>50</v>
      </c>
      <c r="P37" s="40">
        <v>25</v>
      </c>
      <c r="Q37" s="14"/>
      <c r="R37" s="386"/>
    </row>
    <row r="38" spans="2:18" x14ac:dyDescent="0.25">
      <c r="F38" s="143">
        <f>AVERAGE(F8:F27)</f>
        <v>8.9857285004062093E-2</v>
      </c>
      <c r="N38" s="39">
        <v>2016</v>
      </c>
      <c r="O38" s="40">
        <v>75</v>
      </c>
      <c r="P38" s="40">
        <v>50</v>
      </c>
      <c r="Q38" s="14"/>
      <c r="R38" s="386"/>
    </row>
    <row r="39" spans="2:18" x14ac:dyDescent="0.25">
      <c r="O39" s="7"/>
      <c r="Q39" s="14"/>
      <c r="R39" s="386"/>
    </row>
    <row r="40" spans="2:18" x14ac:dyDescent="0.25">
      <c r="O40" s="7"/>
      <c r="Q40" s="14"/>
      <c r="R40" s="386"/>
    </row>
    <row r="41" spans="2:18" ht="15.75" thickBot="1" x14ac:dyDescent="0.3">
      <c r="O41" s="7"/>
      <c r="Q41" s="14"/>
      <c r="R41" s="386"/>
    </row>
    <row r="42" spans="2:18" ht="20.100000000000001" customHeight="1" thickBot="1" x14ac:dyDescent="0.3">
      <c r="C42" s="1037" t="s">
        <v>45</v>
      </c>
      <c r="D42" s="1038"/>
      <c r="E42" s="1038"/>
      <c r="F42" s="1038"/>
      <c r="G42" s="1038"/>
      <c r="H42" s="1038"/>
      <c r="I42" s="1038"/>
      <c r="J42" s="1038"/>
      <c r="K42" s="1039"/>
      <c r="O42" s="7"/>
      <c r="Q42" s="14"/>
      <c r="R42" s="386"/>
    </row>
    <row r="43" spans="2:18" ht="15.95" customHeight="1" thickBot="1" x14ac:dyDescent="0.3">
      <c r="C43" s="1201" t="s">
        <v>38</v>
      </c>
      <c r="D43" s="1202"/>
      <c r="E43" s="1202"/>
      <c r="F43" s="1202"/>
      <c r="G43" s="1202"/>
      <c r="H43" s="1202"/>
      <c r="I43" s="1202"/>
      <c r="J43" s="1202"/>
      <c r="K43" s="1203"/>
      <c r="O43" s="7"/>
      <c r="Q43" s="14"/>
      <c r="R43" s="386"/>
    </row>
    <row r="44" spans="2:18" ht="15.95" customHeight="1" thickBot="1" x14ac:dyDescent="0.3">
      <c r="B44" s="1051" t="s">
        <v>26</v>
      </c>
      <c r="C44" s="1043" t="s">
        <v>35</v>
      </c>
      <c r="D44" s="1045" t="s">
        <v>110</v>
      </c>
      <c r="E44" s="1046"/>
      <c r="F44" s="1047"/>
      <c r="G44" s="1045" t="s">
        <v>74</v>
      </c>
      <c r="H44" s="1047"/>
      <c r="I44" s="1043" t="s">
        <v>180</v>
      </c>
      <c r="J44" s="1043" t="s">
        <v>268</v>
      </c>
      <c r="K44" s="1049" t="s">
        <v>269</v>
      </c>
      <c r="O44" s="7"/>
      <c r="Q44" s="14"/>
      <c r="R44" s="386"/>
    </row>
    <row r="45" spans="2:18" ht="35.1" customHeight="1" thickBot="1" x14ac:dyDescent="0.3">
      <c r="B45" s="1051"/>
      <c r="C45" s="1044"/>
      <c r="D45" s="541" t="s">
        <v>174</v>
      </c>
      <c r="E45" s="541" t="s">
        <v>122</v>
      </c>
      <c r="F45" s="541" t="s">
        <v>81</v>
      </c>
      <c r="G45" s="537" t="s">
        <v>170</v>
      </c>
      <c r="H45" s="538" t="s">
        <v>270</v>
      </c>
      <c r="I45" s="1044"/>
      <c r="J45" s="1044"/>
      <c r="K45" s="1175"/>
      <c r="O45" s="7"/>
      <c r="Q45" s="14"/>
      <c r="R45" s="386"/>
    </row>
    <row r="46" spans="2:18" ht="15" customHeight="1" x14ac:dyDescent="0.25">
      <c r="B46" s="738">
        <v>1997</v>
      </c>
      <c r="C46" s="784">
        <v>1997</v>
      </c>
      <c r="D46" s="648">
        <v>37.1</v>
      </c>
      <c r="E46" s="648">
        <v>37.352560776326079</v>
      </c>
      <c r="F46" s="731"/>
      <c r="G46" s="657"/>
      <c r="H46" s="657"/>
      <c r="I46" s="579">
        <f>2*25</f>
        <v>50</v>
      </c>
      <c r="J46" s="579">
        <f>I46-25</f>
        <v>25</v>
      </c>
      <c r="K46" s="679">
        <f>E46/I46</f>
        <v>0.74705121552652154</v>
      </c>
      <c r="O46" s="7"/>
      <c r="Q46" s="14"/>
      <c r="R46" s="386"/>
    </row>
    <row r="47" spans="2:18" ht="15" customHeight="1" x14ac:dyDescent="0.25">
      <c r="B47" s="739">
        <v>1998</v>
      </c>
      <c r="C47" s="785">
        <v>1998</v>
      </c>
      <c r="D47" s="650">
        <v>29.38</v>
      </c>
      <c r="E47" s="650">
        <v>29.580006350632349</v>
      </c>
      <c r="F47" s="729">
        <f t="shared" ref="F47:F66" si="9">(E47-E46)/E46</f>
        <v>-0.20808625336927228</v>
      </c>
      <c r="G47" s="658"/>
      <c r="H47" s="658"/>
      <c r="I47" s="581">
        <f t="shared" ref="I47:I64" si="10">2*25</f>
        <v>50</v>
      </c>
      <c r="J47" s="581">
        <f t="shared" ref="J47:J76" si="11">I47-25</f>
        <v>25</v>
      </c>
      <c r="K47" s="680">
        <f t="shared" ref="K47:K64" si="12">E47/I47</f>
        <v>0.59160012701264697</v>
      </c>
      <c r="O47" s="7"/>
      <c r="Q47" s="14"/>
      <c r="R47" s="386"/>
    </row>
    <row r="48" spans="2:18" ht="15" customHeight="1" x14ac:dyDescent="0.25">
      <c r="B48" s="739">
        <v>1999</v>
      </c>
      <c r="C48" s="785">
        <v>1999</v>
      </c>
      <c r="D48" s="650">
        <v>32.590000000000003</v>
      </c>
      <c r="E48" s="650">
        <v>32.811858644217438</v>
      </c>
      <c r="F48" s="729">
        <f t="shared" si="9"/>
        <v>0.10925799863852968</v>
      </c>
      <c r="G48" s="658"/>
      <c r="H48" s="658"/>
      <c r="I48" s="581">
        <f t="shared" si="10"/>
        <v>50</v>
      </c>
      <c r="J48" s="581">
        <f t="shared" si="11"/>
        <v>25</v>
      </c>
      <c r="K48" s="680">
        <f t="shared" si="12"/>
        <v>0.6562371728843488</v>
      </c>
      <c r="O48" s="7"/>
      <c r="Q48" s="14"/>
      <c r="R48" s="386"/>
    </row>
    <row r="49" spans="2:18" ht="15" customHeight="1" x14ac:dyDescent="0.25">
      <c r="B49" s="739">
        <v>2000</v>
      </c>
      <c r="C49" s="785">
        <v>2000</v>
      </c>
      <c r="D49" s="650">
        <v>35.299999999999997</v>
      </c>
      <c r="E49" s="650">
        <v>35.540307153755002</v>
      </c>
      <c r="F49" s="729">
        <f t="shared" si="9"/>
        <v>8.3154341822644945E-2</v>
      </c>
      <c r="G49" s="658"/>
      <c r="H49" s="658"/>
      <c r="I49" s="581">
        <f t="shared" si="10"/>
        <v>50</v>
      </c>
      <c r="J49" s="581">
        <f t="shared" si="11"/>
        <v>25</v>
      </c>
      <c r="K49" s="680">
        <f t="shared" si="12"/>
        <v>0.71080614307510004</v>
      </c>
      <c r="O49" s="7"/>
      <c r="Q49" s="14"/>
      <c r="R49" s="386"/>
    </row>
    <row r="50" spans="2:18" ht="15" customHeight="1" x14ac:dyDescent="0.25">
      <c r="B50" s="739">
        <v>2001</v>
      </c>
      <c r="C50" s="785">
        <v>2001</v>
      </c>
      <c r="D50" s="650">
        <v>33.9</v>
      </c>
      <c r="E50" s="650">
        <v>34.130776558421942</v>
      </c>
      <c r="F50" s="729">
        <f t="shared" si="9"/>
        <v>-3.9660056657223795E-2</v>
      </c>
      <c r="G50" s="658"/>
      <c r="H50" s="658"/>
      <c r="I50" s="581">
        <f t="shared" si="10"/>
        <v>50</v>
      </c>
      <c r="J50" s="581">
        <f t="shared" si="11"/>
        <v>25</v>
      </c>
      <c r="K50" s="680">
        <f t="shared" si="12"/>
        <v>0.68261553116843887</v>
      </c>
      <c r="O50" s="7"/>
      <c r="Q50" s="14"/>
      <c r="R50" s="386"/>
    </row>
    <row r="51" spans="2:18" ht="15" customHeight="1" x14ac:dyDescent="0.25">
      <c r="B51" s="739">
        <v>2002</v>
      </c>
      <c r="C51" s="785">
        <v>2002</v>
      </c>
      <c r="D51" s="650">
        <v>36.630000000000003</v>
      </c>
      <c r="E51" s="650">
        <v>36.87936121932141</v>
      </c>
      <c r="F51" s="729">
        <f t="shared" si="9"/>
        <v>8.0530973451327481E-2</v>
      </c>
      <c r="G51" s="658"/>
      <c r="H51" s="658"/>
      <c r="I51" s="581">
        <f t="shared" si="10"/>
        <v>50</v>
      </c>
      <c r="J51" s="581">
        <f t="shared" si="11"/>
        <v>25</v>
      </c>
      <c r="K51" s="680">
        <f t="shared" si="12"/>
        <v>0.73758722438642821</v>
      </c>
      <c r="O51" s="7"/>
      <c r="Q51" s="14"/>
      <c r="R51" s="386"/>
    </row>
    <row r="52" spans="2:18" ht="15" customHeight="1" x14ac:dyDescent="0.25">
      <c r="B52" s="739">
        <v>2003</v>
      </c>
      <c r="C52" s="732">
        <v>37781.833333333336</v>
      </c>
      <c r="D52" s="650">
        <v>31.84</v>
      </c>
      <c r="E52" s="650">
        <v>32.19</v>
      </c>
      <c r="F52" s="729">
        <f t="shared" si="9"/>
        <v>-0.12715407925407929</v>
      </c>
      <c r="G52" s="658"/>
      <c r="H52" s="658"/>
      <c r="I52" s="581">
        <f t="shared" si="10"/>
        <v>50</v>
      </c>
      <c r="J52" s="581">
        <f t="shared" si="11"/>
        <v>25</v>
      </c>
      <c r="K52" s="680">
        <f t="shared" si="12"/>
        <v>0.64379999999999993</v>
      </c>
      <c r="O52" s="7"/>
      <c r="Q52" s="14"/>
      <c r="R52" s="386"/>
    </row>
    <row r="53" spans="2:18" ht="15" customHeight="1" x14ac:dyDescent="0.25">
      <c r="B53" s="739">
        <v>2004</v>
      </c>
      <c r="C53" s="732">
        <v>38183.833333333336</v>
      </c>
      <c r="D53" s="650">
        <v>34.04</v>
      </c>
      <c r="E53" s="650">
        <v>34.4</v>
      </c>
      <c r="F53" s="729">
        <f t="shared" si="9"/>
        <v>6.8654861758310065E-2</v>
      </c>
      <c r="G53" s="658"/>
      <c r="H53" s="658"/>
      <c r="I53" s="581">
        <f t="shared" si="10"/>
        <v>50</v>
      </c>
      <c r="J53" s="581">
        <f t="shared" si="11"/>
        <v>25</v>
      </c>
      <c r="K53" s="680">
        <f t="shared" si="12"/>
        <v>0.68799999999999994</v>
      </c>
      <c r="O53" s="7"/>
      <c r="Q53" s="14"/>
      <c r="R53" s="386"/>
    </row>
    <row r="54" spans="2:18" ht="15" customHeight="1" x14ac:dyDescent="0.25">
      <c r="B54" s="739">
        <v>2005</v>
      </c>
      <c r="C54" s="732">
        <v>38519.822916666664</v>
      </c>
      <c r="D54" s="650">
        <v>39.869999999999997</v>
      </c>
      <c r="E54" s="650">
        <v>39.9</v>
      </c>
      <c r="F54" s="729">
        <f t="shared" si="9"/>
        <v>0.15988372093023256</v>
      </c>
      <c r="G54" s="658"/>
      <c r="H54" s="658"/>
      <c r="I54" s="581">
        <f t="shared" si="10"/>
        <v>50</v>
      </c>
      <c r="J54" s="581">
        <f t="shared" si="11"/>
        <v>25</v>
      </c>
      <c r="K54" s="680">
        <f>E54/I54</f>
        <v>0.79799999999999993</v>
      </c>
      <c r="O54" s="7"/>
      <c r="Q54" s="14"/>
      <c r="R54" s="386"/>
    </row>
    <row r="55" spans="2:18" ht="15" customHeight="1" x14ac:dyDescent="0.25">
      <c r="B55" s="739">
        <v>2006</v>
      </c>
      <c r="C55" s="732">
        <v>39045.875</v>
      </c>
      <c r="D55" s="650">
        <v>39.93</v>
      </c>
      <c r="E55" s="650">
        <v>40.49</v>
      </c>
      <c r="F55" s="729">
        <f t="shared" si="9"/>
        <v>1.4786967418546453E-2</v>
      </c>
      <c r="G55" s="658"/>
      <c r="H55" s="658"/>
      <c r="I55" s="581">
        <f t="shared" si="10"/>
        <v>50</v>
      </c>
      <c r="J55" s="581">
        <f t="shared" si="11"/>
        <v>25</v>
      </c>
      <c r="K55" s="680">
        <f t="shared" si="12"/>
        <v>0.80980000000000008</v>
      </c>
      <c r="O55" s="7"/>
      <c r="Q55" s="14"/>
      <c r="R55" s="386"/>
    </row>
    <row r="56" spans="2:18" ht="15" customHeight="1" x14ac:dyDescent="0.25">
      <c r="B56" s="739">
        <v>2007</v>
      </c>
      <c r="C56" s="732">
        <v>39429.927083333336</v>
      </c>
      <c r="D56" s="650">
        <v>41.25</v>
      </c>
      <c r="E56" s="650">
        <v>41.5</v>
      </c>
      <c r="F56" s="729">
        <f t="shared" si="9"/>
        <v>2.4944430723635416E-2</v>
      </c>
      <c r="G56" s="658"/>
      <c r="H56" s="658"/>
      <c r="I56" s="581">
        <f t="shared" si="10"/>
        <v>50</v>
      </c>
      <c r="J56" s="581">
        <f t="shared" si="11"/>
        <v>25</v>
      </c>
      <c r="K56" s="680">
        <f t="shared" si="12"/>
        <v>0.83</v>
      </c>
      <c r="O56" s="7"/>
      <c r="Q56" s="14"/>
      <c r="R56" s="386"/>
    </row>
    <row r="57" spans="2:18" ht="15" customHeight="1" x14ac:dyDescent="0.25">
      <c r="B57" s="739">
        <v>2008</v>
      </c>
      <c r="C57" s="732">
        <v>39602.885416666664</v>
      </c>
      <c r="D57" s="650">
        <v>45.53</v>
      </c>
      <c r="E57" s="650">
        <v>45.54</v>
      </c>
      <c r="F57" s="729">
        <f t="shared" si="9"/>
        <v>9.7349397590361431E-2</v>
      </c>
      <c r="G57" s="658"/>
      <c r="H57" s="658"/>
      <c r="I57" s="581">
        <f t="shared" si="10"/>
        <v>50</v>
      </c>
      <c r="J57" s="581">
        <f t="shared" si="11"/>
        <v>25</v>
      </c>
      <c r="K57" s="681">
        <f t="shared" si="12"/>
        <v>0.91079999999999994</v>
      </c>
      <c r="O57" s="7"/>
      <c r="Q57" s="14"/>
      <c r="R57" s="386"/>
    </row>
    <row r="58" spans="2:18" ht="15" customHeight="1" x14ac:dyDescent="0.25">
      <c r="B58" s="739">
        <v>2009</v>
      </c>
      <c r="C58" s="732">
        <v>40008.854166666664</v>
      </c>
      <c r="D58" s="650">
        <v>45.26</v>
      </c>
      <c r="E58" s="650">
        <v>45.31</v>
      </c>
      <c r="F58" s="729">
        <f t="shared" si="9"/>
        <v>-5.0505050505049815E-3</v>
      </c>
      <c r="G58" s="658"/>
      <c r="H58" s="658"/>
      <c r="I58" s="581">
        <f t="shared" si="10"/>
        <v>50</v>
      </c>
      <c r="J58" s="581">
        <f t="shared" si="11"/>
        <v>25</v>
      </c>
      <c r="K58" s="681">
        <f t="shared" si="12"/>
        <v>0.90620000000000001</v>
      </c>
      <c r="O58" s="7"/>
      <c r="Q58" s="14"/>
      <c r="R58" s="386"/>
    </row>
    <row r="59" spans="2:18" ht="15" customHeight="1" x14ac:dyDescent="0.25">
      <c r="B59" s="739">
        <v>2010</v>
      </c>
      <c r="C59" s="732">
        <v>40529.614583333336</v>
      </c>
      <c r="D59" s="650">
        <v>47.327812692307695</v>
      </c>
      <c r="E59" s="650">
        <v>47.65</v>
      </c>
      <c r="F59" s="729">
        <f t="shared" si="9"/>
        <v>5.1644228647097688E-2</v>
      </c>
      <c r="G59" s="659"/>
      <c r="H59" s="658"/>
      <c r="I59" s="581">
        <f t="shared" si="10"/>
        <v>50</v>
      </c>
      <c r="J59" s="581">
        <f t="shared" si="11"/>
        <v>25</v>
      </c>
      <c r="K59" s="681">
        <f t="shared" si="12"/>
        <v>0.95299999999999996</v>
      </c>
      <c r="O59" s="7"/>
      <c r="Q59" s="14"/>
      <c r="R59" s="386"/>
    </row>
    <row r="60" spans="2:18" ht="15" customHeight="1" x14ac:dyDescent="0.25">
      <c r="B60" s="739">
        <v>2011</v>
      </c>
      <c r="C60" s="732">
        <v>40876.697916666664</v>
      </c>
      <c r="D60" s="650">
        <v>51.201442692307694</v>
      </c>
      <c r="E60" s="650">
        <v>51.55</v>
      </c>
      <c r="F60" s="729">
        <f t="shared" si="9"/>
        <v>8.18467995802728E-2</v>
      </c>
      <c r="G60" s="659"/>
      <c r="H60" s="658"/>
      <c r="I60" s="581">
        <f t="shared" si="10"/>
        <v>50</v>
      </c>
      <c r="J60" s="581">
        <f t="shared" si="11"/>
        <v>25</v>
      </c>
      <c r="K60" s="681">
        <f t="shared" si="12"/>
        <v>1.0309999999999999</v>
      </c>
      <c r="O60" s="7"/>
      <c r="Q60" s="14"/>
      <c r="R60" s="386"/>
    </row>
    <row r="61" spans="2:18" ht="15" customHeight="1" x14ac:dyDescent="0.25">
      <c r="B61" s="739">
        <v>2012</v>
      </c>
      <c r="C61" s="732">
        <v>40955.604166666664</v>
      </c>
      <c r="D61" s="650">
        <v>46.106129384615393</v>
      </c>
      <c r="E61" s="650">
        <v>46.42</v>
      </c>
      <c r="F61" s="729">
        <f t="shared" si="9"/>
        <v>-9.951503394762358E-2</v>
      </c>
      <c r="G61" s="658"/>
      <c r="H61" s="658"/>
      <c r="I61" s="581">
        <f t="shared" si="10"/>
        <v>50</v>
      </c>
      <c r="J61" s="581">
        <f t="shared" si="11"/>
        <v>25</v>
      </c>
      <c r="K61" s="681">
        <f t="shared" si="12"/>
        <v>0.9284</v>
      </c>
      <c r="O61" s="7"/>
      <c r="Q61" s="14"/>
      <c r="R61" s="386"/>
    </row>
    <row r="62" spans="2:18" ht="15" customHeight="1" x14ac:dyDescent="0.25">
      <c r="B62" s="739">
        <v>2013</v>
      </c>
      <c r="C62" s="732">
        <v>41625.572916666664</v>
      </c>
      <c r="D62" s="650">
        <v>46.106129384615393</v>
      </c>
      <c r="E62" s="650">
        <v>46.42</v>
      </c>
      <c r="F62" s="729">
        <f t="shared" si="9"/>
        <v>0</v>
      </c>
      <c r="G62" s="658"/>
      <c r="H62" s="658"/>
      <c r="I62" s="581">
        <f t="shared" si="10"/>
        <v>50</v>
      </c>
      <c r="J62" s="581">
        <f t="shared" si="11"/>
        <v>25</v>
      </c>
      <c r="K62" s="681">
        <f t="shared" si="12"/>
        <v>0.9284</v>
      </c>
      <c r="O62" s="7"/>
      <c r="Q62" s="14"/>
      <c r="R62" s="386"/>
    </row>
    <row r="63" spans="2:18" ht="15" customHeight="1" x14ac:dyDescent="0.25">
      <c r="B63" s="739">
        <v>2014</v>
      </c>
      <c r="C63" s="580">
        <v>41982.65625</v>
      </c>
      <c r="D63" s="650">
        <v>41.487570538461547</v>
      </c>
      <c r="E63" s="650">
        <v>41.77</v>
      </c>
      <c r="F63" s="729">
        <f t="shared" si="9"/>
        <v>-0.10017233950883236</v>
      </c>
      <c r="G63" s="658"/>
      <c r="H63" s="658"/>
      <c r="I63" s="581">
        <f t="shared" si="10"/>
        <v>50</v>
      </c>
      <c r="J63" s="581">
        <f t="shared" si="11"/>
        <v>25</v>
      </c>
      <c r="K63" s="680">
        <f>E63/I63</f>
        <v>0.83540000000000003</v>
      </c>
      <c r="O63" s="7"/>
      <c r="Q63" s="14"/>
      <c r="R63" s="386"/>
    </row>
    <row r="64" spans="2:18" ht="15" customHeight="1" x14ac:dyDescent="0.25">
      <c r="B64" s="739">
        <v>2015</v>
      </c>
      <c r="C64" s="580">
        <v>42178.854166666664</v>
      </c>
      <c r="D64" s="650">
        <v>43.84</v>
      </c>
      <c r="E64" s="650">
        <v>43.88</v>
      </c>
      <c r="F64" s="729">
        <f t="shared" si="9"/>
        <v>5.0514723485755308E-2</v>
      </c>
      <c r="G64" s="658"/>
      <c r="H64" s="658"/>
      <c r="I64" s="581">
        <f t="shared" si="10"/>
        <v>50</v>
      </c>
      <c r="J64" s="581">
        <f t="shared" si="11"/>
        <v>25</v>
      </c>
      <c r="K64" s="680">
        <f t="shared" si="12"/>
        <v>0.87760000000000005</v>
      </c>
      <c r="O64" s="7"/>
      <c r="Q64" s="14"/>
      <c r="R64" s="386"/>
    </row>
    <row r="65" spans="2:18" ht="15" customHeight="1" x14ac:dyDescent="0.25">
      <c r="B65" s="739">
        <v>2016</v>
      </c>
      <c r="C65" s="580">
        <v>42423.552083333336</v>
      </c>
      <c r="D65" s="650">
        <v>36.43</v>
      </c>
      <c r="E65" s="650">
        <v>36.82</v>
      </c>
      <c r="F65" s="729">
        <f t="shared" si="9"/>
        <v>-0.16089334548769374</v>
      </c>
      <c r="G65" s="658"/>
      <c r="H65" s="658"/>
      <c r="I65" s="581">
        <f>3*25</f>
        <v>75</v>
      </c>
      <c r="J65" s="581">
        <f t="shared" si="11"/>
        <v>50</v>
      </c>
      <c r="K65" s="680">
        <f>E65/I65</f>
        <v>0.49093333333333333</v>
      </c>
      <c r="O65" s="7"/>
      <c r="Q65" s="14"/>
      <c r="R65" s="386"/>
    </row>
    <row r="66" spans="2:18" ht="15" customHeight="1" x14ac:dyDescent="0.25">
      <c r="B66" s="739">
        <v>2017</v>
      </c>
      <c r="C66" s="580">
        <v>42796.625</v>
      </c>
      <c r="D66" s="650">
        <v>47.23</v>
      </c>
      <c r="E66" s="650">
        <v>48.04</v>
      </c>
      <c r="F66" s="729">
        <f t="shared" si="9"/>
        <v>0.30472569255839216</v>
      </c>
      <c r="G66" s="658"/>
      <c r="H66" s="658">
        <f>E66</f>
        <v>48.04</v>
      </c>
      <c r="I66" s="581">
        <f t="shared" ref="I66:I76" si="13">3*25</f>
        <v>75</v>
      </c>
      <c r="J66" s="581">
        <f t="shared" si="11"/>
        <v>50</v>
      </c>
      <c r="K66" s="680">
        <f>E66/I66</f>
        <v>0.64053333333333329</v>
      </c>
      <c r="O66" s="7"/>
      <c r="Q66" s="14"/>
      <c r="R66" s="386"/>
    </row>
    <row r="67" spans="2:18" ht="15" customHeight="1" x14ac:dyDescent="0.25">
      <c r="B67" s="743">
        <v>2018</v>
      </c>
      <c r="C67" s="720">
        <v>2018</v>
      </c>
      <c r="D67" s="652"/>
      <c r="E67" s="652"/>
      <c r="F67" s="730"/>
      <c r="G67" s="660">
        <f>0.7256*C67-1415.8</f>
        <v>48.460800000000063</v>
      </c>
      <c r="H67" s="661">
        <f>1+H66</f>
        <v>49.04</v>
      </c>
      <c r="I67" s="584">
        <f t="shared" si="13"/>
        <v>75</v>
      </c>
      <c r="J67" s="584">
        <f t="shared" si="11"/>
        <v>50</v>
      </c>
      <c r="K67" s="684">
        <f>H67/I67</f>
        <v>0.65386666666666671</v>
      </c>
      <c r="N67" s="11">
        <f t="shared" ref="N67:N76" si="14">H67-H66</f>
        <v>1</v>
      </c>
      <c r="O67" s="7"/>
      <c r="Q67" s="14"/>
      <c r="R67" s="386"/>
    </row>
    <row r="68" spans="2:18" ht="15" customHeight="1" x14ac:dyDescent="0.25">
      <c r="B68" s="743">
        <v>2019</v>
      </c>
      <c r="C68" s="720">
        <v>2019</v>
      </c>
      <c r="D68" s="652"/>
      <c r="E68" s="652"/>
      <c r="F68" s="730"/>
      <c r="G68" s="660">
        <f t="shared" ref="G68:G76" si="15">0.7256*C68-1415.8</f>
        <v>49.186400000000049</v>
      </c>
      <c r="H68" s="661">
        <f t="shared" ref="H68:H76" si="16">1+H67</f>
        <v>50.04</v>
      </c>
      <c r="I68" s="584">
        <f t="shared" si="13"/>
        <v>75</v>
      </c>
      <c r="J68" s="584">
        <f t="shared" si="11"/>
        <v>50</v>
      </c>
      <c r="K68" s="684">
        <f>H68/I68</f>
        <v>0.66720000000000002</v>
      </c>
      <c r="M68" s="11">
        <f>G68-G67</f>
        <v>0.72559999999998581</v>
      </c>
      <c r="N68" s="11">
        <f t="shared" si="14"/>
        <v>1</v>
      </c>
      <c r="O68" s="7"/>
      <c r="Q68" s="14"/>
      <c r="R68" s="386"/>
    </row>
    <row r="69" spans="2:18" ht="15" customHeight="1" x14ac:dyDescent="0.25">
      <c r="B69" s="743">
        <v>2020</v>
      </c>
      <c r="C69" s="720">
        <v>2020</v>
      </c>
      <c r="D69" s="652"/>
      <c r="E69" s="652"/>
      <c r="F69" s="730"/>
      <c r="G69" s="660">
        <f t="shared" si="15"/>
        <v>49.912000000000035</v>
      </c>
      <c r="H69" s="661">
        <f t="shared" si="16"/>
        <v>51.04</v>
      </c>
      <c r="I69" s="584">
        <f t="shared" si="13"/>
        <v>75</v>
      </c>
      <c r="J69" s="584">
        <f t="shared" si="11"/>
        <v>50</v>
      </c>
      <c r="K69" s="684">
        <f>H69/I69</f>
        <v>0.68053333333333332</v>
      </c>
      <c r="M69" s="11">
        <f t="shared" ref="M69:M76" si="17">G69-G68</f>
        <v>0.72559999999998581</v>
      </c>
      <c r="N69" s="11">
        <f t="shared" si="14"/>
        <v>1</v>
      </c>
      <c r="O69" s="7"/>
      <c r="Q69" s="14"/>
      <c r="R69" s="386"/>
    </row>
    <row r="70" spans="2:18" ht="15" customHeight="1" x14ac:dyDescent="0.25">
      <c r="B70" s="743">
        <v>2021</v>
      </c>
      <c r="C70" s="720">
        <v>2021</v>
      </c>
      <c r="D70" s="652"/>
      <c r="E70" s="652"/>
      <c r="F70" s="730"/>
      <c r="G70" s="660">
        <f t="shared" si="15"/>
        <v>50.63760000000002</v>
      </c>
      <c r="H70" s="661">
        <f t="shared" si="16"/>
        <v>52.04</v>
      </c>
      <c r="I70" s="584">
        <f t="shared" si="13"/>
        <v>75</v>
      </c>
      <c r="J70" s="584">
        <f t="shared" si="11"/>
        <v>50</v>
      </c>
      <c r="K70" s="684">
        <f t="shared" ref="K70:K76" si="18">H70/I70</f>
        <v>0.69386666666666663</v>
      </c>
      <c r="M70" s="11">
        <f t="shared" si="17"/>
        <v>0.72559999999998581</v>
      </c>
      <c r="N70" s="11">
        <f t="shared" si="14"/>
        <v>1</v>
      </c>
      <c r="O70" s="7"/>
      <c r="Q70" s="14"/>
      <c r="R70" s="386"/>
    </row>
    <row r="71" spans="2:18" ht="15" customHeight="1" x14ac:dyDescent="0.25">
      <c r="B71" s="743">
        <v>2022</v>
      </c>
      <c r="C71" s="720">
        <v>2022</v>
      </c>
      <c r="D71" s="652"/>
      <c r="E71" s="652"/>
      <c r="F71" s="730"/>
      <c r="G71" s="660">
        <f t="shared" si="15"/>
        <v>51.363200000000006</v>
      </c>
      <c r="H71" s="661">
        <f t="shared" si="16"/>
        <v>53.04</v>
      </c>
      <c r="I71" s="584">
        <f t="shared" si="13"/>
        <v>75</v>
      </c>
      <c r="J71" s="584">
        <f t="shared" si="11"/>
        <v>50</v>
      </c>
      <c r="K71" s="684">
        <f t="shared" si="18"/>
        <v>0.70719999999999994</v>
      </c>
      <c r="M71" s="11">
        <f t="shared" si="17"/>
        <v>0.72559999999998581</v>
      </c>
      <c r="N71" s="11">
        <f t="shared" si="14"/>
        <v>1</v>
      </c>
      <c r="O71" s="7"/>
      <c r="Q71" s="14"/>
      <c r="R71" s="386"/>
    </row>
    <row r="72" spans="2:18" ht="15" customHeight="1" x14ac:dyDescent="0.25">
      <c r="B72" s="743">
        <v>2023</v>
      </c>
      <c r="C72" s="720">
        <v>2023</v>
      </c>
      <c r="D72" s="652"/>
      <c r="E72" s="652"/>
      <c r="F72" s="730"/>
      <c r="G72" s="660">
        <f t="shared" si="15"/>
        <v>52.088799999999992</v>
      </c>
      <c r="H72" s="661">
        <f t="shared" si="16"/>
        <v>54.04</v>
      </c>
      <c r="I72" s="584">
        <f t="shared" si="13"/>
        <v>75</v>
      </c>
      <c r="J72" s="584">
        <f t="shared" si="11"/>
        <v>50</v>
      </c>
      <c r="K72" s="684">
        <f t="shared" si="18"/>
        <v>0.72053333333333336</v>
      </c>
      <c r="M72" s="11">
        <f t="shared" si="17"/>
        <v>0.72559999999998581</v>
      </c>
      <c r="N72" s="11">
        <f t="shared" si="14"/>
        <v>1</v>
      </c>
      <c r="O72" s="7"/>
      <c r="Q72" s="14"/>
      <c r="R72" s="386"/>
    </row>
    <row r="73" spans="2:18" ht="15" customHeight="1" x14ac:dyDescent="0.25">
      <c r="B73" s="743">
        <v>2024</v>
      </c>
      <c r="C73" s="721">
        <v>2024</v>
      </c>
      <c r="D73" s="652"/>
      <c r="E73" s="652"/>
      <c r="F73" s="730"/>
      <c r="G73" s="660">
        <f t="shared" si="15"/>
        <v>52.814399999999978</v>
      </c>
      <c r="H73" s="661">
        <f t="shared" si="16"/>
        <v>55.04</v>
      </c>
      <c r="I73" s="584">
        <f t="shared" si="13"/>
        <v>75</v>
      </c>
      <c r="J73" s="584">
        <f t="shared" si="11"/>
        <v>50</v>
      </c>
      <c r="K73" s="684">
        <f t="shared" si="18"/>
        <v>0.73386666666666667</v>
      </c>
      <c r="M73" s="11">
        <f t="shared" si="17"/>
        <v>0.72559999999998581</v>
      </c>
      <c r="N73" s="11">
        <f t="shared" si="14"/>
        <v>1</v>
      </c>
      <c r="O73" s="7"/>
      <c r="Q73" s="14"/>
      <c r="R73" s="386"/>
    </row>
    <row r="74" spans="2:18" ht="15" customHeight="1" x14ac:dyDescent="0.25">
      <c r="B74" s="743">
        <v>2025</v>
      </c>
      <c r="C74" s="721">
        <v>2025</v>
      </c>
      <c r="D74" s="652"/>
      <c r="E74" s="652"/>
      <c r="F74" s="730"/>
      <c r="G74" s="660">
        <f t="shared" si="15"/>
        <v>53.540000000000191</v>
      </c>
      <c r="H74" s="661">
        <f t="shared" si="16"/>
        <v>56.04</v>
      </c>
      <c r="I74" s="584">
        <f t="shared" si="13"/>
        <v>75</v>
      </c>
      <c r="J74" s="584">
        <f t="shared" si="11"/>
        <v>50</v>
      </c>
      <c r="K74" s="684">
        <f t="shared" si="18"/>
        <v>0.74719999999999998</v>
      </c>
      <c r="M74" s="11">
        <f t="shared" si="17"/>
        <v>0.72560000000021319</v>
      </c>
      <c r="N74" s="11">
        <f t="shared" si="14"/>
        <v>1</v>
      </c>
      <c r="O74" s="7"/>
      <c r="Q74" s="14"/>
      <c r="R74" s="386"/>
    </row>
    <row r="75" spans="2:18" x14ac:dyDescent="0.25">
      <c r="B75" s="743">
        <v>2026</v>
      </c>
      <c r="C75" s="721">
        <v>2026</v>
      </c>
      <c r="D75" s="652"/>
      <c r="E75" s="652"/>
      <c r="F75" s="730"/>
      <c r="G75" s="660">
        <f t="shared" si="15"/>
        <v>54.265600000000177</v>
      </c>
      <c r="H75" s="661">
        <f t="shared" si="16"/>
        <v>57.04</v>
      </c>
      <c r="I75" s="584">
        <f t="shared" si="13"/>
        <v>75</v>
      </c>
      <c r="J75" s="584">
        <f t="shared" si="11"/>
        <v>50</v>
      </c>
      <c r="K75" s="681">
        <f t="shared" si="18"/>
        <v>0.76053333333333328</v>
      </c>
      <c r="M75" s="11">
        <f t="shared" si="17"/>
        <v>0.72559999999998581</v>
      </c>
      <c r="N75" s="11">
        <f t="shared" si="14"/>
        <v>1</v>
      </c>
      <c r="O75" s="7"/>
      <c r="Q75" s="14"/>
      <c r="R75" s="386"/>
    </row>
    <row r="76" spans="2:18" ht="15.75" thickBot="1" x14ac:dyDescent="0.3">
      <c r="B76" s="744">
        <v>2027</v>
      </c>
      <c r="C76" s="722">
        <v>2027</v>
      </c>
      <c r="D76" s="656"/>
      <c r="E76" s="656"/>
      <c r="F76" s="734"/>
      <c r="G76" s="662">
        <f t="shared" si="15"/>
        <v>54.991200000000163</v>
      </c>
      <c r="H76" s="663">
        <f t="shared" si="16"/>
        <v>58.04</v>
      </c>
      <c r="I76" s="586">
        <f t="shared" si="13"/>
        <v>75</v>
      </c>
      <c r="J76" s="586">
        <f t="shared" si="11"/>
        <v>50</v>
      </c>
      <c r="K76" s="742">
        <f t="shared" si="18"/>
        <v>0.7738666666666667</v>
      </c>
      <c r="M76" s="11">
        <f t="shared" si="17"/>
        <v>0.72559999999998581</v>
      </c>
      <c r="N76" s="11">
        <f t="shared" si="14"/>
        <v>1</v>
      </c>
      <c r="O76" s="7"/>
      <c r="Q76" s="14"/>
      <c r="R76" s="386"/>
    </row>
    <row r="77" spans="2:18" x14ac:dyDescent="0.25">
      <c r="H77" s="11">
        <f>0.043*H66</f>
        <v>2.0657199999999998</v>
      </c>
      <c r="N77" s="7">
        <f>SUM(N68:N76)</f>
        <v>9</v>
      </c>
      <c r="O77" s="7"/>
      <c r="Q77" s="14"/>
      <c r="R77" s="386"/>
    </row>
    <row r="78" spans="2:18" x14ac:dyDescent="0.25">
      <c r="H78" s="11">
        <f>1/0.7256</f>
        <v>1.3781697905181918</v>
      </c>
      <c r="I78" s="700">
        <f>1.045*0.7256</f>
        <v>0.75825199999999993</v>
      </c>
      <c r="O78" s="7"/>
      <c r="Q78" s="14"/>
      <c r="R78" s="386"/>
    </row>
    <row r="94" spans="15:16" x14ac:dyDescent="0.25">
      <c r="O94" s="132">
        <v>2018</v>
      </c>
      <c r="P94" s="123">
        <v>20</v>
      </c>
    </row>
    <row r="95" spans="15:16" x14ac:dyDescent="0.25">
      <c r="O95" s="132">
        <v>2018</v>
      </c>
      <c r="P95" s="123">
        <v>30</v>
      </c>
    </row>
    <row r="96" spans="15:16" x14ac:dyDescent="0.25">
      <c r="O96" s="132">
        <v>2018</v>
      </c>
      <c r="P96" s="123">
        <v>40</v>
      </c>
    </row>
    <row r="97" spans="14:19" x14ac:dyDescent="0.25">
      <c r="O97" s="132">
        <v>2018</v>
      </c>
      <c r="P97" s="123">
        <v>50</v>
      </c>
    </row>
    <row r="98" spans="14:19" x14ac:dyDescent="0.25">
      <c r="O98" s="132">
        <v>2018</v>
      </c>
      <c r="P98" s="123">
        <v>60</v>
      </c>
    </row>
    <row r="101" spans="14:19" x14ac:dyDescent="0.25">
      <c r="N101" s="1212" t="s">
        <v>366</v>
      </c>
      <c r="O101" s="1212"/>
      <c r="P101" s="1212"/>
      <c r="Q101" s="1212"/>
      <c r="R101" s="1212"/>
      <c r="S101" s="1212"/>
    </row>
    <row r="113" spans="1:20" ht="18" x14ac:dyDescent="0.25">
      <c r="A113" s="1093" t="s">
        <v>247</v>
      </c>
      <c r="B113" s="1093"/>
      <c r="C113" s="1093"/>
      <c r="D113" s="1093"/>
      <c r="E113" s="1093"/>
      <c r="F113" s="1093"/>
      <c r="G113" s="1093"/>
      <c r="H113" s="1093"/>
      <c r="I113" s="1093"/>
      <c r="J113" s="1093"/>
      <c r="K113" s="1093"/>
      <c r="L113" s="1093"/>
      <c r="M113" s="1093"/>
      <c r="N113" s="1093"/>
      <c r="O113" s="1093"/>
      <c r="P113" s="1093"/>
      <c r="Q113" s="1093"/>
      <c r="R113" s="1093"/>
      <c r="S113" s="1093"/>
      <c r="T113" s="1093"/>
    </row>
    <row r="114" spans="1:20" ht="18" x14ac:dyDescent="0.25">
      <c r="A114" s="1094" t="s">
        <v>248</v>
      </c>
      <c r="B114" s="1094"/>
      <c r="C114" s="1094"/>
      <c r="D114" s="1094"/>
      <c r="E114" s="1094"/>
      <c r="F114" s="1094"/>
      <c r="G114" s="1094"/>
      <c r="H114" s="1094"/>
      <c r="I114" s="1094"/>
      <c r="J114" s="1094"/>
      <c r="K114" s="1094"/>
      <c r="L114" s="1094"/>
      <c r="M114" s="1094"/>
      <c r="N114" s="1094"/>
      <c r="O114" s="1094"/>
      <c r="P114" s="1094"/>
      <c r="Q114" s="1094"/>
      <c r="R114" s="1094"/>
      <c r="S114" s="1094"/>
      <c r="T114" s="1094"/>
    </row>
    <row r="115" spans="1:20" ht="15.75" thickBot="1" x14ac:dyDescent="0.3">
      <c r="A115" s="452"/>
      <c r="B115" s="452"/>
      <c r="C115" s="452"/>
      <c r="D115" s="452"/>
      <c r="E115" s="452"/>
      <c r="F115" s="452"/>
      <c r="G115" s="452"/>
      <c r="H115" s="453"/>
      <c r="I115" s="452"/>
      <c r="J115" s="454"/>
      <c r="K115" s="453"/>
      <c r="L115" s="452"/>
      <c r="M115" s="454"/>
      <c r="N115" s="453"/>
      <c r="O115" s="452"/>
      <c r="P115" s="454"/>
      <c r="Q115" s="453"/>
      <c r="R115" s="452"/>
      <c r="S115" s="449"/>
      <c r="T115" s="450"/>
    </row>
    <row r="116" spans="1:20" x14ac:dyDescent="0.25">
      <c r="A116" s="1095" t="s">
        <v>249</v>
      </c>
      <c r="B116" s="1098" t="s">
        <v>250</v>
      </c>
      <c r="C116" s="1101" t="s">
        <v>251</v>
      </c>
      <c r="D116" s="1063" t="s">
        <v>252</v>
      </c>
      <c r="E116" s="1065"/>
      <c r="F116" s="1066">
        <v>2017</v>
      </c>
      <c r="G116" s="1064"/>
      <c r="H116" s="1106"/>
      <c r="I116" s="1063">
        <f>+F116+1</f>
        <v>2018</v>
      </c>
      <c r="J116" s="1064"/>
      <c r="K116" s="1065"/>
      <c r="L116" s="1066">
        <f>+I116+1</f>
        <v>2019</v>
      </c>
      <c r="M116" s="1064"/>
      <c r="N116" s="1106"/>
      <c r="O116" s="1063">
        <f>+L116+1</f>
        <v>2020</v>
      </c>
      <c r="P116" s="1064"/>
      <c r="Q116" s="1065"/>
      <c r="R116" s="1066">
        <f>+O116+1</f>
        <v>2021</v>
      </c>
      <c r="S116" s="1064"/>
      <c r="T116" s="1065"/>
    </row>
    <row r="117" spans="1:20" x14ac:dyDescent="0.25">
      <c r="A117" s="1096"/>
      <c r="B117" s="1099"/>
      <c r="C117" s="1102"/>
      <c r="D117" s="1104"/>
      <c r="E117" s="1105"/>
      <c r="F117" s="455" t="s">
        <v>253</v>
      </c>
      <c r="G117" s="1067" t="s">
        <v>254</v>
      </c>
      <c r="H117" s="1068"/>
      <c r="I117" s="456" t="s">
        <v>253</v>
      </c>
      <c r="J117" s="1067" t="s">
        <v>254</v>
      </c>
      <c r="K117" s="1069"/>
      <c r="L117" s="455" t="s">
        <v>253</v>
      </c>
      <c r="M117" s="1067" t="s">
        <v>254</v>
      </c>
      <c r="N117" s="1068"/>
      <c r="O117" s="456" t="s">
        <v>253</v>
      </c>
      <c r="P117" s="1067" t="s">
        <v>254</v>
      </c>
      <c r="Q117" s="1069"/>
      <c r="R117" s="455" t="s">
        <v>253</v>
      </c>
      <c r="S117" s="1067" t="s">
        <v>254</v>
      </c>
      <c r="T117" s="1069"/>
    </row>
    <row r="118" spans="1:20" ht="15.75" thickBot="1" x14ac:dyDescent="0.3">
      <c r="A118" s="1097"/>
      <c r="B118" s="1100"/>
      <c r="C118" s="1103"/>
      <c r="D118" s="1091" t="s">
        <v>255</v>
      </c>
      <c r="E118" s="1092"/>
      <c r="F118" s="457" t="s">
        <v>255</v>
      </c>
      <c r="G118" s="458" t="s">
        <v>255</v>
      </c>
      <c r="H118" s="459" t="s">
        <v>256</v>
      </c>
      <c r="I118" s="460" t="s">
        <v>255</v>
      </c>
      <c r="J118" s="461" t="s">
        <v>255</v>
      </c>
      <c r="K118" s="462" t="s">
        <v>256</v>
      </c>
      <c r="L118" s="457" t="s">
        <v>255</v>
      </c>
      <c r="M118" s="461" t="s">
        <v>255</v>
      </c>
      <c r="N118" s="459" t="s">
        <v>256</v>
      </c>
      <c r="O118" s="460" t="s">
        <v>255</v>
      </c>
      <c r="P118" s="461" t="s">
        <v>255</v>
      </c>
      <c r="Q118" s="462" t="s">
        <v>256</v>
      </c>
      <c r="R118" s="457" t="s">
        <v>255</v>
      </c>
      <c r="S118" s="461" t="s">
        <v>255</v>
      </c>
      <c r="T118" s="462" t="s">
        <v>256</v>
      </c>
    </row>
    <row r="119" spans="1:20" x14ac:dyDescent="0.25">
      <c r="B119" s="1188" t="s">
        <v>2</v>
      </c>
      <c r="C119" s="666" t="s">
        <v>24</v>
      </c>
      <c r="D119" s="641">
        <v>25</v>
      </c>
      <c r="E119" s="1138">
        <v>75</v>
      </c>
      <c r="F119" s="1139">
        <v>75</v>
      </c>
      <c r="G119" s="1170">
        <v>47.734814119999996</v>
      </c>
      <c r="H119" s="1132">
        <v>0.63646418826666662</v>
      </c>
      <c r="I119" s="1139">
        <v>75</v>
      </c>
      <c r="J119" s="1170">
        <v>49.787411127159992</v>
      </c>
      <c r="K119" s="1132">
        <v>0.66383214836213322</v>
      </c>
      <c r="L119" s="1135">
        <v>75</v>
      </c>
      <c r="M119" s="1170">
        <v>51.92826980562787</v>
      </c>
      <c r="N119" s="1132">
        <v>0.69237693074170492</v>
      </c>
      <c r="O119" s="1135">
        <v>75</v>
      </c>
      <c r="P119" s="1170">
        <v>54.161185407269862</v>
      </c>
      <c r="Q119" s="1132">
        <v>0.72214913876359821</v>
      </c>
      <c r="R119" s="1145">
        <v>75</v>
      </c>
      <c r="S119" s="1170">
        <v>56.490116379782464</v>
      </c>
      <c r="T119" s="1132">
        <v>0.75320155173043279</v>
      </c>
    </row>
    <row r="120" spans="1:20" x14ac:dyDescent="0.25">
      <c r="B120" s="1189"/>
      <c r="C120" s="666" t="s">
        <v>24</v>
      </c>
      <c r="D120" s="641">
        <v>25</v>
      </c>
      <c r="E120" s="1138"/>
      <c r="F120" s="1140"/>
      <c r="G120" s="1171"/>
      <c r="H120" s="1133"/>
      <c r="I120" s="1140"/>
      <c r="J120" s="1171"/>
      <c r="K120" s="1133"/>
      <c r="L120" s="1136"/>
      <c r="M120" s="1171"/>
      <c r="N120" s="1133"/>
      <c r="O120" s="1136"/>
      <c r="P120" s="1171"/>
      <c r="Q120" s="1133"/>
      <c r="R120" s="1146"/>
      <c r="S120" s="1171"/>
      <c r="T120" s="1133"/>
    </row>
    <row r="121" spans="1:20" x14ac:dyDescent="0.25">
      <c r="B121" s="1189"/>
      <c r="C121" s="666" t="s">
        <v>24</v>
      </c>
      <c r="D121" s="641">
        <v>25</v>
      </c>
      <c r="E121" s="1138"/>
      <c r="F121" s="1141"/>
      <c r="G121" s="1172"/>
      <c r="H121" s="1134"/>
      <c r="I121" s="1141"/>
      <c r="J121" s="1172"/>
      <c r="K121" s="1134"/>
      <c r="L121" s="1137"/>
      <c r="M121" s="1172"/>
      <c r="N121" s="1134"/>
      <c r="O121" s="1137"/>
      <c r="P121" s="1172"/>
      <c r="Q121" s="1134"/>
      <c r="R121" s="1147"/>
      <c r="S121" s="1172"/>
      <c r="T121" s="1134"/>
    </row>
    <row r="122" spans="1:20" x14ac:dyDescent="0.25">
      <c r="B122" s="1190"/>
      <c r="C122" s="666" t="s">
        <v>257</v>
      </c>
      <c r="D122" s="641">
        <v>25</v>
      </c>
      <c r="E122" s="688">
        <v>25</v>
      </c>
      <c r="F122" s="689">
        <v>25</v>
      </c>
      <c r="G122" s="690">
        <v>23.676032412822771</v>
      </c>
      <c r="H122" s="691">
        <v>0.9470412965129108</v>
      </c>
      <c r="I122" s="689">
        <v>25</v>
      </c>
      <c r="J122" s="690">
        <v>24.611733283253294</v>
      </c>
      <c r="K122" s="691">
        <v>0.9844693313301317</v>
      </c>
      <c r="L122" s="689">
        <v>25</v>
      </c>
      <c r="M122" s="690">
        <v>25.584414003333382</v>
      </c>
      <c r="N122" s="691">
        <v>1.0233765601333353</v>
      </c>
      <c r="O122" s="689">
        <v>25</v>
      </c>
      <c r="P122" s="690">
        <v>26.595536054315563</v>
      </c>
      <c r="Q122" s="691">
        <v>1.0638214421726224</v>
      </c>
      <c r="R122" s="641">
        <v>25</v>
      </c>
      <c r="S122" s="690">
        <v>27.646618676677225</v>
      </c>
      <c r="T122" s="691">
        <v>1.105864747067089</v>
      </c>
    </row>
    <row r="124" spans="1:20" x14ac:dyDescent="0.25">
      <c r="J124">
        <f>1.043*G119</f>
        <v>49.787411127159992</v>
      </c>
      <c r="M124">
        <f t="shared" ref="M124:S124" si="19">1.043*J119</f>
        <v>51.92826980562787</v>
      </c>
      <c r="N124"/>
      <c r="O124"/>
      <c r="P124">
        <f t="shared" si="19"/>
        <v>54.161185407269862</v>
      </c>
      <c r="Q124"/>
      <c r="R124"/>
      <c r="S124">
        <f t="shared" si="19"/>
        <v>56.490116379782464</v>
      </c>
    </row>
    <row r="126" spans="1:20" x14ac:dyDescent="0.25">
      <c r="E126" s="10">
        <v>2018</v>
      </c>
      <c r="F126" s="7">
        <f>J119</f>
        <v>49.787411127159992</v>
      </c>
    </row>
    <row r="127" spans="1:20" x14ac:dyDescent="0.25">
      <c r="E127" s="10">
        <v>2019</v>
      </c>
      <c r="F127" s="7">
        <f>M119</f>
        <v>51.92826980562787</v>
      </c>
    </row>
    <row r="128" spans="1:20" x14ac:dyDescent="0.25">
      <c r="E128" s="10">
        <v>2020</v>
      </c>
      <c r="F128" s="7">
        <f>P119</f>
        <v>54.161185407269862</v>
      </c>
    </row>
    <row r="129" spans="5:6" x14ac:dyDescent="0.25">
      <c r="E129" s="10">
        <v>2021</v>
      </c>
      <c r="F129" s="7">
        <f>S119</f>
        <v>56.490116379782464</v>
      </c>
    </row>
    <row r="130" spans="5:6" x14ac:dyDescent="0.25">
      <c r="E130" s="10"/>
      <c r="F130" s="7"/>
    </row>
    <row r="131" spans="5:6" x14ac:dyDescent="0.25">
      <c r="F131" s="11"/>
    </row>
    <row r="132" spans="5:6" x14ac:dyDescent="0.25">
      <c r="F132" s="11"/>
    </row>
  </sheetData>
  <mergeCells count="52">
    <mergeCell ref="S119:S121"/>
    <mergeCell ref="T119:T121"/>
    <mergeCell ref="N119:N121"/>
    <mergeCell ref="O119:O121"/>
    <mergeCell ref="P119:P121"/>
    <mergeCell ref="Q119:Q121"/>
    <mergeCell ref="R119:R121"/>
    <mergeCell ref="I119:I121"/>
    <mergeCell ref="J119:J121"/>
    <mergeCell ref="K119:K121"/>
    <mergeCell ref="L119:L121"/>
    <mergeCell ref="M119:M121"/>
    <mergeCell ref="B119:B122"/>
    <mergeCell ref="E119:E121"/>
    <mergeCell ref="F119:F121"/>
    <mergeCell ref="G119:G121"/>
    <mergeCell ref="H119:H121"/>
    <mergeCell ref="B3:K3"/>
    <mergeCell ref="B4:K4"/>
    <mergeCell ref="B5:B6"/>
    <mergeCell ref="G5:I5"/>
    <mergeCell ref="D5:F5"/>
    <mergeCell ref="J5:J6"/>
    <mergeCell ref="K5:K6"/>
    <mergeCell ref="C5:C6"/>
    <mergeCell ref="D118:E118"/>
    <mergeCell ref="A113:T113"/>
    <mergeCell ref="A114:T114"/>
    <mergeCell ref="A116:A118"/>
    <mergeCell ref="B116:B118"/>
    <mergeCell ref="C116:C118"/>
    <mergeCell ref="D116:E117"/>
    <mergeCell ref="F116:H116"/>
    <mergeCell ref="I116:K116"/>
    <mergeCell ref="L116:N116"/>
    <mergeCell ref="O116:Q116"/>
    <mergeCell ref="R116:T116"/>
    <mergeCell ref="G117:H117"/>
    <mergeCell ref="J117:K117"/>
    <mergeCell ref="M117:N117"/>
    <mergeCell ref="P117:Q117"/>
    <mergeCell ref="N101:S101"/>
    <mergeCell ref="S117:T117"/>
    <mergeCell ref="C42:K42"/>
    <mergeCell ref="C43:K43"/>
    <mergeCell ref="B44:B45"/>
    <mergeCell ref="C44:C45"/>
    <mergeCell ref="D44:F44"/>
    <mergeCell ref="G44:H44"/>
    <mergeCell ref="I44:I45"/>
    <mergeCell ref="J44:J45"/>
    <mergeCell ref="K44:K45"/>
  </mergeCells>
  <conditionalFormatting sqref="H119:H122 T119:T122 Q119:Q122 N119:N122 K119:K122">
    <cfRule type="cellIs" dxfId="15" priority="1" operator="greaterThan">
      <formula>1</formula>
    </cfRule>
  </conditionalFormatting>
  <printOptions horizontalCentered="1" verticalCentered="1" gridLines="1"/>
  <pageMargins left="0.11811023622047245" right="0.11811023622047245" top="0.74803149606299213" bottom="0.74803149606299213" header="0" footer="0"/>
  <pageSetup paperSize="9" scale="13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T129"/>
  <sheetViews>
    <sheetView topLeftCell="A61" workbookViewId="0">
      <selection activeCell="L77" sqref="L77"/>
    </sheetView>
  </sheetViews>
  <sheetFormatPr baseColWidth="10" defaultRowHeight="15" x14ac:dyDescent="0.25"/>
  <cols>
    <col min="1" max="1" width="5.7109375" customWidth="1"/>
    <col min="2" max="2" width="6.7109375" style="10" customWidth="1"/>
    <col min="3" max="3" width="14.7109375" customWidth="1"/>
    <col min="4" max="5" width="10.7109375" customWidth="1"/>
    <col min="6" max="6" width="11.7109375" customWidth="1"/>
    <col min="7" max="8" width="12.7109375" customWidth="1"/>
    <col min="9" max="11" width="10.7109375" customWidth="1"/>
    <col min="15" max="15" width="12.7109375" customWidth="1"/>
  </cols>
  <sheetData>
    <row r="2" spans="2:15" ht="15.75" thickBot="1" x14ac:dyDescent="0.3">
      <c r="B2" s="1225"/>
      <c r="C2" s="1225"/>
      <c r="D2" s="1225"/>
      <c r="E2" s="1225"/>
      <c r="F2" s="1225"/>
      <c r="G2" s="1225"/>
      <c r="H2" s="1225"/>
      <c r="I2" s="1225"/>
      <c r="J2" s="1225"/>
      <c r="K2" s="1225"/>
    </row>
    <row r="3" spans="2:15" ht="15.95" customHeight="1" thickBot="1" x14ac:dyDescent="0.3">
      <c r="B3" s="1040" t="s">
        <v>36</v>
      </c>
      <c r="C3" s="1041"/>
      <c r="D3" s="1041"/>
      <c r="E3" s="1041"/>
      <c r="F3" s="1041"/>
      <c r="G3" s="1041"/>
      <c r="H3" s="1041"/>
      <c r="I3" s="1041"/>
      <c r="J3" s="1041"/>
      <c r="K3" s="1042"/>
      <c r="L3" s="73"/>
      <c r="M3" s="73"/>
    </row>
    <row r="4" spans="2:15" ht="15.95" customHeight="1" x14ac:dyDescent="0.25">
      <c r="B4" s="1191" t="s">
        <v>37</v>
      </c>
      <c r="C4" s="1192"/>
      <c r="D4" s="1192"/>
      <c r="E4" s="1192"/>
      <c r="F4" s="1192"/>
      <c r="G4" s="1192"/>
      <c r="H4" s="1192"/>
      <c r="I4" s="1192"/>
      <c r="J4" s="1192"/>
      <c r="K4" s="1193"/>
      <c r="L4" s="134"/>
      <c r="M4" s="134"/>
      <c r="N4" s="8"/>
    </row>
    <row r="5" spans="2:15" ht="15.95" customHeight="1" x14ac:dyDescent="0.25">
      <c r="B5" s="1118" t="s">
        <v>124</v>
      </c>
      <c r="C5" s="1196" t="s">
        <v>26</v>
      </c>
      <c r="D5" s="1033" t="s">
        <v>110</v>
      </c>
      <c r="E5" s="1120"/>
      <c r="F5" s="1121"/>
      <c r="G5" s="1051" t="s">
        <v>74</v>
      </c>
      <c r="H5" s="1051"/>
      <c r="I5" s="1224"/>
      <c r="J5" s="1031" t="s">
        <v>105</v>
      </c>
      <c r="K5" s="1123" t="s">
        <v>112</v>
      </c>
      <c r="L5" s="134"/>
      <c r="M5" s="134"/>
    </row>
    <row r="6" spans="2:15" ht="39.950000000000003" customHeight="1" x14ac:dyDescent="0.25">
      <c r="B6" s="1119"/>
      <c r="C6" s="1196"/>
      <c r="D6" s="307" t="s">
        <v>115</v>
      </c>
      <c r="E6" s="112" t="s">
        <v>116</v>
      </c>
      <c r="F6" s="112" t="s">
        <v>80</v>
      </c>
      <c r="G6" s="85" t="s">
        <v>113</v>
      </c>
      <c r="H6" s="38" t="s">
        <v>232</v>
      </c>
      <c r="I6" s="38" t="s">
        <v>114</v>
      </c>
      <c r="J6" s="1031"/>
      <c r="K6" s="1123"/>
      <c r="L6" s="258" t="s">
        <v>206</v>
      </c>
      <c r="M6" s="42"/>
      <c r="N6" s="306" t="s">
        <v>239</v>
      </c>
      <c r="O6" s="259" t="s">
        <v>241</v>
      </c>
    </row>
    <row r="7" spans="2:15" x14ac:dyDescent="0.25">
      <c r="B7" s="196"/>
      <c r="C7" s="90">
        <v>1997</v>
      </c>
      <c r="D7" s="99">
        <v>45.68</v>
      </c>
      <c r="E7" s="88">
        <f>D7/L26</f>
        <v>45.879398926101899</v>
      </c>
      <c r="F7" s="99"/>
      <c r="G7" s="88"/>
      <c r="H7" s="88"/>
      <c r="I7" s="65"/>
      <c r="J7" s="61">
        <v>75</v>
      </c>
      <c r="K7" s="264">
        <f>J7-25</f>
        <v>50</v>
      </c>
      <c r="L7" s="263"/>
      <c r="M7" s="42"/>
    </row>
    <row r="8" spans="2:15" x14ac:dyDescent="0.25">
      <c r="B8" s="196"/>
      <c r="C8" s="91">
        <v>1998</v>
      </c>
      <c r="D8" s="100">
        <v>61.33</v>
      </c>
      <c r="E8" s="42">
        <f>D8/L26</f>
        <v>61.597713137868425</v>
      </c>
      <c r="F8" s="175">
        <f>(E8-E7)/E7</f>
        <v>0.3426007005253941</v>
      </c>
      <c r="G8" s="42"/>
      <c r="H8" s="42"/>
      <c r="I8" s="40"/>
      <c r="J8" s="62">
        <v>75</v>
      </c>
      <c r="K8" s="204">
        <f t="shared" ref="K8:K37" si="0">J8-25</f>
        <v>50</v>
      </c>
      <c r="L8" s="263"/>
      <c r="M8" s="42"/>
    </row>
    <row r="9" spans="2:15" x14ac:dyDescent="0.25">
      <c r="B9" s="196"/>
      <c r="C9" s="91">
        <v>1999</v>
      </c>
      <c r="D9" s="100">
        <v>45.46</v>
      </c>
      <c r="E9" s="42">
        <f>D9/L26</f>
        <v>45.658438598524356</v>
      </c>
      <c r="F9" s="175">
        <f t="shared" ref="F9:F27" si="1">(E9-E8)/E8</f>
        <v>-0.25876406326430779</v>
      </c>
      <c r="G9" s="42"/>
      <c r="H9" s="42"/>
      <c r="I9" s="40"/>
      <c r="J9" s="62">
        <v>75</v>
      </c>
      <c r="K9" s="204">
        <f t="shared" si="0"/>
        <v>50</v>
      </c>
      <c r="L9" s="263"/>
      <c r="M9" s="42"/>
    </row>
    <row r="10" spans="2:15" x14ac:dyDescent="0.25">
      <c r="B10" s="196"/>
      <c r="C10" s="91">
        <v>2000</v>
      </c>
      <c r="D10" s="100">
        <v>42.8</v>
      </c>
      <c r="E10" s="42">
        <f>D10/L26</f>
        <v>42.986827365086718</v>
      </c>
      <c r="F10" s="175">
        <f t="shared" si="1"/>
        <v>-5.8512978442586995E-2</v>
      </c>
      <c r="G10" s="42"/>
      <c r="H10" s="42"/>
      <c r="I10" s="40"/>
      <c r="J10" s="62">
        <v>75</v>
      </c>
      <c r="K10" s="204">
        <f t="shared" si="0"/>
        <v>50</v>
      </c>
      <c r="L10" s="263"/>
      <c r="M10" s="42"/>
    </row>
    <row r="11" spans="2:15" x14ac:dyDescent="0.25">
      <c r="B11" s="196"/>
      <c r="C11" s="91">
        <v>2001</v>
      </c>
      <c r="D11" s="100">
        <v>46.17</v>
      </c>
      <c r="E11" s="42">
        <f>D11/L26</f>
        <v>46.371537837524627</v>
      </c>
      <c r="F11" s="175">
        <f t="shared" si="1"/>
        <v>7.8738317757009499E-2</v>
      </c>
      <c r="G11" s="42"/>
      <c r="H11" s="42"/>
      <c r="I11" s="40"/>
      <c r="J11" s="62">
        <v>75</v>
      </c>
      <c r="K11" s="204">
        <f t="shared" si="0"/>
        <v>50</v>
      </c>
      <c r="L11" s="263"/>
      <c r="M11" s="42"/>
    </row>
    <row r="12" spans="2:15" x14ac:dyDescent="0.25">
      <c r="B12" s="196"/>
      <c r="C12" s="91">
        <v>2002</v>
      </c>
      <c r="D12" s="100">
        <v>49.97</v>
      </c>
      <c r="E12" s="42">
        <f>D12/L26</f>
        <v>50.188125313864099</v>
      </c>
      <c r="F12" s="175">
        <f t="shared" si="1"/>
        <v>8.2304526748971096E-2</v>
      </c>
      <c r="G12" s="42"/>
      <c r="H12" s="42"/>
      <c r="I12" s="40"/>
      <c r="J12" s="62">
        <v>75</v>
      </c>
      <c r="K12" s="204">
        <f t="shared" si="0"/>
        <v>50</v>
      </c>
      <c r="L12" s="262"/>
      <c r="M12" s="42"/>
    </row>
    <row r="13" spans="2:15" x14ac:dyDescent="0.25">
      <c r="B13" s="196">
        <v>6</v>
      </c>
      <c r="C13" s="91">
        <v>2003</v>
      </c>
      <c r="D13" s="100">
        <v>48.83</v>
      </c>
      <c r="E13" s="42">
        <v>49.21</v>
      </c>
      <c r="F13" s="175">
        <f t="shared" si="1"/>
        <v>-1.9489178122257894E-2</v>
      </c>
      <c r="G13" s="42"/>
      <c r="H13" s="42"/>
      <c r="I13" s="40"/>
      <c r="J13" s="62">
        <v>75</v>
      </c>
      <c r="K13" s="204">
        <f t="shared" si="0"/>
        <v>50</v>
      </c>
      <c r="L13" s="263">
        <v>0.99390000000000001</v>
      </c>
      <c r="M13" s="42"/>
    </row>
    <row r="14" spans="2:15" x14ac:dyDescent="0.25">
      <c r="B14" s="196">
        <v>8</v>
      </c>
      <c r="C14" s="91">
        <v>2004</v>
      </c>
      <c r="D14" s="100">
        <v>50.93</v>
      </c>
      <c r="E14" s="42">
        <v>51.41</v>
      </c>
      <c r="F14" s="175">
        <f t="shared" si="1"/>
        <v>4.470636049583409E-2</v>
      </c>
      <c r="G14" s="42"/>
      <c r="H14" s="42"/>
      <c r="I14" s="40"/>
      <c r="J14" s="62">
        <v>75</v>
      </c>
      <c r="K14" s="204">
        <f t="shared" si="0"/>
        <v>50</v>
      </c>
      <c r="L14" s="263">
        <v>0.99350000000000005</v>
      </c>
      <c r="M14" s="42"/>
    </row>
    <row r="15" spans="2:15" x14ac:dyDescent="0.25">
      <c r="B15" s="196">
        <v>8</v>
      </c>
      <c r="C15" s="91">
        <v>2005</v>
      </c>
      <c r="D15" s="62">
        <v>60.94</v>
      </c>
      <c r="E15" s="40">
        <v>61.85</v>
      </c>
      <c r="F15" s="175">
        <f t="shared" si="1"/>
        <v>0.20307333203656888</v>
      </c>
      <c r="G15" s="42"/>
      <c r="H15" s="42"/>
      <c r="I15" s="40"/>
      <c r="J15" s="62">
        <v>75</v>
      </c>
      <c r="K15" s="204">
        <f t="shared" si="0"/>
        <v>50</v>
      </c>
      <c r="L15" s="263">
        <v>0.98529999999999995</v>
      </c>
      <c r="M15" s="42"/>
    </row>
    <row r="16" spans="2:15" x14ac:dyDescent="0.25">
      <c r="B16" s="196">
        <v>8</v>
      </c>
      <c r="C16" s="91">
        <v>2006</v>
      </c>
      <c r="D16" s="100">
        <v>58.46</v>
      </c>
      <c r="E16" s="42">
        <v>59.15</v>
      </c>
      <c r="F16" s="175">
        <f t="shared" si="1"/>
        <v>-4.3654001616814916E-2</v>
      </c>
      <c r="G16" s="74"/>
      <c r="H16" s="74"/>
      <c r="I16" s="40"/>
      <c r="J16" s="62">
        <v>75</v>
      </c>
      <c r="K16" s="204">
        <f t="shared" si="0"/>
        <v>50</v>
      </c>
      <c r="L16" s="263">
        <v>0.98829999999999996</v>
      </c>
      <c r="M16" s="42"/>
      <c r="N16" s="14"/>
    </row>
    <row r="17" spans="2:15" x14ac:dyDescent="0.25">
      <c r="B17" s="196">
        <v>5</v>
      </c>
      <c r="C17" s="91">
        <v>2007</v>
      </c>
      <c r="D17" s="100">
        <v>58.77</v>
      </c>
      <c r="E17" s="42">
        <v>59.12</v>
      </c>
      <c r="F17" s="175">
        <f t="shared" si="1"/>
        <v>-5.0718512256975714E-4</v>
      </c>
      <c r="G17" s="42"/>
      <c r="H17" s="42"/>
      <c r="I17" s="40"/>
      <c r="J17" s="62">
        <v>75</v>
      </c>
      <c r="K17" s="204">
        <f t="shared" si="0"/>
        <v>50</v>
      </c>
      <c r="L17" s="263">
        <v>0.99399999999999999</v>
      </c>
      <c r="M17" s="42"/>
      <c r="N17" s="14"/>
    </row>
    <row r="18" spans="2:15" x14ac:dyDescent="0.25">
      <c r="B18" s="196">
        <v>5</v>
      </c>
      <c r="C18" s="91">
        <v>2008</v>
      </c>
      <c r="D18" s="100">
        <v>57.19</v>
      </c>
      <c r="E18" s="42">
        <v>57.42</v>
      </c>
      <c r="F18" s="175">
        <f t="shared" si="1"/>
        <v>-2.8755074424898441E-2</v>
      </c>
      <c r="G18" s="42"/>
      <c r="H18" s="42"/>
      <c r="I18" s="40"/>
      <c r="J18" s="62">
        <v>75</v>
      </c>
      <c r="K18" s="204">
        <f t="shared" si="0"/>
        <v>50</v>
      </c>
      <c r="L18" s="263">
        <v>0.996</v>
      </c>
      <c r="M18" s="42"/>
      <c r="N18" s="14"/>
    </row>
    <row r="19" spans="2:15" x14ac:dyDescent="0.25">
      <c r="B19" s="196">
        <v>7</v>
      </c>
      <c r="C19" s="91">
        <v>2009</v>
      </c>
      <c r="D19" s="100">
        <v>54.41</v>
      </c>
      <c r="E19" s="42">
        <v>54.58</v>
      </c>
      <c r="F19" s="175">
        <f t="shared" si="1"/>
        <v>-4.9460118425635725E-2</v>
      </c>
      <c r="G19" s="42"/>
      <c r="H19" s="42"/>
      <c r="I19" s="40"/>
      <c r="J19" s="62">
        <v>75</v>
      </c>
      <c r="K19" s="204">
        <f t="shared" si="0"/>
        <v>50</v>
      </c>
      <c r="L19" s="263">
        <v>0.99680000000000002</v>
      </c>
      <c r="M19" s="42"/>
      <c r="N19" s="14"/>
    </row>
    <row r="20" spans="2:15" x14ac:dyDescent="0.25">
      <c r="B20" s="196">
        <v>7</v>
      </c>
      <c r="C20" s="91">
        <v>2010</v>
      </c>
      <c r="D20" s="100">
        <v>57.27</v>
      </c>
      <c r="E20" s="42">
        <v>57.3</v>
      </c>
      <c r="F20" s="175">
        <f t="shared" si="1"/>
        <v>4.9835104433858537E-2</v>
      </c>
      <c r="G20" s="42"/>
      <c r="H20" s="42"/>
      <c r="I20" s="40"/>
      <c r="J20" s="62">
        <v>75</v>
      </c>
      <c r="K20" s="204">
        <f t="shared" si="0"/>
        <v>50</v>
      </c>
      <c r="L20" s="263">
        <v>0.99939999999999996</v>
      </c>
      <c r="M20" s="62">
        <v>57.318762545392879</v>
      </c>
      <c r="N20" s="250"/>
      <c r="O20" s="73"/>
    </row>
    <row r="21" spans="2:15" x14ac:dyDescent="0.25">
      <c r="B21" s="196">
        <v>7</v>
      </c>
      <c r="C21" s="91">
        <v>2011</v>
      </c>
      <c r="D21" s="100">
        <v>60.96</v>
      </c>
      <c r="E21" s="42">
        <v>61.15</v>
      </c>
      <c r="F21" s="175">
        <f t="shared" si="1"/>
        <v>6.7190226876090775E-2</v>
      </c>
      <c r="G21" s="42"/>
      <c r="H21" s="42"/>
      <c r="I21" s="40"/>
      <c r="J21" s="62">
        <v>75</v>
      </c>
      <c r="K21" s="204">
        <f t="shared" si="0"/>
        <v>50</v>
      </c>
      <c r="L21" s="263">
        <v>0.99690000000000001</v>
      </c>
      <c r="M21" s="42">
        <v>61.145573919949435</v>
      </c>
      <c r="N21" s="250"/>
      <c r="O21" s="73"/>
    </row>
    <row r="22" spans="2:15" x14ac:dyDescent="0.25">
      <c r="B22" s="196">
        <v>7</v>
      </c>
      <c r="C22" s="91">
        <v>2012</v>
      </c>
      <c r="D22" s="100">
        <v>66.010000000000005</v>
      </c>
      <c r="E22" s="42">
        <v>66.05</v>
      </c>
      <c r="F22" s="175">
        <f t="shared" si="1"/>
        <v>8.0130825838103006E-2</v>
      </c>
      <c r="G22" s="42"/>
      <c r="H22" s="42"/>
      <c r="I22" s="40"/>
      <c r="J22" s="62">
        <v>75</v>
      </c>
      <c r="K22" s="204">
        <f t="shared" si="0"/>
        <v>50</v>
      </c>
      <c r="L22" s="263">
        <v>0.99939999999999996</v>
      </c>
      <c r="M22" s="62">
        <v>66.164155979654154</v>
      </c>
      <c r="N22" s="250"/>
      <c r="O22" s="73"/>
    </row>
    <row r="23" spans="2:15" x14ac:dyDescent="0.25">
      <c r="B23" s="196">
        <v>7</v>
      </c>
      <c r="C23" s="91">
        <v>2013</v>
      </c>
      <c r="D23" s="62">
        <v>69.430000000000007</v>
      </c>
      <c r="E23" s="40">
        <v>69.44</v>
      </c>
      <c r="F23" s="175">
        <f t="shared" si="1"/>
        <v>5.1324753974261936E-2</v>
      </c>
      <c r="G23" s="42"/>
      <c r="H23" s="42"/>
      <c r="I23" s="40"/>
      <c r="J23" s="62">
        <v>75</v>
      </c>
      <c r="K23" s="204">
        <f t="shared" si="0"/>
        <v>50</v>
      </c>
      <c r="L23" s="263">
        <v>1</v>
      </c>
      <c r="M23" s="42">
        <v>69.64498681886586</v>
      </c>
      <c r="N23" s="250"/>
      <c r="O23" s="73"/>
    </row>
    <row r="24" spans="2:15" x14ac:dyDescent="0.25">
      <c r="B24" s="196">
        <v>1</v>
      </c>
      <c r="C24" s="91">
        <v>2014</v>
      </c>
      <c r="D24" s="62">
        <v>69.55</v>
      </c>
      <c r="E24" s="40">
        <v>70.709999999999994</v>
      </c>
      <c r="F24" s="175">
        <f t="shared" si="1"/>
        <v>1.8289170506912384E-2</v>
      </c>
      <c r="G24" s="42"/>
      <c r="H24" s="42"/>
      <c r="I24" s="40"/>
      <c r="J24" s="62">
        <v>75</v>
      </c>
      <c r="K24" s="204">
        <f t="shared" si="0"/>
        <v>50</v>
      </c>
      <c r="L24" s="263">
        <v>1</v>
      </c>
      <c r="M24" s="100">
        <v>70.711360684829145</v>
      </c>
      <c r="N24" s="50"/>
      <c r="O24" s="50"/>
    </row>
    <row r="25" spans="2:15" x14ac:dyDescent="0.25">
      <c r="B25" s="196">
        <v>7</v>
      </c>
      <c r="C25" s="91">
        <v>2015</v>
      </c>
      <c r="D25" s="62">
        <v>69.459999999999994</v>
      </c>
      <c r="E25" s="40">
        <v>69.47</v>
      </c>
      <c r="F25" s="175">
        <f t="shared" si="1"/>
        <v>-1.7536416348465492E-2</v>
      </c>
      <c r="G25" s="42"/>
      <c r="H25" s="42"/>
      <c r="I25" s="40"/>
      <c r="J25" s="62">
        <v>75</v>
      </c>
      <c r="K25" s="204">
        <f t="shared" si="0"/>
        <v>50</v>
      </c>
      <c r="L25" s="263">
        <v>1</v>
      </c>
      <c r="M25" s="138">
        <v>69.465646639774405</v>
      </c>
      <c r="N25" s="50"/>
      <c r="O25" s="50"/>
    </row>
    <row r="26" spans="2:15" x14ac:dyDescent="0.25">
      <c r="B26" s="196">
        <v>2</v>
      </c>
      <c r="C26" s="101">
        <v>2016</v>
      </c>
      <c r="D26" s="62">
        <v>61.71</v>
      </c>
      <c r="E26" s="40">
        <v>62.68</v>
      </c>
      <c r="F26" s="175">
        <f t="shared" si="1"/>
        <v>-9.7740031668346036E-2</v>
      </c>
      <c r="G26" s="258"/>
      <c r="H26" s="258"/>
      <c r="I26" s="258"/>
      <c r="J26" s="62">
        <v>75</v>
      </c>
      <c r="K26" s="204">
        <f t="shared" si="0"/>
        <v>50</v>
      </c>
      <c r="L26" s="273">
        <f>AVERAGE(L13:L25)</f>
        <v>0.99565384615384622</v>
      </c>
      <c r="M26" s="45">
        <v>51.691575035962252</v>
      </c>
      <c r="N26" s="50"/>
      <c r="O26" s="50" t="e">
        <f>(H26-H25)/H25</f>
        <v>#DIV/0!</v>
      </c>
    </row>
    <row r="27" spans="2:15" x14ac:dyDescent="0.25">
      <c r="B27" s="196"/>
      <c r="C27" s="101">
        <v>2017</v>
      </c>
      <c r="D27" s="62"/>
      <c r="E27" s="40">
        <v>100</v>
      </c>
      <c r="F27" s="175">
        <f t="shared" si="1"/>
        <v>0.59540523292916403</v>
      </c>
      <c r="G27" s="258"/>
      <c r="H27" s="258">
        <f>E27</f>
        <v>100</v>
      </c>
      <c r="I27" s="258">
        <f>E27</f>
        <v>100</v>
      </c>
      <c r="J27" s="62">
        <v>75</v>
      </c>
      <c r="K27" s="204">
        <f t="shared" si="0"/>
        <v>50</v>
      </c>
      <c r="L27" s="309" t="s">
        <v>129</v>
      </c>
      <c r="M27" s="45">
        <v>53.706967362661231</v>
      </c>
      <c r="N27" s="383" t="e">
        <f>(G27-G26)/G26</f>
        <v>#DIV/0!</v>
      </c>
      <c r="O27" s="390" t="e">
        <f>(H27-H26)/H26</f>
        <v>#DIV/0!</v>
      </c>
    </row>
    <row r="28" spans="2:15" x14ac:dyDescent="0.25">
      <c r="B28" s="197"/>
      <c r="C28" s="107">
        <v>2018</v>
      </c>
      <c r="D28" s="109"/>
      <c r="E28" s="55"/>
      <c r="F28" s="109"/>
      <c r="G28" s="512"/>
      <c r="H28" s="375"/>
      <c r="I28" s="393">
        <f t="shared" ref="I28:I37" si="2">1.045*I27</f>
        <v>104.5</v>
      </c>
      <c r="J28" s="62">
        <v>75</v>
      </c>
      <c r="K28" s="204">
        <f t="shared" si="0"/>
        <v>50</v>
      </c>
      <c r="L28" s="40"/>
      <c r="M28" s="45">
        <v>55.85048392080801</v>
      </c>
      <c r="N28" s="383" t="e">
        <f t="shared" ref="N28:N35" si="3">(G28-G27)/G27</f>
        <v>#DIV/0!</v>
      </c>
      <c r="O28" s="390">
        <f>(H28-H27)/H27</f>
        <v>-1</v>
      </c>
    </row>
    <row r="29" spans="2:15" x14ac:dyDescent="0.25">
      <c r="B29" s="197"/>
      <c r="C29" s="107">
        <v>2019</v>
      </c>
      <c r="D29" s="109"/>
      <c r="E29" s="55"/>
      <c r="F29" s="109"/>
      <c r="G29" s="512"/>
      <c r="H29" s="375"/>
      <c r="I29" s="393">
        <f t="shared" si="2"/>
        <v>109.20249999999999</v>
      </c>
      <c r="J29" s="62">
        <v>75</v>
      </c>
      <c r="K29" s="204">
        <f t="shared" si="0"/>
        <v>50</v>
      </c>
      <c r="L29" s="40"/>
      <c r="M29" s="45">
        <v>58.071446619665913</v>
      </c>
      <c r="N29" s="383" t="e">
        <f t="shared" si="3"/>
        <v>#DIV/0!</v>
      </c>
      <c r="O29" s="390" t="e">
        <f>(H29-H28)/H28</f>
        <v>#DIV/0!</v>
      </c>
    </row>
    <row r="30" spans="2:15" x14ac:dyDescent="0.25">
      <c r="B30" s="197"/>
      <c r="C30" s="107">
        <v>2020</v>
      </c>
      <c r="D30" s="109"/>
      <c r="E30" s="55"/>
      <c r="F30" s="109"/>
      <c r="G30" s="512"/>
      <c r="H30" s="375"/>
      <c r="I30" s="393">
        <f t="shared" si="2"/>
        <v>114.11661249999997</v>
      </c>
      <c r="J30" s="62">
        <v>75</v>
      </c>
      <c r="K30" s="204">
        <f t="shared" si="0"/>
        <v>50</v>
      </c>
      <c r="L30" s="40"/>
      <c r="M30" s="45">
        <v>60.37184170911484</v>
      </c>
      <c r="N30" s="383" t="e">
        <f t="shared" si="3"/>
        <v>#DIV/0!</v>
      </c>
      <c r="O30" s="390" t="e">
        <f>(H30-H29)/H29</f>
        <v>#DIV/0!</v>
      </c>
    </row>
    <row r="31" spans="2:15" x14ac:dyDescent="0.25">
      <c r="B31" s="197"/>
      <c r="C31" s="107">
        <v>2021</v>
      </c>
      <c r="D31" s="108"/>
      <c r="E31" s="513"/>
      <c r="F31" s="108"/>
      <c r="G31" s="512"/>
      <c r="H31" s="375"/>
      <c r="I31" s="393">
        <f t="shared" si="2"/>
        <v>119.25186006249996</v>
      </c>
      <c r="J31" s="62">
        <v>75</v>
      </c>
      <c r="K31" s="204">
        <f t="shared" si="0"/>
        <v>50</v>
      </c>
      <c r="L31" s="11"/>
      <c r="M31" s="74"/>
      <c r="N31" s="383" t="e">
        <f t="shared" si="3"/>
        <v>#DIV/0!</v>
      </c>
      <c r="O31" s="390"/>
    </row>
    <row r="32" spans="2:15" x14ac:dyDescent="0.25">
      <c r="B32" s="197"/>
      <c r="C32" s="107">
        <v>2022</v>
      </c>
      <c r="D32" s="108"/>
      <c r="E32" s="513"/>
      <c r="F32" s="108"/>
      <c r="G32" s="512"/>
      <c r="H32" s="375"/>
      <c r="I32" s="393">
        <f t="shared" si="2"/>
        <v>124.61819376531244</v>
      </c>
      <c r="J32" s="62">
        <v>75</v>
      </c>
      <c r="K32" s="204">
        <f t="shared" si="0"/>
        <v>50</v>
      </c>
      <c r="L32" s="11"/>
      <c r="M32" s="74"/>
      <c r="N32" s="383" t="e">
        <f t="shared" si="3"/>
        <v>#DIV/0!</v>
      </c>
      <c r="O32" s="390"/>
    </row>
    <row r="33" spans="2:19" x14ac:dyDescent="0.25">
      <c r="B33" s="197"/>
      <c r="C33" s="107">
        <v>2023</v>
      </c>
      <c r="D33" s="108"/>
      <c r="E33" s="513"/>
      <c r="F33" s="108"/>
      <c r="G33" s="512"/>
      <c r="H33" s="375"/>
      <c r="I33" s="393">
        <f t="shared" si="2"/>
        <v>130.22601248475149</v>
      </c>
      <c r="J33" s="62">
        <v>75</v>
      </c>
      <c r="K33" s="204">
        <f t="shared" si="0"/>
        <v>50</v>
      </c>
      <c r="L33" s="11"/>
      <c r="M33" s="74"/>
      <c r="N33" s="383" t="e">
        <f t="shared" si="3"/>
        <v>#DIV/0!</v>
      </c>
      <c r="O33" s="390"/>
    </row>
    <row r="34" spans="2:19" x14ac:dyDescent="0.25">
      <c r="B34" s="197"/>
      <c r="C34" s="107">
        <v>2024</v>
      </c>
      <c r="D34" s="108"/>
      <c r="E34" s="513"/>
      <c r="F34" s="108"/>
      <c r="G34" s="512"/>
      <c r="H34" s="375"/>
      <c r="I34" s="393">
        <f t="shared" si="2"/>
        <v>136.08618304656531</v>
      </c>
      <c r="J34" s="62">
        <v>75</v>
      </c>
      <c r="K34" s="204">
        <f t="shared" si="0"/>
        <v>50</v>
      </c>
      <c r="L34" s="11"/>
      <c r="M34" s="74"/>
      <c r="N34" s="383" t="e">
        <f t="shared" si="3"/>
        <v>#DIV/0!</v>
      </c>
      <c r="O34" s="390"/>
    </row>
    <row r="35" spans="2:19" x14ac:dyDescent="0.25">
      <c r="B35" s="197"/>
      <c r="C35" s="107">
        <v>2025</v>
      </c>
      <c r="D35" s="108"/>
      <c r="E35" s="513"/>
      <c r="F35" s="108"/>
      <c r="G35" s="512"/>
      <c r="H35" s="375"/>
      <c r="I35" s="393">
        <f t="shared" si="2"/>
        <v>142.21006128366074</v>
      </c>
      <c r="J35" s="62">
        <v>75</v>
      </c>
      <c r="K35" s="204">
        <f t="shared" si="0"/>
        <v>50</v>
      </c>
      <c r="L35" s="11"/>
      <c r="M35" s="74"/>
      <c r="N35" s="383" t="e">
        <f t="shared" si="3"/>
        <v>#DIV/0!</v>
      </c>
      <c r="O35" s="390"/>
    </row>
    <row r="36" spans="2:19" x14ac:dyDescent="0.25">
      <c r="B36" s="506"/>
      <c r="C36" s="107">
        <v>2026</v>
      </c>
      <c r="D36" s="514"/>
      <c r="E36" s="515"/>
      <c r="F36" s="514"/>
      <c r="G36" s="512"/>
      <c r="H36" s="516"/>
      <c r="I36" s="393">
        <f t="shared" si="2"/>
        <v>148.60951404142546</v>
      </c>
      <c r="J36" s="62">
        <v>75</v>
      </c>
      <c r="K36" s="204">
        <f t="shared" si="0"/>
        <v>50</v>
      </c>
      <c r="L36" s="11"/>
      <c r="M36" s="11"/>
      <c r="N36" s="389" t="e">
        <f>AVERAGE(N27:N35)</f>
        <v>#DIV/0!</v>
      </c>
      <c r="O36" s="388" t="e">
        <f>AVERAGE(O27:O30)</f>
        <v>#DIV/0!</v>
      </c>
    </row>
    <row r="37" spans="2:19" ht="15.75" thickBot="1" x14ac:dyDescent="0.3">
      <c r="B37" s="507"/>
      <c r="C37" s="207">
        <v>2027</v>
      </c>
      <c r="D37" s="517"/>
      <c r="E37" s="518"/>
      <c r="F37" s="517"/>
      <c r="G37" s="519"/>
      <c r="H37" s="520"/>
      <c r="I37" s="396">
        <f t="shared" si="2"/>
        <v>155.29694217328958</v>
      </c>
      <c r="J37" s="183">
        <v>75</v>
      </c>
      <c r="K37" s="206">
        <f t="shared" si="0"/>
        <v>50</v>
      </c>
      <c r="L37" s="11"/>
      <c r="M37" s="11"/>
    </row>
    <row r="38" spans="2:19" x14ac:dyDescent="0.25">
      <c r="F38" s="398">
        <f>AVERAGE(F8:F27)</f>
        <v>5.1958975234314267E-2</v>
      </c>
    </row>
    <row r="39" spans="2:19" ht="15.75" thickBot="1" x14ac:dyDescent="0.3">
      <c r="F39" s="386"/>
    </row>
    <row r="40" spans="2:19" ht="20.100000000000001" customHeight="1" thickBot="1" x14ac:dyDescent="0.3">
      <c r="B40"/>
      <c r="C40" s="1037" t="s">
        <v>36</v>
      </c>
      <c r="D40" s="1038"/>
      <c r="E40" s="1038"/>
      <c r="F40" s="1038"/>
      <c r="G40" s="1038"/>
      <c r="H40" s="1038"/>
      <c r="I40" s="1038"/>
      <c r="J40" s="1038"/>
      <c r="K40" s="1039"/>
    </row>
    <row r="41" spans="2:19" ht="15.95" customHeight="1" thickBot="1" x14ac:dyDescent="0.3">
      <c r="B41"/>
      <c r="C41" s="1201" t="s">
        <v>328</v>
      </c>
      <c r="D41" s="1202"/>
      <c r="E41" s="1202"/>
      <c r="F41" s="1202"/>
      <c r="G41" s="1202"/>
      <c r="H41" s="1202"/>
      <c r="I41" s="1202"/>
      <c r="J41" s="1202"/>
      <c r="K41" s="1203"/>
      <c r="M41" s="342" t="s">
        <v>327</v>
      </c>
      <c r="N41" s="342"/>
      <c r="O41" s="342"/>
      <c r="P41" s="342"/>
    </row>
    <row r="42" spans="2:19" ht="15.95" customHeight="1" thickBot="1" x14ac:dyDescent="0.3">
      <c r="B42" s="1051" t="s">
        <v>26</v>
      </c>
      <c r="C42" s="1043" t="s">
        <v>35</v>
      </c>
      <c r="D42" s="1045" t="s">
        <v>110</v>
      </c>
      <c r="E42" s="1046"/>
      <c r="F42" s="1047"/>
      <c r="G42" s="1045" t="s">
        <v>74</v>
      </c>
      <c r="H42" s="1047"/>
      <c r="I42" s="1043" t="s">
        <v>180</v>
      </c>
      <c r="J42" s="1043" t="s">
        <v>268</v>
      </c>
      <c r="K42" s="1049" t="s">
        <v>269</v>
      </c>
    </row>
    <row r="43" spans="2:19" ht="35.1" customHeight="1" thickBot="1" x14ac:dyDescent="0.3">
      <c r="B43" s="1051"/>
      <c r="C43" s="1048"/>
      <c r="D43" s="737" t="s">
        <v>174</v>
      </c>
      <c r="E43" s="737" t="s">
        <v>122</v>
      </c>
      <c r="F43" s="737" t="s">
        <v>81</v>
      </c>
      <c r="G43" s="547" t="s">
        <v>170</v>
      </c>
      <c r="H43" s="548" t="s">
        <v>270</v>
      </c>
      <c r="I43" s="1048"/>
      <c r="J43" s="1048"/>
      <c r="K43" s="1050"/>
      <c r="P43" s="398">
        <v>2.6599999999999999E-2</v>
      </c>
      <c r="Q43" s="964">
        <v>4.2999999999999997E-2</v>
      </c>
      <c r="R43" s="967">
        <v>4.4999999999999998E-2</v>
      </c>
    </row>
    <row r="44" spans="2:19" ht="15" customHeight="1" x14ac:dyDescent="0.25">
      <c r="B44" s="738">
        <v>1997</v>
      </c>
      <c r="C44" s="784">
        <v>1997</v>
      </c>
      <c r="D44" s="648">
        <v>45.68</v>
      </c>
      <c r="E44" s="648">
        <v>45.879398926101899</v>
      </c>
      <c r="F44" s="731"/>
      <c r="G44" s="657"/>
      <c r="H44" s="657"/>
      <c r="I44" s="579">
        <f>3*25</f>
        <v>75</v>
      </c>
      <c r="J44" s="579">
        <f>I44-25</f>
        <v>50</v>
      </c>
      <c r="K44" s="679">
        <f>E44/I44</f>
        <v>0.61172531901469196</v>
      </c>
      <c r="P44" s="811">
        <f>E44</f>
        <v>45.879398926101899</v>
      </c>
      <c r="Q44" s="965">
        <f>E44</f>
        <v>45.879398926101899</v>
      </c>
      <c r="R44" s="968">
        <f>E44</f>
        <v>45.879398926101899</v>
      </c>
      <c r="S44" s="11"/>
    </row>
    <row r="45" spans="2:19" ht="15" customHeight="1" x14ac:dyDescent="0.25">
      <c r="B45" s="739">
        <v>1998</v>
      </c>
      <c r="C45" s="785">
        <v>1998</v>
      </c>
      <c r="D45" s="650">
        <v>61.33</v>
      </c>
      <c r="E45" s="650">
        <v>61.597713137868425</v>
      </c>
      <c r="F45" s="729">
        <f t="shared" ref="F45:F64" si="4">(E45-E44)/E44</f>
        <v>0.3426007005253941</v>
      </c>
      <c r="G45" s="658"/>
      <c r="H45" s="658"/>
      <c r="I45" s="581">
        <f t="shared" ref="I45:I74" si="5">3*25</f>
        <v>75</v>
      </c>
      <c r="J45" s="581">
        <f t="shared" ref="J45:J74" si="6">I45-25</f>
        <v>50</v>
      </c>
      <c r="K45" s="680">
        <f t="shared" ref="K45:K63" si="7">E45/I45</f>
        <v>0.82130284183824565</v>
      </c>
      <c r="P45" s="811">
        <f>1.0266*P44</f>
        <v>47.099790937536206</v>
      </c>
      <c r="Q45" s="965">
        <f>1.043*Q44</f>
        <v>47.852213079924276</v>
      </c>
      <c r="R45" s="968">
        <f>1.045*R44</f>
        <v>47.943971877776484</v>
      </c>
      <c r="S45" s="11"/>
    </row>
    <row r="46" spans="2:19" ht="15" customHeight="1" x14ac:dyDescent="0.25">
      <c r="B46" s="739">
        <v>1999</v>
      </c>
      <c r="C46" s="785">
        <v>1999</v>
      </c>
      <c r="D46" s="650">
        <v>45.46</v>
      </c>
      <c r="E46" s="650">
        <v>45.658438598524356</v>
      </c>
      <c r="F46" s="729">
        <f t="shared" si="4"/>
        <v>-0.25876406326430779</v>
      </c>
      <c r="G46" s="658"/>
      <c r="H46" s="658"/>
      <c r="I46" s="581">
        <f t="shared" si="5"/>
        <v>75</v>
      </c>
      <c r="J46" s="581">
        <f t="shared" si="6"/>
        <v>50</v>
      </c>
      <c r="K46" s="680">
        <f t="shared" si="7"/>
        <v>0.60877918131365805</v>
      </c>
      <c r="P46" s="811">
        <f t="shared" ref="P46:P74" si="8">1.0266*P45</f>
        <v>48.352645376474669</v>
      </c>
      <c r="Q46" s="965">
        <f t="shared" ref="Q46:Q74" si="9">1.043*Q45</f>
        <v>49.909858242361018</v>
      </c>
      <c r="R46" s="968">
        <f t="shared" ref="R46:R74" si="10">1.045*R45</f>
        <v>50.101450612276423</v>
      </c>
      <c r="S46" s="11"/>
    </row>
    <row r="47" spans="2:19" ht="15" customHeight="1" x14ac:dyDescent="0.25">
      <c r="B47" s="739">
        <v>2000</v>
      </c>
      <c r="C47" s="785">
        <v>2000</v>
      </c>
      <c r="D47" s="650">
        <v>42.8</v>
      </c>
      <c r="E47" s="650">
        <v>42.986827365086718</v>
      </c>
      <c r="F47" s="729">
        <f t="shared" si="4"/>
        <v>-5.8512978442586995E-2</v>
      </c>
      <c r="G47" s="658"/>
      <c r="H47" s="658"/>
      <c r="I47" s="581">
        <f t="shared" si="5"/>
        <v>75</v>
      </c>
      <c r="J47" s="581">
        <f t="shared" si="6"/>
        <v>50</v>
      </c>
      <c r="K47" s="680">
        <f t="shared" si="7"/>
        <v>0.57315769820115625</v>
      </c>
      <c r="P47" s="811">
        <f t="shared" si="8"/>
        <v>49.638825743488894</v>
      </c>
      <c r="Q47" s="965">
        <f t="shared" si="9"/>
        <v>52.05598214678254</v>
      </c>
      <c r="R47" s="968">
        <f t="shared" si="10"/>
        <v>52.356015889828861</v>
      </c>
      <c r="S47" s="11"/>
    </row>
    <row r="48" spans="2:19" ht="15" customHeight="1" x14ac:dyDescent="0.25">
      <c r="B48" s="739">
        <v>2001</v>
      </c>
      <c r="C48" s="785">
        <v>2001</v>
      </c>
      <c r="D48" s="650">
        <v>46.17</v>
      </c>
      <c r="E48" s="650">
        <v>46.371537837524627</v>
      </c>
      <c r="F48" s="729">
        <f t="shared" si="4"/>
        <v>7.8738317757009499E-2</v>
      </c>
      <c r="G48" s="658"/>
      <c r="H48" s="658"/>
      <c r="I48" s="581">
        <f t="shared" si="5"/>
        <v>75</v>
      </c>
      <c r="J48" s="581">
        <f t="shared" si="6"/>
        <v>50</v>
      </c>
      <c r="K48" s="680">
        <f t="shared" si="7"/>
        <v>0.61828717116699505</v>
      </c>
      <c r="P48" s="811">
        <f t="shared" si="8"/>
        <v>50.9592185082657</v>
      </c>
      <c r="Q48" s="965">
        <f t="shared" si="9"/>
        <v>54.294389379094184</v>
      </c>
      <c r="R48" s="968">
        <f t="shared" si="10"/>
        <v>54.712036604871159</v>
      </c>
      <c r="S48" s="11"/>
    </row>
    <row r="49" spans="2:19" ht="15" customHeight="1" x14ac:dyDescent="0.25">
      <c r="B49" s="739">
        <v>2002</v>
      </c>
      <c r="C49" s="785">
        <v>2002</v>
      </c>
      <c r="D49" s="650">
        <v>49.97</v>
      </c>
      <c r="E49" s="650">
        <v>50.188125313864099</v>
      </c>
      <c r="F49" s="729">
        <f t="shared" si="4"/>
        <v>8.2304526748971096E-2</v>
      </c>
      <c r="G49" s="658"/>
      <c r="H49" s="658"/>
      <c r="I49" s="581">
        <f t="shared" si="5"/>
        <v>75</v>
      </c>
      <c r="J49" s="581">
        <f t="shared" si="6"/>
        <v>50</v>
      </c>
      <c r="K49" s="680">
        <f t="shared" si="7"/>
        <v>0.66917500418485465</v>
      </c>
      <c r="P49" s="811">
        <f t="shared" si="8"/>
        <v>52.314733720585565</v>
      </c>
      <c r="Q49" s="965">
        <f t="shared" si="9"/>
        <v>56.629048122395233</v>
      </c>
      <c r="R49" s="968">
        <f t="shared" si="10"/>
        <v>57.174078252090354</v>
      </c>
      <c r="S49" s="11"/>
    </row>
    <row r="50" spans="2:19" ht="15" customHeight="1" x14ac:dyDescent="0.25">
      <c r="B50" s="739">
        <v>2003</v>
      </c>
      <c r="C50" s="732">
        <v>37789.84375</v>
      </c>
      <c r="D50" s="650">
        <v>48.83</v>
      </c>
      <c r="E50" s="650">
        <v>49.21</v>
      </c>
      <c r="F50" s="729">
        <f t="shared" si="4"/>
        <v>-1.9489178122257894E-2</v>
      </c>
      <c r="G50" s="658"/>
      <c r="H50" s="658"/>
      <c r="I50" s="581">
        <f t="shared" si="5"/>
        <v>75</v>
      </c>
      <c r="J50" s="581">
        <f t="shared" si="6"/>
        <v>50</v>
      </c>
      <c r="K50" s="680">
        <f t="shared" si="7"/>
        <v>0.65613333333333335</v>
      </c>
      <c r="P50" s="811">
        <f t="shared" si="8"/>
        <v>53.706305637553136</v>
      </c>
      <c r="Q50" s="965">
        <f t="shared" si="9"/>
        <v>59.06409719165822</v>
      </c>
      <c r="R50" s="968">
        <f t="shared" si="10"/>
        <v>59.746911773434412</v>
      </c>
      <c r="S50" s="11"/>
    </row>
    <row r="51" spans="2:19" ht="15" customHeight="1" x14ac:dyDescent="0.25">
      <c r="B51" s="739">
        <v>2004</v>
      </c>
      <c r="C51" s="732">
        <v>38216.864583333336</v>
      </c>
      <c r="D51" s="650">
        <v>50.93</v>
      </c>
      <c r="E51" s="650">
        <v>51.41</v>
      </c>
      <c r="F51" s="729">
        <f t="shared" si="4"/>
        <v>4.470636049583409E-2</v>
      </c>
      <c r="G51" s="658"/>
      <c r="H51" s="658"/>
      <c r="I51" s="581">
        <f t="shared" si="5"/>
        <v>75</v>
      </c>
      <c r="J51" s="581">
        <f t="shared" si="6"/>
        <v>50</v>
      </c>
      <c r="K51" s="680">
        <f t="shared" si="7"/>
        <v>0.68546666666666667</v>
      </c>
      <c r="P51" s="811">
        <f t="shared" si="8"/>
        <v>55.134893367512049</v>
      </c>
      <c r="Q51" s="965">
        <f t="shared" si="9"/>
        <v>61.603853370899522</v>
      </c>
      <c r="R51" s="968">
        <f t="shared" si="10"/>
        <v>62.435522803238953</v>
      </c>
      <c r="S51" s="11"/>
    </row>
    <row r="52" spans="2:19" ht="15" customHeight="1" x14ac:dyDescent="0.25">
      <c r="B52" s="739">
        <v>2005</v>
      </c>
      <c r="C52" s="732">
        <v>38595.84375</v>
      </c>
      <c r="D52" s="650">
        <v>60.94</v>
      </c>
      <c r="E52" s="650">
        <v>61.85</v>
      </c>
      <c r="F52" s="729">
        <f t="shared" si="4"/>
        <v>0.20307333203656888</v>
      </c>
      <c r="G52" s="658"/>
      <c r="H52" s="658"/>
      <c r="I52" s="581">
        <f t="shared" si="5"/>
        <v>75</v>
      </c>
      <c r="J52" s="581">
        <f t="shared" si="6"/>
        <v>50</v>
      </c>
      <c r="K52" s="680">
        <f t="shared" si="7"/>
        <v>0.82466666666666666</v>
      </c>
      <c r="P52" s="811">
        <f t="shared" si="8"/>
        <v>56.60148153108787</v>
      </c>
      <c r="Q52" s="965">
        <f t="shared" si="9"/>
        <v>64.2528190658482</v>
      </c>
      <c r="R52" s="968">
        <f t="shared" si="10"/>
        <v>65.245121329384702</v>
      </c>
      <c r="S52" s="11"/>
    </row>
    <row r="53" spans="2:19" ht="15" customHeight="1" x14ac:dyDescent="0.25">
      <c r="B53" s="739">
        <v>2006</v>
      </c>
      <c r="C53" s="732">
        <v>38930.802083333336</v>
      </c>
      <c r="D53" s="650">
        <v>58.46</v>
      </c>
      <c r="E53" s="650">
        <v>59.15</v>
      </c>
      <c r="F53" s="729">
        <f t="shared" si="4"/>
        <v>-4.3654001616814916E-2</v>
      </c>
      <c r="G53" s="658"/>
      <c r="H53" s="658"/>
      <c r="I53" s="581">
        <f t="shared" si="5"/>
        <v>75</v>
      </c>
      <c r="J53" s="581">
        <f t="shared" si="6"/>
        <v>50</v>
      </c>
      <c r="K53" s="680">
        <f t="shared" si="7"/>
        <v>0.78866666666666663</v>
      </c>
      <c r="P53" s="811">
        <f t="shared" si="8"/>
        <v>58.107080939814807</v>
      </c>
      <c r="Q53" s="965">
        <f t="shared" si="9"/>
        <v>67.015690285679668</v>
      </c>
      <c r="R53" s="968">
        <f t="shared" si="10"/>
        <v>68.181151789207007</v>
      </c>
      <c r="S53" s="11"/>
    </row>
    <row r="54" spans="2:19" ht="15" customHeight="1" x14ac:dyDescent="0.25">
      <c r="B54" s="739">
        <v>2007</v>
      </c>
      <c r="C54" s="732">
        <v>39232.802083333336</v>
      </c>
      <c r="D54" s="650">
        <v>58.77</v>
      </c>
      <c r="E54" s="650">
        <v>59.12</v>
      </c>
      <c r="F54" s="729">
        <f t="shared" si="4"/>
        <v>-5.0718512256975714E-4</v>
      </c>
      <c r="G54" s="658"/>
      <c r="H54" s="658"/>
      <c r="I54" s="581">
        <f t="shared" si="5"/>
        <v>75</v>
      </c>
      <c r="J54" s="581">
        <f t="shared" si="6"/>
        <v>50</v>
      </c>
      <c r="K54" s="680">
        <f t="shared" si="7"/>
        <v>0.78826666666666667</v>
      </c>
      <c r="P54" s="811">
        <f t="shared" si="8"/>
        <v>59.652729292813881</v>
      </c>
      <c r="Q54" s="965">
        <f t="shared" si="9"/>
        <v>69.897364967963895</v>
      </c>
      <c r="R54" s="968">
        <f t="shared" si="10"/>
        <v>71.249303619721317</v>
      </c>
      <c r="S54" s="11"/>
    </row>
    <row r="55" spans="2:19" ht="15" customHeight="1" x14ac:dyDescent="0.25">
      <c r="B55" s="739">
        <v>2008</v>
      </c>
      <c r="C55" s="732">
        <v>39596.833333333336</v>
      </c>
      <c r="D55" s="650">
        <v>57.19</v>
      </c>
      <c r="E55" s="650">
        <v>57.42</v>
      </c>
      <c r="F55" s="729">
        <f t="shared" si="4"/>
        <v>-2.8755074424898441E-2</v>
      </c>
      <c r="G55" s="658"/>
      <c r="H55" s="658"/>
      <c r="I55" s="581">
        <f t="shared" si="5"/>
        <v>75</v>
      </c>
      <c r="J55" s="581">
        <f t="shared" si="6"/>
        <v>50</v>
      </c>
      <c r="K55" s="680">
        <f t="shared" si="7"/>
        <v>0.76560000000000006</v>
      </c>
      <c r="P55" s="811">
        <f t="shared" si="8"/>
        <v>61.239491892002725</v>
      </c>
      <c r="Q55" s="965">
        <f t="shared" si="9"/>
        <v>72.902951661586343</v>
      </c>
      <c r="R55" s="968">
        <f t="shared" si="10"/>
        <v>74.455522282608769</v>
      </c>
      <c r="S55" s="11"/>
    </row>
    <row r="56" spans="2:19" ht="15" customHeight="1" x14ac:dyDescent="0.25">
      <c r="B56" s="739">
        <v>2009</v>
      </c>
      <c r="C56" s="732">
        <v>40016.8125</v>
      </c>
      <c r="D56" s="650">
        <v>54.41</v>
      </c>
      <c r="E56" s="650">
        <v>54.58</v>
      </c>
      <c r="F56" s="729">
        <f t="shared" si="4"/>
        <v>-4.9460118425635725E-2</v>
      </c>
      <c r="G56" s="658"/>
      <c r="H56" s="658"/>
      <c r="I56" s="581">
        <f t="shared" si="5"/>
        <v>75</v>
      </c>
      <c r="J56" s="581">
        <f t="shared" si="6"/>
        <v>50</v>
      </c>
      <c r="K56" s="680">
        <f t="shared" si="7"/>
        <v>0.72773333333333334</v>
      </c>
      <c r="P56" s="811">
        <f t="shared" si="8"/>
        <v>62.868462376329994</v>
      </c>
      <c r="Q56" s="965">
        <f t="shared" si="9"/>
        <v>76.037778583034552</v>
      </c>
      <c r="R56" s="968">
        <f t="shared" si="10"/>
        <v>77.806020785326155</v>
      </c>
      <c r="S56" s="11"/>
    </row>
    <row r="57" spans="2:19" ht="15" customHeight="1" x14ac:dyDescent="0.25">
      <c r="B57" s="739">
        <v>2010</v>
      </c>
      <c r="C57" s="732">
        <v>40378.895833333336</v>
      </c>
      <c r="D57" s="650">
        <v>57.27</v>
      </c>
      <c r="E57" s="650">
        <v>57.3</v>
      </c>
      <c r="F57" s="729">
        <f t="shared" si="4"/>
        <v>4.9835104433858537E-2</v>
      </c>
      <c r="G57" s="659"/>
      <c r="H57" s="658"/>
      <c r="I57" s="581">
        <f t="shared" si="5"/>
        <v>75</v>
      </c>
      <c r="J57" s="581">
        <f t="shared" si="6"/>
        <v>50</v>
      </c>
      <c r="K57" s="680">
        <f t="shared" si="7"/>
        <v>0.76400000000000001</v>
      </c>
      <c r="P57" s="811">
        <f t="shared" si="8"/>
        <v>64.540763475540373</v>
      </c>
      <c r="Q57" s="965">
        <f t="shared" si="9"/>
        <v>79.307403062105038</v>
      </c>
      <c r="R57" s="968">
        <f t="shared" si="10"/>
        <v>81.30729172066583</v>
      </c>
      <c r="S57" s="11"/>
    </row>
    <row r="58" spans="2:19" ht="15" customHeight="1" x14ac:dyDescent="0.25">
      <c r="B58" s="739">
        <v>2011</v>
      </c>
      <c r="C58" s="732">
        <v>40728.864583333336</v>
      </c>
      <c r="D58" s="650">
        <v>60.96</v>
      </c>
      <c r="E58" s="650">
        <v>61.15</v>
      </c>
      <c r="F58" s="729">
        <f t="shared" si="4"/>
        <v>6.7190226876090775E-2</v>
      </c>
      <c r="G58" s="659"/>
      <c r="H58" s="658"/>
      <c r="I58" s="581">
        <f t="shared" si="5"/>
        <v>75</v>
      </c>
      <c r="J58" s="581">
        <f t="shared" si="6"/>
        <v>50</v>
      </c>
      <c r="K58" s="680">
        <f t="shared" si="7"/>
        <v>0.81533333333333335</v>
      </c>
      <c r="P58" s="811">
        <f t="shared" si="8"/>
        <v>66.25754778398975</v>
      </c>
      <c r="Q58" s="965">
        <f t="shared" si="9"/>
        <v>82.717621393775545</v>
      </c>
      <c r="R58" s="968">
        <f t="shared" si="10"/>
        <v>84.966119848095786</v>
      </c>
      <c r="S58" s="11"/>
    </row>
    <row r="59" spans="2:19" ht="15" customHeight="1" x14ac:dyDescent="0.25">
      <c r="B59" s="739">
        <v>2012</v>
      </c>
      <c r="C59" s="732">
        <v>41120.895833333336</v>
      </c>
      <c r="D59" s="650">
        <v>66.010000000000005</v>
      </c>
      <c r="E59" s="650">
        <v>66.05</v>
      </c>
      <c r="F59" s="729">
        <f t="shared" si="4"/>
        <v>8.0130825838103006E-2</v>
      </c>
      <c r="G59" s="658"/>
      <c r="H59" s="658"/>
      <c r="I59" s="581">
        <f t="shared" si="5"/>
        <v>75</v>
      </c>
      <c r="J59" s="581">
        <f t="shared" si="6"/>
        <v>50</v>
      </c>
      <c r="K59" s="680">
        <f t="shared" si="7"/>
        <v>0.8806666666666666</v>
      </c>
      <c r="P59" s="811">
        <f t="shared" si="8"/>
        <v>68.01999855504387</v>
      </c>
      <c r="Q59" s="965">
        <f t="shared" si="9"/>
        <v>86.274479113707883</v>
      </c>
      <c r="R59" s="968">
        <f t="shared" si="10"/>
        <v>88.789595241260088</v>
      </c>
      <c r="S59" s="11"/>
    </row>
    <row r="60" spans="2:19" ht="15" customHeight="1" x14ac:dyDescent="0.25">
      <c r="B60" s="739">
        <v>2013</v>
      </c>
      <c r="C60" s="732">
        <v>41477.8125</v>
      </c>
      <c r="D60" s="650">
        <v>69.430000000000007</v>
      </c>
      <c r="E60" s="650">
        <v>69.44</v>
      </c>
      <c r="F60" s="729">
        <f t="shared" si="4"/>
        <v>5.1324753974261936E-2</v>
      </c>
      <c r="G60" s="658"/>
      <c r="H60" s="658"/>
      <c r="I60" s="581">
        <f t="shared" si="5"/>
        <v>75</v>
      </c>
      <c r="J60" s="581">
        <f t="shared" si="6"/>
        <v>50</v>
      </c>
      <c r="K60" s="681">
        <f t="shared" si="7"/>
        <v>0.92586666666666662</v>
      </c>
      <c r="P60" s="811">
        <f t="shared" si="8"/>
        <v>69.829330516608039</v>
      </c>
      <c r="Q60" s="965">
        <f t="shared" si="9"/>
        <v>89.984281715597319</v>
      </c>
      <c r="R60" s="968">
        <f t="shared" si="10"/>
        <v>92.785127027116786</v>
      </c>
      <c r="S60" s="11"/>
    </row>
    <row r="61" spans="2:19" ht="15" customHeight="1" x14ac:dyDescent="0.25">
      <c r="B61" s="739">
        <v>2014</v>
      </c>
      <c r="C61" s="580">
        <v>41661.604166666664</v>
      </c>
      <c r="D61" s="650">
        <v>69.55</v>
      </c>
      <c r="E61" s="650">
        <v>70.709999999999994</v>
      </c>
      <c r="F61" s="729">
        <f t="shared" si="4"/>
        <v>1.8289170506912384E-2</v>
      </c>
      <c r="G61" s="658"/>
      <c r="H61" s="658"/>
      <c r="I61" s="581">
        <f t="shared" si="5"/>
        <v>75</v>
      </c>
      <c r="J61" s="581">
        <f t="shared" si="6"/>
        <v>50</v>
      </c>
      <c r="K61" s="681">
        <f t="shared" si="7"/>
        <v>0.94279999999999997</v>
      </c>
      <c r="P61" s="811">
        <f t="shared" si="8"/>
        <v>71.686790708349804</v>
      </c>
      <c r="Q61" s="965">
        <f t="shared" si="9"/>
        <v>93.853605829367993</v>
      </c>
      <c r="R61" s="968">
        <f t="shared" si="10"/>
        <v>96.960457743337031</v>
      </c>
      <c r="S61" s="11"/>
    </row>
    <row r="62" spans="2:19" ht="15" customHeight="1" x14ac:dyDescent="0.25">
      <c r="B62" s="739">
        <v>2015</v>
      </c>
      <c r="C62" s="580">
        <v>42198.885416666664</v>
      </c>
      <c r="D62" s="650">
        <v>69.459999999999994</v>
      </c>
      <c r="E62" s="650">
        <v>69.47</v>
      </c>
      <c r="F62" s="729">
        <f t="shared" si="4"/>
        <v>-1.7536416348465492E-2</v>
      </c>
      <c r="G62" s="658"/>
      <c r="H62" s="658"/>
      <c r="I62" s="581">
        <f t="shared" si="5"/>
        <v>75</v>
      </c>
      <c r="J62" s="581">
        <f t="shared" si="6"/>
        <v>50</v>
      </c>
      <c r="K62" s="681">
        <f t="shared" si="7"/>
        <v>0.92626666666666668</v>
      </c>
      <c r="P62" s="811">
        <f t="shared" si="8"/>
        <v>73.593659341191909</v>
      </c>
      <c r="Q62" s="965">
        <f t="shared" si="9"/>
        <v>97.889310880030806</v>
      </c>
      <c r="R62" s="968">
        <f t="shared" si="10"/>
        <v>101.32367834178719</v>
      </c>
      <c r="S62" s="11"/>
    </row>
    <row r="63" spans="2:19" ht="15" customHeight="1" x14ac:dyDescent="0.25">
      <c r="B63" s="740">
        <v>2016</v>
      </c>
      <c r="C63" s="580">
        <v>42412.645833333336</v>
      </c>
      <c r="D63" s="650">
        <v>61.71</v>
      </c>
      <c r="E63" s="650">
        <v>62.68</v>
      </c>
      <c r="F63" s="729">
        <f t="shared" si="4"/>
        <v>-9.7740031668346036E-2</v>
      </c>
      <c r="G63" s="658"/>
      <c r="H63" s="658"/>
      <c r="I63" s="581">
        <f>3*25</f>
        <v>75</v>
      </c>
      <c r="J63" s="581">
        <f t="shared" si="6"/>
        <v>50</v>
      </c>
      <c r="K63" s="680">
        <f t="shared" si="7"/>
        <v>0.83573333333333333</v>
      </c>
      <c r="P63" s="811">
        <f t="shared" si="8"/>
        <v>75.551250679667618</v>
      </c>
      <c r="Q63" s="965">
        <f t="shared" si="9"/>
        <v>102.09855124787212</v>
      </c>
      <c r="R63" s="968">
        <f t="shared" si="10"/>
        <v>105.88324386716761</v>
      </c>
      <c r="S63" s="11"/>
    </row>
    <row r="64" spans="2:19" ht="15" customHeight="1" x14ac:dyDescent="0.25">
      <c r="B64" s="740">
        <v>2017</v>
      </c>
      <c r="C64" s="580">
        <v>42933.875</v>
      </c>
      <c r="D64" s="650">
        <v>68.2</v>
      </c>
      <c r="E64" s="650">
        <v>68.23</v>
      </c>
      <c r="F64" s="729">
        <f t="shared" si="4"/>
        <v>8.8544990427568665E-2</v>
      </c>
      <c r="G64" s="658"/>
      <c r="H64" s="658">
        <f>E64</f>
        <v>68.23</v>
      </c>
      <c r="I64" s="581">
        <f t="shared" si="5"/>
        <v>75</v>
      </c>
      <c r="J64" s="581">
        <f t="shared" si="6"/>
        <v>50</v>
      </c>
      <c r="K64" s="681">
        <f>E64/I64</f>
        <v>0.90973333333333339</v>
      </c>
      <c r="O64" s="682">
        <f>H64</f>
        <v>68.23</v>
      </c>
      <c r="P64" s="811">
        <f t="shared" si="8"/>
        <v>77.560913947746769</v>
      </c>
      <c r="Q64" s="965">
        <f t="shared" si="9"/>
        <v>106.48878895153062</v>
      </c>
      <c r="R64" s="968">
        <f t="shared" si="10"/>
        <v>110.64798984119014</v>
      </c>
      <c r="S64" s="11"/>
    </row>
    <row r="65" spans="2:19" ht="15" customHeight="1" x14ac:dyDescent="0.25">
      <c r="B65" s="736">
        <v>2018</v>
      </c>
      <c r="C65" s="720">
        <v>2018</v>
      </c>
      <c r="D65" s="652"/>
      <c r="E65" s="652"/>
      <c r="F65" s="730"/>
      <c r="G65" s="660">
        <f>1.1489*B65-2248.3</f>
        <v>70.180199999999786</v>
      </c>
      <c r="H65" s="661">
        <f>0.043*H64+H64</f>
        <v>71.163890000000009</v>
      </c>
      <c r="I65" s="584">
        <f t="shared" si="5"/>
        <v>75</v>
      </c>
      <c r="J65" s="584">
        <f t="shared" si="6"/>
        <v>50</v>
      </c>
      <c r="K65" s="681">
        <f>H65/I65</f>
        <v>0.94885186666666677</v>
      </c>
      <c r="M65" s="11">
        <f>H65-H64</f>
        <v>2.9338900000000052</v>
      </c>
      <c r="O65" s="682">
        <f>1.1489*1.045+O64</f>
        <v>69.430600499999997</v>
      </c>
      <c r="P65" s="811">
        <f t="shared" si="8"/>
        <v>79.624034258756836</v>
      </c>
      <c r="Q65" s="965">
        <f t="shared" si="9"/>
        <v>111.06780687644643</v>
      </c>
      <c r="R65" s="968">
        <f t="shared" si="10"/>
        <v>115.62714938404369</v>
      </c>
      <c r="S65" s="11"/>
    </row>
    <row r="66" spans="2:19" ht="15" customHeight="1" x14ac:dyDescent="0.25">
      <c r="B66" s="736">
        <v>2019</v>
      </c>
      <c r="C66" s="720">
        <v>2019</v>
      </c>
      <c r="D66" s="652"/>
      <c r="E66" s="652"/>
      <c r="F66" s="730"/>
      <c r="G66" s="660">
        <f t="shared" ref="G66:G74" si="11">1.1489*B66-2248.3</f>
        <v>71.329099999999926</v>
      </c>
      <c r="H66" s="661">
        <f>0.043*H64+H65</f>
        <v>74.097780000000014</v>
      </c>
      <c r="I66" s="584">
        <f t="shared" si="5"/>
        <v>75</v>
      </c>
      <c r="J66" s="584">
        <f t="shared" si="6"/>
        <v>50</v>
      </c>
      <c r="K66" s="681">
        <f>H66/I66</f>
        <v>0.98797040000000014</v>
      </c>
      <c r="L66" s="11">
        <f>G66-G65</f>
        <v>1.1489000000001397</v>
      </c>
      <c r="M66" s="11">
        <f>H66-H65</f>
        <v>2.9338900000000052</v>
      </c>
      <c r="O66" s="682">
        <f t="shared" ref="O66:O74" si="12">1.1489*1.045+O65</f>
        <v>70.63120099999999</v>
      </c>
      <c r="P66" s="811">
        <f t="shared" si="8"/>
        <v>81.742033570039766</v>
      </c>
      <c r="Q66" s="965">
        <f t="shared" si="9"/>
        <v>115.84372257213361</v>
      </c>
      <c r="R66" s="968">
        <f t="shared" si="10"/>
        <v>120.83037110632564</v>
      </c>
      <c r="S66" s="11"/>
    </row>
    <row r="67" spans="2:19" ht="15" customHeight="1" x14ac:dyDescent="0.25">
      <c r="B67" s="736">
        <v>2020</v>
      </c>
      <c r="C67" s="720">
        <v>2020</v>
      </c>
      <c r="D67" s="652"/>
      <c r="E67" s="652"/>
      <c r="F67" s="730"/>
      <c r="G67" s="660">
        <f t="shared" si="11"/>
        <v>72.478000000000065</v>
      </c>
      <c r="H67" s="661">
        <f>0.043*H64+H66</f>
        <v>77.03167000000002</v>
      </c>
      <c r="I67" s="584">
        <f t="shared" si="5"/>
        <v>75</v>
      </c>
      <c r="J67" s="584">
        <f t="shared" si="6"/>
        <v>50</v>
      </c>
      <c r="K67" s="681">
        <f t="shared" ref="K67:K73" si="13">H67/I67</f>
        <v>1.0270889333333335</v>
      </c>
      <c r="L67" s="11">
        <f t="shared" ref="L67:L74" si="14">G67-G66</f>
        <v>1.1489000000001397</v>
      </c>
      <c r="M67" s="11">
        <f t="shared" ref="M67:M74" si="15">H67-H66</f>
        <v>2.9338900000000052</v>
      </c>
      <c r="O67" s="682">
        <f t="shared" si="12"/>
        <v>71.831801499999983</v>
      </c>
      <c r="P67" s="811">
        <f t="shared" si="8"/>
        <v>83.91637166300282</v>
      </c>
      <c r="Q67" s="965">
        <f t="shared" si="9"/>
        <v>120.82500264273536</v>
      </c>
      <c r="R67" s="968">
        <f t="shared" si="10"/>
        <v>126.26773780611029</v>
      </c>
      <c r="S67" s="11"/>
    </row>
    <row r="68" spans="2:19" ht="15" customHeight="1" x14ac:dyDescent="0.25">
      <c r="B68" s="736">
        <v>2021</v>
      </c>
      <c r="C68" s="720">
        <v>2021</v>
      </c>
      <c r="D68" s="652"/>
      <c r="E68" s="652"/>
      <c r="F68" s="730"/>
      <c r="G68" s="660">
        <f t="shared" si="11"/>
        <v>73.62689999999975</v>
      </c>
      <c r="H68" s="661">
        <f>0.043*H64+H67</f>
        <v>79.965560000000025</v>
      </c>
      <c r="I68" s="584">
        <f t="shared" si="5"/>
        <v>75</v>
      </c>
      <c r="J68" s="584">
        <f t="shared" si="6"/>
        <v>50</v>
      </c>
      <c r="K68" s="681">
        <f t="shared" si="13"/>
        <v>1.066207466666667</v>
      </c>
      <c r="L68" s="11">
        <f t="shared" si="14"/>
        <v>1.148899999999685</v>
      </c>
      <c r="M68" s="11">
        <f t="shared" si="15"/>
        <v>2.9338900000000052</v>
      </c>
      <c r="O68" s="682">
        <f t="shared" si="12"/>
        <v>73.032401999999976</v>
      </c>
      <c r="P68" s="811">
        <f t="shared" si="8"/>
        <v>86.148547149238695</v>
      </c>
      <c r="Q68" s="965">
        <f t="shared" si="9"/>
        <v>126.02047775637297</v>
      </c>
      <c r="R68" s="968">
        <f t="shared" si="10"/>
        <v>131.94978600738526</v>
      </c>
      <c r="S68" s="11"/>
    </row>
    <row r="69" spans="2:19" ht="15" customHeight="1" x14ac:dyDescent="0.25">
      <c r="B69" s="736">
        <v>2022</v>
      </c>
      <c r="C69" s="720">
        <v>2022</v>
      </c>
      <c r="D69" s="652"/>
      <c r="E69" s="652"/>
      <c r="F69" s="730"/>
      <c r="G69" s="660">
        <f t="shared" si="11"/>
        <v>74.77579999999989</v>
      </c>
      <c r="H69" s="661">
        <f>0.043*H64+H68</f>
        <v>82.89945000000003</v>
      </c>
      <c r="I69" s="584">
        <f t="shared" si="5"/>
        <v>75</v>
      </c>
      <c r="J69" s="584">
        <f t="shared" si="6"/>
        <v>50</v>
      </c>
      <c r="K69" s="681">
        <f t="shared" si="13"/>
        <v>1.1053260000000005</v>
      </c>
      <c r="L69" s="11">
        <f t="shared" si="14"/>
        <v>1.1489000000001397</v>
      </c>
      <c r="M69" s="11">
        <f t="shared" si="15"/>
        <v>2.9338900000000052</v>
      </c>
      <c r="O69" s="682">
        <f t="shared" si="12"/>
        <v>74.233002499999969</v>
      </c>
      <c r="P69" s="811">
        <f t="shared" si="8"/>
        <v>88.440098503408436</v>
      </c>
      <c r="Q69" s="965">
        <f t="shared" si="9"/>
        <v>131.43935829989701</v>
      </c>
      <c r="R69" s="968">
        <f t="shared" si="10"/>
        <v>137.88752637771759</v>
      </c>
      <c r="S69" s="11"/>
    </row>
    <row r="70" spans="2:19" ht="15" customHeight="1" x14ac:dyDescent="0.25">
      <c r="B70" s="736">
        <v>2023</v>
      </c>
      <c r="C70" s="720">
        <v>2023</v>
      </c>
      <c r="D70" s="652"/>
      <c r="E70" s="652"/>
      <c r="F70" s="730"/>
      <c r="G70" s="660">
        <f t="shared" si="11"/>
        <v>75.92470000000003</v>
      </c>
      <c r="H70" s="661">
        <f>0.043*H64+H69</f>
        <v>85.833340000000035</v>
      </c>
      <c r="I70" s="584">
        <f t="shared" si="5"/>
        <v>75</v>
      </c>
      <c r="J70" s="584">
        <f t="shared" si="6"/>
        <v>50</v>
      </c>
      <c r="K70" s="681">
        <f t="shared" si="13"/>
        <v>1.1444445333333337</v>
      </c>
      <c r="L70" s="11">
        <f t="shared" si="14"/>
        <v>1.1489000000001397</v>
      </c>
      <c r="M70" s="11">
        <f t="shared" si="15"/>
        <v>2.9338900000000052</v>
      </c>
      <c r="O70" s="682">
        <f t="shared" si="12"/>
        <v>75.433602999999962</v>
      </c>
      <c r="P70" s="811">
        <f t="shared" si="8"/>
        <v>90.792605123599103</v>
      </c>
      <c r="Q70" s="965">
        <f t="shared" si="9"/>
        <v>137.09125070679258</v>
      </c>
      <c r="R70" s="968">
        <f t="shared" si="10"/>
        <v>144.09246506471487</v>
      </c>
      <c r="S70" s="11"/>
    </row>
    <row r="71" spans="2:19" ht="15" customHeight="1" x14ac:dyDescent="0.25">
      <c r="B71" s="736">
        <v>2024</v>
      </c>
      <c r="C71" s="721">
        <v>2024</v>
      </c>
      <c r="D71" s="652"/>
      <c r="E71" s="652"/>
      <c r="F71" s="730"/>
      <c r="G71" s="660">
        <f t="shared" si="11"/>
        <v>77.073599999999715</v>
      </c>
      <c r="H71" s="661">
        <f>0.043*H64+H70</f>
        <v>88.76723000000004</v>
      </c>
      <c r="I71" s="584">
        <f t="shared" si="5"/>
        <v>75</v>
      </c>
      <c r="J71" s="584">
        <f t="shared" si="6"/>
        <v>50</v>
      </c>
      <c r="K71" s="681">
        <f>H71/I71</f>
        <v>1.1835630666666672</v>
      </c>
      <c r="L71" s="11">
        <f t="shared" si="14"/>
        <v>1.148899999999685</v>
      </c>
      <c r="M71" s="11">
        <f t="shared" si="15"/>
        <v>2.9338900000000052</v>
      </c>
      <c r="O71" s="682">
        <f t="shared" si="12"/>
        <v>76.634203499999956</v>
      </c>
      <c r="P71" s="811">
        <f t="shared" si="8"/>
        <v>93.207688419886836</v>
      </c>
      <c r="Q71" s="965">
        <f t="shared" si="9"/>
        <v>142.98617448718466</v>
      </c>
      <c r="R71" s="968">
        <f t="shared" si="10"/>
        <v>150.57662599262704</v>
      </c>
      <c r="S71" s="11"/>
    </row>
    <row r="72" spans="2:19" ht="15" customHeight="1" x14ac:dyDescent="0.25">
      <c r="B72" s="736">
        <v>2025</v>
      </c>
      <c r="C72" s="721">
        <v>2025</v>
      </c>
      <c r="D72" s="652"/>
      <c r="E72" s="652"/>
      <c r="F72" s="730"/>
      <c r="G72" s="660">
        <f t="shared" si="11"/>
        <v>78.222499999999854</v>
      </c>
      <c r="H72" s="661">
        <f>0.043*H64+H71</f>
        <v>91.701120000000046</v>
      </c>
      <c r="I72" s="584">
        <f t="shared" si="5"/>
        <v>75</v>
      </c>
      <c r="J72" s="584">
        <f t="shared" si="6"/>
        <v>50</v>
      </c>
      <c r="K72" s="681">
        <f t="shared" si="13"/>
        <v>1.2226816000000007</v>
      </c>
      <c r="L72" s="11">
        <f t="shared" si="14"/>
        <v>1.1489000000001397</v>
      </c>
      <c r="M72" s="11">
        <f t="shared" si="15"/>
        <v>2.9338900000000052</v>
      </c>
      <c r="O72" s="682">
        <f t="shared" si="12"/>
        <v>77.834803999999949</v>
      </c>
      <c r="P72" s="811">
        <f t="shared" si="8"/>
        <v>95.687012931855818</v>
      </c>
      <c r="Q72" s="965">
        <f t="shared" si="9"/>
        <v>149.13457999013357</v>
      </c>
      <c r="R72" s="968">
        <f t="shared" si="10"/>
        <v>157.35257416229524</v>
      </c>
      <c r="S72" s="11"/>
    </row>
    <row r="73" spans="2:19" x14ac:dyDescent="0.25">
      <c r="B73" s="736">
        <v>2026</v>
      </c>
      <c r="C73" s="721">
        <v>2026</v>
      </c>
      <c r="D73" s="652"/>
      <c r="E73" s="652"/>
      <c r="F73" s="730"/>
      <c r="G73" s="660">
        <f t="shared" si="11"/>
        <v>79.371399999999994</v>
      </c>
      <c r="H73" s="661">
        <f>0.043*H64+H72</f>
        <v>94.635010000000051</v>
      </c>
      <c r="I73" s="584">
        <f t="shared" si="5"/>
        <v>75</v>
      </c>
      <c r="J73" s="584">
        <f>I73-25</f>
        <v>50</v>
      </c>
      <c r="K73" s="681">
        <f t="shared" si="13"/>
        <v>1.261800133333334</v>
      </c>
      <c r="L73" s="11">
        <f t="shared" si="14"/>
        <v>1.1489000000001397</v>
      </c>
      <c r="M73" s="11">
        <f t="shared" si="15"/>
        <v>2.9338900000000052</v>
      </c>
      <c r="O73" s="682">
        <f t="shared" si="12"/>
        <v>79.035404499999942</v>
      </c>
      <c r="P73" s="811">
        <f t="shared" si="8"/>
        <v>98.232287475843179</v>
      </c>
      <c r="Q73" s="965">
        <f t="shared" si="9"/>
        <v>155.54736692970931</v>
      </c>
      <c r="R73" s="968">
        <f t="shared" si="10"/>
        <v>164.43343999959851</v>
      </c>
      <c r="S73" s="11"/>
    </row>
    <row r="74" spans="2:19" ht="15.75" thickBot="1" x14ac:dyDescent="0.3">
      <c r="B74" s="741">
        <v>2027</v>
      </c>
      <c r="C74" s="722">
        <v>2027</v>
      </c>
      <c r="D74" s="656"/>
      <c r="E74" s="656"/>
      <c r="F74" s="734"/>
      <c r="G74" s="662">
        <f t="shared" si="11"/>
        <v>80.520299999999679</v>
      </c>
      <c r="H74" s="663">
        <f>0.043*H64+H73</f>
        <v>97.568900000000056</v>
      </c>
      <c r="I74" s="586">
        <f t="shared" si="5"/>
        <v>75</v>
      </c>
      <c r="J74" s="586">
        <f t="shared" si="6"/>
        <v>50</v>
      </c>
      <c r="K74" s="742">
        <f>H74/I74</f>
        <v>1.3009186666666674</v>
      </c>
      <c r="L74" s="11">
        <f t="shared" si="14"/>
        <v>1.148899999999685</v>
      </c>
      <c r="M74" s="11">
        <f t="shared" si="15"/>
        <v>2.9338900000000052</v>
      </c>
      <c r="N74">
        <f>0.045*1.15</f>
        <v>5.1749999999999997E-2</v>
      </c>
      <c r="O74" s="682">
        <f t="shared" si="12"/>
        <v>80.236004999999935</v>
      </c>
      <c r="P74" s="811">
        <f t="shared" si="8"/>
        <v>100.84526632270061</v>
      </c>
      <c r="Q74" s="965">
        <f t="shared" si="9"/>
        <v>162.23590370768679</v>
      </c>
      <c r="R74" s="968">
        <f t="shared" si="10"/>
        <v>171.83294479958042</v>
      </c>
      <c r="S74" s="11"/>
    </row>
    <row r="75" spans="2:19" x14ac:dyDescent="0.25">
      <c r="B75" s="32"/>
      <c r="F75" s="398">
        <f>AVERAGE(F45:F64)</f>
        <v>2.6615963109234492E-2</v>
      </c>
      <c r="G75" s="660">
        <f>1.1489*1.045</f>
        <v>1.2006005</v>
      </c>
      <c r="H75">
        <f>0.043*H64</f>
        <v>2.9338899999999999</v>
      </c>
      <c r="N75" s="11">
        <f>L74+N74</f>
        <v>1.2006499999996849</v>
      </c>
    </row>
    <row r="76" spans="2:19" x14ac:dyDescent="0.25">
      <c r="F76" s="386"/>
      <c r="L76" s="11">
        <f>G65+1.15</f>
        <v>71.330199999999792</v>
      </c>
    </row>
    <row r="91" spans="14:15" x14ac:dyDescent="0.25">
      <c r="N91" s="123">
        <v>2019</v>
      </c>
      <c r="O91" s="467">
        <v>0</v>
      </c>
    </row>
    <row r="92" spans="14:15" x14ac:dyDescent="0.25">
      <c r="N92" s="123">
        <v>2019</v>
      </c>
      <c r="O92" s="467">
        <v>20</v>
      </c>
    </row>
    <row r="93" spans="14:15" x14ac:dyDescent="0.25">
      <c r="N93" s="123">
        <v>2019</v>
      </c>
      <c r="O93" s="467">
        <v>40</v>
      </c>
    </row>
    <row r="94" spans="14:15" x14ac:dyDescent="0.25">
      <c r="N94" s="123">
        <v>2019</v>
      </c>
      <c r="O94" s="467">
        <v>60</v>
      </c>
    </row>
    <row r="95" spans="14:15" x14ac:dyDescent="0.25">
      <c r="N95" s="123">
        <v>2019</v>
      </c>
      <c r="O95" s="467">
        <v>80</v>
      </c>
    </row>
    <row r="96" spans="14:15" x14ac:dyDescent="0.25">
      <c r="N96" s="123">
        <v>2019</v>
      </c>
      <c r="O96" s="467">
        <v>100</v>
      </c>
    </row>
    <row r="97" spans="1:20" x14ac:dyDescent="0.25">
      <c r="N97" s="123">
        <v>2019</v>
      </c>
      <c r="O97" s="467">
        <v>110</v>
      </c>
    </row>
    <row r="100" spans="1:20" x14ac:dyDescent="0.25">
      <c r="O100" s="342" t="s">
        <v>364</v>
      </c>
      <c r="P100" s="342"/>
    </row>
    <row r="102" spans="1:20" x14ac:dyDescent="0.25">
      <c r="O102" t="s">
        <v>365</v>
      </c>
    </row>
    <row r="112" spans="1:20" ht="18" x14ac:dyDescent="0.25">
      <c r="A112" s="1093" t="s">
        <v>247</v>
      </c>
      <c r="B112" s="1093"/>
      <c r="C112" s="1093"/>
      <c r="D112" s="1093"/>
      <c r="E112" s="1093"/>
      <c r="F112" s="1093"/>
      <c r="G112" s="1093"/>
      <c r="H112" s="1093"/>
      <c r="I112" s="1093"/>
      <c r="J112" s="1093"/>
      <c r="K112" s="1093"/>
      <c r="L112" s="1093"/>
      <c r="M112" s="1093"/>
      <c r="N112" s="1093"/>
      <c r="O112" s="1093"/>
      <c r="P112" s="1093"/>
      <c r="Q112" s="1093"/>
      <c r="R112" s="1093"/>
      <c r="S112" s="1093"/>
      <c r="T112" s="1093"/>
    </row>
    <row r="113" spans="1:20" ht="18" x14ac:dyDescent="0.25">
      <c r="A113" s="1094" t="s">
        <v>248</v>
      </c>
      <c r="B113" s="1094"/>
      <c r="C113" s="1094"/>
      <c r="D113" s="1094"/>
      <c r="E113" s="1094"/>
      <c r="F113" s="1094"/>
      <c r="G113" s="1094"/>
      <c r="H113" s="1094"/>
      <c r="I113" s="1094"/>
      <c r="J113" s="1094"/>
      <c r="K113" s="1094"/>
      <c r="L113" s="1094"/>
      <c r="M113" s="1094"/>
      <c r="N113" s="1094"/>
      <c r="O113" s="1094"/>
      <c r="P113" s="1094"/>
      <c r="Q113" s="1094"/>
      <c r="R113" s="1094"/>
      <c r="S113" s="1094"/>
      <c r="T113" s="1094"/>
    </row>
    <row r="114" spans="1:20" ht="15.75" thickBot="1" x14ac:dyDescent="0.3">
      <c r="A114" s="452"/>
      <c r="B114" s="452"/>
      <c r="C114" s="452"/>
      <c r="D114" s="452"/>
      <c r="E114" s="452"/>
      <c r="F114" s="452"/>
      <c r="G114" s="452"/>
      <c r="H114" s="453"/>
      <c r="I114" s="452"/>
      <c r="J114" s="454"/>
      <c r="K114" s="453"/>
      <c r="L114" s="452"/>
      <c r="M114" s="454"/>
      <c r="N114" s="453"/>
      <c r="O114" s="452"/>
      <c r="P114" s="454"/>
      <c r="Q114" s="453"/>
      <c r="R114" s="452"/>
      <c r="S114" s="449"/>
      <c r="T114" s="450"/>
    </row>
    <row r="115" spans="1:20" x14ac:dyDescent="0.25">
      <c r="A115" s="1095" t="s">
        <v>249</v>
      </c>
      <c r="B115" s="1098" t="s">
        <v>250</v>
      </c>
      <c r="C115" s="1101" t="s">
        <v>251</v>
      </c>
      <c r="D115" s="1063" t="s">
        <v>252</v>
      </c>
      <c r="E115" s="1065"/>
      <c r="F115" s="1066">
        <v>2017</v>
      </c>
      <c r="G115" s="1064"/>
      <c r="H115" s="1106"/>
      <c r="I115" s="1063">
        <f>+F115+1</f>
        <v>2018</v>
      </c>
      <c r="J115" s="1064"/>
      <c r="K115" s="1065"/>
      <c r="L115" s="1066">
        <f>+I115+1</f>
        <v>2019</v>
      </c>
      <c r="M115" s="1064"/>
      <c r="N115" s="1106"/>
      <c r="O115" s="1063">
        <f>+L115+1</f>
        <v>2020</v>
      </c>
      <c r="P115" s="1064"/>
      <c r="Q115" s="1065"/>
      <c r="R115" s="1066">
        <f>+O115+1</f>
        <v>2021</v>
      </c>
      <c r="S115" s="1064"/>
      <c r="T115" s="1065"/>
    </row>
    <row r="116" spans="1:20" x14ac:dyDescent="0.25">
      <c r="A116" s="1096"/>
      <c r="B116" s="1099"/>
      <c r="C116" s="1102"/>
      <c r="D116" s="1104"/>
      <c r="E116" s="1105"/>
      <c r="F116" s="455" t="s">
        <v>253</v>
      </c>
      <c r="G116" s="1067" t="s">
        <v>254</v>
      </c>
      <c r="H116" s="1068"/>
      <c r="I116" s="456" t="s">
        <v>253</v>
      </c>
      <c r="J116" s="1067" t="s">
        <v>254</v>
      </c>
      <c r="K116" s="1069"/>
      <c r="L116" s="455" t="s">
        <v>253</v>
      </c>
      <c r="M116" s="1067" t="s">
        <v>254</v>
      </c>
      <c r="N116" s="1068"/>
      <c r="O116" s="456" t="s">
        <v>253</v>
      </c>
      <c r="P116" s="1067" t="s">
        <v>254</v>
      </c>
      <c r="Q116" s="1069"/>
      <c r="R116" s="455" t="s">
        <v>253</v>
      </c>
      <c r="S116" s="1067" t="s">
        <v>254</v>
      </c>
      <c r="T116" s="1069"/>
    </row>
    <row r="117" spans="1:20" ht="15.75" thickBot="1" x14ac:dyDescent="0.3">
      <c r="A117" s="1097"/>
      <c r="B117" s="1100"/>
      <c r="C117" s="1103"/>
      <c r="D117" s="1091" t="s">
        <v>255</v>
      </c>
      <c r="E117" s="1092"/>
      <c r="F117" s="457" t="s">
        <v>255</v>
      </c>
      <c r="G117" s="458" t="s">
        <v>255</v>
      </c>
      <c r="H117" s="459" t="s">
        <v>256</v>
      </c>
      <c r="I117" s="460" t="s">
        <v>255</v>
      </c>
      <c r="J117" s="461" t="s">
        <v>255</v>
      </c>
      <c r="K117" s="462" t="s">
        <v>256</v>
      </c>
      <c r="L117" s="457" t="s">
        <v>255</v>
      </c>
      <c r="M117" s="461" t="s">
        <v>255</v>
      </c>
      <c r="N117" s="459" t="s">
        <v>256</v>
      </c>
      <c r="O117" s="460" t="s">
        <v>255</v>
      </c>
      <c r="P117" s="461" t="s">
        <v>255</v>
      </c>
      <c r="Q117" s="462" t="s">
        <v>256</v>
      </c>
      <c r="R117" s="457" t="s">
        <v>255</v>
      </c>
      <c r="S117" s="461" t="s">
        <v>255</v>
      </c>
      <c r="T117" s="462" t="s">
        <v>256</v>
      </c>
    </row>
    <row r="118" spans="1:20" x14ac:dyDescent="0.25">
      <c r="B118" s="1148" t="s">
        <v>3</v>
      </c>
      <c r="C118" s="640" t="s">
        <v>24</v>
      </c>
      <c r="D118" s="641">
        <v>25</v>
      </c>
      <c r="E118" s="1138">
        <v>75</v>
      </c>
      <c r="F118" s="1139">
        <v>75</v>
      </c>
      <c r="G118" s="1170">
        <v>67.11872647257168</v>
      </c>
      <c r="H118" s="1132">
        <v>0.8949163529676224</v>
      </c>
      <c r="I118" s="1139">
        <v>75</v>
      </c>
      <c r="J118" s="1170">
        <v>70.004831710892262</v>
      </c>
      <c r="K118" s="1132">
        <v>0.93339775614523013</v>
      </c>
      <c r="L118" s="1135">
        <v>75</v>
      </c>
      <c r="M118" s="1170">
        <v>73.015039474460622</v>
      </c>
      <c r="N118" s="1132">
        <v>0.97353385965947492</v>
      </c>
      <c r="O118" s="1135">
        <v>75</v>
      </c>
      <c r="P118" s="1170">
        <v>76.154686171862423</v>
      </c>
      <c r="Q118" s="1132">
        <v>1.0153958156248324</v>
      </c>
      <c r="R118" s="1145">
        <v>75</v>
      </c>
      <c r="S118" s="1170">
        <v>79.429337677252505</v>
      </c>
      <c r="T118" s="1132">
        <v>1.0590578356967</v>
      </c>
    </row>
    <row r="119" spans="1:20" x14ac:dyDescent="0.25">
      <c r="B119" s="1148"/>
      <c r="C119" s="640" t="s">
        <v>24</v>
      </c>
      <c r="D119" s="641">
        <v>25</v>
      </c>
      <c r="E119" s="1138"/>
      <c r="F119" s="1140"/>
      <c r="G119" s="1171"/>
      <c r="H119" s="1133"/>
      <c r="I119" s="1140"/>
      <c r="J119" s="1171"/>
      <c r="K119" s="1133"/>
      <c r="L119" s="1136"/>
      <c r="M119" s="1171"/>
      <c r="N119" s="1133"/>
      <c r="O119" s="1136"/>
      <c r="P119" s="1171"/>
      <c r="Q119" s="1133"/>
      <c r="R119" s="1146"/>
      <c r="S119" s="1171"/>
      <c r="T119" s="1133"/>
    </row>
    <row r="120" spans="1:20" x14ac:dyDescent="0.25">
      <c r="B120" s="1148"/>
      <c r="C120" s="640" t="s">
        <v>24</v>
      </c>
      <c r="D120" s="641">
        <v>25</v>
      </c>
      <c r="E120" s="1138"/>
      <c r="F120" s="1141"/>
      <c r="G120" s="1172"/>
      <c r="H120" s="1134"/>
      <c r="I120" s="1141"/>
      <c r="J120" s="1172"/>
      <c r="K120" s="1134"/>
      <c r="L120" s="1137"/>
      <c r="M120" s="1172"/>
      <c r="N120" s="1134"/>
      <c r="O120" s="1137"/>
      <c r="P120" s="1172"/>
      <c r="Q120" s="1134"/>
      <c r="R120" s="1147"/>
      <c r="S120" s="1172"/>
      <c r="T120" s="1134"/>
    </row>
    <row r="121" spans="1:20" x14ac:dyDescent="0.25">
      <c r="J121">
        <f>1.043*G118</f>
        <v>70.004831710892262</v>
      </c>
      <c r="M121">
        <f t="shared" ref="M121:S121" si="16">1.043*J118</f>
        <v>73.015039474460622</v>
      </c>
      <c r="P121">
        <f t="shared" si="16"/>
        <v>76.154686171862423</v>
      </c>
      <c r="S121">
        <f t="shared" si="16"/>
        <v>79.429337677252505</v>
      </c>
    </row>
    <row r="122" spans="1:20" x14ac:dyDescent="0.25">
      <c r="E122" s="39"/>
      <c r="F122" s="39"/>
    </row>
    <row r="123" spans="1:20" x14ac:dyDescent="0.25">
      <c r="E123" s="39">
        <v>2017</v>
      </c>
      <c r="F123" s="40">
        <f>G118</f>
        <v>67.11872647257168</v>
      </c>
    </row>
    <row r="124" spans="1:20" x14ac:dyDescent="0.25">
      <c r="E124" s="39">
        <v>2018</v>
      </c>
      <c r="F124" s="40">
        <f>J118</f>
        <v>70.004831710892262</v>
      </c>
    </row>
    <row r="125" spans="1:20" x14ac:dyDescent="0.25">
      <c r="E125" s="39">
        <v>2019</v>
      </c>
      <c r="F125" s="40">
        <f>M118</f>
        <v>73.015039474460622</v>
      </c>
    </row>
    <row r="126" spans="1:20" x14ac:dyDescent="0.25">
      <c r="E126" s="39">
        <v>2020</v>
      </c>
      <c r="F126" s="40">
        <f>P118</f>
        <v>76.154686171862423</v>
      </c>
    </row>
    <row r="127" spans="1:20" x14ac:dyDescent="0.25">
      <c r="E127" s="39">
        <v>2021</v>
      </c>
      <c r="F127" s="301">
        <f>S118</f>
        <v>79.429337677252505</v>
      </c>
    </row>
    <row r="128" spans="1:20" x14ac:dyDescent="0.25">
      <c r="E128" s="122"/>
      <c r="F128" s="301"/>
    </row>
    <row r="129" spans="5:6" x14ac:dyDescent="0.25">
      <c r="E129" s="122"/>
      <c r="F129" s="301"/>
    </row>
  </sheetData>
  <mergeCells count="52">
    <mergeCell ref="S118:S120"/>
    <mergeCell ref="T118:T120"/>
    <mergeCell ref="N118:N120"/>
    <mergeCell ref="O118:O120"/>
    <mergeCell ref="P118:P120"/>
    <mergeCell ref="Q118:Q120"/>
    <mergeCell ref="R118:R120"/>
    <mergeCell ref="I118:I120"/>
    <mergeCell ref="J118:J120"/>
    <mergeCell ref="K118:K120"/>
    <mergeCell ref="L118:L120"/>
    <mergeCell ref="M118:M120"/>
    <mergeCell ref="B118:B120"/>
    <mergeCell ref="E118:E120"/>
    <mergeCell ref="F118:F120"/>
    <mergeCell ref="G118:G120"/>
    <mergeCell ref="H118:H120"/>
    <mergeCell ref="A115:A117"/>
    <mergeCell ref="B115:B117"/>
    <mergeCell ref="B2:K2"/>
    <mergeCell ref="B3:K3"/>
    <mergeCell ref="B4:K4"/>
    <mergeCell ref="B5:B6"/>
    <mergeCell ref="J5:J6"/>
    <mergeCell ref="K5:K6"/>
    <mergeCell ref="B42:B43"/>
    <mergeCell ref="C42:C43"/>
    <mergeCell ref="D42:F42"/>
    <mergeCell ref="G42:H42"/>
    <mergeCell ref="D117:E117"/>
    <mergeCell ref="C115:C117"/>
    <mergeCell ref="D115:E116"/>
    <mergeCell ref="F115:H115"/>
    <mergeCell ref="I42:I43"/>
    <mergeCell ref="J42:J43"/>
    <mergeCell ref="K42:K43"/>
    <mergeCell ref="A112:T112"/>
    <mergeCell ref="A113:T113"/>
    <mergeCell ref="C5:C6"/>
    <mergeCell ref="G5:I5"/>
    <mergeCell ref="D5:F5"/>
    <mergeCell ref="C40:K40"/>
    <mergeCell ref="C41:K41"/>
    <mergeCell ref="I115:K115"/>
    <mergeCell ref="L115:N115"/>
    <mergeCell ref="O115:Q115"/>
    <mergeCell ref="R115:T115"/>
    <mergeCell ref="G116:H116"/>
    <mergeCell ref="J116:K116"/>
    <mergeCell ref="M116:N116"/>
    <mergeCell ref="P116:Q116"/>
    <mergeCell ref="S116:T116"/>
  </mergeCells>
  <conditionalFormatting sqref="Q118:Q120 N118:N120 H118:H120 T118:T120 K118:K120">
    <cfRule type="cellIs" dxfId="14" priority="1" operator="greaterThan">
      <formula>1</formula>
    </cfRule>
  </conditionalFormatting>
  <printOptions horizontalCentered="1" verticalCentered="1" gridLines="1"/>
  <pageMargins left="0.11811023622047245" right="0.11811023622047245" top="0.15748031496062992" bottom="0.15748031496062992" header="0" footer="0"/>
  <pageSetup paperSize="9" scale="14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29"/>
  <sheetViews>
    <sheetView topLeftCell="A79" workbookViewId="0">
      <selection activeCell="H67" sqref="H67"/>
    </sheetView>
  </sheetViews>
  <sheetFormatPr baseColWidth="10" defaultRowHeight="15" x14ac:dyDescent="0.25"/>
  <cols>
    <col min="1" max="1" width="5.7109375" customWidth="1"/>
    <col min="2" max="2" width="6.7109375" style="10" customWidth="1"/>
    <col min="3" max="3" width="14.7109375" customWidth="1"/>
    <col min="4" max="5" width="10.7109375" customWidth="1"/>
    <col min="6" max="6" width="11.7109375" customWidth="1"/>
    <col min="7" max="8" width="12.7109375" customWidth="1"/>
    <col min="9" max="11" width="10.7109375" customWidth="1"/>
    <col min="15" max="15" width="12.7109375" customWidth="1"/>
  </cols>
  <sheetData>
    <row r="2" spans="2:15" ht="15.75" thickBot="1" x14ac:dyDescent="0.3">
      <c r="B2" s="1225"/>
      <c r="C2" s="1225"/>
      <c r="D2" s="1225"/>
      <c r="E2" s="1225"/>
      <c r="F2" s="1225"/>
      <c r="G2" s="1225"/>
      <c r="H2" s="1225"/>
      <c r="I2" s="1225"/>
      <c r="J2" s="1225"/>
      <c r="K2" s="1225"/>
    </row>
    <row r="3" spans="2:15" ht="15.95" customHeight="1" thickBot="1" x14ac:dyDescent="0.3">
      <c r="B3" s="1040" t="s">
        <v>36</v>
      </c>
      <c r="C3" s="1041"/>
      <c r="D3" s="1041"/>
      <c r="E3" s="1041"/>
      <c r="F3" s="1041"/>
      <c r="G3" s="1041"/>
      <c r="H3" s="1041"/>
      <c r="I3" s="1041"/>
      <c r="J3" s="1041"/>
      <c r="K3" s="1042"/>
      <c r="L3" s="73"/>
      <c r="M3" s="73"/>
    </row>
    <row r="4" spans="2:15" ht="15.95" customHeight="1" x14ac:dyDescent="0.25">
      <c r="B4" s="1191" t="s">
        <v>37</v>
      </c>
      <c r="C4" s="1192"/>
      <c r="D4" s="1192"/>
      <c r="E4" s="1192"/>
      <c r="F4" s="1192"/>
      <c r="G4" s="1192"/>
      <c r="H4" s="1192"/>
      <c r="I4" s="1192"/>
      <c r="J4" s="1192"/>
      <c r="K4" s="1193"/>
      <c r="L4" s="134"/>
      <c r="M4" s="134"/>
      <c r="N4" s="8"/>
    </row>
    <row r="5" spans="2:15" ht="15.95" customHeight="1" x14ac:dyDescent="0.25">
      <c r="B5" s="1118" t="s">
        <v>124</v>
      </c>
      <c r="C5" s="1196" t="s">
        <v>26</v>
      </c>
      <c r="D5" s="1033" t="s">
        <v>110</v>
      </c>
      <c r="E5" s="1120"/>
      <c r="F5" s="1121"/>
      <c r="G5" s="1051" t="s">
        <v>74</v>
      </c>
      <c r="H5" s="1051"/>
      <c r="I5" s="1224"/>
      <c r="J5" s="1031" t="s">
        <v>105</v>
      </c>
      <c r="K5" s="1123" t="s">
        <v>112</v>
      </c>
      <c r="L5" s="134"/>
      <c r="M5" s="134"/>
    </row>
    <row r="6" spans="2:15" ht="39.950000000000003" customHeight="1" x14ac:dyDescent="0.25">
      <c r="B6" s="1119"/>
      <c r="C6" s="1196"/>
      <c r="D6" s="307" t="s">
        <v>115</v>
      </c>
      <c r="E6" s="112" t="s">
        <v>116</v>
      </c>
      <c r="F6" s="112" t="s">
        <v>80</v>
      </c>
      <c r="G6" s="85" t="s">
        <v>113</v>
      </c>
      <c r="H6" s="38" t="s">
        <v>232</v>
      </c>
      <c r="I6" s="38" t="s">
        <v>114</v>
      </c>
      <c r="J6" s="1031"/>
      <c r="K6" s="1123"/>
      <c r="L6" s="258" t="s">
        <v>206</v>
      </c>
      <c r="M6" s="42"/>
      <c r="N6" s="306" t="s">
        <v>239</v>
      </c>
      <c r="O6" s="259" t="s">
        <v>241</v>
      </c>
    </row>
    <row r="7" spans="2:15" x14ac:dyDescent="0.25">
      <c r="B7" s="196"/>
      <c r="C7" s="90">
        <v>1997</v>
      </c>
      <c r="D7" s="99">
        <v>45.68</v>
      </c>
      <c r="E7" s="88">
        <f>D7/L26</f>
        <v>45.879398926101899</v>
      </c>
      <c r="F7" s="99"/>
      <c r="G7" s="88"/>
      <c r="H7" s="88"/>
      <c r="I7" s="65"/>
      <c r="J7" s="61">
        <v>75</v>
      </c>
      <c r="K7" s="264">
        <f>J7-25</f>
        <v>50</v>
      </c>
      <c r="L7" s="263"/>
      <c r="M7" s="42"/>
    </row>
    <row r="8" spans="2:15" x14ac:dyDescent="0.25">
      <c r="B8" s="196"/>
      <c r="C8" s="91">
        <v>1998</v>
      </c>
      <c r="D8" s="100">
        <v>61.33</v>
      </c>
      <c r="E8" s="42">
        <f>D8/L26</f>
        <v>61.597713137868425</v>
      </c>
      <c r="F8" s="175">
        <f>(E8-E7)/E7</f>
        <v>0.3426007005253941</v>
      </c>
      <c r="G8" s="42"/>
      <c r="H8" s="42"/>
      <c r="I8" s="40"/>
      <c r="J8" s="62">
        <v>75</v>
      </c>
      <c r="K8" s="204">
        <f t="shared" ref="K8:K37" si="0">J8-25</f>
        <v>50</v>
      </c>
      <c r="L8" s="263"/>
      <c r="M8" s="42"/>
    </row>
    <row r="9" spans="2:15" x14ac:dyDescent="0.25">
      <c r="B9" s="196"/>
      <c r="C9" s="91">
        <v>1999</v>
      </c>
      <c r="D9" s="100">
        <v>45.46</v>
      </c>
      <c r="E9" s="42">
        <f>D9/L26</f>
        <v>45.658438598524356</v>
      </c>
      <c r="F9" s="175">
        <f t="shared" ref="F9:F27" si="1">(E9-E8)/E8</f>
        <v>-0.25876406326430779</v>
      </c>
      <c r="G9" s="42"/>
      <c r="H9" s="42"/>
      <c r="I9" s="40"/>
      <c r="J9" s="62">
        <v>75</v>
      </c>
      <c r="K9" s="204">
        <f t="shared" si="0"/>
        <v>50</v>
      </c>
      <c r="L9" s="263"/>
      <c r="M9" s="42"/>
    </row>
    <row r="10" spans="2:15" x14ac:dyDescent="0.25">
      <c r="B10" s="196"/>
      <c r="C10" s="91">
        <v>2000</v>
      </c>
      <c r="D10" s="100">
        <v>42.8</v>
      </c>
      <c r="E10" s="42">
        <f>D10/L26</f>
        <v>42.986827365086718</v>
      </c>
      <c r="F10" s="175">
        <f t="shared" si="1"/>
        <v>-5.8512978442586995E-2</v>
      </c>
      <c r="G10" s="42"/>
      <c r="H10" s="42"/>
      <c r="I10" s="40"/>
      <c r="J10" s="62">
        <v>75</v>
      </c>
      <c r="K10" s="204">
        <f t="shared" si="0"/>
        <v>50</v>
      </c>
      <c r="L10" s="263"/>
      <c r="M10" s="42"/>
    </row>
    <row r="11" spans="2:15" x14ac:dyDescent="0.25">
      <c r="B11" s="196"/>
      <c r="C11" s="91">
        <v>2001</v>
      </c>
      <c r="D11" s="100">
        <v>46.17</v>
      </c>
      <c r="E11" s="42">
        <f>D11/L26</f>
        <v>46.371537837524627</v>
      </c>
      <c r="F11" s="175">
        <f t="shared" si="1"/>
        <v>7.8738317757009499E-2</v>
      </c>
      <c r="G11" s="42"/>
      <c r="H11" s="42"/>
      <c r="I11" s="40"/>
      <c r="J11" s="62">
        <v>75</v>
      </c>
      <c r="K11" s="204">
        <f t="shared" si="0"/>
        <v>50</v>
      </c>
      <c r="L11" s="263"/>
      <c r="M11" s="42"/>
    </row>
    <row r="12" spans="2:15" x14ac:dyDescent="0.25">
      <c r="B12" s="196"/>
      <c r="C12" s="91">
        <v>2002</v>
      </c>
      <c r="D12" s="100">
        <v>49.97</v>
      </c>
      <c r="E12" s="42">
        <f>D12/L26</f>
        <v>50.188125313864099</v>
      </c>
      <c r="F12" s="175">
        <f t="shared" si="1"/>
        <v>8.2304526748971096E-2</v>
      </c>
      <c r="G12" s="42"/>
      <c r="H12" s="42"/>
      <c r="I12" s="40"/>
      <c r="J12" s="62">
        <v>75</v>
      </c>
      <c r="K12" s="204">
        <f t="shared" si="0"/>
        <v>50</v>
      </c>
      <c r="L12" s="262"/>
      <c r="M12" s="42"/>
    </row>
    <row r="13" spans="2:15" x14ac:dyDescent="0.25">
      <c r="B13" s="196">
        <v>6</v>
      </c>
      <c r="C13" s="91">
        <v>2003</v>
      </c>
      <c r="D13" s="100">
        <v>48.83</v>
      </c>
      <c r="E13" s="42">
        <v>49.21</v>
      </c>
      <c r="F13" s="175">
        <f t="shared" si="1"/>
        <v>-1.9489178122257894E-2</v>
      </c>
      <c r="G13" s="42"/>
      <c r="H13" s="42"/>
      <c r="I13" s="40"/>
      <c r="J13" s="62">
        <v>75</v>
      </c>
      <c r="K13" s="204">
        <f t="shared" si="0"/>
        <v>50</v>
      </c>
      <c r="L13" s="263">
        <v>0.99390000000000001</v>
      </c>
      <c r="M13" s="42"/>
    </row>
    <row r="14" spans="2:15" x14ac:dyDescent="0.25">
      <c r="B14" s="196">
        <v>8</v>
      </c>
      <c r="C14" s="91">
        <v>2004</v>
      </c>
      <c r="D14" s="100">
        <v>50.93</v>
      </c>
      <c r="E14" s="42">
        <v>51.41</v>
      </c>
      <c r="F14" s="175">
        <f t="shared" si="1"/>
        <v>4.470636049583409E-2</v>
      </c>
      <c r="G14" s="42"/>
      <c r="H14" s="42"/>
      <c r="I14" s="40"/>
      <c r="J14" s="62">
        <v>75</v>
      </c>
      <c r="K14" s="204">
        <f t="shared" si="0"/>
        <v>50</v>
      </c>
      <c r="L14" s="263">
        <v>0.99350000000000005</v>
      </c>
      <c r="M14" s="42"/>
    </row>
    <row r="15" spans="2:15" x14ac:dyDescent="0.25">
      <c r="B15" s="196">
        <v>8</v>
      </c>
      <c r="C15" s="91">
        <v>2005</v>
      </c>
      <c r="D15" s="62">
        <v>60.94</v>
      </c>
      <c r="E15" s="40">
        <v>61.85</v>
      </c>
      <c r="F15" s="175">
        <f t="shared" si="1"/>
        <v>0.20307333203656888</v>
      </c>
      <c r="G15" s="42"/>
      <c r="H15" s="42"/>
      <c r="I15" s="40"/>
      <c r="J15" s="62">
        <v>75</v>
      </c>
      <c r="K15" s="204">
        <f t="shared" si="0"/>
        <v>50</v>
      </c>
      <c r="L15" s="263">
        <v>0.98529999999999995</v>
      </c>
      <c r="M15" s="42"/>
    </row>
    <row r="16" spans="2:15" x14ac:dyDescent="0.25">
      <c r="B16" s="196">
        <v>8</v>
      </c>
      <c r="C16" s="91">
        <v>2006</v>
      </c>
      <c r="D16" s="100">
        <v>58.46</v>
      </c>
      <c r="E16" s="42">
        <v>59.15</v>
      </c>
      <c r="F16" s="175">
        <f t="shared" si="1"/>
        <v>-4.3654001616814916E-2</v>
      </c>
      <c r="G16" s="74"/>
      <c r="H16" s="74"/>
      <c r="I16" s="40"/>
      <c r="J16" s="62">
        <v>75</v>
      </c>
      <c r="K16" s="204">
        <f t="shared" si="0"/>
        <v>50</v>
      </c>
      <c r="L16" s="263">
        <v>0.98829999999999996</v>
      </c>
      <c r="M16" s="42"/>
      <c r="N16" s="14"/>
    </row>
    <row r="17" spans="2:15" x14ac:dyDescent="0.25">
      <c r="B17" s="196">
        <v>5</v>
      </c>
      <c r="C17" s="91">
        <v>2007</v>
      </c>
      <c r="D17" s="100">
        <v>58.77</v>
      </c>
      <c r="E17" s="42">
        <v>59.12</v>
      </c>
      <c r="F17" s="175">
        <f t="shared" si="1"/>
        <v>-5.0718512256975714E-4</v>
      </c>
      <c r="G17" s="42"/>
      <c r="H17" s="42"/>
      <c r="I17" s="40"/>
      <c r="J17" s="62">
        <v>75</v>
      </c>
      <c r="K17" s="204">
        <f t="shared" si="0"/>
        <v>50</v>
      </c>
      <c r="L17" s="263">
        <v>0.99399999999999999</v>
      </c>
      <c r="M17" s="42"/>
      <c r="N17" s="14"/>
    </row>
    <row r="18" spans="2:15" x14ac:dyDescent="0.25">
      <c r="B18" s="196">
        <v>5</v>
      </c>
      <c r="C18" s="91">
        <v>2008</v>
      </c>
      <c r="D18" s="100">
        <v>57.19</v>
      </c>
      <c r="E18" s="42">
        <v>57.42</v>
      </c>
      <c r="F18" s="175">
        <f t="shared" si="1"/>
        <v>-2.8755074424898441E-2</v>
      </c>
      <c r="G18" s="42"/>
      <c r="H18" s="42"/>
      <c r="I18" s="40"/>
      <c r="J18" s="62">
        <v>75</v>
      </c>
      <c r="K18" s="204">
        <f t="shared" si="0"/>
        <v>50</v>
      </c>
      <c r="L18" s="263">
        <v>0.996</v>
      </c>
      <c r="M18" s="42"/>
      <c r="N18" s="14"/>
    </row>
    <row r="19" spans="2:15" x14ac:dyDescent="0.25">
      <c r="B19" s="196">
        <v>7</v>
      </c>
      <c r="C19" s="91">
        <v>2009</v>
      </c>
      <c r="D19" s="100">
        <v>54.41</v>
      </c>
      <c r="E19" s="42">
        <v>54.58</v>
      </c>
      <c r="F19" s="175">
        <f t="shared" si="1"/>
        <v>-4.9460118425635725E-2</v>
      </c>
      <c r="G19" s="42"/>
      <c r="H19" s="42"/>
      <c r="I19" s="40"/>
      <c r="J19" s="62">
        <v>75</v>
      </c>
      <c r="K19" s="204">
        <f t="shared" si="0"/>
        <v>50</v>
      </c>
      <c r="L19" s="263">
        <v>0.99680000000000002</v>
      </c>
      <c r="M19" s="42"/>
      <c r="N19" s="14"/>
    </row>
    <row r="20" spans="2:15" x14ac:dyDescent="0.25">
      <c r="B20" s="196">
        <v>7</v>
      </c>
      <c r="C20" s="91">
        <v>2010</v>
      </c>
      <c r="D20" s="100">
        <v>57.27</v>
      </c>
      <c r="E20" s="42">
        <v>57.3</v>
      </c>
      <c r="F20" s="175">
        <f t="shared" si="1"/>
        <v>4.9835104433858537E-2</v>
      </c>
      <c r="G20" s="42"/>
      <c r="H20" s="42"/>
      <c r="I20" s="40"/>
      <c r="J20" s="62">
        <v>75</v>
      </c>
      <c r="K20" s="204">
        <f t="shared" si="0"/>
        <v>50</v>
      </c>
      <c r="L20" s="263">
        <v>0.99939999999999996</v>
      </c>
      <c r="M20" s="62">
        <v>57.318762545392879</v>
      </c>
      <c r="N20" s="250"/>
      <c r="O20" s="73"/>
    </row>
    <row r="21" spans="2:15" x14ac:dyDescent="0.25">
      <c r="B21" s="196">
        <v>7</v>
      </c>
      <c r="C21" s="91">
        <v>2011</v>
      </c>
      <c r="D21" s="100">
        <v>60.96</v>
      </c>
      <c r="E21" s="42">
        <v>61.15</v>
      </c>
      <c r="F21" s="175">
        <f t="shared" si="1"/>
        <v>6.7190226876090775E-2</v>
      </c>
      <c r="G21" s="42"/>
      <c r="H21" s="42"/>
      <c r="I21" s="40"/>
      <c r="J21" s="62">
        <v>75</v>
      </c>
      <c r="K21" s="204">
        <f t="shared" si="0"/>
        <v>50</v>
      </c>
      <c r="L21" s="263">
        <v>0.99690000000000001</v>
      </c>
      <c r="M21" s="42">
        <v>61.145573919949435</v>
      </c>
      <c r="N21" s="250"/>
      <c r="O21" s="73"/>
    </row>
    <row r="22" spans="2:15" x14ac:dyDescent="0.25">
      <c r="B22" s="196">
        <v>7</v>
      </c>
      <c r="C22" s="91">
        <v>2012</v>
      </c>
      <c r="D22" s="100">
        <v>66.010000000000005</v>
      </c>
      <c r="E22" s="42">
        <v>66.05</v>
      </c>
      <c r="F22" s="175">
        <f t="shared" si="1"/>
        <v>8.0130825838103006E-2</v>
      </c>
      <c r="G22" s="42"/>
      <c r="H22" s="42"/>
      <c r="I22" s="40"/>
      <c r="J22" s="62">
        <v>75</v>
      </c>
      <c r="K22" s="204">
        <f t="shared" si="0"/>
        <v>50</v>
      </c>
      <c r="L22" s="263">
        <v>0.99939999999999996</v>
      </c>
      <c r="M22" s="62">
        <v>66.164155979654154</v>
      </c>
      <c r="N22" s="250"/>
      <c r="O22" s="73"/>
    </row>
    <row r="23" spans="2:15" x14ac:dyDescent="0.25">
      <c r="B23" s="196">
        <v>7</v>
      </c>
      <c r="C23" s="91">
        <v>2013</v>
      </c>
      <c r="D23" s="62">
        <v>69.430000000000007</v>
      </c>
      <c r="E23" s="40">
        <v>69.44</v>
      </c>
      <c r="F23" s="175">
        <f t="shared" si="1"/>
        <v>5.1324753974261936E-2</v>
      </c>
      <c r="G23" s="42"/>
      <c r="H23" s="42"/>
      <c r="I23" s="40"/>
      <c r="J23" s="62">
        <v>75</v>
      </c>
      <c r="K23" s="204">
        <f t="shared" si="0"/>
        <v>50</v>
      </c>
      <c r="L23" s="263">
        <v>1</v>
      </c>
      <c r="M23" s="42">
        <v>69.64498681886586</v>
      </c>
      <c r="N23" s="250"/>
      <c r="O23" s="73"/>
    </row>
    <row r="24" spans="2:15" x14ac:dyDescent="0.25">
      <c r="B24" s="196">
        <v>1</v>
      </c>
      <c r="C24" s="91">
        <v>2014</v>
      </c>
      <c r="D24" s="62">
        <v>69.55</v>
      </c>
      <c r="E24" s="40">
        <v>70.709999999999994</v>
      </c>
      <c r="F24" s="175">
        <f t="shared" si="1"/>
        <v>1.8289170506912384E-2</v>
      </c>
      <c r="G24" s="42"/>
      <c r="H24" s="42"/>
      <c r="I24" s="40"/>
      <c r="J24" s="62">
        <v>75</v>
      </c>
      <c r="K24" s="204">
        <f t="shared" si="0"/>
        <v>50</v>
      </c>
      <c r="L24" s="263">
        <v>1</v>
      </c>
      <c r="M24" s="100">
        <v>70.711360684829145</v>
      </c>
      <c r="N24" s="50"/>
      <c r="O24" s="50"/>
    </row>
    <row r="25" spans="2:15" x14ac:dyDescent="0.25">
      <c r="B25" s="196">
        <v>7</v>
      </c>
      <c r="C25" s="91">
        <v>2015</v>
      </c>
      <c r="D25" s="62">
        <v>69.459999999999994</v>
      </c>
      <c r="E25" s="40">
        <v>69.47</v>
      </c>
      <c r="F25" s="175">
        <f t="shared" si="1"/>
        <v>-1.7536416348465492E-2</v>
      </c>
      <c r="G25" s="42"/>
      <c r="H25" s="42"/>
      <c r="I25" s="40"/>
      <c r="J25" s="62">
        <v>75</v>
      </c>
      <c r="K25" s="204">
        <f t="shared" si="0"/>
        <v>50</v>
      </c>
      <c r="L25" s="263">
        <v>1</v>
      </c>
      <c r="M25" s="138">
        <v>69.465646639774405</v>
      </c>
      <c r="N25" s="50"/>
      <c r="O25" s="50"/>
    </row>
    <row r="26" spans="2:15" x14ac:dyDescent="0.25">
      <c r="B26" s="196">
        <v>2</v>
      </c>
      <c r="C26" s="101">
        <v>2016</v>
      </c>
      <c r="D26" s="62">
        <v>61.71</v>
      </c>
      <c r="E26" s="40">
        <v>62.68</v>
      </c>
      <c r="F26" s="175">
        <f t="shared" si="1"/>
        <v>-9.7740031668346036E-2</v>
      </c>
      <c r="G26" s="258"/>
      <c r="H26" s="258"/>
      <c r="I26" s="258"/>
      <c r="J26" s="62">
        <v>75</v>
      </c>
      <c r="K26" s="204">
        <f t="shared" si="0"/>
        <v>50</v>
      </c>
      <c r="L26" s="273">
        <f>AVERAGE(L13:L25)</f>
        <v>0.99565384615384622</v>
      </c>
      <c r="M26" s="45">
        <v>51.691575035962252</v>
      </c>
      <c r="N26" s="50"/>
      <c r="O26" s="50" t="e">
        <f>(H26-H25)/H25</f>
        <v>#DIV/0!</v>
      </c>
    </row>
    <row r="27" spans="2:15" x14ac:dyDescent="0.25">
      <c r="B27" s="196"/>
      <c r="C27" s="101">
        <v>2017</v>
      </c>
      <c r="D27" s="62"/>
      <c r="E27" s="40">
        <v>100</v>
      </c>
      <c r="F27" s="175">
        <f t="shared" si="1"/>
        <v>0.59540523292916403</v>
      </c>
      <c r="G27" s="258"/>
      <c r="H27" s="258">
        <f>E27</f>
        <v>100</v>
      </c>
      <c r="I27" s="258">
        <f>E27</f>
        <v>100</v>
      </c>
      <c r="J27" s="62">
        <v>75</v>
      </c>
      <c r="K27" s="204">
        <f t="shared" si="0"/>
        <v>50</v>
      </c>
      <c r="L27" s="309" t="s">
        <v>129</v>
      </c>
      <c r="M27" s="45">
        <v>53.706967362661231</v>
      </c>
      <c r="N27" s="383" t="e">
        <f>(G27-G26)/G26</f>
        <v>#DIV/0!</v>
      </c>
      <c r="O27" s="390" t="e">
        <f>(H27-H26)/H26</f>
        <v>#DIV/0!</v>
      </c>
    </row>
    <row r="28" spans="2:15" x14ac:dyDescent="0.25">
      <c r="B28" s="197"/>
      <c r="C28" s="107">
        <v>2018</v>
      </c>
      <c r="D28" s="109"/>
      <c r="E28" s="55"/>
      <c r="F28" s="109"/>
      <c r="G28" s="512"/>
      <c r="H28" s="375"/>
      <c r="I28" s="393">
        <f t="shared" ref="I28:I37" si="2">1.045*I27</f>
        <v>104.5</v>
      </c>
      <c r="J28" s="62">
        <v>75</v>
      </c>
      <c r="K28" s="204">
        <f t="shared" si="0"/>
        <v>50</v>
      </c>
      <c r="L28" s="40"/>
      <c r="M28" s="45">
        <v>55.85048392080801</v>
      </c>
      <c r="N28" s="383" t="e">
        <f t="shared" ref="N28:N35" si="3">(G28-G27)/G27</f>
        <v>#DIV/0!</v>
      </c>
      <c r="O28" s="390">
        <f>(H28-H27)/H27</f>
        <v>-1</v>
      </c>
    </row>
    <row r="29" spans="2:15" x14ac:dyDescent="0.25">
      <c r="B29" s="197"/>
      <c r="C29" s="107">
        <v>2019</v>
      </c>
      <c r="D29" s="109"/>
      <c r="E29" s="55"/>
      <c r="F29" s="109"/>
      <c r="G29" s="512"/>
      <c r="H29" s="375"/>
      <c r="I29" s="393">
        <f t="shared" si="2"/>
        <v>109.20249999999999</v>
      </c>
      <c r="J29" s="62">
        <v>75</v>
      </c>
      <c r="K29" s="204">
        <f t="shared" si="0"/>
        <v>50</v>
      </c>
      <c r="L29" s="40"/>
      <c r="M29" s="45">
        <v>58.071446619665913</v>
      </c>
      <c r="N29" s="383" t="e">
        <f t="shared" si="3"/>
        <v>#DIV/0!</v>
      </c>
      <c r="O29" s="390" t="e">
        <f>(H29-H28)/H28</f>
        <v>#DIV/0!</v>
      </c>
    </row>
    <row r="30" spans="2:15" x14ac:dyDescent="0.25">
      <c r="B30" s="197"/>
      <c r="C30" s="107">
        <v>2020</v>
      </c>
      <c r="D30" s="109"/>
      <c r="E30" s="55"/>
      <c r="F30" s="109"/>
      <c r="G30" s="512"/>
      <c r="H30" s="375"/>
      <c r="I30" s="393">
        <f t="shared" si="2"/>
        <v>114.11661249999997</v>
      </c>
      <c r="J30" s="62">
        <v>75</v>
      </c>
      <c r="K30" s="204">
        <f t="shared" si="0"/>
        <v>50</v>
      </c>
      <c r="L30" s="40"/>
      <c r="M30" s="45">
        <v>60.37184170911484</v>
      </c>
      <c r="N30" s="383" t="e">
        <f t="shared" si="3"/>
        <v>#DIV/0!</v>
      </c>
      <c r="O30" s="390" t="e">
        <f>(H30-H29)/H29</f>
        <v>#DIV/0!</v>
      </c>
    </row>
    <row r="31" spans="2:15" x14ac:dyDescent="0.25">
      <c r="B31" s="197"/>
      <c r="C31" s="107">
        <v>2021</v>
      </c>
      <c r="D31" s="108"/>
      <c r="E31" s="513"/>
      <c r="F31" s="108"/>
      <c r="G31" s="512"/>
      <c r="H31" s="375"/>
      <c r="I31" s="393">
        <f t="shared" si="2"/>
        <v>119.25186006249996</v>
      </c>
      <c r="J31" s="62">
        <v>75</v>
      </c>
      <c r="K31" s="204">
        <f t="shared" si="0"/>
        <v>50</v>
      </c>
      <c r="L31" s="11"/>
      <c r="M31" s="74"/>
      <c r="N31" s="383" t="e">
        <f t="shared" si="3"/>
        <v>#DIV/0!</v>
      </c>
      <c r="O31" s="390"/>
    </row>
    <row r="32" spans="2:15" x14ac:dyDescent="0.25">
      <c r="B32" s="197"/>
      <c r="C32" s="107">
        <v>2022</v>
      </c>
      <c r="D32" s="108"/>
      <c r="E32" s="513"/>
      <c r="F32" s="108"/>
      <c r="G32" s="512"/>
      <c r="H32" s="375"/>
      <c r="I32" s="393">
        <f t="shared" si="2"/>
        <v>124.61819376531244</v>
      </c>
      <c r="J32" s="62">
        <v>75</v>
      </c>
      <c r="K32" s="204">
        <f t="shared" si="0"/>
        <v>50</v>
      </c>
      <c r="L32" s="11"/>
      <c r="M32" s="74"/>
      <c r="N32" s="383" t="e">
        <f t="shared" si="3"/>
        <v>#DIV/0!</v>
      </c>
      <c r="O32" s="390"/>
    </row>
    <row r="33" spans="2:16" x14ac:dyDescent="0.25">
      <c r="B33" s="197"/>
      <c r="C33" s="107">
        <v>2023</v>
      </c>
      <c r="D33" s="108"/>
      <c r="E33" s="513"/>
      <c r="F33" s="108"/>
      <c r="G33" s="512"/>
      <c r="H33" s="375"/>
      <c r="I33" s="393">
        <f t="shared" si="2"/>
        <v>130.22601248475149</v>
      </c>
      <c r="J33" s="62">
        <v>75</v>
      </c>
      <c r="K33" s="204">
        <f t="shared" si="0"/>
        <v>50</v>
      </c>
      <c r="L33" s="11"/>
      <c r="M33" s="74"/>
      <c r="N33" s="383" t="e">
        <f t="shared" si="3"/>
        <v>#DIV/0!</v>
      </c>
      <c r="O33" s="390"/>
    </row>
    <row r="34" spans="2:16" x14ac:dyDescent="0.25">
      <c r="B34" s="197"/>
      <c r="C34" s="107">
        <v>2024</v>
      </c>
      <c r="D34" s="108"/>
      <c r="E34" s="513"/>
      <c r="F34" s="108"/>
      <c r="G34" s="512"/>
      <c r="H34" s="375"/>
      <c r="I34" s="393">
        <f t="shared" si="2"/>
        <v>136.08618304656531</v>
      </c>
      <c r="J34" s="62">
        <v>75</v>
      </c>
      <c r="K34" s="204">
        <f t="shared" si="0"/>
        <v>50</v>
      </c>
      <c r="L34" s="11"/>
      <c r="M34" s="74"/>
      <c r="N34" s="383" t="e">
        <f t="shared" si="3"/>
        <v>#DIV/0!</v>
      </c>
      <c r="O34" s="390"/>
    </row>
    <row r="35" spans="2:16" x14ac:dyDescent="0.25">
      <c r="B35" s="197"/>
      <c r="C35" s="107">
        <v>2025</v>
      </c>
      <c r="D35" s="108"/>
      <c r="E35" s="513"/>
      <c r="F35" s="108"/>
      <c r="G35" s="512"/>
      <c r="H35" s="375"/>
      <c r="I35" s="393">
        <f t="shared" si="2"/>
        <v>142.21006128366074</v>
      </c>
      <c r="J35" s="62">
        <v>75</v>
      </c>
      <c r="K35" s="204">
        <f t="shared" si="0"/>
        <v>50</v>
      </c>
      <c r="L35" s="11"/>
      <c r="M35" s="74"/>
      <c r="N35" s="383" t="e">
        <f t="shared" si="3"/>
        <v>#DIV/0!</v>
      </c>
      <c r="O35" s="390"/>
    </row>
    <row r="36" spans="2:16" x14ac:dyDescent="0.25">
      <c r="B36" s="506"/>
      <c r="C36" s="107">
        <v>2026</v>
      </c>
      <c r="D36" s="514"/>
      <c r="E36" s="515"/>
      <c r="F36" s="514"/>
      <c r="G36" s="512"/>
      <c r="H36" s="516"/>
      <c r="I36" s="393">
        <f t="shared" si="2"/>
        <v>148.60951404142546</v>
      </c>
      <c r="J36" s="62">
        <v>75</v>
      </c>
      <c r="K36" s="204">
        <f t="shared" si="0"/>
        <v>50</v>
      </c>
      <c r="L36" s="11"/>
      <c r="M36" s="11"/>
      <c r="N36" s="389" t="e">
        <f>AVERAGE(N27:N35)</f>
        <v>#DIV/0!</v>
      </c>
      <c r="O36" s="388" t="e">
        <f>AVERAGE(O27:O30)</f>
        <v>#DIV/0!</v>
      </c>
    </row>
    <row r="37" spans="2:16" ht="15.75" thickBot="1" x14ac:dyDescent="0.3">
      <c r="B37" s="507"/>
      <c r="C37" s="207">
        <v>2027</v>
      </c>
      <c r="D37" s="517"/>
      <c r="E37" s="518"/>
      <c r="F37" s="517"/>
      <c r="G37" s="519"/>
      <c r="H37" s="520"/>
      <c r="I37" s="396">
        <f t="shared" si="2"/>
        <v>155.29694217328958</v>
      </c>
      <c r="J37" s="183">
        <v>75</v>
      </c>
      <c r="K37" s="206">
        <f t="shared" si="0"/>
        <v>50</v>
      </c>
      <c r="L37" s="11"/>
      <c r="M37" s="11"/>
    </row>
    <row r="38" spans="2:16" x14ac:dyDescent="0.25">
      <c r="F38" s="398">
        <f>AVERAGE(F8:F27)</f>
        <v>5.1958975234314267E-2</v>
      </c>
    </row>
    <row r="39" spans="2:16" ht="15.75" thickBot="1" x14ac:dyDescent="0.3">
      <c r="F39" s="386"/>
    </row>
    <row r="40" spans="2:16" ht="20.100000000000001" customHeight="1" thickBot="1" x14ac:dyDescent="0.3">
      <c r="B40"/>
      <c r="C40" s="1037" t="s">
        <v>36</v>
      </c>
      <c r="D40" s="1038"/>
      <c r="E40" s="1038"/>
      <c r="F40" s="1038"/>
      <c r="G40" s="1038"/>
      <c r="H40" s="1038"/>
      <c r="I40" s="1038"/>
      <c r="J40" s="1038"/>
      <c r="K40" s="1039"/>
    </row>
    <row r="41" spans="2:16" ht="15.95" customHeight="1" thickBot="1" x14ac:dyDescent="0.3">
      <c r="B41"/>
      <c r="C41" s="1201" t="s">
        <v>328</v>
      </c>
      <c r="D41" s="1202"/>
      <c r="E41" s="1202"/>
      <c r="F41" s="1202"/>
      <c r="G41" s="1202"/>
      <c r="H41" s="1202"/>
      <c r="I41" s="1202"/>
      <c r="J41" s="1202"/>
      <c r="K41" s="1203"/>
      <c r="M41" s="342" t="s">
        <v>327</v>
      </c>
      <c r="N41" s="342"/>
      <c r="O41" s="342"/>
      <c r="P41" s="342"/>
    </row>
    <row r="42" spans="2:16" ht="15.95" customHeight="1" thickBot="1" x14ac:dyDescent="0.3">
      <c r="B42" s="1051" t="s">
        <v>26</v>
      </c>
      <c r="C42" s="1043" t="s">
        <v>35</v>
      </c>
      <c r="D42" s="1045" t="s">
        <v>110</v>
      </c>
      <c r="E42" s="1046"/>
      <c r="F42" s="1047"/>
      <c r="G42" s="1045" t="s">
        <v>74</v>
      </c>
      <c r="H42" s="1047"/>
      <c r="I42" s="1043" t="s">
        <v>180</v>
      </c>
      <c r="J42" s="1043" t="s">
        <v>268</v>
      </c>
      <c r="K42" s="1049" t="s">
        <v>269</v>
      </c>
    </row>
    <row r="43" spans="2:16" ht="35.1" customHeight="1" thickBot="1" x14ac:dyDescent="0.3">
      <c r="B43" s="1051"/>
      <c r="C43" s="1048"/>
      <c r="D43" s="737" t="s">
        <v>174</v>
      </c>
      <c r="E43" s="737" t="s">
        <v>122</v>
      </c>
      <c r="F43" s="737" t="s">
        <v>81</v>
      </c>
      <c r="G43" s="547" t="s">
        <v>170</v>
      </c>
      <c r="H43" s="548" t="s">
        <v>270</v>
      </c>
      <c r="I43" s="1048"/>
      <c r="J43" s="1048"/>
      <c r="K43" s="1050"/>
      <c r="L43" s="971" t="s">
        <v>354</v>
      </c>
      <c r="M43" s="972" t="s">
        <v>355</v>
      </c>
      <c r="N43" s="942" t="s">
        <v>374</v>
      </c>
    </row>
    <row r="44" spans="2:16" ht="15" customHeight="1" x14ac:dyDescent="0.25">
      <c r="B44" s="738">
        <v>1997</v>
      </c>
      <c r="C44" s="784">
        <v>1997</v>
      </c>
      <c r="D44" s="648">
        <v>45.68</v>
      </c>
      <c r="E44" s="648">
        <v>45.879398926101899</v>
      </c>
      <c r="F44" s="731"/>
      <c r="G44" s="658">
        <f t="shared" ref="G44:G64" si="4">1.1489*B44-2248.3</f>
        <v>46.053300000000036</v>
      </c>
      <c r="H44" s="657"/>
      <c r="I44" s="579">
        <f>3*25</f>
        <v>75</v>
      </c>
      <c r="J44" s="579">
        <f>I44-25</f>
        <v>50</v>
      </c>
      <c r="K44" s="969">
        <f>E44/I44</f>
        <v>0.61172531901469196</v>
      </c>
      <c r="L44" s="943">
        <f>E44-G44</f>
        <v>-0.17390107389813636</v>
      </c>
      <c r="M44" s="984">
        <f>L44*L44</f>
        <v>3.0241583502925082E-2</v>
      </c>
      <c r="N44" s="588">
        <f>B64-B44</f>
        <v>20</v>
      </c>
      <c r="O44" s="694"/>
    </row>
    <row r="45" spans="2:16" ht="15" customHeight="1" x14ac:dyDescent="0.25">
      <c r="B45" s="739">
        <v>1998</v>
      </c>
      <c r="C45" s="785">
        <v>1998</v>
      </c>
      <c r="D45" s="650">
        <v>61.33</v>
      </c>
      <c r="E45" s="650">
        <v>61.597713137868425</v>
      </c>
      <c r="F45" s="729">
        <f t="shared" ref="F45:F64" si="5">(E45-E44)/E44</f>
        <v>0.3426007005253941</v>
      </c>
      <c r="G45" s="658">
        <f t="shared" si="4"/>
        <v>47.202199999999721</v>
      </c>
      <c r="H45" s="658"/>
      <c r="I45" s="581">
        <f t="shared" ref="I45:I74" si="6">3*25</f>
        <v>75</v>
      </c>
      <c r="J45" s="581">
        <f t="shared" ref="J45:J74" si="7">I45-25</f>
        <v>50</v>
      </c>
      <c r="K45" s="970">
        <f t="shared" ref="K45:K63" si="8">E45/I45</f>
        <v>0.82130284183824565</v>
      </c>
      <c r="L45" s="973">
        <f>E45-G45</f>
        <v>14.395513137868704</v>
      </c>
      <c r="M45" s="947">
        <f t="shared" ref="M45:M60" si="9">L45*L45</f>
        <v>207.23079850255047</v>
      </c>
      <c r="N45" s="694"/>
      <c r="O45" s="694"/>
    </row>
    <row r="46" spans="2:16" ht="15" customHeight="1" x14ac:dyDescent="0.25">
      <c r="B46" s="739">
        <v>1999</v>
      </c>
      <c r="C46" s="785">
        <v>1999</v>
      </c>
      <c r="D46" s="650">
        <v>45.46</v>
      </c>
      <c r="E46" s="650">
        <v>45.658438598524356</v>
      </c>
      <c r="F46" s="729">
        <f t="shared" si="5"/>
        <v>-0.25876406326430779</v>
      </c>
      <c r="G46" s="658">
        <f t="shared" si="4"/>
        <v>48.35109999999986</v>
      </c>
      <c r="H46" s="658"/>
      <c r="I46" s="581">
        <f t="shared" si="6"/>
        <v>75</v>
      </c>
      <c r="J46" s="581">
        <f t="shared" si="7"/>
        <v>50</v>
      </c>
      <c r="K46" s="970">
        <f t="shared" si="8"/>
        <v>0.60877918131365805</v>
      </c>
      <c r="L46" s="973">
        <f t="shared" ref="L46:L60" si="10">E46-G46</f>
        <v>-2.6926614014755046</v>
      </c>
      <c r="M46" s="947">
        <f t="shared" si="9"/>
        <v>7.2504254229960283</v>
      </c>
      <c r="N46" s="694"/>
      <c r="O46" s="694"/>
    </row>
    <row r="47" spans="2:16" ht="15" customHeight="1" x14ac:dyDescent="0.25">
      <c r="B47" s="739">
        <v>2000</v>
      </c>
      <c r="C47" s="785">
        <v>2000</v>
      </c>
      <c r="D47" s="650">
        <v>42.8</v>
      </c>
      <c r="E47" s="650">
        <v>42.986827365086718</v>
      </c>
      <c r="F47" s="729">
        <f t="shared" si="5"/>
        <v>-5.8512978442586995E-2</v>
      </c>
      <c r="G47" s="658">
        <f t="shared" si="4"/>
        <v>49.5</v>
      </c>
      <c r="H47" s="658"/>
      <c r="I47" s="581">
        <f t="shared" si="6"/>
        <v>75</v>
      </c>
      <c r="J47" s="581">
        <f t="shared" si="7"/>
        <v>50</v>
      </c>
      <c r="K47" s="970">
        <f t="shared" si="8"/>
        <v>0.57315769820115625</v>
      </c>
      <c r="L47" s="973">
        <f t="shared" si="10"/>
        <v>-6.5131726349132819</v>
      </c>
      <c r="M47" s="947">
        <f t="shared" si="9"/>
        <v>42.421417772183226</v>
      </c>
      <c r="N47" s="694"/>
      <c r="O47" s="694"/>
    </row>
    <row r="48" spans="2:16" ht="15" customHeight="1" x14ac:dyDescent="0.25">
      <c r="B48" s="739">
        <v>2001</v>
      </c>
      <c r="C48" s="785">
        <v>2001</v>
      </c>
      <c r="D48" s="650">
        <v>46.17</v>
      </c>
      <c r="E48" s="650">
        <v>46.371537837524627</v>
      </c>
      <c r="F48" s="729">
        <f t="shared" si="5"/>
        <v>7.8738317757009499E-2</v>
      </c>
      <c r="G48" s="658">
        <f t="shared" si="4"/>
        <v>50.648899999999685</v>
      </c>
      <c r="H48" s="658"/>
      <c r="I48" s="581">
        <f t="shared" si="6"/>
        <v>75</v>
      </c>
      <c r="J48" s="581">
        <f t="shared" si="7"/>
        <v>50</v>
      </c>
      <c r="K48" s="970">
        <f t="shared" si="8"/>
        <v>0.61828717116699505</v>
      </c>
      <c r="L48" s="973">
        <f t="shared" si="10"/>
        <v>-4.2773621624750575</v>
      </c>
      <c r="M48" s="947">
        <f t="shared" si="9"/>
        <v>18.295827068973299</v>
      </c>
      <c r="N48" s="694"/>
      <c r="O48" s="694"/>
    </row>
    <row r="49" spans="2:15" ht="15" customHeight="1" x14ac:dyDescent="0.25">
      <c r="B49" s="739">
        <v>2002</v>
      </c>
      <c r="C49" s="785">
        <v>2002</v>
      </c>
      <c r="D49" s="650">
        <v>49.97</v>
      </c>
      <c r="E49" s="650">
        <v>50.188125313864099</v>
      </c>
      <c r="F49" s="729">
        <f t="shared" si="5"/>
        <v>8.2304526748971096E-2</v>
      </c>
      <c r="G49" s="658">
        <f t="shared" si="4"/>
        <v>51.797799999999825</v>
      </c>
      <c r="H49" s="658"/>
      <c r="I49" s="581">
        <f t="shared" si="6"/>
        <v>75</v>
      </c>
      <c r="J49" s="581">
        <f t="shared" si="7"/>
        <v>50</v>
      </c>
      <c r="K49" s="970">
        <f t="shared" si="8"/>
        <v>0.66917500418485465</v>
      </c>
      <c r="L49" s="973">
        <f t="shared" si="10"/>
        <v>-1.6096746861357261</v>
      </c>
      <c r="M49" s="947">
        <f t="shared" si="9"/>
        <v>2.5910525951861483</v>
      </c>
      <c r="N49" s="694"/>
      <c r="O49" s="694"/>
    </row>
    <row r="50" spans="2:15" ht="15" customHeight="1" x14ac:dyDescent="0.25">
      <c r="B50" s="739">
        <v>2003</v>
      </c>
      <c r="C50" s="732">
        <v>37789.84375</v>
      </c>
      <c r="D50" s="650">
        <v>48.83</v>
      </c>
      <c r="E50" s="650">
        <v>49.21</v>
      </c>
      <c r="F50" s="729">
        <f t="shared" si="5"/>
        <v>-1.9489178122257894E-2</v>
      </c>
      <c r="G50" s="658">
        <f t="shared" si="4"/>
        <v>52.946699999999964</v>
      </c>
      <c r="H50" s="658"/>
      <c r="I50" s="581">
        <f t="shared" si="6"/>
        <v>75</v>
      </c>
      <c r="J50" s="581">
        <f t="shared" si="7"/>
        <v>50</v>
      </c>
      <c r="K50" s="970">
        <f t="shared" si="8"/>
        <v>0.65613333333333335</v>
      </c>
      <c r="L50" s="973">
        <f t="shared" si="10"/>
        <v>-3.7366999999999635</v>
      </c>
      <c r="M50" s="947">
        <f t="shared" si="9"/>
        <v>13.962926889999727</v>
      </c>
      <c r="N50" s="694"/>
      <c r="O50" s="694"/>
    </row>
    <row r="51" spans="2:15" ht="15" customHeight="1" x14ac:dyDescent="0.25">
      <c r="B51" s="739">
        <v>2004</v>
      </c>
      <c r="C51" s="732">
        <v>38216.864583333336</v>
      </c>
      <c r="D51" s="650">
        <v>50.93</v>
      </c>
      <c r="E51" s="650">
        <v>51.41</v>
      </c>
      <c r="F51" s="729">
        <f t="shared" si="5"/>
        <v>4.470636049583409E-2</v>
      </c>
      <c r="G51" s="658">
        <f t="shared" si="4"/>
        <v>54.095600000000104</v>
      </c>
      <c r="H51" s="658"/>
      <c r="I51" s="581">
        <f t="shared" si="6"/>
        <v>75</v>
      </c>
      <c r="J51" s="581">
        <f t="shared" si="7"/>
        <v>50</v>
      </c>
      <c r="K51" s="970">
        <f t="shared" si="8"/>
        <v>0.68546666666666667</v>
      </c>
      <c r="L51" s="973">
        <f t="shared" si="10"/>
        <v>-2.6856000000001075</v>
      </c>
      <c r="M51" s="947">
        <f t="shared" si="9"/>
        <v>7.212447360000577</v>
      </c>
      <c r="N51" s="694"/>
      <c r="O51" s="694"/>
    </row>
    <row r="52" spans="2:15" ht="15" customHeight="1" x14ac:dyDescent="0.25">
      <c r="B52" s="739">
        <v>2005</v>
      </c>
      <c r="C52" s="732">
        <v>38595.84375</v>
      </c>
      <c r="D52" s="650">
        <v>60.94</v>
      </c>
      <c r="E52" s="650">
        <v>61.85</v>
      </c>
      <c r="F52" s="729">
        <f t="shared" si="5"/>
        <v>0.20307333203656888</v>
      </c>
      <c r="G52" s="658">
        <f t="shared" si="4"/>
        <v>55.244499999999789</v>
      </c>
      <c r="H52" s="658"/>
      <c r="I52" s="581">
        <f t="shared" si="6"/>
        <v>75</v>
      </c>
      <c r="J52" s="581">
        <f t="shared" si="7"/>
        <v>50</v>
      </c>
      <c r="K52" s="970">
        <f t="shared" si="8"/>
        <v>0.82466666666666666</v>
      </c>
      <c r="L52" s="973">
        <f t="shared" si="10"/>
        <v>6.6055000000002124</v>
      </c>
      <c r="M52" s="947">
        <f t="shared" si="9"/>
        <v>43.632630250002805</v>
      </c>
      <c r="N52" s="694"/>
      <c r="O52" s="694"/>
    </row>
    <row r="53" spans="2:15" ht="15" customHeight="1" x14ac:dyDescent="0.25">
      <c r="B53" s="739">
        <v>2006</v>
      </c>
      <c r="C53" s="732">
        <v>38930.802083333336</v>
      </c>
      <c r="D53" s="650">
        <v>58.46</v>
      </c>
      <c r="E53" s="650">
        <v>59.15</v>
      </c>
      <c r="F53" s="729">
        <f t="shared" si="5"/>
        <v>-4.3654001616814916E-2</v>
      </c>
      <c r="G53" s="658">
        <f t="shared" si="4"/>
        <v>56.393399999999929</v>
      </c>
      <c r="H53" s="658"/>
      <c r="I53" s="581">
        <f t="shared" si="6"/>
        <v>75</v>
      </c>
      <c r="J53" s="581">
        <f t="shared" si="7"/>
        <v>50</v>
      </c>
      <c r="K53" s="970">
        <f t="shared" si="8"/>
        <v>0.78866666666666663</v>
      </c>
      <c r="L53" s="973">
        <f t="shared" si="10"/>
        <v>2.7566000000000699</v>
      </c>
      <c r="M53" s="947">
        <f t="shared" si="9"/>
        <v>7.5988435600003852</v>
      </c>
      <c r="N53" s="694"/>
      <c r="O53" s="694"/>
    </row>
    <row r="54" spans="2:15" ht="15" customHeight="1" x14ac:dyDescent="0.25">
      <c r="B54" s="739">
        <v>2007</v>
      </c>
      <c r="C54" s="732">
        <v>39232.802083333336</v>
      </c>
      <c r="D54" s="650">
        <v>58.77</v>
      </c>
      <c r="E54" s="650">
        <v>59.12</v>
      </c>
      <c r="F54" s="729">
        <f t="shared" si="5"/>
        <v>-5.0718512256975714E-4</v>
      </c>
      <c r="G54" s="658">
        <f t="shared" si="4"/>
        <v>57.542300000000068</v>
      </c>
      <c r="H54" s="658"/>
      <c r="I54" s="581">
        <f t="shared" si="6"/>
        <v>75</v>
      </c>
      <c r="J54" s="581">
        <f t="shared" si="7"/>
        <v>50</v>
      </c>
      <c r="K54" s="970">
        <f t="shared" si="8"/>
        <v>0.78826666666666667</v>
      </c>
      <c r="L54" s="973">
        <f t="shared" si="10"/>
        <v>1.577699999999929</v>
      </c>
      <c r="M54" s="947">
        <f t="shared" si="9"/>
        <v>2.4891372899997761</v>
      </c>
      <c r="N54" s="694"/>
      <c r="O54" s="694"/>
    </row>
    <row r="55" spans="2:15" ht="15" customHeight="1" x14ac:dyDescent="0.25">
      <c r="B55" s="739">
        <v>2008</v>
      </c>
      <c r="C55" s="732">
        <v>39596.833333333336</v>
      </c>
      <c r="D55" s="650">
        <v>57.19</v>
      </c>
      <c r="E55" s="650">
        <v>57.42</v>
      </c>
      <c r="F55" s="729">
        <f t="shared" si="5"/>
        <v>-2.8755074424898441E-2</v>
      </c>
      <c r="G55" s="658">
        <f t="shared" si="4"/>
        <v>58.691199999999753</v>
      </c>
      <c r="H55" s="658"/>
      <c r="I55" s="581">
        <f t="shared" si="6"/>
        <v>75</v>
      </c>
      <c r="J55" s="581">
        <f t="shared" si="7"/>
        <v>50</v>
      </c>
      <c r="K55" s="970">
        <f t="shared" si="8"/>
        <v>0.76560000000000006</v>
      </c>
      <c r="L55" s="973">
        <f t="shared" si="10"/>
        <v>-1.2711999999997516</v>
      </c>
      <c r="M55" s="947">
        <f t="shared" si="9"/>
        <v>1.6159494399993686</v>
      </c>
      <c r="N55" s="694"/>
      <c r="O55" s="694"/>
    </row>
    <row r="56" spans="2:15" ht="15" customHeight="1" x14ac:dyDescent="0.25">
      <c r="B56" s="739">
        <v>2009</v>
      </c>
      <c r="C56" s="732">
        <v>40016.8125</v>
      </c>
      <c r="D56" s="650">
        <v>54.41</v>
      </c>
      <c r="E56" s="650">
        <v>54.58</v>
      </c>
      <c r="F56" s="729">
        <f t="shared" si="5"/>
        <v>-4.9460118425635725E-2</v>
      </c>
      <c r="G56" s="658">
        <f t="shared" si="4"/>
        <v>59.840099999999893</v>
      </c>
      <c r="H56" s="658"/>
      <c r="I56" s="581">
        <f t="shared" si="6"/>
        <v>75</v>
      </c>
      <c r="J56" s="581">
        <f t="shared" si="7"/>
        <v>50</v>
      </c>
      <c r="K56" s="970">
        <f t="shared" si="8"/>
        <v>0.72773333333333334</v>
      </c>
      <c r="L56" s="973">
        <f t="shared" si="10"/>
        <v>-5.2600999999998947</v>
      </c>
      <c r="M56" s="947">
        <f t="shared" si="9"/>
        <v>27.668652009998894</v>
      </c>
      <c r="N56" s="694"/>
      <c r="O56" s="694"/>
    </row>
    <row r="57" spans="2:15" ht="15" customHeight="1" x14ac:dyDescent="0.25">
      <c r="B57" s="739">
        <v>2010</v>
      </c>
      <c r="C57" s="732">
        <v>40378.895833333336</v>
      </c>
      <c r="D57" s="650">
        <v>57.27</v>
      </c>
      <c r="E57" s="650">
        <v>57.3</v>
      </c>
      <c r="F57" s="729">
        <f t="shared" si="5"/>
        <v>4.9835104433858537E-2</v>
      </c>
      <c r="G57" s="658">
        <f t="shared" si="4"/>
        <v>60.989000000000033</v>
      </c>
      <c r="H57" s="658"/>
      <c r="I57" s="581">
        <f t="shared" si="6"/>
        <v>75</v>
      </c>
      <c r="J57" s="581">
        <f t="shared" si="7"/>
        <v>50</v>
      </c>
      <c r="K57" s="970">
        <f t="shared" si="8"/>
        <v>0.76400000000000001</v>
      </c>
      <c r="L57" s="973">
        <f t="shared" si="10"/>
        <v>-3.6890000000000356</v>
      </c>
      <c r="M57" s="947">
        <f t="shared" si="9"/>
        <v>13.608721000000262</v>
      </c>
      <c r="N57" s="694"/>
      <c r="O57" s="694"/>
    </row>
    <row r="58" spans="2:15" ht="15" customHeight="1" x14ac:dyDescent="0.25">
      <c r="B58" s="739">
        <v>2011</v>
      </c>
      <c r="C58" s="732">
        <v>40728.864583333336</v>
      </c>
      <c r="D58" s="650">
        <v>60.96</v>
      </c>
      <c r="E58" s="650">
        <v>61.15</v>
      </c>
      <c r="F58" s="729">
        <f t="shared" si="5"/>
        <v>6.7190226876090775E-2</v>
      </c>
      <c r="G58" s="658">
        <f t="shared" si="4"/>
        <v>62.137899999999718</v>
      </c>
      <c r="H58" s="658"/>
      <c r="I58" s="581">
        <f t="shared" si="6"/>
        <v>75</v>
      </c>
      <c r="J58" s="581">
        <f t="shared" si="7"/>
        <v>50</v>
      </c>
      <c r="K58" s="970">
        <f t="shared" si="8"/>
        <v>0.81533333333333335</v>
      </c>
      <c r="L58" s="973">
        <f t="shared" si="10"/>
        <v>-0.98789999999971911</v>
      </c>
      <c r="M58" s="947">
        <f t="shared" si="9"/>
        <v>0.97594640999944504</v>
      </c>
    </row>
    <row r="59" spans="2:15" ht="15" customHeight="1" x14ac:dyDescent="0.25">
      <c r="B59" s="739">
        <v>2012</v>
      </c>
      <c r="C59" s="732">
        <v>41120.895833333336</v>
      </c>
      <c r="D59" s="650">
        <v>66.010000000000005</v>
      </c>
      <c r="E59" s="650">
        <v>66.05</v>
      </c>
      <c r="F59" s="729">
        <f t="shared" si="5"/>
        <v>8.0130825838103006E-2</v>
      </c>
      <c r="G59" s="658">
        <f t="shared" si="4"/>
        <v>63.286799999999857</v>
      </c>
      <c r="H59" s="658"/>
      <c r="I59" s="581">
        <f t="shared" si="6"/>
        <v>75</v>
      </c>
      <c r="J59" s="581">
        <f t="shared" si="7"/>
        <v>50</v>
      </c>
      <c r="K59" s="970">
        <f t="shared" si="8"/>
        <v>0.8806666666666666</v>
      </c>
      <c r="L59" s="973">
        <f>E59-G59</f>
        <v>2.7632000000001398</v>
      </c>
      <c r="M59" s="947">
        <f t="shared" si="9"/>
        <v>7.635274240000772</v>
      </c>
    </row>
    <row r="60" spans="2:15" ht="15" customHeight="1" x14ac:dyDescent="0.25">
      <c r="B60" s="739">
        <v>2013</v>
      </c>
      <c r="C60" s="732">
        <v>41477.8125</v>
      </c>
      <c r="D60" s="650">
        <v>69.430000000000007</v>
      </c>
      <c r="E60" s="650">
        <v>69.44</v>
      </c>
      <c r="F60" s="729">
        <f t="shared" si="5"/>
        <v>5.1324753974261936E-2</v>
      </c>
      <c r="G60" s="658">
        <f t="shared" si="4"/>
        <v>64.435699999999997</v>
      </c>
      <c r="H60" s="658"/>
      <c r="I60" s="581">
        <f t="shared" si="6"/>
        <v>75</v>
      </c>
      <c r="J60" s="581">
        <f t="shared" si="7"/>
        <v>50</v>
      </c>
      <c r="K60" s="983">
        <f t="shared" si="8"/>
        <v>0.92586666666666662</v>
      </c>
      <c r="L60" s="973">
        <f t="shared" si="10"/>
        <v>5.0043000000000006</v>
      </c>
      <c r="M60" s="947">
        <f t="shared" si="9"/>
        <v>25.043018490000005</v>
      </c>
    </row>
    <row r="61" spans="2:15" ht="15" customHeight="1" thickBot="1" x14ac:dyDescent="0.3">
      <c r="B61" s="739">
        <v>2014</v>
      </c>
      <c r="C61" s="580">
        <v>41661.604166666664</v>
      </c>
      <c r="D61" s="650">
        <v>69.55</v>
      </c>
      <c r="E61" s="650">
        <v>70.709999999999994</v>
      </c>
      <c r="F61" s="729">
        <f t="shared" si="5"/>
        <v>1.8289170506912384E-2</v>
      </c>
      <c r="G61" s="658">
        <f t="shared" si="4"/>
        <v>65.584599999999682</v>
      </c>
      <c r="H61" s="658"/>
      <c r="I61" s="581">
        <f t="shared" si="6"/>
        <v>75</v>
      </c>
      <c r="J61" s="581">
        <f t="shared" si="7"/>
        <v>50</v>
      </c>
      <c r="K61" s="983">
        <f t="shared" si="8"/>
        <v>0.94279999999999997</v>
      </c>
      <c r="L61" s="973">
        <f t="shared" ref="L61:L64" si="11">E61-G61</f>
        <v>5.1254000000003117</v>
      </c>
      <c r="M61" s="947">
        <f t="shared" ref="M61:M64" si="12">L61*L61</f>
        <v>26.269725160003194</v>
      </c>
    </row>
    <row r="62" spans="2:15" ht="15" customHeight="1" x14ac:dyDescent="0.25">
      <c r="B62" s="739">
        <v>2015</v>
      </c>
      <c r="C62" s="580">
        <v>42198.885416666664</v>
      </c>
      <c r="D62" s="650">
        <v>69.459999999999994</v>
      </c>
      <c r="E62" s="650">
        <v>69.47</v>
      </c>
      <c r="F62" s="729">
        <f t="shared" si="5"/>
        <v>-1.7536416348465492E-2</v>
      </c>
      <c r="G62" s="658">
        <f t="shared" si="4"/>
        <v>66.733499999999822</v>
      </c>
      <c r="H62" s="658"/>
      <c r="I62" s="581">
        <f t="shared" si="6"/>
        <v>75</v>
      </c>
      <c r="J62" s="581">
        <f t="shared" si="7"/>
        <v>50</v>
      </c>
      <c r="K62" s="983">
        <f t="shared" si="8"/>
        <v>0.92626666666666668</v>
      </c>
      <c r="L62" s="973">
        <f t="shared" si="11"/>
        <v>2.7365000000001771</v>
      </c>
      <c r="M62" s="947">
        <f t="shared" si="12"/>
        <v>7.4884322500009697</v>
      </c>
      <c r="N62" s="1226" t="s">
        <v>362</v>
      </c>
      <c r="O62" s="1227"/>
    </row>
    <row r="63" spans="2:15" ht="15" customHeight="1" x14ac:dyDescent="0.25">
      <c r="B63" s="740">
        <v>2016</v>
      </c>
      <c r="C63" s="580">
        <v>42412.645833333336</v>
      </c>
      <c r="D63" s="650">
        <v>61.71</v>
      </c>
      <c r="E63" s="650">
        <v>62.68</v>
      </c>
      <c r="F63" s="729">
        <f t="shared" si="5"/>
        <v>-9.7740031668346036E-2</v>
      </c>
      <c r="G63" s="658">
        <f t="shared" si="4"/>
        <v>67.882399999999961</v>
      </c>
      <c r="H63" s="658"/>
      <c r="I63" s="581">
        <f>3*25</f>
        <v>75</v>
      </c>
      <c r="J63" s="581">
        <f t="shared" si="7"/>
        <v>50</v>
      </c>
      <c r="K63" s="970">
        <f t="shared" si="8"/>
        <v>0.83573333333333333</v>
      </c>
      <c r="L63" s="973">
        <f t="shared" si="11"/>
        <v>-5.2023999999999617</v>
      </c>
      <c r="M63" s="947">
        <f t="shared" si="12"/>
        <v>27.064965759999602</v>
      </c>
      <c r="N63" s="977" t="s">
        <v>358</v>
      </c>
      <c r="O63" s="946" t="s">
        <v>357</v>
      </c>
    </row>
    <row r="64" spans="2:15" ht="15" customHeight="1" thickBot="1" x14ac:dyDescent="0.3">
      <c r="B64" s="740">
        <v>2017</v>
      </c>
      <c r="C64" s="580">
        <v>42933.875</v>
      </c>
      <c r="D64" s="650">
        <v>68.2</v>
      </c>
      <c r="E64" s="650">
        <v>68.23</v>
      </c>
      <c r="F64" s="729">
        <f t="shared" si="5"/>
        <v>8.8544990427568665E-2</v>
      </c>
      <c r="G64" s="658">
        <f t="shared" si="4"/>
        <v>69.031300000000101</v>
      </c>
      <c r="H64" s="658">
        <f>E64</f>
        <v>68.23</v>
      </c>
      <c r="I64" s="581">
        <f t="shared" si="6"/>
        <v>75</v>
      </c>
      <c r="J64" s="581">
        <f t="shared" si="7"/>
        <v>50</v>
      </c>
      <c r="K64" s="983">
        <f>E64/I64</f>
        <v>0.90973333333333339</v>
      </c>
      <c r="L64" s="975">
        <f t="shared" si="11"/>
        <v>-0.80130000000009716</v>
      </c>
      <c r="M64" s="978">
        <f t="shared" si="12"/>
        <v>0.64208169000015569</v>
      </c>
      <c r="N64" s="973">
        <f>H64</f>
        <v>68.23</v>
      </c>
      <c r="O64" s="947">
        <f>H64</f>
        <v>68.23</v>
      </c>
    </row>
    <row r="65" spans="2:15" ht="15" customHeight="1" x14ac:dyDescent="0.25">
      <c r="B65" s="736">
        <v>2018</v>
      </c>
      <c r="C65" s="720">
        <v>2018</v>
      </c>
      <c r="D65" s="652"/>
      <c r="E65" s="652"/>
      <c r="F65" s="730"/>
      <c r="G65" s="660">
        <f>1.1489*B65-2248.3</f>
        <v>70.180199999999786</v>
      </c>
      <c r="H65" s="661">
        <f>1.15+H64</f>
        <v>69.38000000000001</v>
      </c>
      <c r="I65" s="584">
        <f t="shared" si="6"/>
        <v>75</v>
      </c>
      <c r="J65" s="584">
        <f t="shared" si="7"/>
        <v>50</v>
      </c>
      <c r="K65" s="681">
        <f>H65/I65</f>
        <v>0.92506666666666681</v>
      </c>
      <c r="L65" s="694" t="s">
        <v>369</v>
      </c>
      <c r="M65" s="694">
        <f>SUM(M44:M64)</f>
        <v>490.72851474539817</v>
      </c>
      <c r="N65" s="988">
        <f>H65+10.44</f>
        <v>79.820000000000007</v>
      </c>
      <c r="O65" s="985">
        <f>H65-10.44</f>
        <v>58.940000000000012</v>
      </c>
    </row>
    <row r="66" spans="2:15" ht="15" customHeight="1" x14ac:dyDescent="0.25">
      <c r="B66" s="736">
        <v>2019</v>
      </c>
      <c r="C66" s="720">
        <v>2019</v>
      </c>
      <c r="D66" s="652"/>
      <c r="E66" s="652"/>
      <c r="F66" s="730"/>
      <c r="G66" s="660">
        <f t="shared" ref="G66:G74" si="13">1.1489*B66-2248.3</f>
        <v>71.329099999999926</v>
      </c>
      <c r="H66" s="661">
        <f t="shared" ref="H66:H74" si="14">1.15+H65</f>
        <v>70.530000000000015</v>
      </c>
      <c r="I66" s="584">
        <f t="shared" si="6"/>
        <v>75</v>
      </c>
      <c r="J66" s="584">
        <f t="shared" si="7"/>
        <v>50</v>
      </c>
      <c r="K66" s="681">
        <f>H66/I66</f>
        <v>0.94040000000000024</v>
      </c>
      <c r="L66" s="694" t="s">
        <v>373</v>
      </c>
      <c r="M66" s="694">
        <f>M65/(N44-2)</f>
        <v>27.262695263633233</v>
      </c>
      <c r="N66" s="989">
        <f t="shared" ref="N66:N74" si="15">H66+10.44</f>
        <v>80.970000000000013</v>
      </c>
      <c r="O66" s="986">
        <f t="shared" ref="O66:O74" si="16">H66-10.44</f>
        <v>60.090000000000018</v>
      </c>
    </row>
    <row r="67" spans="2:15" ht="15" customHeight="1" x14ac:dyDescent="0.25">
      <c r="B67" s="736">
        <v>2020</v>
      </c>
      <c r="C67" s="720">
        <v>2020</v>
      </c>
      <c r="D67" s="652"/>
      <c r="E67" s="652"/>
      <c r="F67" s="730"/>
      <c r="G67" s="660">
        <f t="shared" si="13"/>
        <v>72.478000000000065</v>
      </c>
      <c r="H67" s="661">
        <f t="shared" si="14"/>
        <v>71.680000000000021</v>
      </c>
      <c r="I67" s="584">
        <f t="shared" si="6"/>
        <v>75</v>
      </c>
      <c r="J67" s="584">
        <f t="shared" si="7"/>
        <v>50</v>
      </c>
      <c r="K67" s="681">
        <f t="shared" ref="K67:K73" si="17">H67/I67</f>
        <v>0.95573333333333366</v>
      </c>
      <c r="L67" s="694" t="s">
        <v>371</v>
      </c>
      <c r="M67" s="950">
        <f>SQRT(M66)</f>
        <v>5.2213690985825965</v>
      </c>
      <c r="N67" s="989">
        <f t="shared" si="15"/>
        <v>82.120000000000019</v>
      </c>
      <c r="O67" s="986">
        <f t="shared" si="16"/>
        <v>61.240000000000023</v>
      </c>
    </row>
    <row r="68" spans="2:15" ht="15" customHeight="1" x14ac:dyDescent="0.25">
      <c r="B68" s="736">
        <v>2021</v>
      </c>
      <c r="C68" s="720">
        <v>2021</v>
      </c>
      <c r="D68" s="652"/>
      <c r="E68" s="652"/>
      <c r="F68" s="730"/>
      <c r="G68" s="660">
        <f t="shared" si="13"/>
        <v>73.62689999999975</v>
      </c>
      <c r="H68" s="661">
        <f t="shared" si="14"/>
        <v>72.830000000000027</v>
      </c>
      <c r="I68" s="584">
        <f t="shared" si="6"/>
        <v>75</v>
      </c>
      <c r="J68" s="584">
        <f t="shared" si="7"/>
        <v>50</v>
      </c>
      <c r="K68" s="681">
        <f t="shared" si="17"/>
        <v>0.97106666666666708</v>
      </c>
      <c r="L68" s="694" t="s">
        <v>372</v>
      </c>
      <c r="M68" s="950">
        <f>2*M67</f>
        <v>10.442738197165193</v>
      </c>
      <c r="N68" s="989">
        <f t="shared" si="15"/>
        <v>83.270000000000024</v>
      </c>
      <c r="O68" s="986">
        <f t="shared" si="16"/>
        <v>62.390000000000029</v>
      </c>
    </row>
    <row r="69" spans="2:15" ht="15" customHeight="1" x14ac:dyDescent="0.25">
      <c r="B69" s="736">
        <v>2022</v>
      </c>
      <c r="C69" s="720">
        <v>2022</v>
      </c>
      <c r="D69" s="652"/>
      <c r="E69" s="652"/>
      <c r="F69" s="730"/>
      <c r="G69" s="660">
        <f t="shared" si="13"/>
        <v>74.77579999999989</v>
      </c>
      <c r="H69" s="661">
        <f t="shared" si="14"/>
        <v>73.980000000000032</v>
      </c>
      <c r="I69" s="584">
        <f t="shared" si="6"/>
        <v>75</v>
      </c>
      <c r="J69" s="584">
        <f t="shared" si="7"/>
        <v>50</v>
      </c>
      <c r="K69" s="681">
        <f t="shared" si="17"/>
        <v>0.98640000000000039</v>
      </c>
      <c r="L69" s="694"/>
      <c r="M69" s="694"/>
      <c r="N69" s="989">
        <f t="shared" si="15"/>
        <v>84.42000000000003</v>
      </c>
      <c r="O69" s="986">
        <f t="shared" si="16"/>
        <v>63.540000000000035</v>
      </c>
    </row>
    <row r="70" spans="2:15" ht="15" customHeight="1" x14ac:dyDescent="0.25">
      <c r="B70" s="736">
        <v>2023</v>
      </c>
      <c r="C70" s="720">
        <v>2023</v>
      </c>
      <c r="D70" s="652"/>
      <c r="E70" s="652"/>
      <c r="F70" s="730"/>
      <c r="G70" s="660">
        <f t="shared" si="13"/>
        <v>75.92470000000003</v>
      </c>
      <c r="H70" s="661">
        <f t="shared" si="14"/>
        <v>75.130000000000038</v>
      </c>
      <c r="I70" s="584">
        <f t="shared" si="6"/>
        <v>75</v>
      </c>
      <c r="J70" s="584">
        <f t="shared" si="7"/>
        <v>50</v>
      </c>
      <c r="K70" s="681">
        <f t="shared" si="17"/>
        <v>1.0017333333333338</v>
      </c>
      <c r="L70" s="694"/>
      <c r="M70" s="694"/>
      <c r="N70" s="989">
        <f t="shared" si="15"/>
        <v>85.570000000000036</v>
      </c>
      <c r="O70" s="986">
        <f t="shared" si="16"/>
        <v>64.69000000000004</v>
      </c>
    </row>
    <row r="71" spans="2:15" ht="15" customHeight="1" x14ac:dyDescent="0.25">
      <c r="B71" s="736">
        <v>2024</v>
      </c>
      <c r="C71" s="721">
        <v>2024</v>
      </c>
      <c r="D71" s="652"/>
      <c r="E71" s="652"/>
      <c r="F71" s="730"/>
      <c r="G71" s="660">
        <f t="shared" si="13"/>
        <v>77.073599999999715</v>
      </c>
      <c r="H71" s="661">
        <f t="shared" si="14"/>
        <v>76.280000000000044</v>
      </c>
      <c r="I71" s="584">
        <f t="shared" si="6"/>
        <v>75</v>
      </c>
      <c r="J71" s="584">
        <f t="shared" si="7"/>
        <v>50</v>
      </c>
      <c r="K71" s="681">
        <f>H71/I71</f>
        <v>1.0170666666666672</v>
      </c>
      <c r="L71" s="11"/>
      <c r="M71" s="11"/>
      <c r="N71" s="989">
        <f t="shared" si="15"/>
        <v>86.720000000000041</v>
      </c>
      <c r="O71" s="986">
        <f t="shared" si="16"/>
        <v>65.840000000000046</v>
      </c>
    </row>
    <row r="72" spans="2:15" ht="15" customHeight="1" x14ac:dyDescent="0.25">
      <c r="B72" s="736">
        <v>2025</v>
      </c>
      <c r="C72" s="721">
        <v>2025</v>
      </c>
      <c r="D72" s="652"/>
      <c r="E72" s="652"/>
      <c r="F72" s="730"/>
      <c r="G72" s="660">
        <f t="shared" si="13"/>
        <v>78.222499999999854</v>
      </c>
      <c r="H72" s="661">
        <f t="shared" si="14"/>
        <v>77.430000000000049</v>
      </c>
      <c r="I72" s="584">
        <f t="shared" si="6"/>
        <v>75</v>
      </c>
      <c r="J72" s="584">
        <f t="shared" si="7"/>
        <v>50</v>
      </c>
      <c r="K72" s="681">
        <f t="shared" si="17"/>
        <v>1.0324000000000007</v>
      </c>
      <c r="L72" s="11"/>
      <c r="M72" s="11"/>
      <c r="N72" s="989">
        <f t="shared" si="15"/>
        <v>87.870000000000047</v>
      </c>
      <c r="O72" s="986">
        <f t="shared" si="16"/>
        <v>66.990000000000052</v>
      </c>
    </row>
    <row r="73" spans="2:15" x14ac:dyDescent="0.25">
      <c r="B73" s="736">
        <v>2026</v>
      </c>
      <c r="C73" s="721">
        <v>2026</v>
      </c>
      <c r="D73" s="652"/>
      <c r="E73" s="652"/>
      <c r="F73" s="730"/>
      <c r="G73" s="660">
        <f t="shared" si="13"/>
        <v>79.371399999999994</v>
      </c>
      <c r="H73" s="661">
        <f t="shared" si="14"/>
        <v>78.580000000000055</v>
      </c>
      <c r="I73" s="584">
        <f t="shared" si="6"/>
        <v>75</v>
      </c>
      <c r="J73" s="584">
        <f>I73-25</f>
        <v>50</v>
      </c>
      <c r="K73" s="681">
        <f t="shared" si="17"/>
        <v>1.0477333333333341</v>
      </c>
      <c r="L73" s="11"/>
      <c r="M73" s="11"/>
      <c r="N73" s="989">
        <f t="shared" si="15"/>
        <v>89.020000000000053</v>
      </c>
      <c r="O73" s="986">
        <f t="shared" si="16"/>
        <v>68.140000000000057</v>
      </c>
    </row>
    <row r="74" spans="2:15" ht="15.75" thickBot="1" x14ac:dyDescent="0.3">
      <c r="B74" s="741">
        <v>2027</v>
      </c>
      <c r="C74" s="722">
        <v>2027</v>
      </c>
      <c r="D74" s="656"/>
      <c r="E74" s="656"/>
      <c r="F74" s="734"/>
      <c r="G74" s="662">
        <f t="shared" si="13"/>
        <v>80.520299999999679</v>
      </c>
      <c r="H74" s="663">
        <f t="shared" si="14"/>
        <v>79.730000000000061</v>
      </c>
      <c r="I74" s="586">
        <f t="shared" si="6"/>
        <v>75</v>
      </c>
      <c r="J74" s="586">
        <f t="shared" si="7"/>
        <v>50</v>
      </c>
      <c r="K74" s="742">
        <f>H74/I74</f>
        <v>1.0630666666666675</v>
      </c>
      <c r="L74" s="11"/>
      <c r="M74" s="11"/>
      <c r="N74" s="990">
        <f t="shared" si="15"/>
        <v>90.170000000000059</v>
      </c>
      <c r="O74" s="987">
        <f t="shared" si="16"/>
        <v>69.290000000000063</v>
      </c>
    </row>
    <row r="75" spans="2:15" x14ac:dyDescent="0.25">
      <c r="B75" s="32"/>
      <c r="F75" s="398">
        <f>AVERAGE(F45:F64)</f>
        <v>2.6615963109234492E-2</v>
      </c>
      <c r="H75">
        <f>0.043*H64</f>
        <v>2.9338899999999999</v>
      </c>
    </row>
    <row r="76" spans="2:15" x14ac:dyDescent="0.25">
      <c r="F76" s="386"/>
      <c r="H76">
        <f>H75/1.15</f>
        <v>2.551208695652174</v>
      </c>
    </row>
    <row r="91" spans="14:15" x14ac:dyDescent="0.25">
      <c r="N91" s="123">
        <v>2017</v>
      </c>
      <c r="O91" s="467">
        <v>0</v>
      </c>
    </row>
    <row r="92" spans="14:15" x14ac:dyDescent="0.25">
      <c r="N92" s="123">
        <v>2017</v>
      </c>
      <c r="O92" s="467">
        <v>20</v>
      </c>
    </row>
    <row r="93" spans="14:15" x14ac:dyDescent="0.25">
      <c r="N93" s="123">
        <v>2017</v>
      </c>
      <c r="O93" s="467">
        <v>40</v>
      </c>
    </row>
    <row r="94" spans="14:15" x14ac:dyDescent="0.25">
      <c r="N94" s="123">
        <v>2017</v>
      </c>
      <c r="O94" s="467">
        <v>60</v>
      </c>
    </row>
    <row r="95" spans="14:15" x14ac:dyDescent="0.25">
      <c r="N95" s="123">
        <v>2017</v>
      </c>
      <c r="O95" s="467">
        <v>80</v>
      </c>
    </row>
    <row r="96" spans="14:15" x14ac:dyDescent="0.25">
      <c r="N96" s="123">
        <v>2017</v>
      </c>
      <c r="O96" s="467">
        <v>100</v>
      </c>
    </row>
    <row r="97" spans="1:20" x14ac:dyDescent="0.25">
      <c r="N97" s="123">
        <v>2017</v>
      </c>
      <c r="O97" s="467">
        <v>110</v>
      </c>
    </row>
    <row r="100" spans="1:20" x14ac:dyDescent="0.25">
      <c r="O100" s="342" t="s">
        <v>364</v>
      </c>
      <c r="P100" s="342"/>
    </row>
    <row r="102" spans="1:20" x14ac:dyDescent="0.25">
      <c r="O102" t="s">
        <v>365</v>
      </c>
    </row>
    <row r="112" spans="1:20" ht="18" x14ac:dyDescent="0.25">
      <c r="A112" s="1093" t="s">
        <v>247</v>
      </c>
      <c r="B112" s="1093"/>
      <c r="C112" s="1093"/>
      <c r="D112" s="1093"/>
      <c r="E112" s="1093"/>
      <c r="F112" s="1093"/>
      <c r="G112" s="1093"/>
      <c r="H112" s="1093"/>
      <c r="I112" s="1093"/>
      <c r="J112" s="1093"/>
      <c r="K112" s="1093"/>
      <c r="L112" s="1093"/>
      <c r="M112" s="1093"/>
      <c r="N112" s="1093"/>
      <c r="O112" s="1093"/>
      <c r="P112" s="1093"/>
      <c r="Q112" s="1093"/>
      <c r="R112" s="1093"/>
      <c r="S112" s="1093"/>
      <c r="T112" s="1093"/>
    </row>
    <row r="113" spans="1:20" ht="18" x14ac:dyDescent="0.25">
      <c r="A113" s="1094" t="s">
        <v>248</v>
      </c>
      <c r="B113" s="1094"/>
      <c r="C113" s="1094"/>
      <c r="D113" s="1094"/>
      <c r="E113" s="1094"/>
      <c r="F113" s="1094"/>
      <c r="G113" s="1094"/>
      <c r="H113" s="1094"/>
      <c r="I113" s="1094"/>
      <c r="J113" s="1094"/>
      <c r="K113" s="1094"/>
      <c r="L113" s="1094"/>
      <c r="M113" s="1094"/>
      <c r="N113" s="1094"/>
      <c r="O113" s="1094"/>
      <c r="P113" s="1094"/>
      <c r="Q113" s="1094"/>
      <c r="R113" s="1094"/>
      <c r="S113" s="1094"/>
      <c r="T113" s="1094"/>
    </row>
    <row r="114" spans="1:20" ht="15.75" thickBot="1" x14ac:dyDescent="0.3">
      <c r="A114" s="452"/>
      <c r="B114" s="452"/>
      <c r="C114" s="452"/>
      <c r="D114" s="452"/>
      <c r="E114" s="452"/>
      <c r="F114" s="452"/>
      <c r="G114" s="452"/>
      <c r="H114" s="453"/>
      <c r="I114" s="452"/>
      <c r="J114" s="454"/>
      <c r="K114" s="453"/>
      <c r="L114" s="452"/>
      <c r="M114" s="454"/>
      <c r="N114" s="453"/>
      <c r="O114" s="452"/>
      <c r="P114" s="454"/>
      <c r="Q114" s="453"/>
      <c r="R114" s="452"/>
      <c r="S114" s="449"/>
      <c r="T114" s="450"/>
    </row>
    <row r="115" spans="1:20" x14ac:dyDescent="0.25">
      <c r="A115" s="1095" t="s">
        <v>249</v>
      </c>
      <c r="B115" s="1098" t="s">
        <v>250</v>
      </c>
      <c r="C115" s="1101" t="s">
        <v>251</v>
      </c>
      <c r="D115" s="1063" t="s">
        <v>252</v>
      </c>
      <c r="E115" s="1065"/>
      <c r="F115" s="1066">
        <v>2017</v>
      </c>
      <c r="G115" s="1064"/>
      <c r="H115" s="1106"/>
      <c r="I115" s="1063">
        <f>+F115+1</f>
        <v>2018</v>
      </c>
      <c r="J115" s="1064"/>
      <c r="K115" s="1065"/>
      <c r="L115" s="1066">
        <f>+I115+1</f>
        <v>2019</v>
      </c>
      <c r="M115" s="1064"/>
      <c r="N115" s="1106"/>
      <c r="O115" s="1063">
        <f>+L115+1</f>
        <v>2020</v>
      </c>
      <c r="P115" s="1064"/>
      <c r="Q115" s="1065"/>
      <c r="R115" s="1066">
        <f>+O115+1</f>
        <v>2021</v>
      </c>
      <c r="S115" s="1064"/>
      <c r="T115" s="1065"/>
    </row>
    <row r="116" spans="1:20" x14ac:dyDescent="0.25">
      <c r="A116" s="1096"/>
      <c r="B116" s="1099"/>
      <c r="C116" s="1102"/>
      <c r="D116" s="1104"/>
      <c r="E116" s="1105"/>
      <c r="F116" s="455" t="s">
        <v>253</v>
      </c>
      <c r="G116" s="1067" t="s">
        <v>254</v>
      </c>
      <c r="H116" s="1068"/>
      <c r="I116" s="456" t="s">
        <v>253</v>
      </c>
      <c r="J116" s="1067" t="s">
        <v>254</v>
      </c>
      <c r="K116" s="1069"/>
      <c r="L116" s="455" t="s">
        <v>253</v>
      </c>
      <c r="M116" s="1067" t="s">
        <v>254</v>
      </c>
      <c r="N116" s="1068"/>
      <c r="O116" s="456" t="s">
        <v>253</v>
      </c>
      <c r="P116" s="1067" t="s">
        <v>254</v>
      </c>
      <c r="Q116" s="1069"/>
      <c r="R116" s="455" t="s">
        <v>253</v>
      </c>
      <c r="S116" s="1067" t="s">
        <v>254</v>
      </c>
      <c r="T116" s="1069"/>
    </row>
    <row r="117" spans="1:20" ht="15.75" thickBot="1" x14ac:dyDescent="0.3">
      <c r="A117" s="1097"/>
      <c r="B117" s="1100"/>
      <c r="C117" s="1103"/>
      <c r="D117" s="1091" t="s">
        <v>255</v>
      </c>
      <c r="E117" s="1092"/>
      <c r="F117" s="457" t="s">
        <v>255</v>
      </c>
      <c r="G117" s="458" t="s">
        <v>255</v>
      </c>
      <c r="H117" s="459" t="s">
        <v>256</v>
      </c>
      <c r="I117" s="460" t="s">
        <v>255</v>
      </c>
      <c r="J117" s="461" t="s">
        <v>255</v>
      </c>
      <c r="K117" s="462" t="s">
        <v>256</v>
      </c>
      <c r="L117" s="457" t="s">
        <v>255</v>
      </c>
      <c r="M117" s="461" t="s">
        <v>255</v>
      </c>
      <c r="N117" s="459" t="s">
        <v>256</v>
      </c>
      <c r="O117" s="460" t="s">
        <v>255</v>
      </c>
      <c r="P117" s="461" t="s">
        <v>255</v>
      </c>
      <c r="Q117" s="462" t="s">
        <v>256</v>
      </c>
      <c r="R117" s="457" t="s">
        <v>255</v>
      </c>
      <c r="S117" s="461" t="s">
        <v>255</v>
      </c>
      <c r="T117" s="462" t="s">
        <v>256</v>
      </c>
    </row>
    <row r="118" spans="1:20" x14ac:dyDescent="0.25">
      <c r="B118" s="1148" t="s">
        <v>3</v>
      </c>
      <c r="C118" s="640" t="s">
        <v>24</v>
      </c>
      <c r="D118" s="641">
        <v>25</v>
      </c>
      <c r="E118" s="1138">
        <v>75</v>
      </c>
      <c r="F118" s="1139">
        <v>75</v>
      </c>
      <c r="G118" s="1170">
        <v>67.11872647257168</v>
      </c>
      <c r="H118" s="1132">
        <v>0.8949163529676224</v>
      </c>
      <c r="I118" s="1139">
        <v>75</v>
      </c>
      <c r="J118" s="1170">
        <v>70.004831710892262</v>
      </c>
      <c r="K118" s="1132">
        <v>0.93339775614523013</v>
      </c>
      <c r="L118" s="1135">
        <v>75</v>
      </c>
      <c r="M118" s="1170">
        <v>73.015039474460622</v>
      </c>
      <c r="N118" s="1132">
        <v>0.97353385965947492</v>
      </c>
      <c r="O118" s="1135">
        <v>75</v>
      </c>
      <c r="P118" s="1170">
        <v>76.154686171862423</v>
      </c>
      <c r="Q118" s="1132">
        <v>1.0153958156248324</v>
      </c>
      <c r="R118" s="1145">
        <v>75</v>
      </c>
      <c r="S118" s="1170">
        <v>79.429337677252505</v>
      </c>
      <c r="T118" s="1132">
        <v>1.0590578356967</v>
      </c>
    </row>
    <row r="119" spans="1:20" x14ac:dyDescent="0.25">
      <c r="B119" s="1148"/>
      <c r="C119" s="640" t="s">
        <v>24</v>
      </c>
      <c r="D119" s="641">
        <v>25</v>
      </c>
      <c r="E119" s="1138"/>
      <c r="F119" s="1140"/>
      <c r="G119" s="1171"/>
      <c r="H119" s="1133"/>
      <c r="I119" s="1140"/>
      <c r="J119" s="1171"/>
      <c r="K119" s="1133"/>
      <c r="L119" s="1136"/>
      <c r="M119" s="1171"/>
      <c r="N119" s="1133"/>
      <c r="O119" s="1136"/>
      <c r="P119" s="1171"/>
      <c r="Q119" s="1133"/>
      <c r="R119" s="1146"/>
      <c r="S119" s="1171"/>
      <c r="T119" s="1133"/>
    </row>
    <row r="120" spans="1:20" x14ac:dyDescent="0.25">
      <c r="B120" s="1148"/>
      <c r="C120" s="640" t="s">
        <v>24</v>
      </c>
      <c r="D120" s="641">
        <v>25</v>
      </c>
      <c r="E120" s="1138"/>
      <c r="F120" s="1141"/>
      <c r="G120" s="1172"/>
      <c r="H120" s="1134"/>
      <c r="I120" s="1141"/>
      <c r="J120" s="1172"/>
      <c r="K120" s="1134"/>
      <c r="L120" s="1137"/>
      <c r="M120" s="1172"/>
      <c r="N120" s="1134"/>
      <c r="O120" s="1137"/>
      <c r="P120" s="1172"/>
      <c r="Q120" s="1134"/>
      <c r="R120" s="1147"/>
      <c r="S120" s="1172"/>
      <c r="T120" s="1134"/>
    </row>
    <row r="121" spans="1:20" x14ac:dyDescent="0.25">
      <c r="J121">
        <f>1.043*G118</f>
        <v>70.004831710892262</v>
      </c>
      <c r="M121">
        <f t="shared" ref="M121:S121" si="18">1.043*J118</f>
        <v>73.015039474460622</v>
      </c>
      <c r="P121">
        <f t="shared" si="18"/>
        <v>76.154686171862423</v>
      </c>
      <c r="S121">
        <f t="shared" si="18"/>
        <v>79.429337677252505</v>
      </c>
    </row>
    <row r="122" spans="1:20" x14ac:dyDescent="0.25">
      <c r="E122" s="39"/>
      <c r="F122" s="39"/>
    </row>
    <row r="123" spans="1:20" x14ac:dyDescent="0.25">
      <c r="E123" s="39">
        <v>2017</v>
      </c>
      <c r="F123" s="40">
        <f>G118</f>
        <v>67.11872647257168</v>
      </c>
    </row>
    <row r="124" spans="1:20" x14ac:dyDescent="0.25">
      <c r="E124" s="39">
        <v>2018</v>
      </c>
      <c r="F124" s="40">
        <f>J118</f>
        <v>70.004831710892262</v>
      </c>
    </row>
    <row r="125" spans="1:20" x14ac:dyDescent="0.25">
      <c r="E125" s="39">
        <v>2019</v>
      </c>
      <c r="F125" s="40">
        <f>M118</f>
        <v>73.015039474460622</v>
      </c>
    </row>
    <row r="126" spans="1:20" x14ac:dyDescent="0.25">
      <c r="E126" s="39">
        <v>2020</v>
      </c>
      <c r="F126" s="40">
        <f>P118</f>
        <v>76.154686171862423</v>
      </c>
    </row>
    <row r="127" spans="1:20" x14ac:dyDescent="0.25">
      <c r="E127" s="39">
        <v>2021</v>
      </c>
      <c r="F127" s="301">
        <f>S118</f>
        <v>79.429337677252505</v>
      </c>
    </row>
    <row r="128" spans="1:20" x14ac:dyDescent="0.25">
      <c r="E128" s="122"/>
      <c r="F128" s="301"/>
    </row>
    <row r="129" spans="5:6" x14ac:dyDescent="0.25">
      <c r="E129" s="122"/>
      <c r="F129" s="301"/>
    </row>
  </sheetData>
  <mergeCells count="53">
    <mergeCell ref="T118:T120"/>
    <mergeCell ref="I118:I120"/>
    <mergeCell ref="J118:J120"/>
    <mergeCell ref="K118:K120"/>
    <mergeCell ref="L118:L120"/>
    <mergeCell ref="M118:M120"/>
    <mergeCell ref="N118:N120"/>
    <mergeCell ref="O118:O120"/>
    <mergeCell ref="P118:P120"/>
    <mergeCell ref="Q118:Q120"/>
    <mergeCell ref="R118:R120"/>
    <mergeCell ref="S118:S120"/>
    <mergeCell ref="I115:K115"/>
    <mergeCell ref="L115:N115"/>
    <mergeCell ref="O115:Q115"/>
    <mergeCell ref="B118:B120"/>
    <mergeCell ref="E118:E120"/>
    <mergeCell ref="F118:F120"/>
    <mergeCell ref="G118:G120"/>
    <mergeCell ref="A112:T112"/>
    <mergeCell ref="A113:T113"/>
    <mergeCell ref="N62:O62"/>
    <mergeCell ref="D117:E117"/>
    <mergeCell ref="H118:H120"/>
    <mergeCell ref="A115:A117"/>
    <mergeCell ref="B115:B117"/>
    <mergeCell ref="C115:C117"/>
    <mergeCell ref="D115:E116"/>
    <mergeCell ref="F115:H115"/>
    <mergeCell ref="R115:T115"/>
    <mergeCell ref="G116:H116"/>
    <mergeCell ref="J116:K116"/>
    <mergeCell ref="M116:N116"/>
    <mergeCell ref="P116:Q116"/>
    <mergeCell ref="S116:T116"/>
    <mergeCell ref="B2:K2"/>
    <mergeCell ref="B3:K3"/>
    <mergeCell ref="B4:K4"/>
    <mergeCell ref="B5:B6"/>
    <mergeCell ref="C5:C6"/>
    <mergeCell ref="D5:F5"/>
    <mergeCell ref="G5:I5"/>
    <mergeCell ref="J5:J6"/>
    <mergeCell ref="K5:K6"/>
    <mergeCell ref="C40:K40"/>
    <mergeCell ref="C41:K41"/>
    <mergeCell ref="B42:B43"/>
    <mergeCell ref="C42:C43"/>
    <mergeCell ref="D42:F42"/>
    <mergeCell ref="G42:H42"/>
    <mergeCell ref="I42:I43"/>
    <mergeCell ref="J42:J43"/>
    <mergeCell ref="K42:K43"/>
  </mergeCells>
  <conditionalFormatting sqref="Q118:Q120 N118:N120 H118:H120 T118:T120 K118:K120">
    <cfRule type="cellIs" dxfId="13" priority="1" operator="greaterThan">
      <formula>1</formula>
    </cfRule>
  </conditionalFormatting>
  <printOptions horizontalCentered="1" verticalCentered="1" gridLines="1"/>
  <pageMargins left="0.11811023622047245" right="0.11811023622047245" top="0.15748031496062992" bottom="0.15748031496062992" header="0" footer="0"/>
  <pageSetup paperSize="9" scale="14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2:T130"/>
  <sheetViews>
    <sheetView topLeftCell="A69" zoomScaleNormal="100" workbookViewId="0">
      <selection activeCell="H74" sqref="H74"/>
    </sheetView>
  </sheetViews>
  <sheetFormatPr baseColWidth="10" defaultRowHeight="15" x14ac:dyDescent="0.25"/>
  <cols>
    <col min="1" max="1" width="5.7109375" customWidth="1"/>
    <col min="2" max="2" width="6.7109375" style="10" customWidth="1"/>
    <col min="3" max="3" width="14.7109375" customWidth="1"/>
    <col min="4" max="5" width="10.7109375" customWidth="1"/>
    <col min="6" max="6" width="11.7109375" customWidth="1"/>
    <col min="7" max="8" width="12.7109375" customWidth="1"/>
    <col min="9" max="11" width="10.7109375" customWidth="1"/>
    <col min="12" max="12" width="11.42578125" style="39" customWidth="1"/>
  </cols>
  <sheetData>
    <row r="2" spans="2:14" ht="15.75" thickBot="1" x14ac:dyDescent="0.3"/>
    <row r="3" spans="2:14" ht="15.95" customHeight="1" x14ac:dyDescent="0.25">
      <c r="B3" s="1112" t="s">
        <v>41</v>
      </c>
      <c r="C3" s="1113"/>
      <c r="D3" s="1113"/>
      <c r="E3" s="1113"/>
      <c r="F3" s="1113"/>
      <c r="G3" s="1113"/>
      <c r="H3" s="1113"/>
      <c r="I3" s="1113"/>
      <c r="J3" s="1113"/>
      <c r="K3" s="1114"/>
    </row>
    <row r="4" spans="2:14" ht="15.95" customHeight="1" thickBot="1" x14ac:dyDescent="0.3">
      <c r="B4" s="1115" t="s">
        <v>95</v>
      </c>
      <c r="C4" s="1116"/>
      <c r="D4" s="1116"/>
      <c r="E4" s="1116"/>
      <c r="F4" s="1116"/>
      <c r="G4" s="1116"/>
      <c r="H4" s="1116"/>
      <c r="I4" s="1116"/>
      <c r="J4" s="1116"/>
      <c r="K4" s="1117"/>
    </row>
    <row r="5" spans="2:14" ht="15.95" customHeight="1" x14ac:dyDescent="0.25">
      <c r="B5" s="1166" t="s">
        <v>124</v>
      </c>
      <c r="C5" s="1181" t="s">
        <v>26</v>
      </c>
      <c r="D5" s="1169" t="s">
        <v>110</v>
      </c>
      <c r="E5" s="1167"/>
      <c r="F5" s="1168"/>
      <c r="G5" s="1228" t="s">
        <v>74</v>
      </c>
      <c r="H5" s="1228"/>
      <c r="I5" s="1229"/>
      <c r="J5" s="1181" t="s">
        <v>105</v>
      </c>
      <c r="K5" s="1183" t="s">
        <v>135</v>
      </c>
    </row>
    <row r="6" spans="2:14" ht="39.950000000000003" customHeight="1" x14ac:dyDescent="0.25">
      <c r="B6" s="1119"/>
      <c r="C6" s="1032"/>
      <c r="D6" s="330" t="s">
        <v>115</v>
      </c>
      <c r="E6" s="330" t="s">
        <v>133</v>
      </c>
      <c r="F6" s="330" t="s">
        <v>134</v>
      </c>
      <c r="G6" s="38" t="s">
        <v>243</v>
      </c>
      <c r="H6" s="38" t="s">
        <v>232</v>
      </c>
      <c r="I6" s="38" t="s">
        <v>130</v>
      </c>
      <c r="J6" s="1032"/>
      <c r="K6" s="1124"/>
      <c r="L6" s="200" t="s">
        <v>185</v>
      </c>
      <c r="M6" s="85" t="s">
        <v>73</v>
      </c>
      <c r="N6" s="38" t="s">
        <v>240</v>
      </c>
    </row>
    <row r="7" spans="2:14" x14ac:dyDescent="0.25">
      <c r="B7" s="245"/>
      <c r="C7" s="41">
        <v>1997</v>
      </c>
      <c r="D7" s="51">
        <v>21.25</v>
      </c>
      <c r="E7" s="60">
        <f>D7/L26</f>
        <v>21.692843913607792</v>
      </c>
      <c r="F7" s="523"/>
      <c r="G7" s="40"/>
      <c r="H7" s="40"/>
      <c r="I7" s="40"/>
      <c r="J7" s="53">
        <f t="shared" ref="J7:J37" si="0" xml:space="preserve"> 2 * 25 + 1 * 40</f>
        <v>90</v>
      </c>
      <c r="K7" s="244">
        <f t="shared" ref="K7:K37" si="1">J7-40</f>
        <v>50</v>
      </c>
      <c r="L7" s="263"/>
      <c r="M7" s="50"/>
      <c r="N7" s="50"/>
    </row>
    <row r="8" spans="2:14" x14ac:dyDescent="0.25">
      <c r="B8" s="245"/>
      <c r="C8" s="41">
        <v>1998</v>
      </c>
      <c r="D8" s="53">
        <v>21.51</v>
      </c>
      <c r="E8" s="60">
        <f>D8/L26</f>
        <v>21.958262239138993</v>
      </c>
      <c r="F8" s="182">
        <f>(E8-E7)/E7</f>
        <v>1.223529411764703E-2</v>
      </c>
      <c r="G8" s="40"/>
      <c r="H8" s="40"/>
      <c r="I8" s="40"/>
      <c r="J8" s="53">
        <f t="shared" si="0"/>
        <v>90</v>
      </c>
      <c r="K8" s="244">
        <f t="shared" si="1"/>
        <v>50</v>
      </c>
      <c r="L8" s="263"/>
      <c r="M8" s="50"/>
      <c r="N8" s="50"/>
    </row>
    <row r="9" spans="2:14" x14ac:dyDescent="0.25">
      <c r="B9" s="245"/>
      <c r="C9" s="41">
        <v>1999</v>
      </c>
      <c r="D9" s="53">
        <v>22.12</v>
      </c>
      <c r="E9" s="60">
        <f>D9/L26</f>
        <v>22.580974464423736</v>
      </c>
      <c r="F9" s="182">
        <f>(E9-E8)/E8</f>
        <v>2.8358902835890393E-2</v>
      </c>
      <c r="G9" s="40"/>
      <c r="H9" s="40"/>
      <c r="I9" s="40"/>
      <c r="J9" s="53">
        <f t="shared" si="0"/>
        <v>90</v>
      </c>
      <c r="K9" s="244">
        <f t="shared" si="1"/>
        <v>50</v>
      </c>
      <c r="L9" s="263"/>
      <c r="M9" s="50"/>
      <c r="N9" s="50"/>
    </row>
    <row r="10" spans="2:14" x14ac:dyDescent="0.25">
      <c r="B10" s="245"/>
      <c r="C10" s="41">
        <v>2000</v>
      </c>
      <c r="D10" s="53">
        <v>31</v>
      </c>
      <c r="E10" s="60">
        <f>D10/L26</f>
        <v>31.646031121027836</v>
      </c>
      <c r="F10" s="182">
        <f t="shared" ref="F10:F27" si="2">(E10-E9)/E9</f>
        <v>0.40144665461121137</v>
      </c>
      <c r="G10" s="40"/>
      <c r="H10" s="40"/>
      <c r="I10" s="40"/>
      <c r="J10" s="53">
        <f t="shared" si="0"/>
        <v>90</v>
      </c>
      <c r="K10" s="244">
        <f t="shared" si="1"/>
        <v>50</v>
      </c>
      <c r="L10" s="263"/>
      <c r="M10" s="50"/>
      <c r="N10" s="50"/>
    </row>
    <row r="11" spans="2:14" x14ac:dyDescent="0.25">
      <c r="B11" s="245"/>
      <c r="C11" s="41">
        <v>2001</v>
      </c>
      <c r="D11" s="53">
        <v>33.78</v>
      </c>
      <c r="E11" s="60">
        <f>D11/L26</f>
        <v>34.48396552478453</v>
      </c>
      <c r="F11" s="182">
        <f t="shared" si="2"/>
        <v>8.9677419354838861E-2</v>
      </c>
      <c r="G11" s="40"/>
      <c r="H11" s="40"/>
      <c r="I11" s="40"/>
      <c r="J11" s="53">
        <f t="shared" si="0"/>
        <v>90</v>
      </c>
      <c r="K11" s="244">
        <f t="shared" si="1"/>
        <v>50</v>
      </c>
      <c r="L11" s="263"/>
      <c r="M11" s="50"/>
      <c r="N11" s="50"/>
    </row>
    <row r="12" spans="2:14" x14ac:dyDescent="0.25">
      <c r="B12" s="245"/>
      <c r="C12" s="41">
        <v>2002</v>
      </c>
      <c r="D12" s="53">
        <v>32.619999999999997</v>
      </c>
      <c r="E12" s="60">
        <f>D12/L26</f>
        <v>33.299791457029933</v>
      </c>
      <c r="F12" s="182">
        <f t="shared" si="2"/>
        <v>-3.4339846062759229E-2</v>
      </c>
      <c r="G12" s="40"/>
      <c r="H12" s="40"/>
      <c r="I12" s="40"/>
      <c r="J12" s="53">
        <f t="shared" si="0"/>
        <v>90</v>
      </c>
      <c r="K12" s="244">
        <f t="shared" si="1"/>
        <v>50</v>
      </c>
      <c r="L12" s="263"/>
      <c r="M12" s="50"/>
      <c r="N12" s="50"/>
    </row>
    <row r="13" spans="2:14" x14ac:dyDescent="0.25">
      <c r="B13" s="245">
        <v>8</v>
      </c>
      <c r="C13" s="41">
        <v>2003</v>
      </c>
      <c r="D13" s="53">
        <v>35.44</v>
      </c>
      <c r="E13" s="60">
        <v>35.979999999999997</v>
      </c>
      <c r="F13" s="182">
        <f t="shared" si="2"/>
        <v>8.0487247087676406E-2</v>
      </c>
      <c r="G13" s="40"/>
      <c r="H13" s="40"/>
      <c r="I13" s="40"/>
      <c r="J13" s="53">
        <f t="shared" si="0"/>
        <v>90</v>
      </c>
      <c r="K13" s="244">
        <f t="shared" si="1"/>
        <v>50</v>
      </c>
      <c r="L13" s="263">
        <v>0.98799999999999999</v>
      </c>
      <c r="M13" s="50"/>
      <c r="N13" s="50"/>
    </row>
    <row r="14" spans="2:14" x14ac:dyDescent="0.25">
      <c r="B14" s="245">
        <v>8</v>
      </c>
      <c r="C14" s="41">
        <v>2004</v>
      </c>
      <c r="D14" s="53">
        <v>34.159999999999997</v>
      </c>
      <c r="E14" s="60">
        <v>34.85</v>
      </c>
      <c r="F14" s="182">
        <f t="shared" si="2"/>
        <v>-3.1406336853807545E-2</v>
      </c>
      <c r="G14" s="40"/>
      <c r="H14" s="40"/>
      <c r="I14" s="40"/>
      <c r="J14" s="53">
        <f t="shared" si="0"/>
        <v>90</v>
      </c>
      <c r="K14" s="244">
        <f t="shared" si="1"/>
        <v>50</v>
      </c>
      <c r="L14" s="263">
        <v>0.98499999999999999</v>
      </c>
      <c r="M14" s="50"/>
      <c r="N14" s="50"/>
    </row>
    <row r="15" spans="2:14" x14ac:dyDescent="0.25">
      <c r="B15" s="245">
        <v>6</v>
      </c>
      <c r="C15" s="41">
        <v>2005</v>
      </c>
      <c r="D15" s="53">
        <v>35.9</v>
      </c>
      <c r="E15" s="60">
        <v>36.35</v>
      </c>
      <c r="F15" s="182">
        <f t="shared" si="2"/>
        <v>4.3041606886657098E-2</v>
      </c>
      <c r="G15" s="40"/>
      <c r="H15" s="40"/>
      <c r="I15" s="40"/>
      <c r="J15" s="53">
        <f t="shared" si="0"/>
        <v>90</v>
      </c>
      <c r="K15" s="244">
        <f t="shared" si="1"/>
        <v>50</v>
      </c>
      <c r="L15" s="263">
        <v>0.98760000000000003</v>
      </c>
      <c r="M15" s="50"/>
      <c r="N15" s="50"/>
    </row>
    <row r="16" spans="2:14" x14ac:dyDescent="0.25">
      <c r="B16" s="245">
        <v>6</v>
      </c>
      <c r="C16" s="41">
        <v>2006</v>
      </c>
      <c r="D16" s="53">
        <v>34.549999999999997</v>
      </c>
      <c r="E16" s="60">
        <v>35.17</v>
      </c>
      <c r="F16" s="182">
        <f t="shared" si="2"/>
        <v>-3.2462173314993112E-2</v>
      </c>
      <c r="G16" s="40"/>
      <c r="H16" s="40"/>
      <c r="I16" s="40"/>
      <c r="J16" s="53">
        <f t="shared" si="0"/>
        <v>90</v>
      </c>
      <c r="K16" s="244">
        <f t="shared" si="1"/>
        <v>50</v>
      </c>
      <c r="L16" s="263">
        <v>0.98240000000000005</v>
      </c>
      <c r="M16" s="50"/>
      <c r="N16" s="50"/>
    </row>
    <row r="17" spans="2:14" x14ac:dyDescent="0.25">
      <c r="B17" s="245">
        <v>7</v>
      </c>
      <c r="C17" s="41">
        <v>2007</v>
      </c>
      <c r="D17" s="53">
        <v>37.9</v>
      </c>
      <c r="E17" s="60">
        <v>38.549999999999997</v>
      </c>
      <c r="F17" s="182">
        <f t="shared" si="2"/>
        <v>9.6104634631788324E-2</v>
      </c>
      <c r="G17" s="40"/>
      <c r="H17" s="40"/>
      <c r="I17" s="40"/>
      <c r="J17" s="53">
        <f t="shared" si="0"/>
        <v>90</v>
      </c>
      <c r="K17" s="244">
        <f t="shared" si="1"/>
        <v>50</v>
      </c>
      <c r="L17" s="263">
        <v>0.98329999999999995</v>
      </c>
      <c r="M17" s="50"/>
      <c r="N17" s="50"/>
    </row>
    <row r="18" spans="2:14" x14ac:dyDescent="0.25">
      <c r="B18" s="245">
        <v>6</v>
      </c>
      <c r="C18" s="41">
        <v>2008</v>
      </c>
      <c r="D18" s="53">
        <v>38.67</v>
      </c>
      <c r="E18" s="60">
        <v>39.479999999999997</v>
      </c>
      <c r="F18" s="182">
        <f t="shared" si="2"/>
        <v>2.4124513618677037E-2</v>
      </c>
      <c r="G18" s="40"/>
      <c r="H18" s="40"/>
      <c r="I18" s="40"/>
      <c r="J18" s="53">
        <f t="shared" si="0"/>
        <v>90</v>
      </c>
      <c r="K18" s="244">
        <f t="shared" si="1"/>
        <v>50</v>
      </c>
      <c r="L18" s="263">
        <v>0.97960000000000003</v>
      </c>
      <c r="M18" s="50"/>
      <c r="N18" s="50"/>
    </row>
    <row r="19" spans="2:14" x14ac:dyDescent="0.25">
      <c r="B19" s="245">
        <v>10</v>
      </c>
      <c r="C19" s="41">
        <v>2009</v>
      </c>
      <c r="D19" s="53">
        <v>38.51</v>
      </c>
      <c r="E19" s="60">
        <v>40.479999999999997</v>
      </c>
      <c r="F19" s="182">
        <f t="shared" si="2"/>
        <v>2.5329280648429587E-2</v>
      </c>
      <c r="G19" s="40"/>
      <c r="H19" s="40"/>
      <c r="I19" s="40"/>
      <c r="J19" s="53">
        <f t="shared" si="0"/>
        <v>90</v>
      </c>
      <c r="K19" s="244">
        <f t="shared" si="1"/>
        <v>50</v>
      </c>
      <c r="L19" s="263">
        <v>0.95120000000000005</v>
      </c>
      <c r="M19" s="50"/>
      <c r="N19" s="50"/>
    </row>
    <row r="20" spans="2:14" x14ac:dyDescent="0.25">
      <c r="B20" s="245">
        <v>8</v>
      </c>
      <c r="C20" s="41">
        <v>2010</v>
      </c>
      <c r="D20" s="53">
        <v>39.729999999999997</v>
      </c>
      <c r="E20" s="60">
        <v>40.299999999999997</v>
      </c>
      <c r="F20" s="182">
        <f t="shared" si="2"/>
        <v>-4.446640316205527E-3</v>
      </c>
      <c r="G20" s="40"/>
      <c r="H20" s="40"/>
      <c r="I20" s="40"/>
      <c r="J20" s="53">
        <f t="shared" si="0"/>
        <v>90</v>
      </c>
      <c r="K20" s="244">
        <f t="shared" si="1"/>
        <v>50</v>
      </c>
      <c r="L20" s="263"/>
      <c r="M20" s="175"/>
      <c r="N20" s="50"/>
    </row>
    <row r="21" spans="2:14" x14ac:dyDescent="0.25">
      <c r="B21" s="245">
        <v>12</v>
      </c>
      <c r="C21" s="41">
        <v>2011</v>
      </c>
      <c r="D21" s="53">
        <v>42.19</v>
      </c>
      <c r="E21" s="60">
        <v>43.95</v>
      </c>
      <c r="F21" s="182">
        <f t="shared" si="2"/>
        <v>9.0570719602977814E-2</v>
      </c>
      <c r="G21" s="40"/>
      <c r="H21" s="40"/>
      <c r="I21" s="40"/>
      <c r="J21" s="53">
        <f t="shared" si="0"/>
        <v>90</v>
      </c>
      <c r="K21" s="244">
        <f t="shared" si="1"/>
        <v>50</v>
      </c>
      <c r="L21" s="263"/>
      <c r="M21" s="50"/>
      <c r="N21" s="50"/>
    </row>
    <row r="22" spans="2:14" x14ac:dyDescent="0.25">
      <c r="B22" s="245">
        <v>12</v>
      </c>
      <c r="C22" s="41">
        <v>2012</v>
      </c>
      <c r="D22" s="53">
        <v>51.03</v>
      </c>
      <c r="E22" s="60">
        <v>53.21</v>
      </c>
      <c r="F22" s="182">
        <f t="shared" si="2"/>
        <v>0.21069397042093282</v>
      </c>
      <c r="G22" s="40"/>
      <c r="H22" s="40"/>
      <c r="I22" s="40"/>
      <c r="J22" s="53">
        <f t="shared" si="0"/>
        <v>90</v>
      </c>
      <c r="K22" s="244">
        <f t="shared" si="1"/>
        <v>50</v>
      </c>
      <c r="L22" s="263"/>
      <c r="M22" s="175"/>
      <c r="N22" s="50"/>
    </row>
    <row r="23" spans="2:14" x14ac:dyDescent="0.25">
      <c r="B23" s="245">
        <v>11</v>
      </c>
      <c r="C23" s="41">
        <v>2013</v>
      </c>
      <c r="D23" s="62">
        <v>51.51</v>
      </c>
      <c r="E23" s="40">
        <v>53.29</v>
      </c>
      <c r="F23" s="182">
        <f t="shared" si="2"/>
        <v>1.5034767900770211E-3</v>
      </c>
      <c r="G23" s="40"/>
      <c r="H23" s="40"/>
      <c r="I23" s="40"/>
      <c r="J23" s="53">
        <f t="shared" si="0"/>
        <v>90</v>
      </c>
      <c r="K23" s="244">
        <f t="shared" si="1"/>
        <v>50</v>
      </c>
      <c r="L23" s="263"/>
      <c r="M23" s="50"/>
      <c r="N23" s="50"/>
    </row>
    <row r="24" spans="2:14" x14ac:dyDescent="0.25">
      <c r="B24" s="245">
        <v>1</v>
      </c>
      <c r="C24" s="41">
        <v>2014</v>
      </c>
      <c r="D24" s="62">
        <v>57.9</v>
      </c>
      <c r="E24" s="40">
        <v>60.25</v>
      </c>
      <c r="F24" s="182">
        <f t="shared" si="2"/>
        <v>0.13060611747044476</v>
      </c>
      <c r="G24" s="40"/>
      <c r="H24" s="40"/>
      <c r="I24" s="40"/>
      <c r="J24" s="53">
        <f t="shared" si="0"/>
        <v>90</v>
      </c>
      <c r="K24" s="244">
        <f t="shared" si="1"/>
        <v>50</v>
      </c>
      <c r="L24" s="263"/>
      <c r="M24" s="175"/>
      <c r="N24" s="50"/>
    </row>
    <row r="25" spans="2:14" x14ac:dyDescent="0.25">
      <c r="B25" s="245">
        <v>3</v>
      </c>
      <c r="C25" s="41">
        <v>2015</v>
      </c>
      <c r="D25" s="62">
        <v>54.42</v>
      </c>
      <c r="E25" s="40">
        <v>56.71</v>
      </c>
      <c r="F25" s="182">
        <f t="shared" si="2"/>
        <v>-5.875518672199169E-2</v>
      </c>
      <c r="G25" s="40"/>
      <c r="H25" s="40"/>
      <c r="I25" s="40"/>
      <c r="J25" s="53">
        <f t="shared" si="0"/>
        <v>90</v>
      </c>
      <c r="K25" s="244">
        <f t="shared" si="1"/>
        <v>50</v>
      </c>
      <c r="L25" s="263"/>
      <c r="M25" s="311"/>
      <c r="N25" s="50"/>
    </row>
    <row r="26" spans="2:14" x14ac:dyDescent="0.25">
      <c r="B26" s="245">
        <v>2</v>
      </c>
      <c r="C26" s="41">
        <v>2016</v>
      </c>
      <c r="D26" s="62">
        <v>57.77</v>
      </c>
      <c r="E26" s="40">
        <v>59.73</v>
      </c>
      <c r="F26" s="182">
        <f t="shared" si="2"/>
        <v>5.3253394463057588E-2</v>
      </c>
      <c r="G26" s="258"/>
      <c r="H26" s="258"/>
      <c r="I26" s="258"/>
      <c r="J26" s="53">
        <f t="shared" si="0"/>
        <v>90</v>
      </c>
      <c r="K26" s="244">
        <f t="shared" si="1"/>
        <v>50</v>
      </c>
      <c r="L26" s="273">
        <f>AVERAGE(L13:L25)</f>
        <v>0.97958571428571439</v>
      </c>
      <c r="M26" s="50"/>
      <c r="N26" s="390" t="e">
        <f>(H26-H25)/H25</f>
        <v>#DIV/0!</v>
      </c>
    </row>
    <row r="27" spans="2:14" x14ac:dyDescent="0.25">
      <c r="B27" s="245"/>
      <c r="C27" s="41">
        <v>2017</v>
      </c>
      <c r="D27" s="62"/>
      <c r="E27" s="40">
        <v>100</v>
      </c>
      <c r="F27" s="182">
        <f t="shared" si="2"/>
        <v>0.6742005692281936</v>
      </c>
      <c r="G27" s="258"/>
      <c r="H27" s="258">
        <f>E27</f>
        <v>100</v>
      </c>
      <c r="I27" s="258">
        <f>E27</f>
        <v>100</v>
      </c>
      <c r="J27" s="53">
        <f t="shared" si="0"/>
        <v>90</v>
      </c>
      <c r="K27" s="244">
        <f t="shared" si="1"/>
        <v>50</v>
      </c>
      <c r="L27" s="263"/>
      <c r="M27" s="383" t="e">
        <f>(G27-G26)/G26</f>
        <v>#DIV/0!</v>
      </c>
      <c r="N27" s="390" t="e">
        <f>(H27-H26)/H26</f>
        <v>#DIV/0!</v>
      </c>
    </row>
    <row r="28" spans="2:14" x14ac:dyDescent="0.25">
      <c r="B28" s="246"/>
      <c r="C28" s="44">
        <v>2018</v>
      </c>
      <c r="D28" s="109"/>
      <c r="E28" s="55"/>
      <c r="F28" s="249"/>
      <c r="G28" s="374"/>
      <c r="H28" s="375"/>
      <c r="I28" s="393">
        <f t="shared" ref="I28:I37" si="3">1.045*I27</f>
        <v>104.5</v>
      </c>
      <c r="J28" s="53">
        <f t="shared" si="0"/>
        <v>90</v>
      </c>
      <c r="K28" s="244">
        <f t="shared" si="1"/>
        <v>50</v>
      </c>
      <c r="L28" s="263"/>
      <c r="M28" s="383" t="e">
        <f t="shared" ref="M28:M34" si="4">(G28-G27)/G27</f>
        <v>#DIV/0!</v>
      </c>
      <c r="N28" s="390">
        <f>(H28-H27)/H27</f>
        <v>-1</v>
      </c>
    </row>
    <row r="29" spans="2:14" x14ac:dyDescent="0.25">
      <c r="B29" s="246"/>
      <c r="C29" s="44">
        <v>2019</v>
      </c>
      <c r="D29" s="109"/>
      <c r="E29" s="55"/>
      <c r="F29" s="249"/>
      <c r="G29" s="374"/>
      <c r="H29" s="375"/>
      <c r="I29" s="393">
        <f t="shared" si="3"/>
        <v>109.20249999999999</v>
      </c>
      <c r="J29" s="53">
        <f t="shared" si="0"/>
        <v>90</v>
      </c>
      <c r="K29" s="244">
        <f t="shared" si="1"/>
        <v>50</v>
      </c>
      <c r="L29" s="263"/>
      <c r="M29" s="383" t="e">
        <f t="shared" si="4"/>
        <v>#DIV/0!</v>
      </c>
      <c r="N29" s="390" t="e">
        <f>(H29-H28)/H28</f>
        <v>#DIV/0!</v>
      </c>
    </row>
    <row r="30" spans="2:14" x14ac:dyDescent="0.25">
      <c r="B30" s="246"/>
      <c r="C30" s="44">
        <v>2020</v>
      </c>
      <c r="D30" s="109"/>
      <c r="E30" s="55"/>
      <c r="F30" s="249"/>
      <c r="G30" s="374"/>
      <c r="H30" s="375"/>
      <c r="I30" s="393">
        <f t="shared" si="3"/>
        <v>114.11661249999997</v>
      </c>
      <c r="J30" s="53">
        <f t="shared" si="0"/>
        <v>90</v>
      </c>
      <c r="K30" s="244">
        <f t="shared" si="1"/>
        <v>50</v>
      </c>
      <c r="L30" s="263"/>
      <c r="M30" s="383" t="e">
        <f t="shared" si="4"/>
        <v>#DIV/0!</v>
      </c>
      <c r="N30" s="390" t="e">
        <f>(H30-H29)/H29</f>
        <v>#DIV/0!</v>
      </c>
    </row>
    <row r="31" spans="2:14" x14ac:dyDescent="0.25">
      <c r="B31" s="246"/>
      <c r="C31" s="44">
        <v>2021</v>
      </c>
      <c r="D31" s="109"/>
      <c r="E31" s="55"/>
      <c r="F31" s="249"/>
      <c r="G31" s="374"/>
      <c r="H31" s="375"/>
      <c r="I31" s="393">
        <f t="shared" si="3"/>
        <v>119.25186006249996</v>
      </c>
      <c r="J31" s="53">
        <f t="shared" si="0"/>
        <v>90</v>
      </c>
      <c r="K31" s="244">
        <f t="shared" si="1"/>
        <v>50</v>
      </c>
      <c r="L31" s="263"/>
      <c r="M31" s="383" t="e">
        <f t="shared" si="4"/>
        <v>#DIV/0!</v>
      </c>
      <c r="N31" s="390"/>
    </row>
    <row r="32" spans="2:14" x14ac:dyDescent="0.25">
      <c r="B32" s="246"/>
      <c r="C32" s="44">
        <v>2022</v>
      </c>
      <c r="D32" s="109"/>
      <c r="E32" s="55"/>
      <c r="F32" s="249"/>
      <c r="G32" s="374"/>
      <c r="H32" s="375"/>
      <c r="I32" s="393">
        <f t="shared" si="3"/>
        <v>124.61819376531244</v>
      </c>
      <c r="J32" s="53">
        <f t="shared" si="0"/>
        <v>90</v>
      </c>
      <c r="K32" s="244">
        <f t="shared" si="1"/>
        <v>50</v>
      </c>
      <c r="L32" s="263"/>
      <c r="M32" s="383" t="e">
        <f t="shared" si="4"/>
        <v>#DIV/0!</v>
      </c>
      <c r="N32" s="390"/>
    </row>
    <row r="33" spans="2:14" x14ac:dyDescent="0.25">
      <c r="B33" s="246"/>
      <c r="C33" s="44">
        <v>2023</v>
      </c>
      <c r="D33" s="109"/>
      <c r="E33" s="55"/>
      <c r="F33" s="249"/>
      <c r="G33" s="374"/>
      <c r="H33" s="375"/>
      <c r="I33" s="393">
        <f t="shared" si="3"/>
        <v>130.22601248475149</v>
      </c>
      <c r="J33" s="53">
        <f t="shared" si="0"/>
        <v>90</v>
      </c>
      <c r="K33" s="244">
        <f t="shared" si="1"/>
        <v>50</v>
      </c>
      <c r="L33" s="262"/>
      <c r="M33" s="383" t="e">
        <f t="shared" si="4"/>
        <v>#DIV/0!</v>
      </c>
      <c r="N33" s="390"/>
    </row>
    <row r="34" spans="2:14" x14ac:dyDescent="0.25">
      <c r="B34" s="246"/>
      <c r="C34" s="44">
        <v>2024</v>
      </c>
      <c r="D34" s="109"/>
      <c r="E34" s="55"/>
      <c r="F34" s="249"/>
      <c r="G34" s="374"/>
      <c r="H34" s="375"/>
      <c r="I34" s="393">
        <f t="shared" si="3"/>
        <v>136.08618304656531</v>
      </c>
      <c r="J34" s="53">
        <f t="shared" si="0"/>
        <v>90</v>
      </c>
      <c r="K34" s="244">
        <f t="shared" si="1"/>
        <v>50</v>
      </c>
      <c r="L34" s="263"/>
      <c r="M34" s="383" t="e">
        <f t="shared" si="4"/>
        <v>#DIV/0!</v>
      </c>
      <c r="N34" s="390"/>
    </row>
    <row r="35" spans="2:14" x14ac:dyDescent="0.25">
      <c r="B35" s="246"/>
      <c r="C35" s="44">
        <v>2025</v>
      </c>
      <c r="D35" s="109"/>
      <c r="E35" s="55"/>
      <c r="F35" s="249"/>
      <c r="G35" s="374"/>
      <c r="H35" s="375"/>
      <c r="I35" s="391">
        <f t="shared" si="3"/>
        <v>142.21006128366074</v>
      </c>
      <c r="J35" s="53">
        <f t="shared" si="0"/>
        <v>90</v>
      </c>
      <c r="K35" s="244">
        <f t="shared" si="1"/>
        <v>50</v>
      </c>
      <c r="L35" s="263"/>
      <c r="M35" s="383" t="e">
        <f>(G35-G34)/G34</f>
        <v>#DIV/0!</v>
      </c>
      <c r="N35" s="390"/>
    </row>
    <row r="36" spans="2:14" x14ac:dyDescent="0.25">
      <c r="B36" s="506"/>
      <c r="C36" s="44">
        <v>2026</v>
      </c>
      <c r="D36" s="103"/>
      <c r="E36" s="495"/>
      <c r="F36" s="103"/>
      <c r="G36" s="374"/>
      <c r="H36" s="522"/>
      <c r="I36" s="391">
        <f t="shared" si="3"/>
        <v>148.60951404142546</v>
      </c>
      <c r="J36" s="53">
        <f t="shared" si="0"/>
        <v>90</v>
      </c>
      <c r="K36" s="244">
        <f t="shared" si="1"/>
        <v>50</v>
      </c>
      <c r="M36" s="364" t="e">
        <f>AVERAGE(M27:M35)</f>
        <v>#DIV/0!</v>
      </c>
      <c r="N36" s="397" t="e">
        <f>AVERAGE(N27:N30)</f>
        <v>#DIV/0!</v>
      </c>
    </row>
    <row r="37" spans="2:14" ht="15.75" thickBot="1" x14ac:dyDescent="0.3">
      <c r="B37" s="507"/>
      <c r="C37" s="191">
        <v>2027</v>
      </c>
      <c r="D37" s="501"/>
      <c r="E37" s="498"/>
      <c r="F37" s="501"/>
      <c r="G37" s="376"/>
      <c r="H37" s="511"/>
      <c r="I37" s="392">
        <f t="shared" si="3"/>
        <v>155.29694217328958</v>
      </c>
      <c r="J37" s="210">
        <f t="shared" si="0"/>
        <v>90</v>
      </c>
      <c r="K37" s="248">
        <f t="shared" si="1"/>
        <v>50</v>
      </c>
      <c r="M37" s="12"/>
      <c r="N37" s="5"/>
    </row>
    <row r="38" spans="2:14" x14ac:dyDescent="0.25">
      <c r="F38" s="143">
        <f>AVERAGE(F7:F27)</f>
        <v>9.0011180924937123E-2</v>
      </c>
      <c r="M38" s="5"/>
      <c r="N38" s="5"/>
    </row>
    <row r="39" spans="2:14" ht="16.5" customHeight="1" x14ac:dyDescent="0.25">
      <c r="M39" s="5"/>
      <c r="N39" s="5"/>
    </row>
    <row r="40" spans="2:14" ht="16.5" customHeight="1" thickBot="1" x14ac:dyDescent="0.3">
      <c r="M40" s="5"/>
      <c r="N40" s="5"/>
    </row>
    <row r="41" spans="2:14" ht="20.100000000000001" customHeight="1" thickBot="1" x14ac:dyDescent="0.3">
      <c r="B41"/>
      <c r="C41" s="1037" t="s">
        <v>300</v>
      </c>
      <c r="D41" s="1038"/>
      <c r="E41" s="1038"/>
      <c r="F41" s="1038"/>
      <c r="G41" s="1038"/>
      <c r="H41" s="1038"/>
      <c r="I41" s="1038"/>
      <c r="J41" s="1038"/>
      <c r="K41" s="1039"/>
      <c r="M41" s="5"/>
      <c r="N41" s="5"/>
    </row>
    <row r="42" spans="2:14" ht="15.95" customHeight="1" thickBot="1" x14ac:dyDescent="0.3">
      <c r="B42"/>
      <c r="C42" s="1040" t="s">
        <v>330</v>
      </c>
      <c r="D42" s="1041"/>
      <c r="E42" s="1041"/>
      <c r="F42" s="1041"/>
      <c r="G42" s="1041"/>
      <c r="H42" s="1041"/>
      <c r="I42" s="1041"/>
      <c r="J42" s="1041"/>
      <c r="K42" s="1042"/>
      <c r="M42" s="5"/>
      <c r="N42" s="5"/>
    </row>
    <row r="43" spans="2:14" ht="15.95" customHeight="1" thickBot="1" x14ac:dyDescent="0.3">
      <c r="B43" s="1051" t="s">
        <v>26</v>
      </c>
      <c r="C43" s="1043" t="s">
        <v>35</v>
      </c>
      <c r="D43" s="1045" t="s">
        <v>110</v>
      </c>
      <c r="E43" s="1046"/>
      <c r="F43" s="1047"/>
      <c r="G43" s="1045" t="s">
        <v>74</v>
      </c>
      <c r="H43" s="1047"/>
      <c r="I43" s="1043" t="s">
        <v>180</v>
      </c>
      <c r="J43" s="1043" t="s">
        <v>268</v>
      </c>
      <c r="K43" s="1049" t="s">
        <v>269</v>
      </c>
      <c r="M43" s="5"/>
      <c r="N43" s="5"/>
    </row>
    <row r="44" spans="2:14" ht="35.1" customHeight="1" thickBot="1" x14ac:dyDescent="0.3">
      <c r="B44" s="1051"/>
      <c r="C44" s="1048"/>
      <c r="D44" s="541" t="s">
        <v>174</v>
      </c>
      <c r="E44" s="541" t="s">
        <v>122</v>
      </c>
      <c r="F44" s="541" t="s">
        <v>81</v>
      </c>
      <c r="G44" s="537" t="s">
        <v>170</v>
      </c>
      <c r="H44" s="538" t="s">
        <v>270</v>
      </c>
      <c r="I44" s="1044"/>
      <c r="J44" s="1044"/>
      <c r="K44" s="1175"/>
      <c r="M44" s="5"/>
      <c r="N44" s="5"/>
    </row>
    <row r="45" spans="2:14" ht="15" customHeight="1" x14ac:dyDescent="0.25">
      <c r="B45" s="739">
        <v>1997</v>
      </c>
      <c r="C45" s="784">
        <v>1997</v>
      </c>
      <c r="D45" s="648">
        <v>21.25</v>
      </c>
      <c r="E45" s="648">
        <v>21.692843913607792</v>
      </c>
      <c r="F45" s="731"/>
      <c r="G45" s="657"/>
      <c r="H45" s="657"/>
      <c r="I45" s="579">
        <f>2*25+1*40</f>
        <v>90</v>
      </c>
      <c r="J45" s="579">
        <f>I45-40</f>
        <v>50</v>
      </c>
      <c r="K45" s="591">
        <f>E45/I45</f>
        <v>0.24103159904008659</v>
      </c>
      <c r="M45" s="5"/>
      <c r="N45" s="5"/>
    </row>
    <row r="46" spans="2:14" ht="15" customHeight="1" x14ac:dyDescent="0.25">
      <c r="B46" s="739">
        <v>1998</v>
      </c>
      <c r="C46" s="785">
        <v>1998</v>
      </c>
      <c r="D46" s="650">
        <v>21.51</v>
      </c>
      <c r="E46" s="650">
        <v>21.958262239138993</v>
      </c>
      <c r="F46" s="729">
        <f t="shared" ref="F46:F65" si="5">(E46-E45)/E45</f>
        <v>1.223529411764703E-2</v>
      </c>
      <c r="G46" s="658"/>
      <c r="H46" s="658"/>
      <c r="I46" s="581">
        <f t="shared" ref="I46:I75" si="6">2*25+1*40</f>
        <v>90</v>
      </c>
      <c r="J46" s="581">
        <f t="shared" ref="J46:J75" si="7">I46-40</f>
        <v>50</v>
      </c>
      <c r="K46" s="592">
        <f t="shared" ref="K46:K65" si="8">E46/I46</f>
        <v>0.24398069154598881</v>
      </c>
      <c r="M46" s="5"/>
      <c r="N46" s="5"/>
    </row>
    <row r="47" spans="2:14" ht="15" customHeight="1" x14ac:dyDescent="0.25">
      <c r="B47" s="739">
        <v>1999</v>
      </c>
      <c r="C47" s="785">
        <v>1999</v>
      </c>
      <c r="D47" s="650">
        <v>22.12</v>
      </c>
      <c r="E47" s="650">
        <v>22.580974464423736</v>
      </c>
      <c r="F47" s="729">
        <f t="shared" si="5"/>
        <v>2.8358902835890393E-2</v>
      </c>
      <c r="G47" s="658"/>
      <c r="H47" s="658"/>
      <c r="I47" s="581">
        <f t="shared" si="6"/>
        <v>90</v>
      </c>
      <c r="J47" s="581">
        <f t="shared" si="7"/>
        <v>50</v>
      </c>
      <c r="K47" s="592">
        <f t="shared" si="8"/>
        <v>0.25089971627137486</v>
      </c>
      <c r="M47" s="5"/>
      <c r="N47" s="5"/>
    </row>
    <row r="48" spans="2:14" ht="15" customHeight="1" x14ac:dyDescent="0.25">
      <c r="B48" s="739">
        <v>2000</v>
      </c>
      <c r="C48" s="785">
        <v>2000</v>
      </c>
      <c r="D48" s="650">
        <v>31</v>
      </c>
      <c r="E48" s="650">
        <v>31.646031121027836</v>
      </c>
      <c r="F48" s="729">
        <f t="shared" si="5"/>
        <v>0.40144665461121137</v>
      </c>
      <c r="G48" s="658"/>
      <c r="H48" s="658"/>
      <c r="I48" s="581">
        <f t="shared" si="6"/>
        <v>90</v>
      </c>
      <c r="J48" s="581">
        <f t="shared" si="7"/>
        <v>50</v>
      </c>
      <c r="K48" s="592">
        <f t="shared" si="8"/>
        <v>0.35162256801142039</v>
      </c>
      <c r="M48" s="5"/>
      <c r="N48" s="5"/>
    </row>
    <row r="49" spans="2:14" ht="15" customHeight="1" x14ac:dyDescent="0.25">
      <c r="B49" s="739">
        <v>2001</v>
      </c>
      <c r="C49" s="785">
        <v>2001</v>
      </c>
      <c r="D49" s="650">
        <v>33.78</v>
      </c>
      <c r="E49" s="650">
        <v>34.48396552478453</v>
      </c>
      <c r="F49" s="729">
        <f t="shared" si="5"/>
        <v>8.9677419354838861E-2</v>
      </c>
      <c r="G49" s="658"/>
      <c r="H49" s="658"/>
      <c r="I49" s="581">
        <f t="shared" si="6"/>
        <v>90</v>
      </c>
      <c r="J49" s="581">
        <f t="shared" si="7"/>
        <v>50</v>
      </c>
      <c r="K49" s="592">
        <f t="shared" si="8"/>
        <v>0.38315517249760589</v>
      </c>
      <c r="M49" s="5"/>
      <c r="N49" s="5"/>
    </row>
    <row r="50" spans="2:14" ht="15" customHeight="1" x14ac:dyDescent="0.25">
      <c r="B50" s="739">
        <v>2002</v>
      </c>
      <c r="C50" s="785">
        <v>2002</v>
      </c>
      <c r="D50" s="650">
        <v>32.619999999999997</v>
      </c>
      <c r="E50" s="650">
        <v>33.299791457029933</v>
      </c>
      <c r="F50" s="729">
        <f t="shared" si="5"/>
        <v>-3.4339846062759229E-2</v>
      </c>
      <c r="G50" s="658"/>
      <c r="H50" s="658"/>
      <c r="I50" s="581">
        <f t="shared" si="6"/>
        <v>90</v>
      </c>
      <c r="J50" s="581">
        <f t="shared" si="7"/>
        <v>50</v>
      </c>
      <c r="K50" s="592">
        <f t="shared" si="8"/>
        <v>0.36999768285588813</v>
      </c>
      <c r="M50" s="5"/>
      <c r="N50" s="5"/>
    </row>
    <row r="51" spans="2:14" ht="15" customHeight="1" x14ac:dyDescent="0.25">
      <c r="B51" s="739">
        <v>2003</v>
      </c>
      <c r="C51" s="732">
        <v>37860.833333333336</v>
      </c>
      <c r="D51" s="650">
        <v>35.44</v>
      </c>
      <c r="E51" s="650">
        <v>35.979999999999997</v>
      </c>
      <c r="F51" s="729">
        <f t="shared" si="5"/>
        <v>8.0487247087676406E-2</v>
      </c>
      <c r="G51" s="658"/>
      <c r="H51" s="658"/>
      <c r="I51" s="581">
        <f t="shared" si="6"/>
        <v>90</v>
      </c>
      <c r="J51" s="581">
        <f t="shared" si="7"/>
        <v>50</v>
      </c>
      <c r="K51" s="592">
        <f t="shared" si="8"/>
        <v>0.39977777777777773</v>
      </c>
      <c r="M51" s="5"/>
      <c r="N51" s="5"/>
    </row>
    <row r="52" spans="2:14" ht="15" customHeight="1" x14ac:dyDescent="0.25">
      <c r="B52" s="739">
        <v>2004</v>
      </c>
      <c r="C52" s="732">
        <v>38218.833333333336</v>
      </c>
      <c r="D52" s="650">
        <v>34.159999999999997</v>
      </c>
      <c r="E52" s="650">
        <v>34.85</v>
      </c>
      <c r="F52" s="729">
        <f t="shared" si="5"/>
        <v>-3.1406336853807545E-2</v>
      </c>
      <c r="G52" s="658"/>
      <c r="H52" s="658"/>
      <c r="I52" s="581">
        <f t="shared" si="6"/>
        <v>90</v>
      </c>
      <c r="J52" s="581">
        <f t="shared" si="7"/>
        <v>50</v>
      </c>
      <c r="K52" s="592">
        <f t="shared" si="8"/>
        <v>0.38722222222222225</v>
      </c>
      <c r="M52" s="5"/>
      <c r="N52" s="5"/>
    </row>
    <row r="53" spans="2:14" ht="15" customHeight="1" x14ac:dyDescent="0.25">
      <c r="B53" s="739">
        <v>2005</v>
      </c>
      <c r="C53" s="732">
        <v>38524.8125</v>
      </c>
      <c r="D53" s="650">
        <v>35.9</v>
      </c>
      <c r="E53" s="650">
        <v>36.35</v>
      </c>
      <c r="F53" s="729">
        <f t="shared" si="5"/>
        <v>4.3041606886657098E-2</v>
      </c>
      <c r="G53" s="658"/>
      <c r="H53" s="658"/>
      <c r="I53" s="581">
        <f t="shared" si="6"/>
        <v>90</v>
      </c>
      <c r="J53" s="581">
        <f t="shared" si="7"/>
        <v>50</v>
      </c>
      <c r="K53" s="592">
        <f t="shared" si="8"/>
        <v>0.40388888888888891</v>
      </c>
      <c r="M53" s="5"/>
      <c r="N53" s="5"/>
    </row>
    <row r="54" spans="2:14" ht="15" customHeight="1" x14ac:dyDescent="0.25">
      <c r="B54" s="739">
        <v>2006</v>
      </c>
      <c r="C54" s="732">
        <v>38873.84375</v>
      </c>
      <c r="D54" s="650">
        <v>34.549999999999997</v>
      </c>
      <c r="E54" s="650">
        <v>35.17</v>
      </c>
      <c r="F54" s="729">
        <f t="shared" si="5"/>
        <v>-3.2462173314993112E-2</v>
      </c>
      <c r="G54" s="658"/>
      <c r="H54" s="658"/>
      <c r="I54" s="581">
        <f t="shared" si="6"/>
        <v>90</v>
      </c>
      <c r="J54" s="581">
        <f t="shared" si="7"/>
        <v>50</v>
      </c>
      <c r="K54" s="592">
        <f t="shared" si="8"/>
        <v>0.39077777777777778</v>
      </c>
      <c r="M54" s="5"/>
      <c r="N54" s="5"/>
    </row>
    <row r="55" spans="2:14" ht="15" customHeight="1" x14ac:dyDescent="0.25">
      <c r="B55" s="739">
        <v>2007</v>
      </c>
      <c r="C55" s="732">
        <v>39265.84375</v>
      </c>
      <c r="D55" s="650">
        <v>37.9</v>
      </c>
      <c r="E55" s="650">
        <v>38.549999999999997</v>
      </c>
      <c r="F55" s="729">
        <f t="shared" si="5"/>
        <v>9.6104634631788324E-2</v>
      </c>
      <c r="G55" s="658"/>
      <c r="H55" s="658"/>
      <c r="I55" s="581">
        <f t="shared" si="6"/>
        <v>90</v>
      </c>
      <c r="J55" s="581">
        <f t="shared" si="7"/>
        <v>50</v>
      </c>
      <c r="K55" s="592">
        <f t="shared" si="8"/>
        <v>0.42833333333333329</v>
      </c>
      <c r="M55" s="5"/>
      <c r="N55" s="5"/>
    </row>
    <row r="56" spans="2:14" ht="15" customHeight="1" x14ac:dyDescent="0.25">
      <c r="B56" s="739">
        <v>2008</v>
      </c>
      <c r="C56" s="732">
        <v>39622.833333333336</v>
      </c>
      <c r="D56" s="650">
        <v>38.67</v>
      </c>
      <c r="E56" s="650">
        <v>39.479999999999997</v>
      </c>
      <c r="F56" s="729">
        <f t="shared" si="5"/>
        <v>2.4124513618677037E-2</v>
      </c>
      <c r="G56" s="658"/>
      <c r="H56" s="658"/>
      <c r="I56" s="581">
        <f t="shared" si="6"/>
        <v>90</v>
      </c>
      <c r="J56" s="581">
        <f t="shared" si="7"/>
        <v>50</v>
      </c>
      <c r="K56" s="592">
        <f t="shared" si="8"/>
        <v>0.43866666666666665</v>
      </c>
      <c r="M56" s="5"/>
      <c r="N56" s="5"/>
    </row>
    <row r="57" spans="2:14" ht="15" customHeight="1" x14ac:dyDescent="0.25">
      <c r="B57" s="739">
        <v>2009</v>
      </c>
      <c r="C57" s="732">
        <v>40115.864583333336</v>
      </c>
      <c r="D57" s="650">
        <v>38.51</v>
      </c>
      <c r="E57" s="650">
        <v>40.479999999999997</v>
      </c>
      <c r="F57" s="729">
        <f t="shared" si="5"/>
        <v>2.5329280648429587E-2</v>
      </c>
      <c r="G57" s="658"/>
      <c r="H57" s="658"/>
      <c r="I57" s="581">
        <f t="shared" si="6"/>
        <v>90</v>
      </c>
      <c r="J57" s="581">
        <f t="shared" si="7"/>
        <v>50</v>
      </c>
      <c r="K57" s="592">
        <f t="shared" si="8"/>
        <v>0.44977777777777772</v>
      </c>
      <c r="M57" s="5"/>
      <c r="N57" s="5"/>
    </row>
    <row r="58" spans="2:14" ht="15" customHeight="1" x14ac:dyDescent="0.25">
      <c r="B58" s="739">
        <v>2010</v>
      </c>
      <c r="C58" s="732">
        <v>40392.84375</v>
      </c>
      <c r="D58" s="650">
        <v>39.729999999999997</v>
      </c>
      <c r="E58" s="650">
        <v>40.299999999999997</v>
      </c>
      <c r="F58" s="729">
        <f t="shared" si="5"/>
        <v>-4.446640316205527E-3</v>
      </c>
      <c r="G58" s="659"/>
      <c r="H58" s="658"/>
      <c r="I58" s="581">
        <f t="shared" si="6"/>
        <v>90</v>
      </c>
      <c r="J58" s="581">
        <f t="shared" si="7"/>
        <v>50</v>
      </c>
      <c r="K58" s="592">
        <f t="shared" si="8"/>
        <v>0.44777777777777772</v>
      </c>
      <c r="M58" s="5"/>
      <c r="N58" s="5"/>
    </row>
    <row r="59" spans="2:14" ht="15" customHeight="1" x14ac:dyDescent="0.25">
      <c r="B59" s="739">
        <v>2011</v>
      </c>
      <c r="C59" s="732">
        <v>40898.625</v>
      </c>
      <c r="D59" s="650">
        <v>42.19</v>
      </c>
      <c r="E59" s="650">
        <v>43.95</v>
      </c>
      <c r="F59" s="729">
        <f t="shared" si="5"/>
        <v>9.0570719602977814E-2</v>
      </c>
      <c r="G59" s="659"/>
      <c r="H59" s="658"/>
      <c r="I59" s="581">
        <f t="shared" si="6"/>
        <v>90</v>
      </c>
      <c r="J59" s="581">
        <f t="shared" si="7"/>
        <v>50</v>
      </c>
      <c r="K59" s="592">
        <f t="shared" si="8"/>
        <v>0.48833333333333334</v>
      </c>
      <c r="M59" s="5"/>
      <c r="N59" s="5"/>
    </row>
    <row r="60" spans="2:14" ht="15" customHeight="1" x14ac:dyDescent="0.25">
      <c r="B60" s="739">
        <v>2012</v>
      </c>
      <c r="C60" s="732">
        <v>41249.625</v>
      </c>
      <c r="D60" s="650">
        <v>51.03</v>
      </c>
      <c r="E60" s="650">
        <v>53.21</v>
      </c>
      <c r="F60" s="729">
        <f t="shared" si="5"/>
        <v>0.21069397042093282</v>
      </c>
      <c r="G60" s="658"/>
      <c r="H60" s="658"/>
      <c r="I60" s="581">
        <f t="shared" si="6"/>
        <v>90</v>
      </c>
      <c r="J60" s="581">
        <f t="shared" si="7"/>
        <v>50</v>
      </c>
      <c r="K60" s="592">
        <f t="shared" si="8"/>
        <v>0.5912222222222222</v>
      </c>
      <c r="M60" s="5"/>
      <c r="N60" s="5"/>
    </row>
    <row r="61" spans="2:14" ht="15" customHeight="1" x14ac:dyDescent="0.25">
      <c r="B61" s="739">
        <v>2013</v>
      </c>
      <c r="C61" s="732">
        <v>41592.864583333336</v>
      </c>
      <c r="D61" s="650">
        <v>51.51</v>
      </c>
      <c r="E61" s="650">
        <v>53.29</v>
      </c>
      <c r="F61" s="729">
        <f t="shared" si="5"/>
        <v>1.5034767900770211E-3</v>
      </c>
      <c r="G61" s="658"/>
      <c r="H61" s="658"/>
      <c r="I61" s="581">
        <f t="shared" si="6"/>
        <v>90</v>
      </c>
      <c r="J61" s="581">
        <f t="shared" si="7"/>
        <v>50</v>
      </c>
      <c r="K61" s="592">
        <f t="shared" si="8"/>
        <v>0.59211111111111114</v>
      </c>
      <c r="M61" s="5"/>
      <c r="N61" s="5"/>
    </row>
    <row r="62" spans="2:14" ht="15" customHeight="1" x14ac:dyDescent="0.25">
      <c r="B62" s="739">
        <v>2014</v>
      </c>
      <c r="C62" s="580">
        <v>41661.552083333336</v>
      </c>
      <c r="D62" s="650">
        <v>57.9</v>
      </c>
      <c r="E62" s="650">
        <v>60.25</v>
      </c>
      <c r="F62" s="729">
        <f t="shared" si="5"/>
        <v>0.13060611747044476</v>
      </c>
      <c r="G62" s="658"/>
      <c r="H62" s="658"/>
      <c r="I62" s="581">
        <f t="shared" si="6"/>
        <v>90</v>
      </c>
      <c r="J62" s="581">
        <f t="shared" si="7"/>
        <v>50</v>
      </c>
      <c r="K62" s="592">
        <f t="shared" si="8"/>
        <v>0.6694444444444444</v>
      </c>
      <c r="M62" s="5"/>
      <c r="N62" s="5"/>
    </row>
    <row r="63" spans="2:14" ht="15" customHeight="1" x14ac:dyDescent="0.25">
      <c r="B63" s="739">
        <v>2015</v>
      </c>
      <c r="C63" s="580">
        <v>42072.645833333336</v>
      </c>
      <c r="D63" s="650">
        <v>54.42</v>
      </c>
      <c r="E63" s="650">
        <v>56.71</v>
      </c>
      <c r="F63" s="729">
        <f t="shared" si="5"/>
        <v>-5.875518672199169E-2</v>
      </c>
      <c r="G63" s="658"/>
      <c r="H63" s="658"/>
      <c r="I63" s="581">
        <f t="shared" si="6"/>
        <v>90</v>
      </c>
      <c r="J63" s="581">
        <f t="shared" si="7"/>
        <v>50</v>
      </c>
      <c r="K63" s="592">
        <f t="shared" si="8"/>
        <v>0.63011111111111107</v>
      </c>
      <c r="M63" s="5"/>
      <c r="N63" s="5"/>
    </row>
    <row r="64" spans="2:14" ht="15" customHeight="1" x14ac:dyDescent="0.25">
      <c r="B64" s="739">
        <v>2016</v>
      </c>
      <c r="C64" s="580">
        <v>42412.614583333336</v>
      </c>
      <c r="D64" s="650">
        <v>57.77</v>
      </c>
      <c r="E64" s="650">
        <v>59.73</v>
      </c>
      <c r="F64" s="729">
        <f t="shared" si="5"/>
        <v>5.3253394463057588E-2</v>
      </c>
      <c r="G64" s="658"/>
      <c r="H64" s="658"/>
      <c r="I64" s="581">
        <f t="shared" si="6"/>
        <v>90</v>
      </c>
      <c r="J64" s="581">
        <f t="shared" si="7"/>
        <v>50</v>
      </c>
      <c r="K64" s="592">
        <f t="shared" si="8"/>
        <v>0.66366666666666663</v>
      </c>
      <c r="M64" s="5"/>
      <c r="N64" s="5"/>
    </row>
    <row r="65" spans="2:14" ht="15" customHeight="1" x14ac:dyDescent="0.25">
      <c r="B65" s="739">
        <v>2017</v>
      </c>
      <c r="C65" s="580">
        <v>42796.645833333336</v>
      </c>
      <c r="D65" s="650">
        <v>59.56</v>
      </c>
      <c r="E65" s="650">
        <v>61.45</v>
      </c>
      <c r="F65" s="729">
        <f t="shared" si="5"/>
        <v>2.879624979072503E-2</v>
      </c>
      <c r="G65" s="658"/>
      <c r="H65" s="658">
        <f>E65</f>
        <v>61.45</v>
      </c>
      <c r="I65" s="581">
        <f t="shared" si="6"/>
        <v>90</v>
      </c>
      <c r="J65" s="581">
        <f t="shared" si="7"/>
        <v>50</v>
      </c>
      <c r="K65" s="592">
        <f t="shared" si="8"/>
        <v>0.68277777777777782</v>
      </c>
      <c r="M65" s="5"/>
      <c r="N65" s="5"/>
    </row>
    <row r="66" spans="2:14" ht="15" customHeight="1" x14ac:dyDescent="0.25">
      <c r="B66" s="743">
        <v>2018</v>
      </c>
      <c r="C66" s="720">
        <v>2018</v>
      </c>
      <c r="D66" s="652"/>
      <c r="E66" s="652"/>
      <c r="F66" s="730"/>
      <c r="G66" s="660">
        <f>1.9272*C66-3827.2</f>
        <v>61.889600000000428</v>
      </c>
      <c r="H66" s="661">
        <f>1.93+H65</f>
        <v>63.38</v>
      </c>
      <c r="I66" s="584">
        <f t="shared" si="6"/>
        <v>90</v>
      </c>
      <c r="J66" s="584">
        <f t="shared" si="7"/>
        <v>50</v>
      </c>
      <c r="K66" s="687">
        <f>H66/I66</f>
        <v>0.7042222222222223</v>
      </c>
      <c r="L66" s="40">
        <f>H66-H65</f>
        <v>1.9299999999999997</v>
      </c>
      <c r="M66" s="5"/>
      <c r="N66" s="5"/>
    </row>
    <row r="67" spans="2:14" ht="15" customHeight="1" x14ac:dyDescent="0.25">
      <c r="B67" s="743">
        <v>2019</v>
      </c>
      <c r="C67" s="720">
        <v>2019</v>
      </c>
      <c r="D67" s="652"/>
      <c r="E67" s="652"/>
      <c r="F67" s="730"/>
      <c r="G67" s="660">
        <f t="shared" ref="G67:G75" si="9">1.9272*C67-3827.2</f>
        <v>63.816800000000057</v>
      </c>
      <c r="H67" s="661">
        <f t="shared" ref="H67:H75" si="10">1.93+H66</f>
        <v>65.31</v>
      </c>
      <c r="I67" s="584">
        <f t="shared" si="6"/>
        <v>90</v>
      </c>
      <c r="J67" s="584">
        <f t="shared" si="7"/>
        <v>50</v>
      </c>
      <c r="K67" s="687">
        <f t="shared" ref="K67:K75" si="11">H67/I67</f>
        <v>0.72566666666666668</v>
      </c>
      <c r="M67" s="5"/>
      <c r="N67" s="5"/>
    </row>
    <row r="68" spans="2:14" ht="15" customHeight="1" x14ac:dyDescent="0.25">
      <c r="B68" s="743">
        <v>2020</v>
      </c>
      <c r="C68" s="720">
        <v>2020</v>
      </c>
      <c r="D68" s="652"/>
      <c r="E68" s="652"/>
      <c r="F68" s="730"/>
      <c r="G68" s="660">
        <f t="shared" si="9"/>
        <v>65.744000000000142</v>
      </c>
      <c r="H68" s="661">
        <f t="shared" si="10"/>
        <v>67.240000000000009</v>
      </c>
      <c r="I68" s="584">
        <f t="shared" si="6"/>
        <v>90</v>
      </c>
      <c r="J68" s="584">
        <f t="shared" si="7"/>
        <v>50</v>
      </c>
      <c r="K68" s="687">
        <f t="shared" si="11"/>
        <v>0.74711111111111117</v>
      </c>
      <c r="M68" s="5"/>
      <c r="N68" s="5"/>
    </row>
    <row r="69" spans="2:14" ht="15" customHeight="1" x14ac:dyDescent="0.25">
      <c r="B69" s="743">
        <v>2021</v>
      </c>
      <c r="C69" s="720">
        <v>2021</v>
      </c>
      <c r="D69" s="652"/>
      <c r="E69" s="652"/>
      <c r="F69" s="730"/>
      <c r="G69" s="660">
        <f t="shared" si="9"/>
        <v>67.671200000000226</v>
      </c>
      <c r="H69" s="661">
        <f t="shared" si="10"/>
        <v>69.170000000000016</v>
      </c>
      <c r="I69" s="584">
        <f t="shared" si="6"/>
        <v>90</v>
      </c>
      <c r="J69" s="584">
        <f t="shared" si="7"/>
        <v>50</v>
      </c>
      <c r="K69" s="687">
        <f t="shared" si="11"/>
        <v>0.76855555555555577</v>
      </c>
      <c r="M69" s="5"/>
      <c r="N69" s="5"/>
    </row>
    <row r="70" spans="2:14" ht="15" customHeight="1" x14ac:dyDescent="0.25">
      <c r="B70" s="743">
        <v>2022</v>
      </c>
      <c r="C70" s="720">
        <v>2022</v>
      </c>
      <c r="D70" s="652"/>
      <c r="E70" s="652"/>
      <c r="F70" s="730"/>
      <c r="G70" s="660">
        <f t="shared" si="9"/>
        <v>69.598400000000311</v>
      </c>
      <c r="H70" s="661">
        <f t="shared" si="10"/>
        <v>71.100000000000023</v>
      </c>
      <c r="I70" s="584">
        <f t="shared" si="6"/>
        <v>90</v>
      </c>
      <c r="J70" s="584">
        <f t="shared" si="7"/>
        <v>50</v>
      </c>
      <c r="K70" s="687">
        <f t="shared" si="11"/>
        <v>0.79000000000000026</v>
      </c>
      <c r="M70" s="5"/>
      <c r="N70" s="5"/>
    </row>
    <row r="71" spans="2:14" ht="15" customHeight="1" x14ac:dyDescent="0.25">
      <c r="B71" s="743">
        <v>2023</v>
      </c>
      <c r="C71" s="720">
        <v>2023</v>
      </c>
      <c r="D71" s="652"/>
      <c r="E71" s="652"/>
      <c r="F71" s="730"/>
      <c r="G71" s="660">
        <f t="shared" si="9"/>
        <v>71.525600000000395</v>
      </c>
      <c r="H71" s="661">
        <f t="shared" si="10"/>
        <v>73.03000000000003</v>
      </c>
      <c r="I71" s="584">
        <f t="shared" si="6"/>
        <v>90</v>
      </c>
      <c r="J71" s="584">
        <f t="shared" si="7"/>
        <v>50</v>
      </c>
      <c r="K71" s="687">
        <f t="shared" si="11"/>
        <v>0.81144444444444475</v>
      </c>
      <c r="M71" s="5"/>
      <c r="N71" s="5"/>
    </row>
    <row r="72" spans="2:14" ht="15" customHeight="1" x14ac:dyDescent="0.25">
      <c r="B72" s="743">
        <v>2024</v>
      </c>
      <c r="C72" s="721">
        <v>2024</v>
      </c>
      <c r="D72" s="652"/>
      <c r="E72" s="652"/>
      <c r="F72" s="730"/>
      <c r="G72" s="660">
        <f t="shared" si="9"/>
        <v>73.452800000000025</v>
      </c>
      <c r="H72" s="661">
        <f t="shared" si="10"/>
        <v>74.960000000000036</v>
      </c>
      <c r="I72" s="584">
        <f t="shared" si="6"/>
        <v>90</v>
      </c>
      <c r="J72" s="584">
        <f t="shared" si="7"/>
        <v>50</v>
      </c>
      <c r="K72" s="665">
        <f t="shared" si="11"/>
        <v>0.83288888888888934</v>
      </c>
      <c r="M72" s="5"/>
      <c r="N72" s="5"/>
    </row>
    <row r="73" spans="2:14" ht="15" customHeight="1" x14ac:dyDescent="0.25">
      <c r="B73" s="743">
        <v>2025</v>
      </c>
      <c r="C73" s="721">
        <v>2025</v>
      </c>
      <c r="D73" s="652"/>
      <c r="E73" s="652"/>
      <c r="F73" s="730"/>
      <c r="G73" s="660">
        <f t="shared" si="9"/>
        <v>75.380000000000109</v>
      </c>
      <c r="H73" s="661">
        <f t="shared" si="10"/>
        <v>76.890000000000043</v>
      </c>
      <c r="I73" s="584">
        <f t="shared" si="6"/>
        <v>90</v>
      </c>
      <c r="J73" s="584">
        <f t="shared" si="7"/>
        <v>50</v>
      </c>
      <c r="K73" s="665">
        <f t="shared" si="11"/>
        <v>0.85433333333333383</v>
      </c>
      <c r="M73" s="5"/>
      <c r="N73" s="5"/>
    </row>
    <row r="74" spans="2:14" ht="15" customHeight="1" x14ac:dyDescent="0.25">
      <c r="B74" s="743">
        <v>2026</v>
      </c>
      <c r="C74" s="721">
        <v>2026</v>
      </c>
      <c r="D74" s="652"/>
      <c r="E74" s="652"/>
      <c r="F74" s="730"/>
      <c r="G74" s="660">
        <f t="shared" si="9"/>
        <v>77.307200000000194</v>
      </c>
      <c r="H74" s="661">
        <f t="shared" si="10"/>
        <v>78.82000000000005</v>
      </c>
      <c r="I74" s="584">
        <f t="shared" si="6"/>
        <v>90</v>
      </c>
      <c r="J74" s="584">
        <f t="shared" si="7"/>
        <v>50</v>
      </c>
      <c r="K74" s="665">
        <f t="shared" si="11"/>
        <v>0.87577777777777832</v>
      </c>
      <c r="M74" s="5"/>
      <c r="N74" s="5"/>
    </row>
    <row r="75" spans="2:14" ht="15" customHeight="1" thickBot="1" x14ac:dyDescent="0.3">
      <c r="B75" s="744">
        <v>2027</v>
      </c>
      <c r="C75" s="722">
        <v>2027</v>
      </c>
      <c r="D75" s="656"/>
      <c r="E75" s="656"/>
      <c r="F75" s="734"/>
      <c r="G75" s="662">
        <f t="shared" si="9"/>
        <v>79.234400000000278</v>
      </c>
      <c r="H75" s="663">
        <f t="shared" si="10"/>
        <v>80.750000000000057</v>
      </c>
      <c r="I75" s="586">
        <f t="shared" si="6"/>
        <v>90</v>
      </c>
      <c r="J75" s="586">
        <f t="shared" si="7"/>
        <v>50</v>
      </c>
      <c r="K75" s="664">
        <f t="shared" si="11"/>
        <v>0.89722222222222281</v>
      </c>
      <c r="M75" s="5"/>
      <c r="N75" s="5"/>
    </row>
    <row r="76" spans="2:14" ht="16.5" customHeight="1" x14ac:dyDescent="0.25">
      <c r="G76" s="660">
        <f>1.045*1.93</f>
        <v>2.0168499999999998</v>
      </c>
      <c r="H76">
        <f>0.043*H65</f>
        <v>2.64235</v>
      </c>
      <c r="M76" s="5"/>
      <c r="N76" s="5"/>
    </row>
    <row r="77" spans="2:14" ht="16.5" customHeight="1" x14ac:dyDescent="0.25">
      <c r="M77" s="5"/>
      <c r="N77" s="5"/>
    </row>
    <row r="90" spans="15:16" x14ac:dyDescent="0.25">
      <c r="O90" s="467">
        <v>2028</v>
      </c>
      <c r="P90" s="123">
        <v>20</v>
      </c>
    </row>
    <row r="91" spans="15:16" x14ac:dyDescent="0.25">
      <c r="O91" s="467">
        <v>2028</v>
      </c>
      <c r="P91" s="123">
        <v>30</v>
      </c>
    </row>
    <row r="92" spans="15:16" x14ac:dyDescent="0.25">
      <c r="O92" s="467">
        <v>2028</v>
      </c>
      <c r="P92" s="123">
        <v>40</v>
      </c>
    </row>
    <row r="93" spans="15:16" x14ac:dyDescent="0.25">
      <c r="O93" s="467">
        <v>2028</v>
      </c>
      <c r="P93" s="123">
        <v>50</v>
      </c>
    </row>
    <row r="94" spans="15:16" x14ac:dyDescent="0.25">
      <c r="O94" s="467">
        <v>2028</v>
      </c>
      <c r="P94" s="123">
        <v>60</v>
      </c>
    </row>
    <row r="95" spans="15:16" x14ac:dyDescent="0.25">
      <c r="O95" s="467">
        <v>2028</v>
      </c>
      <c r="P95" s="7">
        <v>70</v>
      </c>
    </row>
    <row r="96" spans="15:16" x14ac:dyDescent="0.25">
      <c r="O96" s="467">
        <v>2028</v>
      </c>
      <c r="P96" s="7">
        <v>80</v>
      </c>
    </row>
    <row r="97" spans="1:20" x14ac:dyDescent="0.25">
      <c r="O97" s="467">
        <v>2028</v>
      </c>
      <c r="P97" s="123">
        <v>90</v>
      </c>
    </row>
    <row r="98" spans="1:20" x14ac:dyDescent="0.25">
      <c r="O98" s="467">
        <v>2028</v>
      </c>
      <c r="P98" s="123">
        <v>100</v>
      </c>
    </row>
    <row r="99" spans="1:20" x14ac:dyDescent="0.25">
      <c r="O99" s="11"/>
      <c r="P99" s="11"/>
    </row>
    <row r="100" spans="1:20" x14ac:dyDescent="0.25">
      <c r="O100" s="11"/>
      <c r="P100" s="11"/>
    </row>
    <row r="101" spans="1:20" x14ac:dyDescent="0.25">
      <c r="O101" s="11"/>
      <c r="P101" s="11"/>
    </row>
    <row r="102" spans="1:20" x14ac:dyDescent="0.25">
      <c r="O102" s="11"/>
      <c r="P102" s="11"/>
    </row>
    <row r="112" spans="1:20" ht="18" x14ac:dyDescent="0.25">
      <c r="A112" s="1093" t="s">
        <v>247</v>
      </c>
      <c r="B112" s="1093"/>
      <c r="C112" s="1093"/>
      <c r="D112" s="1093"/>
      <c r="E112" s="1093"/>
      <c r="F112" s="1093"/>
      <c r="G112" s="1093"/>
      <c r="H112" s="1093"/>
      <c r="I112" s="1093"/>
      <c r="J112" s="1093"/>
      <c r="K112" s="1093"/>
      <c r="L112" s="1093"/>
      <c r="M112" s="1093"/>
      <c r="N112" s="1093"/>
      <c r="O112" s="1093"/>
      <c r="P112" s="1093"/>
      <c r="Q112" s="1093"/>
      <c r="R112" s="1093"/>
      <c r="S112" s="1093"/>
      <c r="T112" s="1093"/>
    </row>
    <row r="113" spans="1:20" ht="18" x14ac:dyDescent="0.25">
      <c r="A113" s="1094" t="s">
        <v>248</v>
      </c>
      <c r="B113" s="1094"/>
      <c r="C113" s="1094"/>
      <c r="D113" s="1094"/>
      <c r="E113" s="1094"/>
      <c r="F113" s="1094"/>
      <c r="G113" s="1094"/>
      <c r="H113" s="1094"/>
      <c r="I113" s="1094"/>
      <c r="J113" s="1094"/>
      <c r="K113" s="1094"/>
      <c r="L113" s="1094"/>
      <c r="M113" s="1094"/>
      <c r="N113" s="1094"/>
      <c r="O113" s="1094"/>
      <c r="P113" s="1094"/>
      <c r="Q113" s="1094"/>
      <c r="R113" s="1094"/>
      <c r="S113" s="1094"/>
      <c r="T113" s="1094"/>
    </row>
    <row r="114" spans="1:20" ht="15.75" thickBot="1" x14ac:dyDescent="0.3">
      <c r="A114" s="452"/>
      <c r="B114" s="452"/>
      <c r="C114" s="452"/>
      <c r="D114" s="452"/>
      <c r="E114" s="452"/>
      <c r="F114" s="452"/>
      <c r="G114" s="452"/>
      <c r="H114" s="453"/>
      <c r="I114" s="452"/>
      <c r="J114" s="454"/>
      <c r="K114" s="453"/>
      <c r="L114" s="452"/>
      <c r="M114" s="454"/>
      <c r="N114" s="453"/>
      <c r="O114" s="452"/>
      <c r="P114" s="454"/>
      <c r="Q114" s="453"/>
      <c r="R114" s="452"/>
      <c r="S114" s="449"/>
      <c r="T114" s="450"/>
    </row>
    <row r="115" spans="1:20" x14ac:dyDescent="0.25">
      <c r="A115" s="1095" t="s">
        <v>249</v>
      </c>
      <c r="B115" s="1098" t="s">
        <v>250</v>
      </c>
      <c r="C115" s="1101" t="s">
        <v>251</v>
      </c>
      <c r="D115" s="1063" t="s">
        <v>252</v>
      </c>
      <c r="E115" s="1065"/>
      <c r="F115" s="1066">
        <v>2017</v>
      </c>
      <c r="G115" s="1064"/>
      <c r="H115" s="1106"/>
      <c r="I115" s="1063">
        <f>+F115+1</f>
        <v>2018</v>
      </c>
      <c r="J115" s="1064"/>
      <c r="K115" s="1065"/>
      <c r="L115" s="1066">
        <f>+I115+1</f>
        <v>2019</v>
      </c>
      <c r="M115" s="1064"/>
      <c r="N115" s="1106"/>
      <c r="O115" s="1063">
        <f>+L115+1</f>
        <v>2020</v>
      </c>
      <c r="P115" s="1064"/>
      <c r="Q115" s="1065"/>
      <c r="R115" s="1066">
        <f>+O115+1</f>
        <v>2021</v>
      </c>
      <c r="S115" s="1064"/>
      <c r="T115" s="1065"/>
    </row>
    <row r="116" spans="1:20" x14ac:dyDescent="0.25">
      <c r="A116" s="1096"/>
      <c r="B116" s="1099"/>
      <c r="C116" s="1102"/>
      <c r="D116" s="1104"/>
      <c r="E116" s="1105"/>
      <c r="F116" s="455" t="s">
        <v>253</v>
      </c>
      <c r="G116" s="1067" t="s">
        <v>254</v>
      </c>
      <c r="H116" s="1068"/>
      <c r="I116" s="456" t="s">
        <v>253</v>
      </c>
      <c r="J116" s="1067" t="s">
        <v>254</v>
      </c>
      <c r="K116" s="1069"/>
      <c r="L116" s="455" t="s">
        <v>253</v>
      </c>
      <c r="M116" s="1067" t="s">
        <v>254</v>
      </c>
      <c r="N116" s="1068"/>
      <c r="O116" s="456" t="s">
        <v>253</v>
      </c>
      <c r="P116" s="1067" t="s">
        <v>254</v>
      </c>
      <c r="Q116" s="1069"/>
      <c r="R116" s="455" t="s">
        <v>253</v>
      </c>
      <c r="S116" s="1067" t="s">
        <v>254</v>
      </c>
      <c r="T116" s="1069"/>
    </row>
    <row r="117" spans="1:20" ht="15.75" thickBot="1" x14ac:dyDescent="0.3">
      <c r="A117" s="1097"/>
      <c r="B117" s="1100"/>
      <c r="C117" s="1103"/>
      <c r="D117" s="1091" t="s">
        <v>255</v>
      </c>
      <c r="E117" s="1092"/>
      <c r="F117" s="457" t="s">
        <v>255</v>
      </c>
      <c r="G117" s="458" t="s">
        <v>255</v>
      </c>
      <c r="H117" s="459" t="s">
        <v>256</v>
      </c>
      <c r="I117" s="460" t="s">
        <v>255</v>
      </c>
      <c r="J117" s="461" t="s">
        <v>255</v>
      </c>
      <c r="K117" s="462" t="s">
        <v>256</v>
      </c>
      <c r="L117" s="457" t="s">
        <v>255</v>
      </c>
      <c r="M117" s="461" t="s">
        <v>255</v>
      </c>
      <c r="N117" s="459" t="s">
        <v>256</v>
      </c>
      <c r="O117" s="460" t="s">
        <v>255</v>
      </c>
      <c r="P117" s="461" t="s">
        <v>255</v>
      </c>
      <c r="Q117" s="462" t="s">
        <v>256</v>
      </c>
      <c r="R117" s="457" t="s">
        <v>255</v>
      </c>
      <c r="S117" s="461" t="s">
        <v>255</v>
      </c>
      <c r="T117" s="462" t="s">
        <v>256</v>
      </c>
    </row>
    <row r="118" spans="1:20" x14ac:dyDescent="0.25">
      <c r="B118" s="1188" t="s">
        <v>258</v>
      </c>
      <c r="C118" s="666" t="s">
        <v>24</v>
      </c>
      <c r="D118" s="641">
        <v>25</v>
      </c>
      <c r="E118" s="1138">
        <v>90</v>
      </c>
      <c r="F118" s="1139">
        <v>90</v>
      </c>
      <c r="G118" s="1170">
        <v>62.496559999999995</v>
      </c>
      <c r="H118" s="1132">
        <v>0.69440622222222215</v>
      </c>
      <c r="I118" s="1139">
        <v>90</v>
      </c>
      <c r="J118" s="1170">
        <v>65.183912079999985</v>
      </c>
      <c r="K118" s="1132">
        <v>0.72426568977777761</v>
      </c>
      <c r="L118" s="1135">
        <v>90</v>
      </c>
      <c r="M118" s="1170">
        <v>67.986820299439984</v>
      </c>
      <c r="N118" s="1132">
        <v>0.75540911443822201</v>
      </c>
      <c r="O118" s="1135">
        <v>90</v>
      </c>
      <c r="P118" s="1170">
        <v>70.910253572315895</v>
      </c>
      <c r="Q118" s="1132">
        <v>0.78789170635906547</v>
      </c>
      <c r="R118" s="1135">
        <v>90</v>
      </c>
      <c r="S118" s="1170">
        <v>73.959394475925478</v>
      </c>
      <c r="T118" s="1132">
        <v>0.82177104973250537</v>
      </c>
    </row>
    <row r="119" spans="1:20" x14ac:dyDescent="0.25">
      <c r="B119" s="1189"/>
      <c r="C119" s="666" t="s">
        <v>24</v>
      </c>
      <c r="D119" s="641">
        <v>25</v>
      </c>
      <c r="E119" s="1138"/>
      <c r="F119" s="1140"/>
      <c r="G119" s="1171"/>
      <c r="H119" s="1133"/>
      <c r="I119" s="1140"/>
      <c r="J119" s="1171"/>
      <c r="K119" s="1133"/>
      <c r="L119" s="1136"/>
      <c r="M119" s="1171"/>
      <c r="N119" s="1133"/>
      <c r="O119" s="1136"/>
      <c r="P119" s="1171"/>
      <c r="Q119" s="1133"/>
      <c r="R119" s="1136"/>
      <c r="S119" s="1171"/>
      <c r="T119" s="1133"/>
    </row>
    <row r="120" spans="1:20" x14ac:dyDescent="0.25">
      <c r="B120" s="1189"/>
      <c r="C120" s="666" t="s">
        <v>24</v>
      </c>
      <c r="D120" s="641">
        <v>40</v>
      </c>
      <c r="E120" s="1138"/>
      <c r="F120" s="1141"/>
      <c r="G120" s="1172"/>
      <c r="H120" s="1134"/>
      <c r="I120" s="1141"/>
      <c r="J120" s="1172"/>
      <c r="K120" s="1134"/>
      <c r="L120" s="1137"/>
      <c r="M120" s="1172"/>
      <c r="N120" s="1134"/>
      <c r="O120" s="1137"/>
      <c r="P120" s="1172"/>
      <c r="Q120" s="1134"/>
      <c r="R120" s="1137"/>
      <c r="S120" s="1172"/>
      <c r="T120" s="1134"/>
    </row>
    <row r="121" spans="1:20" x14ac:dyDescent="0.25">
      <c r="B121" s="1190"/>
      <c r="C121" s="666" t="s">
        <v>257</v>
      </c>
      <c r="D121" s="641">
        <v>40</v>
      </c>
      <c r="E121" s="688">
        <v>40</v>
      </c>
      <c r="F121" s="689">
        <v>40</v>
      </c>
      <c r="G121" s="690">
        <v>39.44</v>
      </c>
      <c r="H121" s="691">
        <v>0.98599999999999999</v>
      </c>
      <c r="I121" s="689">
        <v>40</v>
      </c>
      <c r="J121" s="690">
        <v>39.44</v>
      </c>
      <c r="K121" s="691">
        <v>0.98599999999999999</v>
      </c>
      <c r="L121" s="689">
        <v>40</v>
      </c>
      <c r="M121" s="690">
        <v>39.44</v>
      </c>
      <c r="N121" s="691">
        <v>0.98599999999999999</v>
      </c>
      <c r="O121" s="689">
        <v>40</v>
      </c>
      <c r="P121" s="690">
        <v>39.44</v>
      </c>
      <c r="Q121" s="691">
        <v>0.98599999999999999</v>
      </c>
      <c r="R121" s="641">
        <v>40</v>
      </c>
      <c r="S121" s="690">
        <v>39.44</v>
      </c>
      <c r="T121" s="691">
        <v>0.98599999999999999</v>
      </c>
    </row>
    <row r="123" spans="1:20" x14ac:dyDescent="0.25">
      <c r="E123" s="39"/>
      <c r="F123" s="258"/>
      <c r="J123">
        <f>1.043*G118</f>
        <v>65.183912079999985</v>
      </c>
      <c r="L123"/>
      <c r="M123">
        <f t="shared" ref="M123:S123" si="12">1.043*J118</f>
        <v>67.986820299439984</v>
      </c>
      <c r="P123">
        <f t="shared" si="12"/>
        <v>70.910253572315895</v>
      </c>
      <c r="S123">
        <f t="shared" si="12"/>
        <v>73.959394475925478</v>
      </c>
    </row>
    <row r="124" spans="1:20" x14ac:dyDescent="0.25">
      <c r="E124" s="39"/>
      <c r="F124" s="258"/>
    </row>
    <row r="125" spans="1:20" x14ac:dyDescent="0.25">
      <c r="E125" s="577">
        <v>2018</v>
      </c>
      <c r="F125" s="658">
        <f>J118</f>
        <v>65.183912079999985</v>
      </c>
    </row>
    <row r="126" spans="1:20" x14ac:dyDescent="0.25">
      <c r="E126" s="577">
        <v>2019</v>
      </c>
      <c r="F126" s="658">
        <f>M118</f>
        <v>67.986820299439984</v>
      </c>
    </row>
    <row r="127" spans="1:20" x14ac:dyDescent="0.25">
      <c r="E127" s="577">
        <v>2020</v>
      </c>
      <c r="F127" s="658">
        <f>P118</f>
        <v>70.910253572315895</v>
      </c>
    </row>
    <row r="128" spans="1:20" x14ac:dyDescent="0.25">
      <c r="E128" s="577">
        <v>2021</v>
      </c>
      <c r="F128" s="658">
        <f>S118</f>
        <v>73.959394475925478</v>
      </c>
    </row>
    <row r="129" spans="5:6" x14ac:dyDescent="0.25">
      <c r="E129" s="745"/>
      <c r="F129" s="658"/>
    </row>
    <row r="130" spans="5:6" x14ac:dyDescent="0.25">
      <c r="E130" s="745"/>
      <c r="F130" s="658"/>
    </row>
  </sheetData>
  <mergeCells count="51">
    <mergeCell ref="S118:S120"/>
    <mergeCell ref="T118:T120"/>
    <mergeCell ref="N118:N120"/>
    <mergeCell ref="O118:O120"/>
    <mergeCell ref="P118:P120"/>
    <mergeCell ref="Q118:Q120"/>
    <mergeCell ref="R118:R120"/>
    <mergeCell ref="I118:I120"/>
    <mergeCell ref="J118:J120"/>
    <mergeCell ref="K118:K120"/>
    <mergeCell ref="L118:L120"/>
    <mergeCell ref="M118:M120"/>
    <mergeCell ref="B118:B121"/>
    <mergeCell ref="E118:E120"/>
    <mergeCell ref="F118:F120"/>
    <mergeCell ref="G118:G120"/>
    <mergeCell ref="H118:H120"/>
    <mergeCell ref="B4:K4"/>
    <mergeCell ref="B3:K3"/>
    <mergeCell ref="D5:F5"/>
    <mergeCell ref="C5:C6"/>
    <mergeCell ref="G5:I5"/>
    <mergeCell ref="J5:J6"/>
    <mergeCell ref="K5:K6"/>
    <mergeCell ref="B5:B6"/>
    <mergeCell ref="C41:K41"/>
    <mergeCell ref="S116:T116"/>
    <mergeCell ref="D117:E117"/>
    <mergeCell ref="A112:T112"/>
    <mergeCell ref="A113:T113"/>
    <mergeCell ref="A115:A117"/>
    <mergeCell ref="B115:B117"/>
    <mergeCell ref="C115:C117"/>
    <mergeCell ref="D115:E116"/>
    <mergeCell ref="F115:H115"/>
    <mergeCell ref="I115:K115"/>
    <mergeCell ref="L115:N115"/>
    <mergeCell ref="O115:Q115"/>
    <mergeCell ref="R115:T115"/>
    <mergeCell ref="G116:H116"/>
    <mergeCell ref="J116:K116"/>
    <mergeCell ref="M116:N116"/>
    <mergeCell ref="P116:Q116"/>
    <mergeCell ref="C42:K42"/>
    <mergeCell ref="B43:B44"/>
    <mergeCell ref="C43:C44"/>
    <mergeCell ref="D43:F43"/>
    <mergeCell ref="G43:H43"/>
    <mergeCell ref="I43:I44"/>
    <mergeCell ref="J43:J44"/>
    <mergeCell ref="K43:K44"/>
  </mergeCells>
  <conditionalFormatting sqref="T118 Q118 N118 K118 H118 H121 T121 Q121 N121 K121">
    <cfRule type="cellIs" dxfId="12" priority="1" operator="greaterThan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12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T218"/>
  <sheetViews>
    <sheetView topLeftCell="A79" zoomScaleNormal="100" workbookViewId="0">
      <selection activeCell="Q60" sqref="Q60"/>
    </sheetView>
  </sheetViews>
  <sheetFormatPr baseColWidth="10" defaultRowHeight="15" x14ac:dyDescent="0.25"/>
  <cols>
    <col min="1" max="1" width="5.7109375" customWidth="1"/>
    <col min="2" max="2" width="6.7109375" customWidth="1"/>
    <col min="3" max="3" width="14.7109375" customWidth="1"/>
    <col min="4" max="5" width="10.7109375" customWidth="1"/>
    <col min="6" max="6" width="11.7109375" customWidth="1"/>
    <col min="7" max="8" width="12.7109375" customWidth="1"/>
    <col min="9" max="12" width="10.7109375" customWidth="1"/>
    <col min="13" max="13" width="10.42578125" customWidth="1"/>
    <col min="14" max="14" width="8.28515625" customWidth="1"/>
    <col min="15" max="15" width="8.7109375" customWidth="1"/>
  </cols>
  <sheetData>
    <row r="2" spans="2:17" ht="15.75" thickBot="1" x14ac:dyDescent="0.3"/>
    <row r="3" spans="2:17" ht="15.95" customHeight="1" x14ac:dyDescent="0.25">
      <c r="B3" s="1232" t="s">
        <v>28</v>
      </c>
      <c r="C3" s="1233"/>
      <c r="D3" s="1233"/>
      <c r="E3" s="1233"/>
      <c r="F3" s="1233"/>
      <c r="G3" s="1233"/>
      <c r="H3" s="1233"/>
      <c r="I3" s="1233"/>
      <c r="J3" s="1233"/>
      <c r="K3" s="1234"/>
    </row>
    <row r="4" spans="2:17" ht="15.95" customHeight="1" thickBot="1" x14ac:dyDescent="0.3">
      <c r="B4" s="1235" t="s">
        <v>246</v>
      </c>
      <c r="C4" s="1236"/>
      <c r="D4" s="1236"/>
      <c r="E4" s="1236"/>
      <c r="F4" s="1236"/>
      <c r="G4" s="1236"/>
      <c r="H4" s="1236"/>
      <c r="I4" s="1236"/>
      <c r="J4" s="1236"/>
      <c r="K4" s="1237"/>
    </row>
    <row r="5" spans="2:17" ht="15.95" customHeight="1" x14ac:dyDescent="0.25">
      <c r="B5" s="1166" t="s">
        <v>124</v>
      </c>
      <c r="C5" s="1181" t="s">
        <v>26</v>
      </c>
      <c r="D5" s="1238" t="s">
        <v>104</v>
      </c>
      <c r="E5" s="1239"/>
      <c r="F5" s="1240"/>
      <c r="G5" s="1169" t="s">
        <v>74</v>
      </c>
      <c r="H5" s="1241"/>
      <c r="I5" s="1241"/>
      <c r="J5" s="1181" t="s">
        <v>105</v>
      </c>
      <c r="K5" s="1183" t="s">
        <v>106</v>
      </c>
    </row>
    <row r="6" spans="2:17" ht="39.950000000000003" customHeight="1" x14ac:dyDescent="0.25">
      <c r="B6" s="1119"/>
      <c r="C6" s="1032"/>
      <c r="D6" s="259" t="s">
        <v>103</v>
      </c>
      <c r="E6" s="38" t="s">
        <v>102</v>
      </c>
      <c r="F6" s="38" t="s">
        <v>81</v>
      </c>
      <c r="G6" s="38" t="s">
        <v>243</v>
      </c>
      <c r="H6" s="38" t="s">
        <v>232</v>
      </c>
      <c r="I6" s="38" t="s">
        <v>132</v>
      </c>
      <c r="J6" s="1032"/>
      <c r="K6" s="1124"/>
      <c r="L6" s="258" t="s">
        <v>191</v>
      </c>
      <c r="M6" s="39"/>
      <c r="P6" s="85" t="s">
        <v>73</v>
      </c>
      <c r="Q6" s="38" t="s">
        <v>240</v>
      </c>
    </row>
    <row r="7" spans="2:17" x14ac:dyDescent="0.25">
      <c r="B7" s="521"/>
      <c r="C7" s="266">
        <v>1997</v>
      </c>
      <c r="D7" s="65">
        <v>18.989999999999998</v>
      </c>
      <c r="E7" s="61">
        <f>D7/L26</f>
        <v>19.92896064581231</v>
      </c>
      <c r="F7" s="174"/>
      <c r="G7" s="40"/>
      <c r="H7" s="40"/>
      <c r="I7" s="40"/>
      <c r="J7" s="61">
        <f>3*25</f>
        <v>75</v>
      </c>
      <c r="K7" s="204">
        <f>J7-25</f>
        <v>50</v>
      </c>
      <c r="L7" s="261"/>
      <c r="M7" s="438">
        <v>1997</v>
      </c>
      <c r="N7" s="123">
        <v>75</v>
      </c>
      <c r="O7" s="123">
        <v>50</v>
      </c>
      <c r="P7" s="50"/>
      <c r="Q7" s="50"/>
    </row>
    <row r="8" spans="2:17" x14ac:dyDescent="0.25">
      <c r="B8" s="196"/>
      <c r="C8" s="101">
        <v>1998</v>
      </c>
      <c r="D8" s="40">
        <v>28.15</v>
      </c>
      <c r="E8" s="62">
        <f>D8/L26</f>
        <v>29.541876892028256</v>
      </c>
      <c r="F8" s="175">
        <f>(E8-E7)/E7</f>
        <v>0.48235913638757255</v>
      </c>
      <c r="G8" s="40"/>
      <c r="H8" s="40"/>
      <c r="I8" s="40"/>
      <c r="J8" s="62">
        <f t="shared" ref="J8:J25" si="0">3*25</f>
        <v>75</v>
      </c>
      <c r="K8" s="204">
        <f t="shared" ref="K8:K24" si="1">J8-25</f>
        <v>50</v>
      </c>
      <c r="L8" s="261"/>
      <c r="M8" s="438">
        <v>1998</v>
      </c>
      <c r="N8" s="123">
        <v>75</v>
      </c>
      <c r="O8" s="123">
        <v>50</v>
      </c>
      <c r="P8" s="50"/>
      <c r="Q8" s="50"/>
    </row>
    <row r="9" spans="2:17" x14ac:dyDescent="0.25">
      <c r="B9" s="196"/>
      <c r="C9" s="101">
        <v>1999</v>
      </c>
      <c r="D9" s="40">
        <v>43.22</v>
      </c>
      <c r="E9" s="62">
        <f>D9/L26</f>
        <v>45.357013118062568</v>
      </c>
      <c r="F9" s="175">
        <f t="shared" ref="F9:F27" si="2">(E9-E8)/E8</f>
        <v>0.53534635879218484</v>
      </c>
      <c r="G9" s="40"/>
      <c r="H9" s="40"/>
      <c r="I9" s="40"/>
      <c r="J9" s="62">
        <f t="shared" si="0"/>
        <v>75</v>
      </c>
      <c r="K9" s="204">
        <f t="shared" si="1"/>
        <v>50</v>
      </c>
      <c r="L9" s="261"/>
      <c r="M9" s="438">
        <v>1999</v>
      </c>
      <c r="N9" s="123">
        <v>75</v>
      </c>
      <c r="O9" s="123">
        <v>50</v>
      </c>
      <c r="P9" s="50"/>
      <c r="Q9" s="50"/>
    </row>
    <row r="10" spans="2:17" x14ac:dyDescent="0.25">
      <c r="B10" s="196"/>
      <c r="C10" s="101">
        <v>2000</v>
      </c>
      <c r="D10" s="40">
        <v>26.4</v>
      </c>
      <c r="E10" s="62">
        <f>D10/L26</f>
        <v>27.70534813319879</v>
      </c>
      <c r="F10" s="175">
        <f t="shared" si="2"/>
        <v>-0.38917167977788064</v>
      </c>
      <c r="G10" s="40"/>
      <c r="H10" s="40"/>
      <c r="I10" s="40"/>
      <c r="J10" s="62">
        <f t="shared" si="0"/>
        <v>75</v>
      </c>
      <c r="K10" s="204">
        <f t="shared" si="1"/>
        <v>50</v>
      </c>
      <c r="L10" s="261"/>
      <c r="M10" s="438">
        <v>2000</v>
      </c>
      <c r="N10" s="123">
        <v>75</v>
      </c>
      <c r="O10" s="123">
        <v>50</v>
      </c>
      <c r="P10" s="50"/>
      <c r="Q10" s="50"/>
    </row>
    <row r="11" spans="2:17" x14ac:dyDescent="0.25">
      <c r="B11" s="196"/>
      <c r="C11" s="101">
        <v>2001</v>
      </c>
      <c r="D11" s="40">
        <v>31.6</v>
      </c>
      <c r="E11" s="62">
        <f>D11/L26</f>
        <v>33.162462159434916</v>
      </c>
      <c r="F11" s="175">
        <f t="shared" si="2"/>
        <v>0.19696969696969702</v>
      </c>
      <c r="G11" s="40"/>
      <c r="H11" s="40"/>
      <c r="I11" s="40"/>
      <c r="J11" s="62">
        <f t="shared" si="0"/>
        <v>75</v>
      </c>
      <c r="K11" s="204">
        <f t="shared" si="1"/>
        <v>50</v>
      </c>
      <c r="L11" s="261"/>
      <c r="M11" s="438">
        <v>2001</v>
      </c>
      <c r="N11" s="123">
        <v>75</v>
      </c>
      <c r="O11" s="123">
        <v>50</v>
      </c>
      <c r="P11" s="50"/>
      <c r="Q11" s="50"/>
    </row>
    <row r="12" spans="2:17" x14ac:dyDescent="0.25">
      <c r="B12" s="196"/>
      <c r="C12" s="101">
        <v>2002</v>
      </c>
      <c r="D12" s="40">
        <v>52.58</v>
      </c>
      <c r="E12" s="62">
        <f>D12/L26</f>
        <v>55.179818365287588</v>
      </c>
      <c r="F12" s="175">
        <f t="shared" si="2"/>
        <v>0.66392405063291127</v>
      </c>
      <c r="G12" s="40"/>
      <c r="H12" s="40"/>
      <c r="I12" s="40"/>
      <c r="J12" s="62">
        <f t="shared" si="0"/>
        <v>75</v>
      </c>
      <c r="K12" s="204">
        <f t="shared" si="1"/>
        <v>50</v>
      </c>
      <c r="L12" s="261"/>
      <c r="M12" s="438">
        <v>2002</v>
      </c>
      <c r="N12" s="123">
        <v>75</v>
      </c>
      <c r="O12" s="123">
        <v>50</v>
      </c>
      <c r="P12" s="50"/>
      <c r="Q12" s="50"/>
    </row>
    <row r="13" spans="2:17" x14ac:dyDescent="0.25">
      <c r="B13" s="196">
        <v>11</v>
      </c>
      <c r="C13" s="101">
        <v>2003</v>
      </c>
      <c r="D13" s="40">
        <v>44.04</v>
      </c>
      <c r="E13" s="62">
        <v>48.43</v>
      </c>
      <c r="F13" s="175">
        <f t="shared" si="2"/>
        <v>-0.12232404102173976</v>
      </c>
      <c r="G13" s="40"/>
      <c r="H13" s="40"/>
      <c r="I13" s="40"/>
      <c r="J13" s="62">
        <f t="shared" si="0"/>
        <v>75</v>
      </c>
      <c r="K13" s="204">
        <f t="shared" si="1"/>
        <v>50</v>
      </c>
      <c r="L13" s="261">
        <v>0.91</v>
      </c>
      <c r="M13" s="438">
        <v>2003</v>
      </c>
      <c r="N13" s="123">
        <v>75</v>
      </c>
      <c r="O13" s="123">
        <v>50</v>
      </c>
      <c r="P13" s="50"/>
      <c r="Q13" s="50"/>
    </row>
    <row r="14" spans="2:17" x14ac:dyDescent="0.25">
      <c r="B14" s="196">
        <v>12</v>
      </c>
      <c r="C14" s="101">
        <v>2004</v>
      </c>
      <c r="D14" s="40">
        <v>44.94</v>
      </c>
      <c r="E14" s="62">
        <v>48.5</v>
      </c>
      <c r="F14" s="175">
        <f t="shared" si="2"/>
        <v>1.445385091885201E-3</v>
      </c>
      <c r="G14" s="40"/>
      <c r="H14" s="40"/>
      <c r="I14" s="40"/>
      <c r="J14" s="62">
        <f t="shared" si="0"/>
        <v>75</v>
      </c>
      <c r="K14" s="204">
        <f t="shared" si="1"/>
        <v>50</v>
      </c>
      <c r="L14" s="261">
        <v>0.92649999999999999</v>
      </c>
      <c r="M14" s="438">
        <v>2004</v>
      </c>
      <c r="N14" s="123">
        <v>75</v>
      </c>
      <c r="O14" s="123">
        <v>50</v>
      </c>
      <c r="P14" s="50"/>
      <c r="Q14" s="50"/>
    </row>
    <row r="15" spans="2:17" x14ac:dyDescent="0.25">
      <c r="B15" s="196">
        <v>11</v>
      </c>
      <c r="C15" s="101">
        <v>2005</v>
      </c>
      <c r="D15" s="40">
        <v>46.98</v>
      </c>
      <c r="E15" s="62">
        <v>50.57</v>
      </c>
      <c r="F15" s="175">
        <f t="shared" si="2"/>
        <v>4.2680412371134027E-2</v>
      </c>
      <c r="G15" s="40"/>
      <c r="H15" s="40"/>
      <c r="I15" s="40"/>
      <c r="J15" s="62">
        <f t="shared" si="0"/>
        <v>75</v>
      </c>
      <c r="K15" s="204">
        <f t="shared" si="1"/>
        <v>50</v>
      </c>
      <c r="L15" s="261">
        <v>0.92910000000000004</v>
      </c>
      <c r="M15" s="438">
        <v>2005</v>
      </c>
      <c r="N15" s="123">
        <v>75</v>
      </c>
      <c r="O15" s="123">
        <v>50</v>
      </c>
      <c r="P15" s="50"/>
      <c r="Q15" s="50"/>
    </row>
    <row r="16" spans="2:17" x14ac:dyDescent="0.25">
      <c r="B16" s="196">
        <v>10</v>
      </c>
      <c r="C16" s="101">
        <v>2006</v>
      </c>
      <c r="D16" s="40">
        <v>53.19</v>
      </c>
      <c r="E16" s="62">
        <v>56.74</v>
      </c>
      <c r="F16" s="175">
        <f t="shared" si="2"/>
        <v>0.12200909630215546</v>
      </c>
      <c r="G16" s="40"/>
      <c r="H16" s="40"/>
      <c r="I16" s="40"/>
      <c r="J16" s="62">
        <f t="shared" si="0"/>
        <v>75</v>
      </c>
      <c r="K16" s="204">
        <f t="shared" si="1"/>
        <v>50</v>
      </c>
      <c r="L16" s="261">
        <v>0.9375</v>
      </c>
      <c r="M16" s="438">
        <v>2006</v>
      </c>
      <c r="N16" s="123">
        <v>75</v>
      </c>
      <c r="O16" s="123">
        <v>50</v>
      </c>
      <c r="P16" s="50"/>
      <c r="Q16" s="50"/>
    </row>
    <row r="17" spans="2:17" x14ac:dyDescent="0.25">
      <c r="B17" s="196">
        <v>2</v>
      </c>
      <c r="C17" s="101">
        <v>2007</v>
      </c>
      <c r="D17" s="40">
        <v>49.34</v>
      </c>
      <c r="E17" s="62">
        <v>52.71</v>
      </c>
      <c r="F17" s="175">
        <f t="shared" si="2"/>
        <v>-7.1025731406415243E-2</v>
      </c>
      <c r="G17" s="40"/>
      <c r="H17" s="40"/>
      <c r="I17" s="40"/>
      <c r="J17" s="62">
        <f t="shared" si="0"/>
        <v>75</v>
      </c>
      <c r="K17" s="204">
        <f t="shared" si="1"/>
        <v>50</v>
      </c>
      <c r="L17" s="261">
        <v>0.93610000000000004</v>
      </c>
      <c r="M17" s="438">
        <v>2007</v>
      </c>
      <c r="N17" s="123">
        <v>75</v>
      </c>
      <c r="O17" s="123">
        <v>50</v>
      </c>
      <c r="P17" s="50"/>
      <c r="Q17" s="50"/>
    </row>
    <row r="18" spans="2:17" x14ac:dyDescent="0.25">
      <c r="B18" s="196">
        <v>11</v>
      </c>
      <c r="C18" s="101">
        <v>2008</v>
      </c>
      <c r="D18" s="40">
        <v>51.87</v>
      </c>
      <c r="E18" s="62">
        <v>54.94</v>
      </c>
      <c r="F18" s="175">
        <f t="shared" si="2"/>
        <v>4.2306962625687665E-2</v>
      </c>
      <c r="G18" s="40"/>
      <c r="H18" s="40"/>
      <c r="I18" s="40"/>
      <c r="J18" s="62">
        <f t="shared" si="0"/>
        <v>75</v>
      </c>
      <c r="K18" s="204">
        <f t="shared" si="1"/>
        <v>50</v>
      </c>
      <c r="L18" s="261">
        <v>0.94430000000000003</v>
      </c>
      <c r="M18" s="438">
        <v>2008</v>
      </c>
      <c r="N18" s="123">
        <v>75</v>
      </c>
      <c r="O18" s="123">
        <v>50</v>
      </c>
      <c r="P18" s="50"/>
      <c r="Q18" s="50"/>
    </row>
    <row r="19" spans="2:17" x14ac:dyDescent="0.25">
      <c r="B19" s="196">
        <v>12</v>
      </c>
      <c r="C19" s="101">
        <v>2009</v>
      </c>
      <c r="D19" s="40">
        <v>57.92</v>
      </c>
      <c r="E19" s="62">
        <v>61.75</v>
      </c>
      <c r="F19" s="175">
        <f t="shared" si="2"/>
        <v>0.12395340371314166</v>
      </c>
      <c r="G19" s="40"/>
      <c r="H19" s="40"/>
      <c r="I19" s="40"/>
      <c r="J19" s="62">
        <f t="shared" si="0"/>
        <v>75</v>
      </c>
      <c r="K19" s="204">
        <f t="shared" si="1"/>
        <v>50</v>
      </c>
      <c r="L19" s="261">
        <v>0.93799999999999994</v>
      </c>
      <c r="M19" s="438">
        <v>2009</v>
      </c>
      <c r="N19" s="123">
        <v>75</v>
      </c>
      <c r="O19" s="123">
        <v>50</v>
      </c>
      <c r="P19" s="50"/>
      <c r="Q19" s="50"/>
    </row>
    <row r="20" spans="2:17" x14ac:dyDescent="0.25">
      <c r="B20" s="196">
        <v>2</v>
      </c>
      <c r="C20" s="101">
        <v>2010</v>
      </c>
      <c r="D20" s="40">
        <v>60.31</v>
      </c>
      <c r="E20" s="62">
        <v>63.69</v>
      </c>
      <c r="F20" s="175">
        <f t="shared" si="2"/>
        <v>3.1417004048582962E-2</v>
      </c>
      <c r="G20" s="40"/>
      <c r="H20" s="40"/>
      <c r="I20" s="40"/>
      <c r="J20" s="62">
        <f t="shared" si="0"/>
        <v>75</v>
      </c>
      <c r="K20" s="204">
        <f t="shared" si="1"/>
        <v>50</v>
      </c>
      <c r="L20" s="261">
        <v>0.94699999999999995</v>
      </c>
      <c r="M20" s="438">
        <v>2010</v>
      </c>
      <c r="N20" s="123">
        <v>75</v>
      </c>
      <c r="O20" s="123">
        <v>50</v>
      </c>
      <c r="P20" s="175"/>
      <c r="Q20" s="50"/>
    </row>
    <row r="21" spans="2:17" x14ac:dyDescent="0.25">
      <c r="B21" s="196">
        <v>12</v>
      </c>
      <c r="C21" s="101">
        <v>2011</v>
      </c>
      <c r="D21" s="40">
        <v>58.29</v>
      </c>
      <c r="E21" s="62">
        <v>60.51</v>
      </c>
      <c r="F21" s="175">
        <f t="shared" si="2"/>
        <v>-4.9929345266132831E-2</v>
      </c>
      <c r="G21" s="40"/>
      <c r="H21" s="40"/>
      <c r="I21" s="40"/>
      <c r="J21" s="62">
        <f t="shared" si="0"/>
        <v>75</v>
      </c>
      <c r="K21" s="204">
        <f t="shared" si="1"/>
        <v>50</v>
      </c>
      <c r="L21" s="261">
        <v>0.96319999999999995</v>
      </c>
      <c r="M21" s="438">
        <v>2011</v>
      </c>
      <c r="N21" s="123">
        <v>75</v>
      </c>
      <c r="O21" s="123">
        <v>50</v>
      </c>
      <c r="P21" s="50"/>
      <c r="Q21" s="50"/>
    </row>
    <row r="22" spans="2:17" x14ac:dyDescent="0.25">
      <c r="B22" s="196">
        <v>12</v>
      </c>
      <c r="C22" s="101">
        <v>2012</v>
      </c>
      <c r="D22" s="40">
        <v>75.78</v>
      </c>
      <c r="E22" s="62">
        <v>79.290000000000006</v>
      </c>
      <c r="F22" s="175">
        <f t="shared" si="2"/>
        <v>0.3103619236489838</v>
      </c>
      <c r="G22" s="40"/>
      <c r="H22" s="40"/>
      <c r="I22" s="40"/>
      <c r="J22" s="62">
        <f t="shared" si="0"/>
        <v>75</v>
      </c>
      <c r="K22" s="204">
        <f t="shared" si="1"/>
        <v>50</v>
      </c>
      <c r="L22" s="261">
        <v>0.95579999999999998</v>
      </c>
      <c r="M22" s="438">
        <v>2012</v>
      </c>
      <c r="N22" s="123">
        <v>75</v>
      </c>
      <c r="O22" s="123">
        <v>50</v>
      </c>
      <c r="P22" s="175"/>
      <c r="Q22" s="50"/>
    </row>
    <row r="23" spans="2:17" x14ac:dyDescent="0.25">
      <c r="B23" s="196">
        <v>12</v>
      </c>
      <c r="C23" s="101">
        <v>2013</v>
      </c>
      <c r="D23" s="40">
        <v>74.239999999999995</v>
      </c>
      <c r="E23" s="62">
        <v>76.430000000000007</v>
      </c>
      <c r="F23" s="175">
        <f t="shared" si="2"/>
        <v>-3.6070122335729593E-2</v>
      </c>
      <c r="G23" s="40"/>
      <c r="H23" s="40"/>
      <c r="I23" s="40"/>
      <c r="J23" s="62">
        <f t="shared" si="0"/>
        <v>75</v>
      </c>
      <c r="K23" s="204">
        <f t="shared" si="1"/>
        <v>50</v>
      </c>
      <c r="L23" s="261">
        <v>1</v>
      </c>
      <c r="M23" s="438">
        <v>2013</v>
      </c>
      <c r="N23" s="123">
        <v>75</v>
      </c>
      <c r="O23" s="123">
        <v>50</v>
      </c>
      <c r="P23" s="50"/>
      <c r="Q23" s="50"/>
    </row>
    <row r="24" spans="2:17" x14ac:dyDescent="0.25">
      <c r="B24" s="196">
        <v>1</v>
      </c>
      <c r="C24" s="101">
        <v>2014</v>
      </c>
      <c r="D24" s="40">
        <v>72.03</v>
      </c>
      <c r="E24" s="62">
        <v>74.180000000000007</v>
      </c>
      <c r="F24" s="175">
        <f t="shared" si="2"/>
        <v>-2.9438702080334944E-2</v>
      </c>
      <c r="G24" s="40"/>
      <c r="H24" s="40"/>
      <c r="I24" s="40"/>
      <c r="J24" s="62">
        <f t="shared" si="0"/>
        <v>75</v>
      </c>
      <c r="K24" s="204">
        <f t="shared" si="1"/>
        <v>50</v>
      </c>
      <c r="L24" s="261">
        <v>1</v>
      </c>
      <c r="M24" s="438">
        <v>2014</v>
      </c>
      <c r="N24" s="123">
        <v>75</v>
      </c>
      <c r="O24" s="123">
        <v>50</v>
      </c>
      <c r="P24" s="175"/>
      <c r="Q24" s="50"/>
    </row>
    <row r="25" spans="2:17" x14ac:dyDescent="0.25">
      <c r="B25" s="196">
        <v>1</v>
      </c>
      <c r="C25" s="101">
        <v>2015</v>
      </c>
      <c r="D25" s="40">
        <v>67.72</v>
      </c>
      <c r="E25" s="62">
        <v>69.69</v>
      </c>
      <c r="F25" s="175">
        <f t="shared" si="2"/>
        <v>-6.0528444324615918E-2</v>
      </c>
      <c r="G25" s="40"/>
      <c r="H25" s="40"/>
      <c r="I25" s="40"/>
      <c r="J25" s="62">
        <f t="shared" si="0"/>
        <v>75</v>
      </c>
      <c r="K25" s="204">
        <f>J25-25</f>
        <v>50</v>
      </c>
      <c r="L25" s="261">
        <v>1</v>
      </c>
      <c r="M25" s="438">
        <v>2015</v>
      </c>
      <c r="N25" s="123">
        <v>75</v>
      </c>
      <c r="O25" s="123">
        <v>50</v>
      </c>
      <c r="P25" s="311"/>
      <c r="Q25" s="50"/>
    </row>
    <row r="26" spans="2:17" x14ac:dyDescent="0.25">
      <c r="B26" s="196">
        <v>2</v>
      </c>
      <c r="C26" s="101">
        <v>2016</v>
      </c>
      <c r="D26" s="40">
        <v>74.099999999999994</v>
      </c>
      <c r="E26" s="62">
        <v>76.27</v>
      </c>
      <c r="F26" s="175">
        <f t="shared" si="2"/>
        <v>9.4418137465920482E-2</v>
      </c>
      <c r="G26" s="258"/>
      <c r="H26" s="258"/>
      <c r="I26" s="258"/>
      <c r="J26" s="62">
        <f>2*55+1*25</f>
        <v>135</v>
      </c>
      <c r="K26" s="204">
        <f>J26-55</f>
        <v>80</v>
      </c>
      <c r="L26" s="269">
        <f>AVERAGE(L13:L25)</f>
        <v>0.95288461538461533</v>
      </c>
      <c r="M26" s="438">
        <v>2016</v>
      </c>
      <c r="N26" s="40">
        <v>75</v>
      </c>
      <c r="O26" s="40">
        <v>50</v>
      </c>
      <c r="P26" s="50"/>
      <c r="Q26" s="390" t="e">
        <f>(H26-H25)/H25</f>
        <v>#DIV/0!</v>
      </c>
    </row>
    <row r="27" spans="2:17" x14ac:dyDescent="0.25">
      <c r="B27" s="196"/>
      <c r="C27" s="101">
        <v>2017</v>
      </c>
      <c r="D27" s="40"/>
      <c r="E27" s="62">
        <v>100</v>
      </c>
      <c r="F27" s="175">
        <f t="shared" si="2"/>
        <v>0.31113150649010102</v>
      </c>
      <c r="G27" s="258"/>
      <c r="H27" s="258">
        <f>E27</f>
        <v>100</v>
      </c>
      <c r="I27" s="258">
        <f>E27</f>
        <v>100</v>
      </c>
      <c r="J27" s="62">
        <f t="shared" ref="J27:J37" si="3">2*55+1*25</f>
        <v>135</v>
      </c>
      <c r="K27" s="204">
        <f t="shared" ref="K27:K37" si="4">J27-55</f>
        <v>80</v>
      </c>
      <c r="L27" s="261"/>
      <c r="M27" s="200"/>
      <c r="N27" s="75"/>
      <c r="O27" s="75"/>
      <c r="P27" s="383" t="e">
        <f>(G27-G26)/G26</f>
        <v>#DIV/0!</v>
      </c>
      <c r="Q27" s="390" t="e">
        <f>(H27-H26)/H26</f>
        <v>#DIV/0!</v>
      </c>
    </row>
    <row r="28" spans="2:17" x14ac:dyDescent="0.25">
      <c r="B28" s="197"/>
      <c r="C28" s="107">
        <v>2018</v>
      </c>
      <c r="D28" s="55"/>
      <c r="E28" s="109"/>
      <c r="F28" s="187"/>
      <c r="G28" s="374"/>
      <c r="H28" s="375"/>
      <c r="I28" s="393">
        <f t="shared" ref="I28:I37" si="5">I27+0.045*I27</f>
        <v>104.5</v>
      </c>
      <c r="J28" s="62">
        <f t="shared" si="3"/>
        <v>135</v>
      </c>
      <c r="K28" s="204">
        <f t="shared" si="4"/>
        <v>80</v>
      </c>
      <c r="L28" s="261"/>
      <c r="M28" s="39"/>
      <c r="N28" s="75"/>
      <c r="O28" s="75"/>
      <c r="P28" s="383" t="e">
        <f t="shared" ref="P28:P34" si="6">(G28-G27)/G27</f>
        <v>#DIV/0!</v>
      </c>
      <c r="Q28" s="390">
        <f>(H28-H27)/H27</f>
        <v>-1</v>
      </c>
    </row>
    <row r="29" spans="2:17" x14ac:dyDescent="0.25">
      <c r="B29" s="197"/>
      <c r="C29" s="107">
        <v>2019</v>
      </c>
      <c r="D29" s="55"/>
      <c r="E29" s="109"/>
      <c r="F29" s="187"/>
      <c r="G29" s="374"/>
      <c r="H29" s="375"/>
      <c r="I29" s="393">
        <f t="shared" si="5"/>
        <v>109.2025</v>
      </c>
      <c r="J29" s="62">
        <f t="shared" si="3"/>
        <v>135</v>
      </c>
      <c r="K29" s="204">
        <f t="shared" si="4"/>
        <v>80</v>
      </c>
      <c r="L29" s="261"/>
      <c r="M29" s="39"/>
      <c r="N29" s="75"/>
      <c r="O29" s="75"/>
      <c r="P29" s="383" t="e">
        <f t="shared" si="6"/>
        <v>#DIV/0!</v>
      </c>
      <c r="Q29" s="390" t="e">
        <f>(H29-H28)/H28</f>
        <v>#DIV/0!</v>
      </c>
    </row>
    <row r="30" spans="2:17" x14ac:dyDescent="0.25">
      <c r="B30" s="197"/>
      <c r="C30" s="107">
        <v>2020</v>
      </c>
      <c r="D30" s="55"/>
      <c r="E30" s="109"/>
      <c r="F30" s="187"/>
      <c r="G30" s="374"/>
      <c r="H30" s="375"/>
      <c r="I30" s="393">
        <f t="shared" si="5"/>
        <v>114.1166125</v>
      </c>
      <c r="J30" s="62">
        <f t="shared" si="3"/>
        <v>135</v>
      </c>
      <c r="K30" s="204">
        <f t="shared" si="4"/>
        <v>80</v>
      </c>
      <c r="L30" s="261"/>
      <c r="M30" s="39"/>
      <c r="N30" s="75"/>
      <c r="O30" s="75"/>
      <c r="P30" s="383" t="e">
        <f t="shared" si="6"/>
        <v>#DIV/0!</v>
      </c>
      <c r="Q30" s="390" t="e">
        <f>(H30-H29)/H29</f>
        <v>#DIV/0!</v>
      </c>
    </row>
    <row r="31" spans="2:17" x14ac:dyDescent="0.25">
      <c r="B31" s="197"/>
      <c r="C31" s="107">
        <v>2021</v>
      </c>
      <c r="D31" s="106"/>
      <c r="E31" s="110"/>
      <c r="F31" s="525"/>
      <c r="G31" s="374"/>
      <c r="H31" s="375"/>
      <c r="I31" s="393">
        <f t="shared" si="5"/>
        <v>119.2518600625</v>
      </c>
      <c r="J31" s="62">
        <f t="shared" si="3"/>
        <v>135</v>
      </c>
      <c r="K31" s="204">
        <f t="shared" si="4"/>
        <v>80</v>
      </c>
      <c r="L31" s="260"/>
      <c r="M31" s="75"/>
      <c r="N31" s="75"/>
      <c r="O31" s="75"/>
      <c r="P31" s="383" t="e">
        <f t="shared" si="6"/>
        <v>#DIV/0!</v>
      </c>
      <c r="Q31" s="390"/>
    </row>
    <row r="32" spans="2:17" x14ac:dyDescent="0.25">
      <c r="B32" s="197"/>
      <c r="C32" s="107">
        <v>2022</v>
      </c>
      <c r="D32" s="106"/>
      <c r="E32" s="110"/>
      <c r="F32" s="525"/>
      <c r="G32" s="374"/>
      <c r="H32" s="375"/>
      <c r="I32" s="393">
        <f t="shared" si="5"/>
        <v>124.6181937653125</v>
      </c>
      <c r="J32" s="62">
        <f t="shared" si="3"/>
        <v>135</v>
      </c>
      <c r="K32" s="204">
        <f t="shared" si="4"/>
        <v>80</v>
      </c>
      <c r="L32" s="260"/>
      <c r="P32" s="383" t="e">
        <f t="shared" si="6"/>
        <v>#DIV/0!</v>
      </c>
      <c r="Q32" s="390"/>
    </row>
    <row r="33" spans="2:19" x14ac:dyDescent="0.25">
      <c r="B33" s="197"/>
      <c r="C33" s="107">
        <v>2023</v>
      </c>
      <c r="D33" s="106"/>
      <c r="E33" s="110"/>
      <c r="F33" s="525"/>
      <c r="G33" s="374"/>
      <c r="H33" s="375"/>
      <c r="I33" s="393">
        <f t="shared" si="5"/>
        <v>130.22601248475155</v>
      </c>
      <c r="J33" s="62">
        <f t="shared" si="3"/>
        <v>135</v>
      </c>
      <c r="K33" s="204">
        <f t="shared" si="4"/>
        <v>80</v>
      </c>
      <c r="L33" s="260"/>
      <c r="P33" s="383" t="e">
        <f t="shared" si="6"/>
        <v>#DIV/0!</v>
      </c>
      <c r="Q33" s="390"/>
      <c r="R33" s="75"/>
      <c r="S33" s="75" t="s">
        <v>166</v>
      </c>
    </row>
    <row r="34" spans="2:19" x14ac:dyDescent="0.25">
      <c r="B34" s="197"/>
      <c r="C34" s="107">
        <v>2024</v>
      </c>
      <c r="D34" s="106"/>
      <c r="E34" s="110"/>
      <c r="F34" s="525"/>
      <c r="G34" s="374"/>
      <c r="H34" s="375"/>
      <c r="I34" s="393">
        <f t="shared" si="5"/>
        <v>136.08618304656537</v>
      </c>
      <c r="J34" s="62">
        <f t="shared" si="3"/>
        <v>135</v>
      </c>
      <c r="K34" s="204">
        <f t="shared" si="4"/>
        <v>80</v>
      </c>
      <c r="L34" s="260"/>
      <c r="P34" s="383" t="e">
        <f t="shared" si="6"/>
        <v>#DIV/0!</v>
      </c>
      <c r="Q34" s="390"/>
      <c r="R34" s="75">
        <f>4*24</f>
        <v>96</v>
      </c>
      <c r="S34" s="75" t="s">
        <v>163</v>
      </c>
    </row>
    <row r="35" spans="2:19" x14ac:dyDescent="0.25">
      <c r="B35" s="197"/>
      <c r="C35" s="107">
        <v>2025</v>
      </c>
      <c r="D35" s="106"/>
      <c r="E35" s="110"/>
      <c r="F35" s="525"/>
      <c r="G35" s="374"/>
      <c r="H35" s="375"/>
      <c r="I35" s="393">
        <f t="shared" si="5"/>
        <v>142.21006128366082</v>
      </c>
      <c r="J35" s="62">
        <f t="shared" si="3"/>
        <v>135</v>
      </c>
      <c r="K35" s="204">
        <f t="shared" si="4"/>
        <v>80</v>
      </c>
      <c r="L35" s="260"/>
      <c r="P35" s="383" t="e">
        <f>(G35-G34)/G34</f>
        <v>#DIV/0!</v>
      </c>
      <c r="Q35" s="390"/>
      <c r="R35" s="75">
        <f>96*30</f>
        <v>2880</v>
      </c>
      <c r="S35" s="75" t="s">
        <v>165</v>
      </c>
    </row>
    <row r="36" spans="2:19" x14ac:dyDescent="0.25">
      <c r="B36" s="506"/>
      <c r="C36" s="107">
        <v>2026</v>
      </c>
      <c r="D36" s="527"/>
      <c r="E36" s="528"/>
      <c r="F36" s="514"/>
      <c r="G36" s="374"/>
      <c r="H36" s="529"/>
      <c r="I36" s="393">
        <f t="shared" si="5"/>
        <v>148.60951404142557</v>
      </c>
      <c r="J36" s="62">
        <f t="shared" si="3"/>
        <v>135</v>
      </c>
      <c r="K36" s="204">
        <f t="shared" si="4"/>
        <v>80</v>
      </c>
      <c r="P36" s="364" t="e">
        <f>AVERAGE(P27:P35)</f>
        <v>#DIV/0!</v>
      </c>
      <c r="Q36" s="397" t="e">
        <f>AVERAGE(Q27:Q30)</f>
        <v>#DIV/0!</v>
      </c>
      <c r="R36" s="75">
        <f>96*365</f>
        <v>35040</v>
      </c>
      <c r="S36" s="75" t="s">
        <v>164</v>
      </c>
    </row>
    <row r="37" spans="2:19" ht="15.75" thickBot="1" x14ac:dyDescent="0.3">
      <c r="B37" s="507"/>
      <c r="C37" s="207">
        <v>2027</v>
      </c>
      <c r="D37" s="530"/>
      <c r="E37" s="531"/>
      <c r="F37" s="517"/>
      <c r="G37" s="376"/>
      <c r="H37" s="532"/>
      <c r="I37" s="396">
        <f t="shared" si="5"/>
        <v>155.29694217328972</v>
      </c>
      <c r="J37" s="183">
        <f t="shared" si="3"/>
        <v>135</v>
      </c>
      <c r="K37" s="206">
        <f t="shared" si="4"/>
        <v>80</v>
      </c>
    </row>
    <row r="38" spans="2:19" x14ac:dyDescent="0.25">
      <c r="F38" s="143">
        <f>AVERAGE(F8:F27)</f>
        <v>0.10999175041635545</v>
      </c>
    </row>
    <row r="39" spans="2:19" x14ac:dyDescent="0.25">
      <c r="F39" s="14"/>
    </row>
    <row r="40" spans="2:19" ht="15.75" thickBot="1" x14ac:dyDescent="0.3">
      <c r="F40" s="14"/>
    </row>
    <row r="41" spans="2:19" ht="20.100000000000001" customHeight="1" thickBot="1" x14ac:dyDescent="0.3">
      <c r="C41" s="1037" t="s">
        <v>28</v>
      </c>
      <c r="D41" s="1038"/>
      <c r="E41" s="1038"/>
      <c r="F41" s="1038"/>
      <c r="G41" s="1038"/>
      <c r="H41" s="1038"/>
      <c r="I41" s="1038"/>
      <c r="J41" s="1038"/>
      <c r="K41" s="1039"/>
    </row>
    <row r="42" spans="2:19" ht="15.95" customHeight="1" thickBot="1" x14ac:dyDescent="0.3">
      <c r="C42" s="1201" t="s">
        <v>329</v>
      </c>
      <c r="D42" s="1202"/>
      <c r="E42" s="1202"/>
      <c r="F42" s="1202"/>
      <c r="G42" s="1202"/>
      <c r="H42" s="1202"/>
      <c r="I42" s="1202"/>
      <c r="J42" s="1202"/>
      <c r="K42" s="1203"/>
    </row>
    <row r="43" spans="2:19" ht="15.95" customHeight="1" thickBot="1" x14ac:dyDescent="0.3">
      <c r="B43" s="1051" t="s">
        <v>26</v>
      </c>
      <c r="C43" s="1043" t="s">
        <v>35</v>
      </c>
      <c r="D43" s="1045" t="s">
        <v>110</v>
      </c>
      <c r="E43" s="1046"/>
      <c r="F43" s="1047"/>
      <c r="G43" s="1045" t="s">
        <v>74</v>
      </c>
      <c r="H43" s="1047"/>
      <c r="I43" s="1043" t="s">
        <v>180</v>
      </c>
      <c r="J43" s="1043" t="s">
        <v>268</v>
      </c>
      <c r="K43" s="1049" t="s">
        <v>269</v>
      </c>
    </row>
    <row r="44" spans="2:19" ht="35.1" customHeight="1" thickBot="1" x14ac:dyDescent="0.3">
      <c r="B44" s="1051"/>
      <c r="C44" s="1044"/>
      <c r="D44" s="541" t="s">
        <v>174</v>
      </c>
      <c r="E44" s="541" t="s">
        <v>122</v>
      </c>
      <c r="F44" s="541" t="s">
        <v>81</v>
      </c>
      <c r="G44" s="537" t="s">
        <v>170</v>
      </c>
      <c r="H44" s="538" t="s">
        <v>270</v>
      </c>
      <c r="I44" s="1044"/>
      <c r="J44" s="1044"/>
      <c r="K44" s="1175"/>
    </row>
    <row r="45" spans="2:19" ht="15" customHeight="1" x14ac:dyDescent="0.25">
      <c r="B45" s="748">
        <v>1997</v>
      </c>
      <c r="C45" s="786">
        <v>1997</v>
      </c>
      <c r="D45" s="648">
        <v>18.989999999999998</v>
      </c>
      <c r="E45" s="648">
        <v>19.92896064581231</v>
      </c>
      <c r="F45" s="731"/>
      <c r="G45" s="750"/>
      <c r="H45" s="750"/>
      <c r="I45" s="587">
        <f>3*25</f>
        <v>75</v>
      </c>
      <c r="J45" s="579">
        <f>I45-25</f>
        <v>50</v>
      </c>
      <c r="K45" s="679">
        <f>E45/I45</f>
        <v>0.26571947527749745</v>
      </c>
    </row>
    <row r="46" spans="2:19" ht="15" customHeight="1" x14ac:dyDescent="0.25">
      <c r="B46" s="49">
        <v>1998</v>
      </c>
      <c r="C46" s="787">
        <v>1998</v>
      </c>
      <c r="D46" s="650">
        <v>28.15</v>
      </c>
      <c r="E46" s="650">
        <v>29.541876892028256</v>
      </c>
      <c r="F46" s="729">
        <f t="shared" ref="F46:F65" si="7">(E46-E45)/E45</f>
        <v>0.48235913638757255</v>
      </c>
      <c r="G46" s="751"/>
      <c r="H46" s="751"/>
      <c r="I46" s="588">
        <f t="shared" ref="I46:I63" si="8">3*25</f>
        <v>75</v>
      </c>
      <c r="J46" s="581">
        <f t="shared" ref="J46:J62" si="9">I46-25</f>
        <v>50</v>
      </c>
      <c r="K46" s="680">
        <f t="shared" ref="K46:K65" si="10">E46/I46</f>
        <v>0.39389169189371009</v>
      </c>
    </row>
    <row r="47" spans="2:19" ht="15" customHeight="1" x14ac:dyDescent="0.25">
      <c r="B47" s="49">
        <v>1999</v>
      </c>
      <c r="C47" s="787">
        <v>1999</v>
      </c>
      <c r="D47" s="650">
        <v>43.22</v>
      </c>
      <c r="E47" s="650">
        <v>45.357013118062568</v>
      </c>
      <c r="F47" s="729">
        <f t="shared" si="7"/>
        <v>0.53534635879218484</v>
      </c>
      <c r="G47" s="751"/>
      <c r="H47" s="751"/>
      <c r="I47" s="588">
        <f t="shared" si="8"/>
        <v>75</v>
      </c>
      <c r="J47" s="581">
        <f t="shared" si="9"/>
        <v>50</v>
      </c>
      <c r="K47" s="680">
        <f t="shared" si="10"/>
        <v>0.60476017490750089</v>
      </c>
    </row>
    <row r="48" spans="2:19" ht="15" customHeight="1" x14ac:dyDescent="0.25">
      <c r="B48" s="49">
        <v>2000</v>
      </c>
      <c r="C48" s="787">
        <v>2000</v>
      </c>
      <c r="D48" s="650">
        <v>26.4</v>
      </c>
      <c r="E48" s="650">
        <v>27.70534813319879</v>
      </c>
      <c r="F48" s="729">
        <f t="shared" si="7"/>
        <v>-0.38917167977788064</v>
      </c>
      <c r="G48" s="751"/>
      <c r="H48" s="751"/>
      <c r="I48" s="588">
        <f t="shared" si="8"/>
        <v>75</v>
      </c>
      <c r="J48" s="581">
        <f t="shared" si="9"/>
        <v>50</v>
      </c>
      <c r="K48" s="680">
        <f t="shared" si="10"/>
        <v>0.36940464177598387</v>
      </c>
    </row>
    <row r="49" spans="2:11" ht="15" customHeight="1" x14ac:dyDescent="0.25">
      <c r="B49" s="49">
        <v>2001</v>
      </c>
      <c r="C49" s="787">
        <v>2001</v>
      </c>
      <c r="D49" s="650">
        <v>31.6</v>
      </c>
      <c r="E49" s="650">
        <v>33.162462159434916</v>
      </c>
      <c r="F49" s="729">
        <f t="shared" si="7"/>
        <v>0.19696969696969702</v>
      </c>
      <c r="G49" s="751"/>
      <c r="H49" s="751"/>
      <c r="I49" s="588">
        <f t="shared" si="8"/>
        <v>75</v>
      </c>
      <c r="J49" s="581">
        <f t="shared" si="9"/>
        <v>50</v>
      </c>
      <c r="K49" s="680">
        <f t="shared" si="10"/>
        <v>0.4421661621257989</v>
      </c>
    </row>
    <row r="50" spans="2:11" ht="15" customHeight="1" x14ac:dyDescent="0.25">
      <c r="B50" s="49">
        <v>2002</v>
      </c>
      <c r="C50" s="787">
        <v>2002</v>
      </c>
      <c r="D50" s="650">
        <v>52.58</v>
      </c>
      <c r="E50" s="650">
        <v>55.179818365287588</v>
      </c>
      <c r="F50" s="729">
        <f t="shared" si="7"/>
        <v>0.66392405063291127</v>
      </c>
      <c r="G50" s="751"/>
      <c r="H50" s="751"/>
      <c r="I50" s="588">
        <f t="shared" si="8"/>
        <v>75</v>
      </c>
      <c r="J50" s="581">
        <f t="shared" si="9"/>
        <v>50</v>
      </c>
      <c r="K50" s="680">
        <f t="shared" si="10"/>
        <v>0.73573091153716785</v>
      </c>
    </row>
    <row r="51" spans="2:11" ht="15" customHeight="1" x14ac:dyDescent="0.25">
      <c r="B51" s="49">
        <v>2003</v>
      </c>
      <c r="C51" s="580">
        <v>37936.53125</v>
      </c>
      <c r="D51" s="650">
        <v>44.04</v>
      </c>
      <c r="E51" s="650">
        <v>48.43</v>
      </c>
      <c r="F51" s="729">
        <f t="shared" si="7"/>
        <v>-0.12232404102173976</v>
      </c>
      <c r="G51" s="751"/>
      <c r="H51" s="751"/>
      <c r="I51" s="588">
        <f t="shared" si="8"/>
        <v>75</v>
      </c>
      <c r="J51" s="581">
        <f t="shared" si="9"/>
        <v>50</v>
      </c>
      <c r="K51" s="680">
        <f t="shared" si="10"/>
        <v>0.64573333333333338</v>
      </c>
    </row>
    <row r="52" spans="2:11" ht="15" customHeight="1" x14ac:dyDescent="0.25">
      <c r="B52" s="49">
        <v>2004</v>
      </c>
      <c r="C52" s="580">
        <v>38334.53125</v>
      </c>
      <c r="D52" s="650">
        <v>44.94</v>
      </c>
      <c r="E52" s="650">
        <v>48.5</v>
      </c>
      <c r="F52" s="729">
        <f t="shared" si="7"/>
        <v>1.445385091885201E-3</v>
      </c>
      <c r="G52" s="751"/>
      <c r="H52" s="751"/>
      <c r="I52" s="588">
        <f t="shared" si="8"/>
        <v>75</v>
      </c>
      <c r="J52" s="581">
        <f t="shared" si="9"/>
        <v>50</v>
      </c>
      <c r="K52" s="680">
        <f t="shared" si="10"/>
        <v>0.64666666666666661</v>
      </c>
    </row>
    <row r="53" spans="2:11" ht="15" customHeight="1" x14ac:dyDescent="0.25">
      <c r="B53" s="49">
        <v>2005</v>
      </c>
      <c r="C53" s="580">
        <v>38678.510416666664</v>
      </c>
      <c r="D53" s="650">
        <v>46.98</v>
      </c>
      <c r="E53" s="650">
        <v>50.57</v>
      </c>
      <c r="F53" s="729">
        <f t="shared" si="7"/>
        <v>4.2680412371134027E-2</v>
      </c>
      <c r="G53" s="751"/>
      <c r="H53" s="751"/>
      <c r="I53" s="588">
        <f t="shared" si="8"/>
        <v>75</v>
      </c>
      <c r="J53" s="581">
        <f t="shared" si="9"/>
        <v>50</v>
      </c>
      <c r="K53" s="680">
        <f t="shared" si="10"/>
        <v>0.67426666666666668</v>
      </c>
    </row>
    <row r="54" spans="2:11" ht="15" customHeight="1" x14ac:dyDescent="0.25">
      <c r="B54" s="49">
        <v>2006</v>
      </c>
      <c r="C54" s="580">
        <v>39014.541666666664</v>
      </c>
      <c r="D54" s="650">
        <v>53.19</v>
      </c>
      <c r="E54" s="650">
        <v>56.74</v>
      </c>
      <c r="F54" s="729">
        <f t="shared" si="7"/>
        <v>0.12200909630215546</v>
      </c>
      <c r="G54" s="751"/>
      <c r="H54" s="751"/>
      <c r="I54" s="588">
        <f t="shared" si="8"/>
        <v>75</v>
      </c>
      <c r="J54" s="581">
        <f t="shared" si="9"/>
        <v>50</v>
      </c>
      <c r="K54" s="680">
        <f t="shared" si="10"/>
        <v>0.75653333333333339</v>
      </c>
    </row>
    <row r="55" spans="2:11" ht="15" customHeight="1" x14ac:dyDescent="0.25">
      <c r="B55" s="49">
        <v>2007</v>
      </c>
      <c r="C55" s="580">
        <v>39139.4375</v>
      </c>
      <c r="D55" s="650">
        <v>49.34</v>
      </c>
      <c r="E55" s="650">
        <v>52.71</v>
      </c>
      <c r="F55" s="729">
        <f t="shared" si="7"/>
        <v>-7.1025731406415243E-2</v>
      </c>
      <c r="G55" s="751"/>
      <c r="H55" s="751"/>
      <c r="I55" s="588">
        <f t="shared" si="8"/>
        <v>75</v>
      </c>
      <c r="J55" s="581">
        <f t="shared" si="9"/>
        <v>50</v>
      </c>
      <c r="K55" s="680">
        <f t="shared" si="10"/>
        <v>0.70279999999999998</v>
      </c>
    </row>
    <row r="56" spans="2:11" ht="15" customHeight="1" x14ac:dyDescent="0.25">
      <c r="B56" s="49">
        <v>2008</v>
      </c>
      <c r="C56" s="580">
        <v>39779.53125</v>
      </c>
      <c r="D56" s="650">
        <v>51.87</v>
      </c>
      <c r="E56" s="650">
        <v>54.94</v>
      </c>
      <c r="F56" s="729">
        <f t="shared" si="7"/>
        <v>4.2306962625687665E-2</v>
      </c>
      <c r="G56" s="751"/>
      <c r="H56" s="751"/>
      <c r="I56" s="588">
        <f t="shared" si="8"/>
        <v>75</v>
      </c>
      <c r="J56" s="581">
        <f t="shared" si="9"/>
        <v>50</v>
      </c>
      <c r="K56" s="680">
        <f t="shared" si="10"/>
        <v>0.73253333333333326</v>
      </c>
    </row>
    <row r="57" spans="2:11" ht="15" customHeight="1" x14ac:dyDescent="0.25">
      <c r="B57" s="49">
        <v>2009</v>
      </c>
      <c r="C57" s="580">
        <v>40175.510416666664</v>
      </c>
      <c r="D57" s="650">
        <v>57.92</v>
      </c>
      <c r="E57" s="650">
        <v>61.75</v>
      </c>
      <c r="F57" s="729">
        <f t="shared" si="7"/>
        <v>0.12395340371314166</v>
      </c>
      <c r="G57" s="751"/>
      <c r="H57" s="751"/>
      <c r="I57" s="588">
        <f t="shared" si="8"/>
        <v>75</v>
      </c>
      <c r="J57" s="581">
        <f t="shared" si="9"/>
        <v>50</v>
      </c>
      <c r="K57" s="680">
        <f t="shared" si="10"/>
        <v>0.82333333333333336</v>
      </c>
    </row>
    <row r="58" spans="2:11" ht="15" customHeight="1" x14ac:dyDescent="0.25">
      <c r="B58" s="49">
        <v>2010</v>
      </c>
      <c r="C58" s="580">
        <v>40212.541666666664</v>
      </c>
      <c r="D58" s="650">
        <v>60.31</v>
      </c>
      <c r="E58" s="650">
        <v>63.69</v>
      </c>
      <c r="F58" s="729">
        <f t="shared" si="7"/>
        <v>3.1417004048582962E-2</v>
      </c>
      <c r="G58" s="752"/>
      <c r="H58" s="751"/>
      <c r="I58" s="588">
        <f t="shared" si="8"/>
        <v>75</v>
      </c>
      <c r="J58" s="581">
        <f t="shared" si="9"/>
        <v>50</v>
      </c>
      <c r="K58" s="680">
        <f t="shared" si="10"/>
        <v>0.84919999999999995</v>
      </c>
    </row>
    <row r="59" spans="2:11" ht="15" customHeight="1" x14ac:dyDescent="0.25">
      <c r="B59" s="49">
        <v>2011</v>
      </c>
      <c r="C59" s="580">
        <v>40898.635416666664</v>
      </c>
      <c r="D59" s="650">
        <v>58.29</v>
      </c>
      <c r="E59" s="650">
        <v>60.51</v>
      </c>
      <c r="F59" s="729">
        <f t="shared" si="7"/>
        <v>-4.9929345266132831E-2</v>
      </c>
      <c r="G59" s="752"/>
      <c r="H59" s="751"/>
      <c r="I59" s="588">
        <f t="shared" si="8"/>
        <v>75</v>
      </c>
      <c r="J59" s="581">
        <f t="shared" si="9"/>
        <v>50</v>
      </c>
      <c r="K59" s="680">
        <f t="shared" si="10"/>
        <v>0.80679999999999996</v>
      </c>
    </row>
    <row r="60" spans="2:11" ht="15" customHeight="1" x14ac:dyDescent="0.25">
      <c r="B60" s="49">
        <v>2012</v>
      </c>
      <c r="C60" s="580">
        <v>41249.604166666664</v>
      </c>
      <c r="D60" s="650">
        <v>75.78</v>
      </c>
      <c r="E60" s="650">
        <v>79.290000000000006</v>
      </c>
      <c r="F60" s="729">
        <f t="shared" si="7"/>
        <v>0.3103619236489838</v>
      </c>
      <c r="G60" s="751"/>
      <c r="H60" s="751"/>
      <c r="I60" s="588">
        <f t="shared" si="8"/>
        <v>75</v>
      </c>
      <c r="J60" s="581">
        <f t="shared" si="9"/>
        <v>50</v>
      </c>
      <c r="K60" s="681">
        <f>E60/I60</f>
        <v>1.0572000000000001</v>
      </c>
    </row>
    <row r="61" spans="2:11" ht="15" customHeight="1" x14ac:dyDescent="0.25">
      <c r="B61" s="49">
        <v>2013</v>
      </c>
      <c r="C61" s="580">
        <v>41625.583333333336</v>
      </c>
      <c r="D61" s="650">
        <v>74.239999999999995</v>
      </c>
      <c r="E61" s="650">
        <v>76.430000000000007</v>
      </c>
      <c r="F61" s="729">
        <f t="shared" si="7"/>
        <v>-3.6070122335729593E-2</v>
      </c>
      <c r="G61" s="751"/>
      <c r="H61" s="751"/>
      <c r="I61" s="588">
        <f t="shared" si="8"/>
        <v>75</v>
      </c>
      <c r="J61" s="581">
        <f t="shared" si="9"/>
        <v>50</v>
      </c>
      <c r="K61" s="681">
        <f t="shared" si="10"/>
        <v>1.0190666666666668</v>
      </c>
    </row>
    <row r="62" spans="2:11" ht="15" customHeight="1" x14ac:dyDescent="0.25">
      <c r="B62" s="49">
        <v>2014</v>
      </c>
      <c r="C62" s="580">
        <v>41646.489583333336</v>
      </c>
      <c r="D62" s="650">
        <v>72.03</v>
      </c>
      <c r="E62" s="650">
        <v>74.180000000000007</v>
      </c>
      <c r="F62" s="729">
        <f t="shared" si="7"/>
        <v>-2.9438702080334944E-2</v>
      </c>
      <c r="G62" s="751"/>
      <c r="H62" s="751"/>
      <c r="I62" s="588">
        <f t="shared" si="8"/>
        <v>75</v>
      </c>
      <c r="J62" s="581">
        <f t="shared" si="9"/>
        <v>50</v>
      </c>
      <c r="K62" s="681">
        <f t="shared" si="10"/>
        <v>0.98906666666666676</v>
      </c>
    </row>
    <row r="63" spans="2:11" ht="15" customHeight="1" x14ac:dyDescent="0.25">
      <c r="B63" s="49">
        <v>2015</v>
      </c>
      <c r="C63" s="580">
        <v>42030.5625</v>
      </c>
      <c r="D63" s="650">
        <v>67.72</v>
      </c>
      <c r="E63" s="650">
        <v>69.69</v>
      </c>
      <c r="F63" s="729">
        <f t="shared" si="7"/>
        <v>-6.0528444324615918E-2</v>
      </c>
      <c r="G63" s="751"/>
      <c r="H63" s="751"/>
      <c r="I63" s="588">
        <f t="shared" si="8"/>
        <v>75</v>
      </c>
      <c r="J63" s="581">
        <f>I63-25</f>
        <v>50</v>
      </c>
      <c r="K63" s="681">
        <f t="shared" si="10"/>
        <v>0.92919999999999991</v>
      </c>
    </row>
    <row r="64" spans="2:11" ht="15" customHeight="1" x14ac:dyDescent="0.25">
      <c r="B64" s="49">
        <v>2016</v>
      </c>
      <c r="C64" s="580">
        <v>42412.625</v>
      </c>
      <c r="D64" s="650">
        <v>74.099999999999994</v>
      </c>
      <c r="E64" s="650">
        <v>76.27</v>
      </c>
      <c r="F64" s="729">
        <f t="shared" si="7"/>
        <v>9.4418137465920482E-2</v>
      </c>
      <c r="G64" s="751"/>
      <c r="H64" s="751"/>
      <c r="I64" s="588">
        <f>1*25+2*55</f>
        <v>135</v>
      </c>
      <c r="J64" s="581">
        <f>I64-55</f>
        <v>80</v>
      </c>
      <c r="K64" s="680">
        <f t="shared" si="10"/>
        <v>0.56496296296296289</v>
      </c>
    </row>
    <row r="65" spans="2:16" ht="15" customHeight="1" x14ac:dyDescent="0.25">
      <c r="B65" s="49">
        <v>2017</v>
      </c>
      <c r="C65" s="580">
        <v>42796.635416666664</v>
      </c>
      <c r="D65" s="650">
        <v>73.75</v>
      </c>
      <c r="E65" s="650">
        <v>75.010000000000005</v>
      </c>
      <c r="F65" s="729">
        <f t="shared" si="7"/>
        <v>-1.6520256981775155E-2</v>
      </c>
      <c r="G65" s="751"/>
      <c r="H65" s="751">
        <f>E65</f>
        <v>75.010000000000005</v>
      </c>
      <c r="I65" s="588">
        <f t="shared" ref="I65:I75" si="11">1*25+2*55</f>
        <v>135</v>
      </c>
      <c r="J65" s="581">
        <f t="shared" ref="J65:J75" si="12">I65-55</f>
        <v>80</v>
      </c>
      <c r="K65" s="680">
        <f t="shared" si="10"/>
        <v>0.5556296296296297</v>
      </c>
    </row>
    <row r="66" spans="2:16" ht="15" customHeight="1" x14ac:dyDescent="0.25">
      <c r="B66" s="54">
        <v>2018</v>
      </c>
      <c r="C66" s="720">
        <v>2018</v>
      </c>
      <c r="D66" s="652"/>
      <c r="E66" s="652"/>
      <c r="F66" s="730"/>
      <c r="G66" s="753">
        <f>2.5792*B66-5121.2</f>
        <v>83.625600000000304</v>
      </c>
      <c r="H66" s="754">
        <f>2.6+H65</f>
        <v>77.61</v>
      </c>
      <c r="I66" s="589">
        <f t="shared" si="11"/>
        <v>135</v>
      </c>
      <c r="J66" s="584">
        <f t="shared" si="12"/>
        <v>80</v>
      </c>
      <c r="K66" s="684">
        <f>H66/I66</f>
        <v>0.57488888888888889</v>
      </c>
      <c r="L66" s="762">
        <f>1.043*H65</f>
        <v>78.235429999999994</v>
      </c>
    </row>
    <row r="67" spans="2:16" ht="15" customHeight="1" x14ac:dyDescent="0.25">
      <c r="B67" s="54">
        <v>2019</v>
      </c>
      <c r="C67" s="720">
        <v>2019</v>
      </c>
      <c r="D67" s="652"/>
      <c r="E67" s="652"/>
      <c r="F67" s="730"/>
      <c r="G67" s="753">
        <f t="shared" ref="G67:G75" si="13">2.5792*B67-5121.2</f>
        <v>86.204800000000432</v>
      </c>
      <c r="H67" s="754">
        <f>2.6+H66</f>
        <v>80.209999999999994</v>
      </c>
      <c r="I67" s="589">
        <f t="shared" si="11"/>
        <v>135</v>
      </c>
      <c r="J67" s="584">
        <f t="shared" si="12"/>
        <v>80</v>
      </c>
      <c r="K67" s="684">
        <f t="shared" ref="K67:K75" si="14">H67/I67</f>
        <v>0.59414814814814809</v>
      </c>
      <c r="L67" s="762">
        <f>1.043*H66</f>
        <v>80.94722999999999</v>
      </c>
    </row>
    <row r="68" spans="2:16" ht="15" customHeight="1" x14ac:dyDescent="0.25">
      <c r="B68" s="54">
        <v>2020</v>
      </c>
      <c r="C68" s="720">
        <v>2020</v>
      </c>
      <c r="D68" s="652"/>
      <c r="E68" s="652"/>
      <c r="F68" s="730"/>
      <c r="G68" s="753">
        <f t="shared" si="13"/>
        <v>88.78400000000056</v>
      </c>
      <c r="H68" s="754">
        <f t="shared" ref="H68:H75" si="15">2.6+H67</f>
        <v>82.809999999999988</v>
      </c>
      <c r="I68" s="589">
        <f t="shared" si="11"/>
        <v>135</v>
      </c>
      <c r="J68" s="584">
        <f t="shared" si="12"/>
        <v>80</v>
      </c>
      <c r="K68" s="684">
        <f t="shared" si="14"/>
        <v>0.61340740740740729</v>
      </c>
      <c r="L68" s="762">
        <f t="shared" ref="L68:L75" si="16">1.043*H67</f>
        <v>83.659029999999987</v>
      </c>
    </row>
    <row r="69" spans="2:16" ht="15" customHeight="1" x14ac:dyDescent="0.25">
      <c r="B69" s="54">
        <v>2021</v>
      </c>
      <c r="C69" s="720">
        <v>2021</v>
      </c>
      <c r="D69" s="652"/>
      <c r="E69" s="652"/>
      <c r="F69" s="730"/>
      <c r="G69" s="753">
        <f t="shared" si="13"/>
        <v>91.363200000000688</v>
      </c>
      <c r="H69" s="754">
        <f t="shared" si="15"/>
        <v>85.409999999999982</v>
      </c>
      <c r="I69" s="589">
        <f t="shared" si="11"/>
        <v>135</v>
      </c>
      <c r="J69" s="584">
        <f t="shared" si="12"/>
        <v>80</v>
      </c>
      <c r="K69" s="684">
        <f t="shared" si="14"/>
        <v>0.63266666666666649</v>
      </c>
      <c r="L69" s="762">
        <f t="shared" si="16"/>
        <v>86.370829999999984</v>
      </c>
    </row>
    <row r="70" spans="2:16" ht="15" customHeight="1" x14ac:dyDescent="0.25">
      <c r="B70" s="54">
        <v>2022</v>
      </c>
      <c r="C70" s="720">
        <v>2022</v>
      </c>
      <c r="D70" s="652"/>
      <c r="E70" s="652"/>
      <c r="F70" s="730"/>
      <c r="G70" s="753">
        <f t="shared" si="13"/>
        <v>93.942400000000816</v>
      </c>
      <c r="H70" s="754">
        <f t="shared" si="15"/>
        <v>88.009999999999977</v>
      </c>
      <c r="I70" s="589">
        <f t="shared" si="11"/>
        <v>135</v>
      </c>
      <c r="J70" s="584">
        <f t="shared" si="12"/>
        <v>80</v>
      </c>
      <c r="K70" s="684">
        <f t="shared" si="14"/>
        <v>0.6519259259259258</v>
      </c>
      <c r="L70" s="762">
        <f t="shared" si="16"/>
        <v>89.08262999999998</v>
      </c>
    </row>
    <row r="71" spans="2:16" ht="15" customHeight="1" x14ac:dyDescent="0.25">
      <c r="B71" s="54">
        <v>2023</v>
      </c>
      <c r="C71" s="720">
        <v>2023</v>
      </c>
      <c r="D71" s="652"/>
      <c r="E71" s="652"/>
      <c r="F71" s="730"/>
      <c r="G71" s="753">
        <f t="shared" si="13"/>
        <v>96.521600000000944</v>
      </c>
      <c r="H71" s="754">
        <f t="shared" si="15"/>
        <v>90.609999999999971</v>
      </c>
      <c r="I71" s="589">
        <f t="shared" si="11"/>
        <v>135</v>
      </c>
      <c r="J71" s="584">
        <f t="shared" si="12"/>
        <v>80</v>
      </c>
      <c r="K71" s="684">
        <f t="shared" si="14"/>
        <v>0.671185185185185</v>
      </c>
      <c r="L71" s="762">
        <f t="shared" si="16"/>
        <v>91.794429999999963</v>
      </c>
    </row>
    <row r="72" spans="2:16" ht="15" customHeight="1" x14ac:dyDescent="0.25">
      <c r="B72" s="54">
        <v>2024</v>
      </c>
      <c r="C72" s="721">
        <v>2024</v>
      </c>
      <c r="D72" s="652"/>
      <c r="E72" s="652"/>
      <c r="F72" s="730"/>
      <c r="G72" s="753">
        <f t="shared" si="13"/>
        <v>99.100800000000163</v>
      </c>
      <c r="H72" s="754">
        <f t="shared" si="15"/>
        <v>93.209999999999965</v>
      </c>
      <c r="I72" s="589">
        <f t="shared" si="11"/>
        <v>135</v>
      </c>
      <c r="J72" s="584">
        <f t="shared" si="12"/>
        <v>80</v>
      </c>
      <c r="K72" s="684">
        <f t="shared" si="14"/>
        <v>0.69044444444444419</v>
      </c>
      <c r="L72" s="762">
        <f t="shared" si="16"/>
        <v>94.50622999999996</v>
      </c>
    </row>
    <row r="73" spans="2:16" ht="15" customHeight="1" x14ac:dyDescent="0.25">
      <c r="B73" s="54">
        <v>2025</v>
      </c>
      <c r="C73" s="721">
        <v>2025</v>
      </c>
      <c r="D73" s="652"/>
      <c r="E73" s="652"/>
      <c r="F73" s="730"/>
      <c r="G73" s="753">
        <f t="shared" si="13"/>
        <v>101.68000000000029</v>
      </c>
      <c r="H73" s="754">
        <f t="shared" si="15"/>
        <v>95.80999999999996</v>
      </c>
      <c r="I73" s="589">
        <f t="shared" si="11"/>
        <v>135</v>
      </c>
      <c r="J73" s="584">
        <f t="shared" si="12"/>
        <v>80</v>
      </c>
      <c r="K73" s="684">
        <f t="shared" si="14"/>
        <v>0.70970370370370339</v>
      </c>
      <c r="L73" s="762">
        <f t="shared" si="16"/>
        <v>97.218029999999956</v>
      </c>
    </row>
    <row r="74" spans="2:16" ht="15" customHeight="1" x14ac:dyDescent="0.25">
      <c r="B74" s="54">
        <v>2026</v>
      </c>
      <c r="C74" s="721">
        <v>2026</v>
      </c>
      <c r="D74" s="652"/>
      <c r="E74" s="652"/>
      <c r="F74" s="730"/>
      <c r="G74" s="753">
        <f t="shared" si="13"/>
        <v>104.25920000000042</v>
      </c>
      <c r="H74" s="754">
        <f t="shared" si="15"/>
        <v>98.409999999999954</v>
      </c>
      <c r="I74" s="589">
        <f t="shared" si="11"/>
        <v>135</v>
      </c>
      <c r="J74" s="584">
        <f t="shared" si="12"/>
        <v>80</v>
      </c>
      <c r="K74" s="684">
        <f t="shared" si="14"/>
        <v>0.72896296296296259</v>
      </c>
      <c r="L74" s="762">
        <f t="shared" si="16"/>
        <v>99.929829999999953</v>
      </c>
      <c r="M74" s="35"/>
      <c r="N74" s="35"/>
      <c r="O74" s="8"/>
      <c r="P74" s="8"/>
    </row>
    <row r="75" spans="2:16" ht="15" customHeight="1" thickBot="1" x14ac:dyDescent="0.3">
      <c r="B75" s="209">
        <v>2027</v>
      </c>
      <c r="C75" s="722">
        <v>2027</v>
      </c>
      <c r="D75" s="656"/>
      <c r="E75" s="656"/>
      <c r="F75" s="734"/>
      <c r="G75" s="755">
        <f t="shared" si="13"/>
        <v>106.83840000000055</v>
      </c>
      <c r="H75" s="756">
        <f t="shared" si="15"/>
        <v>101.00999999999995</v>
      </c>
      <c r="I75" s="590">
        <f t="shared" si="11"/>
        <v>135</v>
      </c>
      <c r="J75" s="586">
        <f t="shared" si="12"/>
        <v>80</v>
      </c>
      <c r="K75" s="742">
        <f t="shared" si="14"/>
        <v>0.74822222222222179</v>
      </c>
      <c r="L75" s="762">
        <f t="shared" si="16"/>
        <v>102.64162999999995</v>
      </c>
    </row>
    <row r="76" spans="2:16" ht="15" customHeight="1" x14ac:dyDescent="0.25">
      <c r="D76" s="747"/>
      <c r="E76" s="956">
        <f>E65-E55</f>
        <v>22.300000000000004</v>
      </c>
      <c r="F76" s="749">
        <f>AVERAGE(F46:F65)</f>
        <v>9.360916224276164E-2</v>
      </c>
      <c r="G76" s="747"/>
      <c r="H76" s="956">
        <f>H75-H65</f>
        <v>25.999999999999943</v>
      </c>
      <c r="I76" s="136"/>
      <c r="J76" s="136"/>
      <c r="K76" s="746"/>
    </row>
    <row r="77" spans="2:16" x14ac:dyDescent="0.25">
      <c r="H77">
        <f>H76/H65</f>
        <v>0.34662045060658503</v>
      </c>
    </row>
    <row r="78" spans="2:16" x14ac:dyDescent="0.25">
      <c r="C78" s="32"/>
      <c r="D78" s="10"/>
      <c r="E78" s="10"/>
      <c r="F78" s="10"/>
      <c r="G78" s="37"/>
      <c r="H78" s="37">
        <f>0.043*H65</f>
        <v>3.2254299999999998</v>
      </c>
      <c r="I78" s="7"/>
    </row>
    <row r="79" spans="2:16" x14ac:dyDescent="0.25">
      <c r="C79" s="32"/>
      <c r="D79" s="10"/>
      <c r="E79" s="10"/>
      <c r="F79" s="10"/>
      <c r="G79" s="37"/>
      <c r="H79" s="37"/>
      <c r="I79" s="7"/>
    </row>
    <row r="80" spans="2:16" x14ac:dyDescent="0.25">
      <c r="C80" s="32"/>
      <c r="D80" s="10"/>
      <c r="E80" s="10"/>
      <c r="F80" s="10"/>
      <c r="G80" s="37"/>
      <c r="H80" s="37"/>
      <c r="I80" s="7"/>
    </row>
    <row r="81" spans="3:19" x14ac:dyDescent="0.25">
      <c r="C81" s="32"/>
      <c r="D81" s="10"/>
      <c r="E81" s="10"/>
      <c r="F81" s="10"/>
      <c r="G81" s="37"/>
      <c r="H81" s="37"/>
      <c r="I81" s="7"/>
    </row>
    <row r="82" spans="3:19" x14ac:dyDescent="0.25">
      <c r="C82" s="32"/>
      <c r="D82" s="10"/>
      <c r="E82" s="10"/>
      <c r="F82" s="10"/>
      <c r="G82" s="37"/>
      <c r="H82" s="37"/>
      <c r="I82" s="7"/>
    </row>
    <row r="83" spans="3:19" x14ac:dyDescent="0.25">
      <c r="C83" s="32"/>
      <c r="D83" s="10"/>
      <c r="E83" s="10"/>
      <c r="F83" s="10"/>
      <c r="G83" s="37"/>
      <c r="H83" s="37"/>
      <c r="I83" s="7"/>
    </row>
    <row r="84" spans="3:19" x14ac:dyDescent="0.25">
      <c r="C84" s="32"/>
      <c r="D84" s="10"/>
      <c r="E84" s="10"/>
      <c r="F84" s="10"/>
      <c r="G84" s="37"/>
      <c r="H84" s="37"/>
      <c r="I84" s="7"/>
      <c r="Q84">
        <v>2016</v>
      </c>
      <c r="R84">
        <v>75</v>
      </c>
      <c r="S84">
        <v>50</v>
      </c>
    </row>
    <row r="85" spans="3:19" x14ac:dyDescent="0.25">
      <c r="C85" s="32"/>
      <c r="D85" s="10"/>
      <c r="E85" s="10"/>
      <c r="F85" s="10"/>
      <c r="G85" s="37"/>
      <c r="H85" s="37"/>
      <c r="I85" s="7"/>
      <c r="Q85">
        <v>2016</v>
      </c>
      <c r="R85">
        <v>135</v>
      </c>
      <c r="S85">
        <v>80</v>
      </c>
    </row>
    <row r="86" spans="3:19" x14ac:dyDescent="0.25">
      <c r="C86" s="32"/>
      <c r="D86" s="10"/>
      <c r="E86" s="10"/>
      <c r="F86" s="10"/>
      <c r="G86" s="37"/>
      <c r="H86" s="37"/>
      <c r="I86" s="7"/>
    </row>
    <row r="87" spans="3:19" x14ac:dyDescent="0.25">
      <c r="C87" s="32"/>
      <c r="D87" s="10"/>
      <c r="E87" s="10"/>
      <c r="F87" s="10"/>
      <c r="G87" s="37"/>
      <c r="H87" s="37"/>
      <c r="I87" s="7"/>
    </row>
    <row r="88" spans="3:19" x14ac:dyDescent="0.25">
      <c r="C88" s="32"/>
      <c r="D88" s="10"/>
      <c r="E88" s="10"/>
      <c r="F88" s="10"/>
      <c r="G88" s="37"/>
      <c r="H88" s="37"/>
      <c r="I88" s="7"/>
    </row>
    <row r="89" spans="3:19" x14ac:dyDescent="0.25">
      <c r="C89" s="32"/>
      <c r="D89" s="10"/>
      <c r="E89" s="10"/>
      <c r="F89" s="10"/>
      <c r="G89" s="37"/>
      <c r="H89" s="37"/>
      <c r="I89" s="7"/>
    </row>
    <row r="90" spans="3:19" x14ac:dyDescent="0.25">
      <c r="C90" s="32"/>
      <c r="D90" s="10"/>
      <c r="E90" s="10"/>
      <c r="F90" s="10"/>
      <c r="G90" s="37"/>
      <c r="H90" s="37"/>
      <c r="I90" s="7"/>
    </row>
    <row r="91" spans="3:19" x14ac:dyDescent="0.25">
      <c r="C91" s="32"/>
      <c r="D91" s="10"/>
      <c r="E91" s="10"/>
      <c r="F91" s="10"/>
      <c r="G91" s="37"/>
      <c r="H91" s="37"/>
      <c r="I91" s="7"/>
    </row>
    <row r="92" spans="3:19" x14ac:dyDescent="0.25">
      <c r="C92" s="32"/>
      <c r="D92" s="10"/>
      <c r="E92" s="10"/>
      <c r="F92" s="10"/>
      <c r="G92" s="37"/>
      <c r="H92" s="37"/>
      <c r="I92" s="7"/>
    </row>
    <row r="93" spans="3:19" x14ac:dyDescent="0.25">
      <c r="C93" s="32"/>
      <c r="D93" s="10"/>
      <c r="E93" s="10"/>
      <c r="F93" s="10"/>
      <c r="G93" s="37"/>
      <c r="H93" s="37"/>
      <c r="I93" s="7"/>
    </row>
    <row r="94" spans="3:19" x14ac:dyDescent="0.25">
      <c r="C94" s="32"/>
      <c r="D94" s="10"/>
      <c r="E94" s="10"/>
      <c r="F94" s="10"/>
      <c r="G94" s="37"/>
      <c r="H94" s="37"/>
      <c r="I94" s="7"/>
    </row>
    <row r="95" spans="3:19" x14ac:dyDescent="0.25">
      <c r="C95" s="32"/>
      <c r="D95" s="10"/>
      <c r="E95" s="10"/>
      <c r="F95" s="10"/>
      <c r="G95" s="37"/>
      <c r="H95" s="37"/>
      <c r="I95" s="7"/>
    </row>
    <row r="96" spans="3:19" x14ac:dyDescent="0.25">
      <c r="C96" s="32"/>
      <c r="D96" s="10"/>
      <c r="E96" s="10"/>
      <c r="F96" s="10"/>
      <c r="G96" s="37"/>
      <c r="H96" s="37"/>
      <c r="I96" s="7"/>
    </row>
    <row r="97" spans="1:20" x14ac:dyDescent="0.25">
      <c r="C97" s="32"/>
      <c r="D97" s="10"/>
      <c r="E97" s="10"/>
      <c r="F97" s="10"/>
      <c r="G97" s="37"/>
      <c r="H97" s="37"/>
      <c r="I97" s="7"/>
    </row>
    <row r="98" spans="1:20" x14ac:dyDescent="0.25">
      <c r="C98" s="32"/>
      <c r="D98" s="10"/>
      <c r="E98" s="10"/>
      <c r="F98" s="10"/>
      <c r="G98" s="37"/>
      <c r="H98" s="37"/>
      <c r="I98" s="7"/>
    </row>
    <row r="99" spans="1:20" x14ac:dyDescent="0.25">
      <c r="C99" s="32"/>
      <c r="D99" s="10"/>
      <c r="E99" s="10"/>
      <c r="F99" s="10"/>
      <c r="G99" s="37"/>
      <c r="H99" s="37"/>
      <c r="I99" s="7"/>
    </row>
    <row r="100" spans="1:20" x14ac:dyDescent="0.25">
      <c r="C100" s="32"/>
      <c r="D100" s="10"/>
      <c r="E100" s="10"/>
      <c r="F100" s="10"/>
      <c r="G100" s="37"/>
      <c r="H100" s="37"/>
      <c r="I100" s="7"/>
    </row>
    <row r="101" spans="1:20" x14ac:dyDescent="0.25">
      <c r="C101" s="32"/>
      <c r="D101" s="10"/>
      <c r="E101" s="10"/>
      <c r="F101" s="10"/>
      <c r="G101" s="37"/>
      <c r="H101" s="37"/>
      <c r="I101" s="7"/>
    </row>
    <row r="102" spans="1:20" x14ac:dyDescent="0.25">
      <c r="C102" s="32"/>
      <c r="D102" s="10"/>
      <c r="E102" s="10"/>
      <c r="F102" s="10"/>
      <c r="G102" s="37"/>
      <c r="H102" s="37"/>
      <c r="I102" s="7"/>
    </row>
    <row r="103" spans="1:20" x14ac:dyDescent="0.25">
      <c r="C103" s="32"/>
      <c r="D103" s="10"/>
      <c r="E103" s="10"/>
      <c r="F103" s="10"/>
      <c r="G103" s="37"/>
      <c r="H103" s="37"/>
      <c r="I103" s="7"/>
    </row>
    <row r="104" spans="1:20" x14ac:dyDescent="0.25">
      <c r="C104" s="32"/>
      <c r="D104" s="10"/>
      <c r="E104" s="10"/>
      <c r="F104" s="10"/>
      <c r="G104" s="37"/>
      <c r="H104" s="37"/>
      <c r="I104" s="7"/>
    </row>
    <row r="105" spans="1:20" x14ac:dyDescent="0.25">
      <c r="C105" s="32"/>
      <c r="D105" s="10"/>
      <c r="E105" s="10"/>
      <c r="F105" s="10"/>
      <c r="G105" s="37"/>
      <c r="H105" s="37"/>
      <c r="I105" s="7"/>
    </row>
    <row r="106" spans="1:20" x14ac:dyDescent="0.25">
      <c r="C106" s="32"/>
      <c r="D106" s="10"/>
      <c r="E106" s="10"/>
      <c r="F106" s="10"/>
      <c r="G106" s="37"/>
      <c r="H106" s="37"/>
      <c r="I106" s="7"/>
    </row>
    <row r="107" spans="1:20" x14ac:dyDescent="0.25">
      <c r="C107" s="32"/>
      <c r="D107" s="10"/>
      <c r="E107" s="10"/>
      <c r="F107" s="10"/>
      <c r="G107" s="37"/>
      <c r="H107" s="37"/>
      <c r="I107" s="7"/>
    </row>
    <row r="108" spans="1:20" x14ac:dyDescent="0.25">
      <c r="C108" s="32"/>
      <c r="D108" s="10"/>
      <c r="E108" s="10"/>
      <c r="F108" s="10"/>
      <c r="G108" s="37"/>
      <c r="H108" s="37"/>
      <c r="I108" s="7"/>
    </row>
    <row r="109" spans="1:20" x14ac:dyDescent="0.25">
      <c r="C109" s="32"/>
      <c r="D109" s="10"/>
      <c r="E109" s="10"/>
      <c r="F109" s="10"/>
      <c r="G109" s="37"/>
      <c r="H109" s="37"/>
      <c r="I109" s="7"/>
    </row>
    <row r="110" spans="1:20" x14ac:dyDescent="0.25">
      <c r="C110" s="32"/>
      <c r="D110" s="10"/>
      <c r="E110" s="10"/>
      <c r="F110" s="10"/>
      <c r="G110" s="37"/>
      <c r="H110" s="37"/>
      <c r="I110" s="7"/>
    </row>
    <row r="111" spans="1:20" ht="18" x14ac:dyDescent="0.25">
      <c r="A111" s="1093" t="s">
        <v>247</v>
      </c>
      <c r="B111" s="1093"/>
      <c r="C111" s="1093"/>
      <c r="D111" s="1093"/>
      <c r="E111" s="1093"/>
      <c r="F111" s="1093"/>
      <c r="G111" s="1093"/>
      <c r="H111" s="1093"/>
      <c r="I111" s="1093"/>
      <c r="J111" s="1093"/>
      <c r="K111" s="1093"/>
      <c r="L111" s="1093"/>
      <c r="M111" s="1093"/>
      <c r="N111" s="1093"/>
      <c r="O111" s="1093"/>
      <c r="P111" s="1093"/>
      <c r="Q111" s="1093"/>
      <c r="R111" s="1093"/>
      <c r="S111" s="1093"/>
      <c r="T111" s="1093"/>
    </row>
    <row r="112" spans="1:20" ht="18" x14ac:dyDescent="0.25">
      <c r="A112" s="1094" t="s">
        <v>248</v>
      </c>
      <c r="B112" s="1094"/>
      <c r="C112" s="1094"/>
      <c r="D112" s="1094"/>
      <c r="E112" s="1094"/>
      <c r="F112" s="1094"/>
      <c r="G112" s="1094"/>
      <c r="H112" s="1094"/>
      <c r="I112" s="1094"/>
      <c r="J112" s="1094"/>
      <c r="K112" s="1094"/>
      <c r="L112" s="1094"/>
      <c r="M112" s="1094"/>
      <c r="N112" s="1094"/>
      <c r="O112" s="1094"/>
      <c r="P112" s="1094"/>
      <c r="Q112" s="1094"/>
      <c r="R112" s="1094"/>
      <c r="S112" s="1094"/>
      <c r="T112" s="1094"/>
    </row>
    <row r="113" spans="1:20" ht="15.75" thickBot="1" x14ac:dyDescent="0.3">
      <c r="A113" s="452"/>
      <c r="B113" s="452"/>
      <c r="C113" s="452"/>
      <c r="D113" s="452"/>
      <c r="E113" s="452"/>
      <c r="F113" s="452"/>
      <c r="G113" s="452"/>
      <c r="H113" s="453"/>
      <c r="I113" s="452"/>
      <c r="J113" s="454"/>
      <c r="K113" s="453"/>
      <c r="L113" s="452"/>
      <c r="M113" s="454"/>
      <c r="N113" s="453"/>
      <c r="O113" s="452"/>
      <c r="P113" s="454"/>
      <c r="Q113" s="453"/>
      <c r="R113" s="452"/>
      <c r="S113" s="449"/>
      <c r="T113" s="450"/>
    </row>
    <row r="114" spans="1:20" x14ac:dyDescent="0.25">
      <c r="A114" s="1095" t="s">
        <v>249</v>
      </c>
      <c r="B114" s="1098" t="s">
        <v>250</v>
      </c>
      <c r="C114" s="1101" t="s">
        <v>251</v>
      </c>
      <c r="D114" s="1063" t="s">
        <v>252</v>
      </c>
      <c r="E114" s="1065"/>
      <c r="F114" s="1066">
        <v>2017</v>
      </c>
      <c r="G114" s="1064"/>
      <c r="H114" s="1106"/>
      <c r="I114" s="1063">
        <f>+F114+1</f>
        <v>2018</v>
      </c>
      <c r="J114" s="1064"/>
      <c r="K114" s="1065"/>
      <c r="L114" s="1066">
        <f>+I114+1</f>
        <v>2019</v>
      </c>
      <c r="M114" s="1064"/>
      <c r="N114" s="1106"/>
      <c r="O114" s="1063">
        <f>+L114+1</f>
        <v>2020</v>
      </c>
      <c r="P114" s="1064"/>
      <c r="Q114" s="1065"/>
      <c r="R114" s="1066">
        <f>+O114+1</f>
        <v>2021</v>
      </c>
      <c r="S114" s="1064"/>
      <c r="T114" s="1065"/>
    </row>
    <row r="115" spans="1:20" x14ac:dyDescent="0.25">
      <c r="A115" s="1096"/>
      <c r="B115" s="1099"/>
      <c r="C115" s="1102"/>
      <c r="D115" s="1104"/>
      <c r="E115" s="1105"/>
      <c r="F115" s="455" t="s">
        <v>253</v>
      </c>
      <c r="G115" s="1067" t="s">
        <v>254</v>
      </c>
      <c r="H115" s="1068"/>
      <c r="I115" s="456" t="s">
        <v>253</v>
      </c>
      <c r="J115" s="1067" t="s">
        <v>254</v>
      </c>
      <c r="K115" s="1069"/>
      <c r="L115" s="455" t="s">
        <v>253</v>
      </c>
      <c r="M115" s="1067" t="s">
        <v>254</v>
      </c>
      <c r="N115" s="1068"/>
      <c r="O115" s="456" t="s">
        <v>253</v>
      </c>
      <c r="P115" s="1067" t="s">
        <v>254</v>
      </c>
      <c r="Q115" s="1069"/>
      <c r="R115" s="455" t="s">
        <v>253</v>
      </c>
      <c r="S115" s="1067" t="s">
        <v>254</v>
      </c>
      <c r="T115" s="1069"/>
    </row>
    <row r="116" spans="1:20" ht="15.75" thickBot="1" x14ac:dyDescent="0.3">
      <c r="A116" s="1097"/>
      <c r="B116" s="1100"/>
      <c r="C116" s="1103"/>
      <c r="D116" s="1091" t="s">
        <v>255</v>
      </c>
      <c r="E116" s="1092"/>
      <c r="F116" s="457" t="s">
        <v>255</v>
      </c>
      <c r="G116" s="458" t="s">
        <v>255</v>
      </c>
      <c r="H116" s="459" t="s">
        <v>256</v>
      </c>
      <c r="I116" s="460" t="s">
        <v>255</v>
      </c>
      <c r="J116" s="461" t="s">
        <v>255</v>
      </c>
      <c r="K116" s="462" t="s">
        <v>256</v>
      </c>
      <c r="L116" s="457" t="s">
        <v>255</v>
      </c>
      <c r="M116" s="461" t="s">
        <v>255</v>
      </c>
      <c r="N116" s="459" t="s">
        <v>256</v>
      </c>
      <c r="O116" s="460" t="s">
        <v>255</v>
      </c>
      <c r="P116" s="461" t="s">
        <v>255</v>
      </c>
      <c r="Q116" s="462" t="s">
        <v>256</v>
      </c>
      <c r="R116" s="457" t="s">
        <v>255</v>
      </c>
      <c r="S116" s="461" t="s">
        <v>255</v>
      </c>
      <c r="T116" s="462" t="s">
        <v>256</v>
      </c>
    </row>
    <row r="117" spans="1:20" x14ac:dyDescent="0.25">
      <c r="B117" s="1188" t="s">
        <v>8</v>
      </c>
      <c r="C117" s="717" t="s">
        <v>24</v>
      </c>
      <c r="D117" s="641">
        <v>25</v>
      </c>
      <c r="E117" s="1242">
        <v>135</v>
      </c>
      <c r="F117" s="1139">
        <v>135</v>
      </c>
      <c r="G117" s="1170">
        <v>79.560040000000001</v>
      </c>
      <c r="H117" s="1132">
        <v>0.58933362962962965</v>
      </c>
      <c r="I117" s="1139">
        <v>135</v>
      </c>
      <c r="J117" s="1170">
        <v>82.98112171999999</v>
      </c>
      <c r="K117" s="1132">
        <v>0.61467497570370366</v>
      </c>
      <c r="L117" s="1135">
        <v>135</v>
      </c>
      <c r="M117" s="1170">
        <v>86.549309953959977</v>
      </c>
      <c r="N117" s="1132">
        <v>0.64110599965896276</v>
      </c>
      <c r="O117" s="1135">
        <v>135</v>
      </c>
      <c r="P117" s="1170">
        <v>90.270930281980256</v>
      </c>
      <c r="Q117" s="1132">
        <v>0.66867355764429814</v>
      </c>
      <c r="R117" s="1145">
        <v>135</v>
      </c>
      <c r="S117" s="1170">
        <v>94.152580284105397</v>
      </c>
      <c r="T117" s="1132">
        <v>0.69742652062300292</v>
      </c>
    </row>
    <row r="118" spans="1:20" x14ac:dyDescent="0.25">
      <c r="B118" s="1189"/>
      <c r="C118" s="717" t="s">
        <v>24</v>
      </c>
      <c r="D118" s="641">
        <v>55</v>
      </c>
      <c r="E118" s="1243"/>
      <c r="F118" s="1140"/>
      <c r="G118" s="1171"/>
      <c r="H118" s="1133"/>
      <c r="I118" s="1140"/>
      <c r="J118" s="1171"/>
      <c r="K118" s="1133"/>
      <c r="L118" s="1136"/>
      <c r="M118" s="1171"/>
      <c r="N118" s="1133"/>
      <c r="O118" s="1136"/>
      <c r="P118" s="1171"/>
      <c r="Q118" s="1133"/>
      <c r="R118" s="1146"/>
      <c r="S118" s="1171"/>
      <c r="T118" s="1133"/>
    </row>
    <row r="119" spans="1:20" x14ac:dyDescent="0.25">
      <c r="B119" s="1190"/>
      <c r="C119" s="640" t="s">
        <v>24</v>
      </c>
      <c r="D119" s="641">
        <v>55</v>
      </c>
      <c r="E119" s="1244"/>
      <c r="F119" s="1141"/>
      <c r="G119" s="1172"/>
      <c r="H119" s="1134"/>
      <c r="I119" s="1141"/>
      <c r="J119" s="1172"/>
      <c r="K119" s="1134"/>
      <c r="L119" s="1137"/>
      <c r="M119" s="1172"/>
      <c r="N119" s="1134"/>
      <c r="O119" s="1137"/>
      <c r="P119" s="1172"/>
      <c r="Q119" s="1134"/>
      <c r="R119" s="1147"/>
      <c r="S119" s="1172"/>
      <c r="T119" s="1134"/>
    </row>
    <row r="120" spans="1:20" x14ac:dyDescent="0.25">
      <c r="C120" s="32"/>
      <c r="D120" s="10"/>
      <c r="E120" s="10"/>
      <c r="F120" s="10"/>
      <c r="G120" s="37"/>
      <c r="H120" s="37"/>
      <c r="I120" s="7"/>
      <c r="J120">
        <f>1.043*G117</f>
        <v>82.98112171999999</v>
      </c>
      <c r="M120">
        <f t="shared" ref="M120:S120" si="17">1.043*J117</f>
        <v>86.549309953959977</v>
      </c>
      <c r="P120">
        <f t="shared" si="17"/>
        <v>90.270930281980256</v>
      </c>
      <c r="S120">
        <f t="shared" si="17"/>
        <v>94.152580284105397</v>
      </c>
    </row>
    <row r="121" spans="1:20" x14ac:dyDescent="0.25">
      <c r="C121" s="32"/>
      <c r="D121" s="10"/>
      <c r="E121" s="39"/>
      <c r="F121" s="258"/>
      <c r="G121" s="37"/>
      <c r="H121" s="37"/>
      <c r="I121" s="7"/>
    </row>
    <row r="122" spans="1:20" x14ac:dyDescent="0.25">
      <c r="C122" s="32"/>
      <c r="D122" s="10"/>
      <c r="E122" s="39"/>
      <c r="F122" s="258"/>
      <c r="G122" s="37"/>
      <c r="H122" s="37"/>
      <c r="I122" s="7"/>
    </row>
    <row r="123" spans="1:20" x14ac:dyDescent="0.25">
      <c r="C123" s="32"/>
      <c r="D123" s="10"/>
      <c r="E123" s="588">
        <v>2018</v>
      </c>
      <c r="F123" s="694">
        <f>J117</f>
        <v>82.98112171999999</v>
      </c>
      <c r="G123" s="37"/>
      <c r="H123" s="37"/>
      <c r="I123" s="7"/>
    </row>
    <row r="124" spans="1:20" x14ac:dyDescent="0.25">
      <c r="C124" s="32"/>
      <c r="D124" s="10"/>
      <c r="E124" s="588">
        <v>2019</v>
      </c>
      <c r="F124" s="694">
        <f>M117</f>
        <v>86.549309953959977</v>
      </c>
      <c r="G124" s="37"/>
      <c r="H124" s="37"/>
      <c r="I124" s="7"/>
    </row>
    <row r="125" spans="1:20" x14ac:dyDescent="0.25">
      <c r="C125" s="32"/>
      <c r="D125" s="10"/>
      <c r="E125" s="588">
        <v>2020</v>
      </c>
      <c r="F125" s="694">
        <f>P117</f>
        <v>90.270930281980256</v>
      </c>
      <c r="G125" s="37"/>
      <c r="H125" s="37"/>
      <c r="I125" s="7"/>
    </row>
    <row r="126" spans="1:20" x14ac:dyDescent="0.25">
      <c r="C126" s="32"/>
      <c r="D126" s="10"/>
      <c r="E126" s="588">
        <v>2021</v>
      </c>
      <c r="F126" s="694">
        <f>S117</f>
        <v>94.152580284105397</v>
      </c>
      <c r="G126" s="37"/>
      <c r="H126" s="37"/>
      <c r="I126" s="7"/>
    </row>
    <row r="127" spans="1:20" x14ac:dyDescent="0.25">
      <c r="C127" s="32"/>
      <c r="D127" s="10"/>
      <c r="E127" s="32"/>
      <c r="F127" s="7"/>
      <c r="G127" s="37"/>
      <c r="H127" s="37"/>
      <c r="I127" s="7"/>
    </row>
    <row r="128" spans="1:20" x14ac:dyDescent="0.25">
      <c r="C128" s="32"/>
      <c r="D128" s="10"/>
      <c r="E128" s="32"/>
      <c r="F128" s="7"/>
      <c r="G128" s="37"/>
      <c r="H128" s="37"/>
      <c r="I128" s="7"/>
    </row>
    <row r="129" spans="3:9" x14ac:dyDescent="0.25">
      <c r="C129" s="32"/>
      <c r="D129" s="10"/>
      <c r="E129" s="10"/>
      <c r="F129" s="7"/>
      <c r="G129" s="37"/>
      <c r="H129" s="37"/>
      <c r="I129" s="7"/>
    </row>
    <row r="130" spans="3:9" x14ac:dyDescent="0.25">
      <c r="C130" s="32"/>
      <c r="D130" s="10"/>
      <c r="E130" s="10"/>
      <c r="F130" s="7"/>
      <c r="G130" s="37"/>
      <c r="H130" s="37"/>
      <c r="I130" s="7"/>
    </row>
    <row r="131" spans="3:9" x14ac:dyDescent="0.25">
      <c r="C131" s="32"/>
      <c r="D131" s="10"/>
      <c r="E131" s="10"/>
      <c r="F131" s="10"/>
      <c r="G131" s="37"/>
      <c r="H131" s="37"/>
      <c r="I131" s="7"/>
    </row>
    <row r="132" spans="3:9" x14ac:dyDescent="0.25">
      <c r="C132" s="32"/>
      <c r="D132" s="10"/>
      <c r="E132" s="10"/>
      <c r="F132" s="10"/>
      <c r="G132" s="37"/>
      <c r="H132" s="37"/>
      <c r="I132" s="7"/>
    </row>
    <row r="133" spans="3:9" x14ac:dyDescent="0.25">
      <c r="C133" s="32"/>
      <c r="D133" s="10"/>
      <c r="E133" s="10"/>
      <c r="F133" s="10"/>
      <c r="G133" s="37"/>
      <c r="H133" s="37"/>
      <c r="I133" s="7"/>
    </row>
    <row r="134" spans="3:9" x14ac:dyDescent="0.25">
      <c r="C134" s="32"/>
      <c r="D134" s="10"/>
      <c r="E134" s="10"/>
      <c r="F134" s="10"/>
      <c r="G134" s="37"/>
      <c r="H134" s="37"/>
      <c r="I134" s="7"/>
    </row>
    <row r="135" spans="3:9" x14ac:dyDescent="0.25">
      <c r="C135" s="32"/>
      <c r="D135" s="10"/>
      <c r="E135" s="10"/>
      <c r="F135" s="10"/>
      <c r="G135" s="37"/>
      <c r="H135" s="37"/>
      <c r="I135" s="7"/>
    </row>
    <row r="136" spans="3:9" x14ac:dyDescent="0.25">
      <c r="C136" s="32"/>
      <c r="D136" s="10"/>
      <c r="E136" s="10"/>
      <c r="F136" s="10"/>
      <c r="G136" s="37"/>
      <c r="H136" s="37"/>
      <c r="I136" s="7"/>
    </row>
    <row r="137" spans="3:9" x14ac:dyDescent="0.25">
      <c r="C137" s="32"/>
      <c r="D137" s="10"/>
      <c r="E137" s="10"/>
      <c r="F137" s="10"/>
      <c r="G137" s="37"/>
      <c r="H137" s="37"/>
      <c r="I137" s="7"/>
    </row>
    <row r="138" spans="3:9" x14ac:dyDescent="0.25">
      <c r="C138" s="32"/>
      <c r="D138" s="10"/>
      <c r="E138" s="10"/>
      <c r="F138" s="10"/>
      <c r="G138" s="37"/>
      <c r="H138" s="37"/>
      <c r="I138" s="7"/>
    </row>
    <row r="139" spans="3:9" x14ac:dyDescent="0.25">
      <c r="C139" s="32"/>
      <c r="D139" s="10"/>
      <c r="E139" s="10"/>
      <c r="F139" s="10"/>
      <c r="G139" s="37"/>
      <c r="H139" s="37"/>
      <c r="I139" s="7"/>
    </row>
    <row r="140" spans="3:9" x14ac:dyDescent="0.25">
      <c r="C140" s="32"/>
      <c r="D140" s="10"/>
      <c r="E140" s="10"/>
      <c r="F140" s="10"/>
      <c r="G140" s="37"/>
      <c r="H140" s="37"/>
      <c r="I140" s="7"/>
    </row>
    <row r="141" spans="3:9" x14ac:dyDescent="0.25">
      <c r="C141" s="32"/>
      <c r="D141" s="10"/>
      <c r="E141" s="10"/>
      <c r="F141" s="10"/>
      <c r="G141" s="37"/>
      <c r="H141" s="37"/>
      <c r="I141" s="7"/>
    </row>
    <row r="142" spans="3:9" x14ac:dyDescent="0.25">
      <c r="C142" s="32"/>
      <c r="D142" s="10"/>
      <c r="E142" s="10"/>
      <c r="F142" s="10"/>
      <c r="G142" s="37"/>
      <c r="H142" s="37"/>
      <c r="I142" s="7"/>
    </row>
    <row r="143" spans="3:9" x14ac:dyDescent="0.25">
      <c r="C143" s="32"/>
      <c r="D143" s="10"/>
      <c r="E143" s="10"/>
      <c r="F143" s="10"/>
      <c r="G143" s="37"/>
      <c r="H143" s="37"/>
      <c r="I143" s="7"/>
    </row>
    <row r="144" spans="3:9" x14ac:dyDescent="0.25">
      <c r="C144" s="32"/>
      <c r="D144" s="10"/>
      <c r="E144" s="10"/>
      <c r="F144" s="10"/>
      <c r="G144" s="37"/>
      <c r="H144" s="37"/>
      <c r="I144" s="7"/>
    </row>
    <row r="145" spans="3:9" x14ac:dyDescent="0.25">
      <c r="C145" s="32"/>
      <c r="D145" s="10"/>
      <c r="E145" s="10"/>
      <c r="F145" s="10"/>
      <c r="G145" s="37"/>
      <c r="H145" s="37"/>
      <c r="I145" s="7"/>
    </row>
    <row r="146" spans="3:9" x14ac:dyDescent="0.25">
      <c r="C146" s="32"/>
      <c r="D146" s="10"/>
      <c r="E146" s="10"/>
      <c r="F146" s="10"/>
      <c r="G146" s="37"/>
      <c r="H146" s="37"/>
      <c r="I146" s="7"/>
    </row>
    <row r="147" spans="3:9" x14ac:dyDescent="0.25">
      <c r="C147" s="32"/>
      <c r="D147" s="10"/>
      <c r="E147" s="10"/>
      <c r="F147" s="10"/>
      <c r="G147" s="37"/>
      <c r="H147" s="37"/>
      <c r="I147" s="7"/>
    </row>
    <row r="148" spans="3:9" x14ac:dyDescent="0.25">
      <c r="C148" s="32"/>
      <c r="D148" s="10"/>
      <c r="E148" s="10"/>
      <c r="F148" s="10"/>
      <c r="G148" s="37"/>
      <c r="H148" s="37"/>
      <c r="I148" s="7"/>
    </row>
    <row r="149" spans="3:9" x14ac:dyDescent="0.25">
      <c r="C149" s="32"/>
      <c r="D149" s="10"/>
      <c r="E149" s="10"/>
      <c r="F149" s="10"/>
      <c r="G149" s="37"/>
      <c r="H149" s="37"/>
      <c r="I149" s="7"/>
    </row>
    <row r="150" spans="3:9" x14ac:dyDescent="0.25">
      <c r="C150" s="32"/>
      <c r="D150" s="10"/>
      <c r="E150" s="10"/>
      <c r="F150" s="10"/>
      <c r="G150" s="37"/>
      <c r="H150" s="37"/>
      <c r="I150" s="7"/>
    </row>
    <row r="151" spans="3:9" x14ac:dyDescent="0.25">
      <c r="C151" s="32"/>
      <c r="D151" s="10"/>
      <c r="E151" s="10"/>
      <c r="F151" s="10"/>
      <c r="G151" s="37"/>
      <c r="H151" s="37"/>
      <c r="I151" s="7"/>
    </row>
    <row r="152" spans="3:9" x14ac:dyDescent="0.25">
      <c r="C152" s="32"/>
      <c r="D152" s="10"/>
      <c r="E152" s="10"/>
      <c r="F152" s="10"/>
      <c r="G152" s="37"/>
      <c r="H152" s="37"/>
      <c r="I152" s="7"/>
    </row>
    <row r="153" spans="3:9" x14ac:dyDescent="0.25">
      <c r="C153" s="32"/>
      <c r="D153" s="10"/>
      <c r="E153" s="10"/>
      <c r="F153" s="10"/>
      <c r="G153" s="37"/>
      <c r="H153" s="37"/>
      <c r="I153" s="7"/>
    </row>
    <row r="154" spans="3:9" x14ac:dyDescent="0.25">
      <c r="C154" s="32"/>
      <c r="D154" s="10"/>
      <c r="E154" s="10"/>
      <c r="F154" s="10"/>
      <c r="G154" s="37"/>
      <c r="H154" s="37"/>
      <c r="I154" s="7"/>
    </row>
    <row r="155" spans="3:9" x14ac:dyDescent="0.25">
      <c r="C155" s="32"/>
      <c r="D155" s="10"/>
      <c r="E155" s="10"/>
      <c r="F155" s="10"/>
      <c r="G155" s="37"/>
      <c r="H155" s="37"/>
      <c r="I155" s="7"/>
    </row>
    <row r="156" spans="3:9" x14ac:dyDescent="0.25">
      <c r="C156" s="32"/>
      <c r="D156" s="10"/>
      <c r="E156" s="10"/>
      <c r="F156" s="10"/>
      <c r="G156" s="37"/>
      <c r="H156" s="37"/>
      <c r="I156" s="7"/>
    </row>
    <row r="157" spans="3:9" x14ac:dyDescent="0.25">
      <c r="C157" s="32"/>
      <c r="D157" s="10"/>
      <c r="E157" s="10"/>
      <c r="F157" s="10"/>
      <c r="G157" s="37"/>
      <c r="H157" s="37"/>
      <c r="I157" s="7"/>
    </row>
    <row r="158" spans="3:9" x14ac:dyDescent="0.25">
      <c r="C158" s="32"/>
      <c r="D158" s="10"/>
      <c r="E158" s="10"/>
      <c r="F158" s="10"/>
      <c r="G158" s="37"/>
      <c r="H158" s="37"/>
      <c r="I158" s="7"/>
    </row>
    <row r="159" spans="3:9" x14ac:dyDescent="0.25">
      <c r="C159" s="32"/>
      <c r="D159" s="10"/>
      <c r="E159" s="10"/>
      <c r="F159" s="10"/>
      <c r="G159" s="37"/>
      <c r="H159" s="37"/>
      <c r="I159" s="7"/>
    </row>
    <row r="160" spans="3:9" x14ac:dyDescent="0.25">
      <c r="C160" s="32"/>
      <c r="D160" s="10"/>
      <c r="E160" s="10"/>
      <c r="F160" s="10"/>
      <c r="G160" s="37"/>
      <c r="H160" s="37"/>
      <c r="I160" s="7"/>
    </row>
    <row r="161" spans="3:9" x14ac:dyDescent="0.25">
      <c r="C161" s="32"/>
      <c r="D161" s="10"/>
      <c r="E161" s="10"/>
      <c r="F161" s="10"/>
      <c r="G161" s="37"/>
      <c r="H161" s="37"/>
      <c r="I161" s="7"/>
    </row>
    <row r="162" spans="3:9" x14ac:dyDescent="0.25">
      <c r="C162" s="32"/>
      <c r="D162" s="10"/>
      <c r="E162" s="10"/>
      <c r="F162" s="10"/>
      <c r="G162" s="37"/>
      <c r="H162" s="37"/>
      <c r="I162" s="7"/>
    </row>
    <row r="163" spans="3:9" x14ac:dyDescent="0.25">
      <c r="C163" s="32"/>
      <c r="D163" s="10"/>
      <c r="E163" s="10"/>
      <c r="F163" s="10"/>
      <c r="G163" s="37"/>
      <c r="H163" s="37"/>
      <c r="I163" s="7"/>
    </row>
    <row r="164" spans="3:9" x14ac:dyDescent="0.25">
      <c r="C164" s="32"/>
      <c r="D164" s="10"/>
      <c r="E164" s="10"/>
      <c r="F164" s="10"/>
      <c r="G164" s="37"/>
      <c r="H164" s="37"/>
      <c r="I164" s="7"/>
    </row>
    <row r="165" spans="3:9" x14ac:dyDescent="0.25">
      <c r="C165" s="32"/>
      <c r="D165" s="10"/>
      <c r="E165" s="10"/>
      <c r="F165" s="10"/>
      <c r="G165" s="37"/>
      <c r="H165" s="37"/>
      <c r="I165" s="7"/>
    </row>
    <row r="166" spans="3:9" x14ac:dyDescent="0.25">
      <c r="C166" s="32"/>
      <c r="D166" s="10"/>
      <c r="E166" s="10"/>
      <c r="F166" s="10"/>
      <c r="G166" s="37"/>
      <c r="H166" s="37"/>
      <c r="I166" s="7"/>
    </row>
    <row r="167" spans="3:9" x14ac:dyDescent="0.25">
      <c r="C167" s="32"/>
      <c r="D167" s="10"/>
      <c r="E167" s="10"/>
      <c r="F167" s="10"/>
      <c r="G167" s="37"/>
      <c r="H167" s="37"/>
      <c r="I167" s="7"/>
    </row>
    <row r="168" spans="3:9" x14ac:dyDescent="0.25">
      <c r="C168" s="32"/>
      <c r="D168" s="10"/>
      <c r="E168" s="10"/>
      <c r="F168" s="10"/>
      <c r="G168" s="37"/>
      <c r="H168" s="37"/>
      <c r="I168" s="7"/>
    </row>
    <row r="169" spans="3:9" x14ac:dyDescent="0.25">
      <c r="C169" s="32"/>
      <c r="D169" s="10"/>
      <c r="E169" s="10"/>
      <c r="F169" s="10"/>
      <c r="G169" s="37"/>
      <c r="H169" s="37"/>
      <c r="I169" s="7"/>
    </row>
    <row r="170" spans="3:9" x14ac:dyDescent="0.25">
      <c r="C170" s="32"/>
      <c r="D170" s="10"/>
      <c r="E170" s="10"/>
      <c r="F170" s="10"/>
      <c r="G170" s="37"/>
      <c r="H170" s="37"/>
      <c r="I170" s="7"/>
    </row>
    <row r="171" spans="3:9" x14ac:dyDescent="0.25">
      <c r="C171" s="32"/>
      <c r="D171" s="10"/>
      <c r="E171" s="10"/>
      <c r="F171" s="10"/>
      <c r="G171" s="37"/>
      <c r="H171" s="37"/>
      <c r="I171" s="7"/>
    </row>
    <row r="172" spans="3:9" x14ac:dyDescent="0.25">
      <c r="C172" s="32"/>
      <c r="D172" s="10"/>
      <c r="E172" s="10"/>
      <c r="F172" s="10"/>
      <c r="G172" s="37"/>
      <c r="H172" s="37"/>
      <c r="I172" s="7"/>
    </row>
    <row r="173" spans="3:9" x14ac:dyDescent="0.25">
      <c r="C173" s="32"/>
      <c r="D173" s="10"/>
      <c r="E173" s="10"/>
      <c r="F173" s="10"/>
      <c r="G173" s="37"/>
      <c r="H173" s="37"/>
      <c r="I173" s="7"/>
    </row>
    <row r="174" spans="3:9" x14ac:dyDescent="0.25">
      <c r="C174" s="32"/>
      <c r="D174" s="10"/>
      <c r="E174" s="10"/>
      <c r="F174" s="10"/>
      <c r="G174" s="37"/>
      <c r="H174" s="37"/>
      <c r="I174" s="7"/>
    </row>
    <row r="175" spans="3:9" x14ac:dyDescent="0.25">
      <c r="C175" s="32"/>
      <c r="D175" s="10"/>
      <c r="E175" s="10"/>
      <c r="F175" s="10"/>
      <c r="G175" s="37"/>
      <c r="H175" s="37"/>
      <c r="I175" s="7"/>
    </row>
    <row r="176" spans="3:9" x14ac:dyDescent="0.25">
      <c r="C176" s="32"/>
      <c r="D176" s="10"/>
      <c r="E176" s="10"/>
      <c r="F176" s="10"/>
      <c r="G176" s="37"/>
      <c r="H176" s="37"/>
      <c r="I176" s="7"/>
    </row>
    <row r="177" spans="3:9" x14ac:dyDescent="0.25">
      <c r="C177" s="32"/>
      <c r="D177" s="10"/>
      <c r="E177" s="10"/>
      <c r="F177" s="10"/>
      <c r="G177" s="37"/>
      <c r="H177" s="37"/>
      <c r="I177" s="7"/>
    </row>
    <row r="178" spans="3:9" x14ac:dyDescent="0.25">
      <c r="C178" s="32"/>
      <c r="D178" s="10"/>
      <c r="E178" s="10"/>
      <c r="F178" s="10"/>
      <c r="G178" s="37"/>
      <c r="H178" s="37"/>
      <c r="I178" s="7"/>
    </row>
    <row r="179" spans="3:9" x14ac:dyDescent="0.25">
      <c r="C179" s="32"/>
      <c r="D179" s="10"/>
      <c r="E179" s="10"/>
      <c r="F179" s="10"/>
      <c r="G179" s="37"/>
      <c r="H179" s="37"/>
      <c r="I179" s="7"/>
    </row>
    <row r="180" spans="3:9" x14ac:dyDescent="0.25">
      <c r="C180" s="32"/>
      <c r="D180" s="10"/>
      <c r="E180" s="10"/>
      <c r="F180" s="10"/>
      <c r="G180" s="37"/>
      <c r="H180" s="37"/>
      <c r="I180" s="7"/>
    </row>
    <row r="181" spans="3:9" x14ac:dyDescent="0.25">
      <c r="C181" s="32"/>
      <c r="D181" s="10"/>
      <c r="E181" s="10"/>
      <c r="F181" s="10"/>
      <c r="G181" s="37"/>
      <c r="H181" s="37"/>
      <c r="I181" s="7"/>
    </row>
    <row r="182" spans="3:9" x14ac:dyDescent="0.25">
      <c r="C182" s="32"/>
      <c r="D182" s="10"/>
      <c r="E182" s="10"/>
      <c r="F182" s="10"/>
      <c r="G182" s="37"/>
      <c r="H182" s="37"/>
      <c r="I182" s="7"/>
    </row>
    <row r="183" spans="3:9" x14ac:dyDescent="0.25">
      <c r="C183" s="32"/>
      <c r="D183" s="10"/>
      <c r="E183" s="10"/>
      <c r="F183" s="10"/>
      <c r="G183" s="37"/>
      <c r="H183" s="37"/>
      <c r="I183" s="7"/>
    </row>
    <row r="184" spans="3:9" x14ac:dyDescent="0.25">
      <c r="C184" s="32"/>
      <c r="D184" s="10"/>
      <c r="E184" s="10"/>
      <c r="F184" s="10"/>
      <c r="G184" s="37"/>
      <c r="H184" s="37"/>
      <c r="I184" s="7"/>
    </row>
    <row r="185" spans="3:9" x14ac:dyDescent="0.25">
      <c r="C185" s="32"/>
      <c r="D185" s="10"/>
      <c r="E185" s="10"/>
      <c r="F185" s="10"/>
      <c r="G185" s="37"/>
      <c r="H185" s="37"/>
      <c r="I185" s="7"/>
    </row>
    <row r="186" spans="3:9" x14ac:dyDescent="0.25">
      <c r="C186" s="32"/>
      <c r="D186" s="10"/>
      <c r="E186" s="10"/>
      <c r="F186" s="10"/>
      <c r="G186" s="37"/>
      <c r="H186" s="37"/>
      <c r="I186" s="7"/>
    </row>
    <row r="187" spans="3:9" x14ac:dyDescent="0.25">
      <c r="C187" s="32"/>
      <c r="D187" s="10"/>
      <c r="E187" s="10"/>
      <c r="F187" s="10"/>
      <c r="G187" s="37"/>
      <c r="H187" s="37"/>
      <c r="I187" s="7"/>
    </row>
    <row r="188" spans="3:9" x14ac:dyDescent="0.25">
      <c r="C188" s="32"/>
      <c r="D188" s="10"/>
      <c r="E188" s="10"/>
      <c r="F188" s="10"/>
      <c r="G188" s="37"/>
      <c r="H188" s="37"/>
      <c r="I188" s="7"/>
    </row>
    <row r="189" spans="3:9" x14ac:dyDescent="0.25">
      <c r="C189" s="32"/>
      <c r="D189" s="10"/>
      <c r="E189" s="10"/>
      <c r="F189" s="10"/>
      <c r="G189" s="37"/>
      <c r="H189" s="37"/>
      <c r="I189" s="7"/>
    </row>
    <row r="190" spans="3:9" x14ac:dyDescent="0.25">
      <c r="C190" s="32"/>
      <c r="D190" s="10"/>
      <c r="E190" s="10"/>
      <c r="F190" s="10"/>
      <c r="G190" s="37"/>
      <c r="H190" s="37"/>
      <c r="I190" s="7"/>
    </row>
    <row r="191" spans="3:9" x14ac:dyDescent="0.25">
      <c r="C191" s="32"/>
      <c r="D191" s="10"/>
      <c r="E191" s="10"/>
      <c r="F191" s="10"/>
      <c r="G191" s="37"/>
      <c r="H191" s="37"/>
      <c r="I191" s="7"/>
    </row>
    <row r="192" spans="3:9" x14ac:dyDescent="0.25">
      <c r="C192" s="32"/>
      <c r="D192" s="10"/>
      <c r="E192" s="10"/>
      <c r="F192" s="10"/>
      <c r="G192" s="37"/>
      <c r="H192" s="37"/>
      <c r="I192" s="7"/>
    </row>
    <row r="193" spans="1:15" x14ac:dyDescent="0.25">
      <c r="C193" s="32"/>
      <c r="D193" s="10"/>
      <c r="E193" s="10"/>
      <c r="F193" s="10"/>
      <c r="G193" s="37"/>
      <c r="H193" s="37"/>
      <c r="I193" s="7"/>
    </row>
    <row r="194" spans="1:15" x14ac:dyDescent="0.25">
      <c r="C194" s="32"/>
      <c r="D194" s="10"/>
      <c r="E194" s="10"/>
      <c r="F194" s="10"/>
      <c r="G194" s="37"/>
      <c r="H194" s="37"/>
      <c r="I194" s="7"/>
    </row>
    <row r="195" spans="1:15" x14ac:dyDescent="0.25">
      <c r="C195" s="32"/>
      <c r="D195" s="10"/>
      <c r="E195" s="10"/>
      <c r="F195" s="10"/>
      <c r="G195" s="37"/>
      <c r="H195" s="37"/>
      <c r="I195" s="7"/>
    </row>
    <row r="196" spans="1:15" x14ac:dyDescent="0.25">
      <c r="C196" s="32"/>
      <c r="D196" s="10"/>
      <c r="E196" s="10"/>
      <c r="F196" s="10"/>
      <c r="G196" s="37"/>
      <c r="H196" s="37"/>
      <c r="I196" s="7"/>
    </row>
    <row r="197" spans="1:15" x14ac:dyDescent="0.25">
      <c r="C197" s="32"/>
      <c r="D197" s="48"/>
      <c r="E197" s="48"/>
      <c r="F197" s="48"/>
      <c r="G197" s="10"/>
      <c r="H197" s="37"/>
      <c r="I197" s="7"/>
    </row>
    <row r="198" spans="1:15" x14ac:dyDescent="0.25">
      <c r="C198" s="32"/>
      <c r="D198" s="48"/>
      <c r="E198" s="48"/>
      <c r="F198" s="48"/>
      <c r="G198" s="10"/>
      <c r="H198" s="37"/>
      <c r="I198" s="7"/>
    </row>
    <row r="199" spans="1:15" x14ac:dyDescent="0.25">
      <c r="C199" s="32"/>
      <c r="D199" s="48"/>
      <c r="E199" s="48"/>
      <c r="F199" s="48"/>
      <c r="G199" s="10"/>
      <c r="H199" s="37"/>
      <c r="I199" s="7"/>
    </row>
    <row r="200" spans="1:15" x14ac:dyDescent="0.25">
      <c r="C200" s="32"/>
      <c r="D200" s="48"/>
      <c r="E200" s="48"/>
      <c r="F200" s="48"/>
      <c r="G200" s="10"/>
      <c r="H200" s="37"/>
      <c r="I200" s="7"/>
    </row>
    <row r="201" spans="1:15" x14ac:dyDescent="0.25">
      <c r="C201" s="32"/>
      <c r="D201" s="48"/>
      <c r="E201" s="48"/>
      <c r="F201" s="48"/>
      <c r="G201" s="10"/>
      <c r="H201" s="36"/>
      <c r="I201" s="7"/>
    </row>
    <row r="202" spans="1:15" x14ac:dyDescent="0.25">
      <c r="C202" s="32"/>
      <c r="D202" s="48"/>
      <c r="E202" s="48"/>
      <c r="F202" s="48"/>
      <c r="G202" s="10"/>
      <c r="H202" s="36"/>
      <c r="I202" s="7"/>
    </row>
    <row r="205" spans="1:15" x14ac:dyDescent="0.25">
      <c r="C205" s="1230"/>
      <c r="D205" s="1230"/>
      <c r="E205" s="1230"/>
      <c r="F205" s="1230"/>
      <c r="G205" s="1230"/>
      <c r="H205" s="1230"/>
      <c r="I205" s="1230"/>
      <c r="J205" s="1230"/>
      <c r="K205" s="1230"/>
      <c r="L205" s="1230"/>
      <c r="M205" s="1231"/>
      <c r="N205" s="5"/>
      <c r="O205" s="9"/>
    </row>
    <row r="206" spans="1:15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32"/>
      <c r="M206" s="1231"/>
      <c r="N206" s="35"/>
    </row>
    <row r="207" spans="1:15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7"/>
      <c r="M207" s="9"/>
      <c r="N207" s="10"/>
    </row>
    <row r="208" spans="1:15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7"/>
      <c r="M208" s="9"/>
      <c r="N208" s="10"/>
    </row>
    <row r="209" spans="1:14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7"/>
      <c r="M209" s="9"/>
      <c r="N209" s="10"/>
    </row>
    <row r="210" spans="1:14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7"/>
      <c r="M210" s="9"/>
      <c r="N210" s="10"/>
    </row>
    <row r="211" spans="1:14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7"/>
      <c r="M211" s="9"/>
      <c r="N211" s="10"/>
    </row>
    <row r="212" spans="1:14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9"/>
      <c r="N212" s="10"/>
    </row>
    <row r="213" spans="1:14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9"/>
      <c r="N213" s="10"/>
    </row>
    <row r="214" spans="1:14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9"/>
      <c r="N214" s="10"/>
    </row>
    <row r="215" spans="1:14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9"/>
      <c r="N215" s="10"/>
    </row>
    <row r="216" spans="1:14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9"/>
      <c r="N216" s="10"/>
    </row>
    <row r="217" spans="1:14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9"/>
      <c r="N217" s="10"/>
    </row>
    <row r="218" spans="1:14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9"/>
      <c r="N218" s="10"/>
    </row>
  </sheetData>
  <mergeCells count="53">
    <mergeCell ref="S117:S119"/>
    <mergeCell ref="T117:T119"/>
    <mergeCell ref="N117:N119"/>
    <mergeCell ref="O117:O119"/>
    <mergeCell ref="P117:P119"/>
    <mergeCell ref="Q117:Q119"/>
    <mergeCell ref="R117:R119"/>
    <mergeCell ref="I117:I119"/>
    <mergeCell ref="J117:J119"/>
    <mergeCell ref="K117:K119"/>
    <mergeCell ref="L117:L119"/>
    <mergeCell ref="M117:M119"/>
    <mergeCell ref="S115:T115"/>
    <mergeCell ref="C205:L205"/>
    <mergeCell ref="M205:M206"/>
    <mergeCell ref="B3:K3"/>
    <mergeCell ref="B4:K4"/>
    <mergeCell ref="B5:B6"/>
    <mergeCell ref="C5:C6"/>
    <mergeCell ref="D5:F5"/>
    <mergeCell ref="G5:I5"/>
    <mergeCell ref="J5:J6"/>
    <mergeCell ref="K5:K6"/>
    <mergeCell ref="B117:B119"/>
    <mergeCell ref="E117:E119"/>
    <mergeCell ref="F117:F119"/>
    <mergeCell ref="G117:G119"/>
    <mergeCell ref="H117:H119"/>
    <mergeCell ref="D116:E116"/>
    <mergeCell ref="A111:T111"/>
    <mergeCell ref="A112:T112"/>
    <mergeCell ref="A114:A116"/>
    <mergeCell ref="B114:B116"/>
    <mergeCell ref="C114:C116"/>
    <mergeCell ref="D114:E115"/>
    <mergeCell ref="F114:H114"/>
    <mergeCell ref="I114:K114"/>
    <mergeCell ref="L114:N114"/>
    <mergeCell ref="O114:Q114"/>
    <mergeCell ref="R114:T114"/>
    <mergeCell ref="G115:H115"/>
    <mergeCell ref="J115:K115"/>
    <mergeCell ref="M115:N115"/>
    <mergeCell ref="P115:Q115"/>
    <mergeCell ref="C41:K41"/>
    <mergeCell ref="C42:K42"/>
    <mergeCell ref="B43:B44"/>
    <mergeCell ref="C43:C44"/>
    <mergeCell ref="D43:F43"/>
    <mergeCell ref="G43:H43"/>
    <mergeCell ref="I43:I44"/>
    <mergeCell ref="J43:J44"/>
    <mergeCell ref="K43:K44"/>
  </mergeCells>
  <conditionalFormatting sqref="Q117:Q119 N117:N119 H117:H119 T117:T119 K117:K119">
    <cfRule type="cellIs" dxfId="11" priority="1" operator="greaterThan">
      <formula>1</formula>
    </cfRule>
  </conditionalFormatting>
  <printOptions gridLines="1"/>
  <pageMargins left="0" right="0" top="0.15748031496062992" bottom="0.15748031496062992" header="0" footer="0"/>
  <pageSetup paperSize="9" scale="11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2:V137"/>
  <sheetViews>
    <sheetView topLeftCell="A78" zoomScaleNormal="100" workbookViewId="0">
      <selection activeCell="G72" sqref="G72"/>
    </sheetView>
  </sheetViews>
  <sheetFormatPr baseColWidth="10" defaultRowHeight="15" x14ac:dyDescent="0.25"/>
  <cols>
    <col min="1" max="1" width="5.7109375" customWidth="1"/>
    <col min="2" max="2" width="6.7109375" customWidth="1"/>
    <col min="3" max="3" width="14.7109375" customWidth="1"/>
    <col min="4" max="5" width="10.7109375" customWidth="1"/>
    <col min="6" max="6" width="11.7109375" customWidth="1"/>
    <col min="7" max="8" width="12.7109375" customWidth="1"/>
    <col min="9" max="11" width="10.7109375" customWidth="1"/>
    <col min="12" max="12" width="7.85546875" customWidth="1"/>
    <col min="13" max="14" width="7.7109375" customWidth="1"/>
    <col min="15" max="15" width="11.28515625" customWidth="1"/>
    <col min="16" max="17" width="7.7109375" customWidth="1"/>
    <col min="18" max="18" width="10.7109375" customWidth="1"/>
    <col min="19" max="19" width="13.5703125" customWidth="1"/>
  </cols>
  <sheetData>
    <row r="2" spans="2:19" ht="15.75" thickBot="1" x14ac:dyDescent="0.3"/>
    <row r="3" spans="2:19" ht="15.95" customHeight="1" x14ac:dyDescent="0.25">
      <c r="B3" s="1112" t="s">
        <v>44</v>
      </c>
      <c r="C3" s="1113"/>
      <c r="D3" s="1113"/>
      <c r="E3" s="1113"/>
      <c r="F3" s="1113"/>
      <c r="G3" s="1113"/>
      <c r="H3" s="1113"/>
      <c r="I3" s="1113"/>
      <c r="J3" s="1113"/>
      <c r="K3" s="1114"/>
    </row>
    <row r="4" spans="2:19" ht="15.95" customHeight="1" thickBot="1" x14ac:dyDescent="0.3">
      <c r="B4" s="1115" t="s">
        <v>246</v>
      </c>
      <c r="C4" s="1116"/>
      <c r="D4" s="1116"/>
      <c r="E4" s="1116"/>
      <c r="F4" s="1116"/>
      <c r="G4" s="1116"/>
      <c r="H4" s="1116"/>
      <c r="I4" s="1116"/>
      <c r="J4" s="1116"/>
      <c r="K4" s="1117"/>
    </row>
    <row r="5" spans="2:19" ht="15.95" customHeight="1" x14ac:dyDescent="0.25">
      <c r="B5" s="1166" t="s">
        <v>124</v>
      </c>
      <c r="C5" s="1181" t="s">
        <v>26</v>
      </c>
      <c r="D5" s="1182" t="s">
        <v>110</v>
      </c>
      <c r="E5" s="1228"/>
      <c r="F5" s="1229"/>
      <c r="G5" s="1169" t="s">
        <v>74</v>
      </c>
      <c r="H5" s="1167"/>
      <c r="I5" s="1168"/>
      <c r="J5" s="1182" t="s">
        <v>105</v>
      </c>
      <c r="K5" s="1183" t="s">
        <v>183</v>
      </c>
    </row>
    <row r="6" spans="2:19" ht="39.950000000000003" customHeight="1" x14ac:dyDescent="0.25">
      <c r="B6" s="1119"/>
      <c r="C6" s="1032"/>
      <c r="D6" s="306" t="s">
        <v>181</v>
      </c>
      <c r="E6" s="306" t="s">
        <v>102</v>
      </c>
      <c r="F6" s="38" t="s">
        <v>134</v>
      </c>
      <c r="G6" s="38" t="s">
        <v>243</v>
      </c>
      <c r="H6" s="38" t="s">
        <v>232</v>
      </c>
      <c r="I6" s="38" t="s">
        <v>182</v>
      </c>
      <c r="J6" s="1122"/>
      <c r="K6" s="1123"/>
      <c r="L6" s="259"/>
      <c r="M6" s="259" t="s">
        <v>184</v>
      </c>
      <c r="N6" s="200" t="s">
        <v>185</v>
      </c>
      <c r="O6" s="73"/>
      <c r="P6" s="73"/>
      <c r="R6" s="85" t="s">
        <v>73</v>
      </c>
      <c r="S6" s="38" t="s">
        <v>240</v>
      </c>
    </row>
    <row r="7" spans="2:19" ht="15" customHeight="1" x14ac:dyDescent="0.25">
      <c r="B7" s="196"/>
      <c r="C7" s="64">
        <v>1997</v>
      </c>
      <c r="D7" s="61">
        <v>42.46</v>
      </c>
      <c r="E7" s="65">
        <f>D7/N26</f>
        <v>43.332993146544624</v>
      </c>
      <c r="F7" s="174"/>
      <c r="G7" s="65"/>
      <c r="H7" s="65"/>
      <c r="I7" s="65"/>
      <c r="J7" s="61">
        <f>3*25</f>
        <v>75</v>
      </c>
      <c r="K7" s="178">
        <f>J7-25</f>
        <v>50</v>
      </c>
      <c r="M7" s="40"/>
      <c r="N7" s="263"/>
      <c r="O7" s="39">
        <v>1997</v>
      </c>
      <c r="P7" s="40">
        <v>75</v>
      </c>
      <c r="Q7" s="40">
        <v>50</v>
      </c>
      <c r="R7" s="50"/>
      <c r="S7" s="50"/>
    </row>
    <row r="8" spans="2:19" x14ac:dyDescent="0.25">
      <c r="B8" s="196"/>
      <c r="C8" s="68">
        <v>1998</v>
      </c>
      <c r="D8" s="62">
        <v>41.3</v>
      </c>
      <c r="E8" s="40">
        <f>D8/N26</f>
        <v>42.149143121815655</v>
      </c>
      <c r="F8" s="175">
        <f>(E8-E7)/E7</f>
        <v>-2.7319830428638853E-2</v>
      </c>
      <c r="G8" s="40"/>
      <c r="H8" s="40"/>
      <c r="I8" s="40"/>
      <c r="J8" s="62">
        <f t="shared" ref="J8:J25" si="0">3*25</f>
        <v>75</v>
      </c>
      <c r="K8" s="179">
        <f t="shared" ref="K8:K25" si="1">J8-25</f>
        <v>50</v>
      </c>
      <c r="M8" s="40"/>
      <c r="N8" s="263"/>
      <c r="O8" s="39">
        <v>1998</v>
      </c>
      <c r="P8" s="40">
        <v>75</v>
      </c>
      <c r="Q8" s="40">
        <v>50</v>
      </c>
      <c r="R8" s="50"/>
      <c r="S8" s="50"/>
    </row>
    <row r="9" spans="2:19" x14ac:dyDescent="0.25">
      <c r="B9" s="196"/>
      <c r="C9" s="68">
        <v>1999</v>
      </c>
      <c r="D9" s="62">
        <v>48.22</v>
      </c>
      <c r="E9" s="40">
        <f>D9/N26</f>
        <v>49.211420855543608</v>
      </c>
      <c r="F9" s="175">
        <f t="shared" ref="F9:F27" si="2">(E9-E8)/E8</f>
        <v>0.16755447941888627</v>
      </c>
      <c r="G9" s="40"/>
      <c r="H9" s="40"/>
      <c r="I9" s="40"/>
      <c r="J9" s="62">
        <f t="shared" si="0"/>
        <v>75</v>
      </c>
      <c r="K9" s="179">
        <f t="shared" si="1"/>
        <v>50</v>
      </c>
      <c r="M9" s="40"/>
      <c r="N9" s="263"/>
      <c r="O9" s="39">
        <v>1999</v>
      </c>
      <c r="P9" s="40">
        <v>75</v>
      </c>
      <c r="Q9" s="40">
        <v>50</v>
      </c>
      <c r="R9" s="50"/>
      <c r="S9" s="50"/>
    </row>
    <row r="10" spans="2:19" x14ac:dyDescent="0.25">
      <c r="B10" s="196"/>
      <c r="C10" s="68">
        <v>2000</v>
      </c>
      <c r="D10" s="62">
        <v>46.1</v>
      </c>
      <c r="E10" s="40">
        <f>D10/N26</f>
        <v>47.047832879314818</v>
      </c>
      <c r="F10" s="175">
        <f t="shared" si="2"/>
        <v>-4.3965159684778016E-2</v>
      </c>
      <c r="G10" s="40"/>
      <c r="H10" s="40"/>
      <c r="I10" s="40"/>
      <c r="J10" s="62">
        <f t="shared" si="0"/>
        <v>75</v>
      </c>
      <c r="K10" s="179">
        <f t="shared" si="1"/>
        <v>50</v>
      </c>
      <c r="M10" s="40"/>
      <c r="N10" s="263"/>
      <c r="O10" s="39">
        <v>2000</v>
      </c>
      <c r="P10" s="40">
        <v>75</v>
      </c>
      <c r="Q10" s="40">
        <v>50</v>
      </c>
      <c r="R10" s="50"/>
      <c r="S10" s="50"/>
    </row>
    <row r="11" spans="2:19" x14ac:dyDescent="0.25">
      <c r="B11" s="196"/>
      <c r="C11" s="68">
        <v>2001</v>
      </c>
      <c r="D11" s="62">
        <v>57.8</v>
      </c>
      <c r="E11" s="40">
        <f>D11/N26</f>
        <v>58.988389163219004</v>
      </c>
      <c r="F11" s="175">
        <f t="shared" si="2"/>
        <v>0.25379609544468529</v>
      </c>
      <c r="G11" s="40"/>
      <c r="H11" s="40"/>
      <c r="I11" s="40"/>
      <c r="J11" s="62">
        <f t="shared" si="0"/>
        <v>75</v>
      </c>
      <c r="K11" s="179">
        <f t="shared" si="1"/>
        <v>50</v>
      </c>
      <c r="M11" s="40"/>
      <c r="N11" s="263"/>
      <c r="O11" s="39">
        <v>2001</v>
      </c>
      <c r="P11" s="40">
        <v>75</v>
      </c>
      <c r="Q11" s="40">
        <v>50</v>
      </c>
      <c r="R11" s="50"/>
      <c r="S11" s="50"/>
    </row>
    <row r="12" spans="2:19" x14ac:dyDescent="0.25">
      <c r="B12" s="196"/>
      <c r="C12" s="68">
        <v>2002</v>
      </c>
      <c r="D12" s="62">
        <v>53.26</v>
      </c>
      <c r="E12" s="40">
        <f>D12/N26</f>
        <v>54.355045100917721</v>
      </c>
      <c r="F12" s="175">
        <f t="shared" si="2"/>
        <v>-7.8546712802768134E-2</v>
      </c>
      <c r="G12" s="40"/>
      <c r="H12" s="40"/>
      <c r="I12" s="40"/>
      <c r="J12" s="62">
        <f t="shared" si="0"/>
        <v>75</v>
      </c>
      <c r="K12" s="179">
        <f t="shared" si="1"/>
        <v>50</v>
      </c>
      <c r="M12" s="40"/>
      <c r="N12" s="263"/>
      <c r="O12" s="39">
        <v>2002</v>
      </c>
      <c r="P12" s="40">
        <v>75</v>
      </c>
      <c r="Q12" s="40">
        <v>50</v>
      </c>
      <c r="R12" s="50"/>
      <c r="S12" s="50"/>
    </row>
    <row r="13" spans="2:19" x14ac:dyDescent="0.25">
      <c r="B13" s="196">
        <v>8</v>
      </c>
      <c r="C13" s="68">
        <v>2003</v>
      </c>
      <c r="D13" s="62">
        <v>52.9</v>
      </c>
      <c r="E13" s="40">
        <v>53.67</v>
      </c>
      <c r="F13" s="175">
        <f t="shared" si="2"/>
        <v>-1.2603155781507263E-2</v>
      </c>
      <c r="G13" s="40"/>
      <c r="H13" s="40"/>
      <c r="I13" s="40"/>
      <c r="J13" s="62">
        <f t="shared" si="0"/>
        <v>75</v>
      </c>
      <c r="K13" s="179">
        <f t="shared" si="1"/>
        <v>50</v>
      </c>
      <c r="M13" s="40">
        <v>8.6199999999999992</v>
      </c>
      <c r="N13" s="263">
        <v>0.98699999999999999</v>
      </c>
      <c r="O13" s="39">
        <v>2003</v>
      </c>
      <c r="P13" s="40">
        <v>75</v>
      </c>
      <c r="Q13" s="40">
        <v>50</v>
      </c>
      <c r="R13" s="50"/>
      <c r="S13" s="50"/>
    </row>
    <row r="14" spans="2:19" x14ac:dyDescent="0.25">
      <c r="B14" s="196">
        <v>8</v>
      </c>
      <c r="C14" s="68">
        <v>2004</v>
      </c>
      <c r="D14" s="62">
        <v>55.31</v>
      </c>
      <c r="E14" s="40">
        <v>55.69</v>
      </c>
      <c r="F14" s="175">
        <f t="shared" si="2"/>
        <v>3.7637413825228172E-2</v>
      </c>
      <c r="G14" s="40"/>
      <c r="H14" s="40"/>
      <c r="I14" s="40"/>
      <c r="J14" s="62">
        <f t="shared" si="0"/>
        <v>75</v>
      </c>
      <c r="K14" s="179">
        <f t="shared" si="1"/>
        <v>50</v>
      </c>
      <c r="M14" s="40">
        <v>6.39</v>
      </c>
      <c r="N14" s="263">
        <v>0.99339999999999995</v>
      </c>
      <c r="O14" s="39">
        <v>2004</v>
      </c>
      <c r="P14" s="40">
        <v>75</v>
      </c>
      <c r="Q14" s="40">
        <v>50</v>
      </c>
      <c r="R14" s="50"/>
      <c r="S14" s="50"/>
    </row>
    <row r="15" spans="2:19" x14ac:dyDescent="0.25">
      <c r="B15" s="196">
        <v>6</v>
      </c>
      <c r="C15" s="68">
        <v>2005</v>
      </c>
      <c r="D15" s="62">
        <v>56.48</v>
      </c>
      <c r="E15" s="40">
        <v>56.88</v>
      </c>
      <c r="F15" s="175">
        <f t="shared" si="2"/>
        <v>2.1368288741246272E-2</v>
      </c>
      <c r="G15" s="40"/>
      <c r="H15" s="40"/>
      <c r="I15" s="40"/>
      <c r="J15" s="62">
        <f t="shared" si="0"/>
        <v>75</v>
      </c>
      <c r="K15" s="179">
        <f t="shared" si="1"/>
        <v>50</v>
      </c>
      <c r="M15" s="40">
        <v>6.76</v>
      </c>
      <c r="N15" s="263">
        <v>0.9929</v>
      </c>
      <c r="O15" s="39">
        <v>2005</v>
      </c>
      <c r="P15" s="40">
        <v>75</v>
      </c>
      <c r="Q15" s="40">
        <v>50</v>
      </c>
      <c r="R15" s="50"/>
      <c r="S15" s="50"/>
    </row>
    <row r="16" spans="2:19" x14ac:dyDescent="0.25">
      <c r="B16" s="196">
        <v>7</v>
      </c>
      <c r="C16" s="68">
        <v>2006</v>
      </c>
      <c r="D16" s="62">
        <v>57.5</v>
      </c>
      <c r="E16" s="40">
        <v>58.08</v>
      </c>
      <c r="F16" s="175">
        <f t="shared" si="2"/>
        <v>2.1097046413502032E-2</v>
      </c>
      <c r="G16" s="40"/>
      <c r="H16" s="40"/>
      <c r="I16" s="40"/>
      <c r="J16" s="62">
        <f t="shared" si="0"/>
        <v>75</v>
      </c>
      <c r="K16" s="179">
        <f t="shared" si="1"/>
        <v>50</v>
      </c>
      <c r="M16" s="40">
        <v>8.16</v>
      </c>
      <c r="N16" s="263">
        <v>0.99009999999999998</v>
      </c>
      <c r="O16" s="39">
        <v>2006</v>
      </c>
      <c r="P16" s="40">
        <v>75</v>
      </c>
      <c r="Q16" s="40">
        <v>50</v>
      </c>
      <c r="R16" s="50"/>
      <c r="S16" s="50"/>
    </row>
    <row r="17" spans="2:19" x14ac:dyDescent="0.25">
      <c r="B17" s="196">
        <v>12</v>
      </c>
      <c r="C17" s="68">
        <v>2007</v>
      </c>
      <c r="D17" s="62">
        <v>61.15</v>
      </c>
      <c r="E17" s="40">
        <v>62.98</v>
      </c>
      <c r="F17" s="175">
        <f t="shared" si="2"/>
        <v>8.4366391184572981E-2</v>
      </c>
      <c r="G17" s="40"/>
      <c r="H17" s="40"/>
      <c r="I17" s="40"/>
      <c r="J17" s="62">
        <f t="shared" si="0"/>
        <v>75</v>
      </c>
      <c r="K17" s="179">
        <f t="shared" si="1"/>
        <v>50</v>
      </c>
      <c r="M17" s="40">
        <v>15.05</v>
      </c>
      <c r="N17" s="263">
        <v>0.97099999999999997</v>
      </c>
      <c r="O17" s="39">
        <v>2007</v>
      </c>
      <c r="P17" s="40">
        <v>75</v>
      </c>
      <c r="Q17" s="40">
        <v>50</v>
      </c>
      <c r="R17" s="50"/>
      <c r="S17" s="50"/>
    </row>
    <row r="18" spans="2:19" x14ac:dyDescent="0.25">
      <c r="B18" s="196">
        <v>11</v>
      </c>
      <c r="C18" s="68">
        <v>2008</v>
      </c>
      <c r="D18" s="62">
        <v>62.83</v>
      </c>
      <c r="E18" s="40">
        <v>65.58</v>
      </c>
      <c r="F18" s="175">
        <f t="shared" si="2"/>
        <v>4.1282946967291227E-2</v>
      </c>
      <c r="G18" s="40"/>
      <c r="H18" s="40"/>
      <c r="I18" s="40"/>
      <c r="J18" s="62">
        <f t="shared" si="0"/>
        <v>75</v>
      </c>
      <c r="K18" s="179">
        <f t="shared" si="1"/>
        <v>50</v>
      </c>
      <c r="M18" s="40">
        <v>18.77</v>
      </c>
      <c r="N18" s="263">
        <v>0.95820000000000005</v>
      </c>
      <c r="O18" s="39">
        <v>2008</v>
      </c>
      <c r="P18" s="40">
        <v>75</v>
      </c>
      <c r="Q18" s="40">
        <v>50</v>
      </c>
      <c r="R18" s="50"/>
      <c r="S18" s="50"/>
    </row>
    <row r="19" spans="2:19" x14ac:dyDescent="0.25">
      <c r="B19" s="196">
        <v>10</v>
      </c>
      <c r="C19" s="68">
        <v>2009</v>
      </c>
      <c r="D19" s="62">
        <v>62.43</v>
      </c>
      <c r="E19" s="40">
        <v>65.260000000000005</v>
      </c>
      <c r="F19" s="175">
        <f t="shared" si="2"/>
        <v>-4.8795364440377123E-3</v>
      </c>
      <c r="G19" s="40"/>
      <c r="H19" s="40"/>
      <c r="I19" s="40"/>
      <c r="J19" s="62">
        <f t="shared" si="0"/>
        <v>75</v>
      </c>
      <c r="K19" s="179">
        <f t="shared" si="1"/>
        <v>50</v>
      </c>
      <c r="M19" s="40">
        <v>19.010000000000002</v>
      </c>
      <c r="N19" s="263">
        <v>0.95660000000000001</v>
      </c>
      <c r="O19" s="39">
        <v>2009</v>
      </c>
      <c r="P19" s="40">
        <v>75</v>
      </c>
      <c r="Q19" s="40">
        <v>50</v>
      </c>
      <c r="R19" s="50"/>
      <c r="S19" s="50"/>
    </row>
    <row r="20" spans="2:19" x14ac:dyDescent="0.25">
      <c r="B20" s="196">
        <v>12</v>
      </c>
      <c r="C20" s="68">
        <v>2010</v>
      </c>
      <c r="D20" s="62">
        <v>63.87</v>
      </c>
      <c r="E20" s="40">
        <v>66.959999999999994</v>
      </c>
      <c r="F20" s="175">
        <f t="shared" si="2"/>
        <v>2.604964756359161E-2</v>
      </c>
      <c r="G20" s="40"/>
      <c r="H20" s="40"/>
      <c r="I20" s="40"/>
      <c r="J20" s="62">
        <f t="shared" si="0"/>
        <v>75</v>
      </c>
      <c r="K20" s="179">
        <f t="shared" si="1"/>
        <v>50</v>
      </c>
      <c r="M20" s="40">
        <v>20.100000000000001</v>
      </c>
      <c r="N20" s="263">
        <v>0.95389999999999997</v>
      </c>
      <c r="O20" s="39">
        <v>2010</v>
      </c>
      <c r="P20" s="40">
        <v>75</v>
      </c>
      <c r="Q20" s="40">
        <v>50</v>
      </c>
      <c r="R20" s="175"/>
      <c r="S20" s="50"/>
    </row>
    <row r="21" spans="2:19" x14ac:dyDescent="0.25">
      <c r="B21" s="196">
        <v>12</v>
      </c>
      <c r="C21" s="68">
        <v>2011</v>
      </c>
      <c r="D21" s="62">
        <v>66.92</v>
      </c>
      <c r="E21" s="40">
        <v>68.900000000000006</v>
      </c>
      <c r="F21" s="175">
        <f t="shared" si="2"/>
        <v>2.8972520908004961E-2</v>
      </c>
      <c r="G21" s="40"/>
      <c r="H21" s="40"/>
      <c r="I21" s="40"/>
      <c r="J21" s="62">
        <f t="shared" si="0"/>
        <v>75</v>
      </c>
      <c r="K21" s="179">
        <f t="shared" si="1"/>
        <v>50</v>
      </c>
      <c r="M21" s="40">
        <v>16.38</v>
      </c>
      <c r="N21" s="263">
        <v>0.97130000000000005</v>
      </c>
      <c r="O21" s="39">
        <v>2011</v>
      </c>
      <c r="P21" s="40">
        <v>75</v>
      </c>
      <c r="Q21" s="40">
        <v>50</v>
      </c>
      <c r="R21" s="50"/>
      <c r="S21" s="50"/>
    </row>
    <row r="22" spans="2:19" x14ac:dyDescent="0.25">
      <c r="B22" s="196">
        <v>12</v>
      </c>
      <c r="C22" s="68">
        <v>2012</v>
      </c>
      <c r="D22" s="62">
        <v>68.77</v>
      </c>
      <c r="E22" s="40">
        <v>71.36</v>
      </c>
      <c r="F22" s="175">
        <f t="shared" si="2"/>
        <v>3.5703918722786554E-2</v>
      </c>
      <c r="G22" s="40"/>
      <c r="H22" s="40"/>
      <c r="I22" s="40"/>
      <c r="J22" s="62">
        <f t="shared" si="0"/>
        <v>75</v>
      </c>
      <c r="K22" s="179">
        <f t="shared" si="1"/>
        <v>50</v>
      </c>
      <c r="M22" s="40">
        <v>19.05</v>
      </c>
      <c r="N22" s="263">
        <v>0.9637</v>
      </c>
      <c r="O22" s="39">
        <v>2012</v>
      </c>
      <c r="P22" s="40">
        <v>75</v>
      </c>
      <c r="Q22" s="40">
        <v>50</v>
      </c>
      <c r="R22" s="175"/>
      <c r="S22" s="50"/>
    </row>
    <row r="23" spans="2:19" x14ac:dyDescent="0.25">
      <c r="B23" s="196">
        <v>12</v>
      </c>
      <c r="C23" s="68">
        <v>2013</v>
      </c>
      <c r="D23" s="62">
        <v>71.69</v>
      </c>
      <c r="E23" s="40">
        <v>73.73</v>
      </c>
      <c r="F23" s="175">
        <f t="shared" si="2"/>
        <v>3.321188340807181E-2</v>
      </c>
      <c r="G23" s="40"/>
      <c r="H23" s="40"/>
      <c r="I23" s="40"/>
      <c r="J23" s="62">
        <f t="shared" si="0"/>
        <v>75</v>
      </c>
      <c r="K23" s="179">
        <f t="shared" si="1"/>
        <v>50</v>
      </c>
      <c r="M23" s="40">
        <v>17.22</v>
      </c>
      <c r="N23" s="263">
        <v>1</v>
      </c>
      <c r="O23" s="39">
        <v>2013</v>
      </c>
      <c r="P23" s="40">
        <v>75</v>
      </c>
      <c r="Q23" s="40">
        <v>50</v>
      </c>
      <c r="R23" s="50"/>
      <c r="S23" s="50"/>
    </row>
    <row r="24" spans="2:19" x14ac:dyDescent="0.25">
      <c r="B24" s="196">
        <v>1</v>
      </c>
      <c r="C24" s="68">
        <v>2014</v>
      </c>
      <c r="D24" s="62">
        <v>78.900000000000006</v>
      </c>
      <c r="E24" s="40">
        <v>80.989999999999995</v>
      </c>
      <c r="F24" s="175">
        <f t="shared" si="2"/>
        <v>9.8467380984673683E-2</v>
      </c>
      <c r="G24" s="40"/>
      <c r="H24" s="40"/>
      <c r="I24" s="40"/>
      <c r="J24" s="62">
        <f t="shared" si="0"/>
        <v>75</v>
      </c>
      <c r="K24" s="179">
        <f t="shared" si="1"/>
        <v>50</v>
      </c>
      <c r="M24" s="40">
        <v>18.3</v>
      </c>
      <c r="N24" s="263">
        <v>1</v>
      </c>
      <c r="O24" s="39">
        <v>2014</v>
      </c>
      <c r="P24" s="40">
        <v>75</v>
      </c>
      <c r="Q24" s="40">
        <v>50</v>
      </c>
      <c r="R24" s="175"/>
      <c r="S24" s="50"/>
    </row>
    <row r="25" spans="2:19" x14ac:dyDescent="0.25">
      <c r="B25" s="196">
        <v>1</v>
      </c>
      <c r="C25" s="68">
        <v>2015</v>
      </c>
      <c r="D25" s="62">
        <v>71.52</v>
      </c>
      <c r="E25" s="40">
        <v>73.41</v>
      </c>
      <c r="F25" s="175">
        <f t="shared" si="2"/>
        <v>-9.3591801456969978E-2</v>
      </c>
      <c r="G25" s="40"/>
      <c r="H25" s="40"/>
      <c r="I25" s="40"/>
      <c r="J25" s="62">
        <f t="shared" si="0"/>
        <v>75</v>
      </c>
      <c r="K25" s="179">
        <f t="shared" si="1"/>
        <v>50</v>
      </c>
      <c r="M25" s="40">
        <v>16.399999999999999</v>
      </c>
      <c r="N25" s="263">
        <v>1</v>
      </c>
      <c r="O25" s="39">
        <v>2015</v>
      </c>
      <c r="P25" s="40">
        <v>75</v>
      </c>
      <c r="Q25" s="40">
        <v>50</v>
      </c>
      <c r="R25" s="311"/>
      <c r="S25" s="50"/>
    </row>
    <row r="26" spans="2:19" x14ac:dyDescent="0.25">
      <c r="B26" s="196">
        <v>2</v>
      </c>
      <c r="C26" s="68">
        <v>2016</v>
      </c>
      <c r="D26" s="62">
        <v>75.19</v>
      </c>
      <c r="E26" s="40">
        <v>77.180000000000007</v>
      </c>
      <c r="F26" s="175">
        <f t="shared" si="2"/>
        <v>5.1355401171502661E-2</v>
      </c>
      <c r="G26" s="258"/>
      <c r="H26" s="258"/>
      <c r="I26" s="258"/>
      <c r="J26" s="62">
        <f>2*55+1*25</f>
        <v>135</v>
      </c>
      <c r="K26" s="179">
        <f>J26-55</f>
        <v>80</v>
      </c>
      <c r="M26" s="40">
        <f>AVERAGE(M13:M25)</f>
        <v>14.631538461538465</v>
      </c>
      <c r="N26" s="263">
        <f>AVERAGE(N13:N25)</f>
        <v>0.97985384615384608</v>
      </c>
      <c r="O26" s="39">
        <v>2016</v>
      </c>
      <c r="P26" s="40">
        <v>75</v>
      </c>
      <c r="Q26" s="40">
        <v>50</v>
      </c>
      <c r="R26" s="50"/>
      <c r="S26" s="390" t="e">
        <f>(H26-H25)/H25</f>
        <v>#DIV/0!</v>
      </c>
    </row>
    <row r="27" spans="2:19" x14ac:dyDescent="0.25">
      <c r="B27" s="196"/>
      <c r="C27" s="68">
        <v>2017</v>
      </c>
      <c r="D27" s="62"/>
      <c r="E27" s="40">
        <v>100</v>
      </c>
      <c r="F27" s="175">
        <f t="shared" si="2"/>
        <v>0.29567245400362779</v>
      </c>
      <c r="G27" s="258"/>
      <c r="H27" s="258">
        <f>E27</f>
        <v>100</v>
      </c>
      <c r="I27" s="258">
        <f>E27</f>
        <v>100</v>
      </c>
      <c r="J27" s="62">
        <f t="shared" ref="J27:J37" si="3">2*55+1*25</f>
        <v>135</v>
      </c>
      <c r="K27" s="179">
        <f t="shared" ref="K27:K37" si="4">J27-55</f>
        <v>80</v>
      </c>
      <c r="M27" s="40"/>
      <c r="N27" s="263"/>
      <c r="O27" s="73"/>
      <c r="P27" s="40"/>
      <c r="Q27" s="40"/>
      <c r="R27" s="383" t="e">
        <f>(G27-G26)/G26</f>
        <v>#DIV/0!</v>
      </c>
      <c r="S27" s="390" t="e">
        <f>(H27-H26)/H26</f>
        <v>#DIV/0!</v>
      </c>
    </row>
    <row r="28" spans="2:19" x14ac:dyDescent="0.25">
      <c r="B28" s="197"/>
      <c r="C28" s="69">
        <v>2018</v>
      </c>
      <c r="D28" s="109"/>
      <c r="E28" s="55"/>
      <c r="F28" s="187"/>
      <c r="G28" s="374"/>
      <c r="H28" s="375"/>
      <c r="I28" s="393">
        <f t="shared" ref="I28:I37" si="5">1.045*I27</f>
        <v>104.5</v>
      </c>
      <c r="J28" s="62">
        <f t="shared" si="3"/>
        <v>135</v>
      </c>
      <c r="K28" s="179">
        <f t="shared" si="4"/>
        <v>80</v>
      </c>
      <c r="M28" s="40"/>
      <c r="N28" s="263"/>
      <c r="O28" s="73"/>
      <c r="P28" s="40"/>
      <c r="Q28" s="40"/>
      <c r="R28" s="383" t="e">
        <f t="shared" ref="R28:R35" si="6">(G28-G27)/G27</f>
        <v>#DIV/0!</v>
      </c>
      <c r="S28" s="390">
        <f>(H28-H27)/H27</f>
        <v>-1</v>
      </c>
    </row>
    <row r="29" spans="2:19" x14ac:dyDescent="0.25">
      <c r="B29" s="197"/>
      <c r="C29" s="69">
        <v>2019</v>
      </c>
      <c r="D29" s="109"/>
      <c r="E29" s="55"/>
      <c r="F29" s="187"/>
      <c r="G29" s="374"/>
      <c r="H29" s="375"/>
      <c r="I29" s="393">
        <f t="shared" si="5"/>
        <v>109.20249999999999</v>
      </c>
      <c r="J29" s="62">
        <f t="shared" si="3"/>
        <v>135</v>
      </c>
      <c r="K29" s="179">
        <f t="shared" si="4"/>
        <v>80</v>
      </c>
      <c r="M29" s="40"/>
      <c r="N29" s="263"/>
      <c r="O29" s="73"/>
      <c r="P29" s="40"/>
      <c r="Q29" s="40"/>
      <c r="R29" s="383" t="e">
        <f t="shared" si="6"/>
        <v>#DIV/0!</v>
      </c>
      <c r="S29" s="390" t="e">
        <f>(H29-H28)/H28</f>
        <v>#DIV/0!</v>
      </c>
    </row>
    <row r="30" spans="2:19" x14ac:dyDescent="0.25">
      <c r="B30" s="197"/>
      <c r="C30" s="69">
        <v>2020</v>
      </c>
      <c r="D30" s="109"/>
      <c r="E30" s="55"/>
      <c r="F30" s="187"/>
      <c r="G30" s="374"/>
      <c r="H30" s="375"/>
      <c r="I30" s="393">
        <f t="shared" si="5"/>
        <v>114.11661249999997</v>
      </c>
      <c r="J30" s="62">
        <f t="shared" si="3"/>
        <v>135</v>
      </c>
      <c r="K30" s="179">
        <f t="shared" si="4"/>
        <v>80</v>
      </c>
      <c r="M30" s="40"/>
      <c r="N30" s="263"/>
      <c r="O30" s="73"/>
      <c r="P30" s="40"/>
      <c r="Q30" s="40"/>
      <c r="R30" s="383" t="e">
        <f t="shared" si="6"/>
        <v>#DIV/0!</v>
      </c>
      <c r="S30" s="390" t="e">
        <f>(H30-H29)/H29</f>
        <v>#DIV/0!</v>
      </c>
    </row>
    <row r="31" spans="2:19" x14ac:dyDescent="0.25">
      <c r="B31" s="197"/>
      <c r="C31" s="69">
        <v>2021</v>
      </c>
      <c r="D31" s="109"/>
      <c r="E31" s="55"/>
      <c r="F31" s="187"/>
      <c r="G31" s="374"/>
      <c r="H31" s="375"/>
      <c r="I31" s="393">
        <f t="shared" si="5"/>
        <v>119.25186006249996</v>
      </c>
      <c r="J31" s="62">
        <f t="shared" si="3"/>
        <v>135</v>
      </c>
      <c r="K31" s="179">
        <f t="shared" si="4"/>
        <v>80</v>
      </c>
      <c r="M31" s="40"/>
      <c r="N31" s="263"/>
      <c r="O31" s="73"/>
      <c r="P31" s="40"/>
      <c r="Q31" s="40"/>
      <c r="R31" s="383" t="e">
        <f t="shared" si="6"/>
        <v>#DIV/0!</v>
      </c>
      <c r="S31" s="390"/>
    </row>
    <row r="32" spans="2:19" x14ac:dyDescent="0.25">
      <c r="B32" s="197"/>
      <c r="C32" s="69">
        <v>2022</v>
      </c>
      <c r="D32" s="109"/>
      <c r="E32" s="55"/>
      <c r="F32" s="187"/>
      <c r="G32" s="374"/>
      <c r="H32" s="375"/>
      <c r="I32" s="393">
        <f t="shared" si="5"/>
        <v>124.61819376531244</v>
      </c>
      <c r="J32" s="62">
        <f t="shared" si="3"/>
        <v>135</v>
      </c>
      <c r="K32" s="179">
        <f t="shared" si="4"/>
        <v>80</v>
      </c>
      <c r="M32" s="258"/>
      <c r="N32" s="262"/>
      <c r="O32" s="200"/>
      <c r="P32" s="40"/>
      <c r="Q32" s="40"/>
      <c r="R32" s="383" t="e">
        <f t="shared" si="6"/>
        <v>#DIV/0!</v>
      </c>
      <c r="S32" s="390"/>
    </row>
    <row r="33" spans="2:19" x14ac:dyDescent="0.25">
      <c r="B33" s="197"/>
      <c r="C33" s="69">
        <v>2023</v>
      </c>
      <c r="D33" s="109"/>
      <c r="E33" s="55"/>
      <c r="F33" s="187"/>
      <c r="G33" s="374"/>
      <c r="H33" s="375"/>
      <c r="I33" s="393">
        <f t="shared" si="5"/>
        <v>130.22601248475149</v>
      </c>
      <c r="J33" s="62">
        <f t="shared" si="3"/>
        <v>135</v>
      </c>
      <c r="K33" s="179">
        <f t="shared" si="4"/>
        <v>80</v>
      </c>
      <c r="M33" s="40"/>
      <c r="N33" s="263"/>
      <c r="O33" s="43"/>
      <c r="P33" s="40"/>
      <c r="Q33" s="40"/>
      <c r="R33" s="383" t="e">
        <f t="shared" si="6"/>
        <v>#DIV/0!</v>
      </c>
      <c r="S33" s="390"/>
    </row>
    <row r="34" spans="2:19" x14ac:dyDescent="0.25">
      <c r="B34" s="197"/>
      <c r="C34" s="69">
        <v>2024</v>
      </c>
      <c r="D34" s="109"/>
      <c r="E34" s="55"/>
      <c r="F34" s="187"/>
      <c r="G34" s="374"/>
      <c r="H34" s="375"/>
      <c r="I34" s="393">
        <f t="shared" si="5"/>
        <v>136.08618304656531</v>
      </c>
      <c r="J34" s="62">
        <f t="shared" si="3"/>
        <v>135</v>
      </c>
      <c r="K34" s="179">
        <f t="shared" si="4"/>
        <v>80</v>
      </c>
      <c r="M34" s="40"/>
      <c r="N34" s="263"/>
      <c r="O34" s="43"/>
      <c r="P34" s="40"/>
      <c r="Q34" s="40"/>
      <c r="R34" s="383" t="e">
        <f t="shared" si="6"/>
        <v>#DIV/0!</v>
      </c>
      <c r="S34" s="390"/>
    </row>
    <row r="35" spans="2:19" x14ac:dyDescent="0.25">
      <c r="B35" s="197"/>
      <c r="C35" s="69">
        <v>2025</v>
      </c>
      <c r="D35" s="109"/>
      <c r="E35" s="55"/>
      <c r="F35" s="187"/>
      <c r="G35" s="374"/>
      <c r="H35" s="375"/>
      <c r="I35" s="393">
        <f t="shared" si="5"/>
        <v>142.21006128366074</v>
      </c>
      <c r="J35" s="62">
        <f t="shared" si="3"/>
        <v>135</v>
      </c>
      <c r="K35" s="179">
        <f t="shared" si="4"/>
        <v>80</v>
      </c>
      <c r="M35" s="40"/>
      <c r="N35" s="263"/>
      <c r="O35" s="43"/>
      <c r="P35" s="40"/>
      <c r="Q35" s="40"/>
      <c r="R35" s="383" t="e">
        <f t="shared" si="6"/>
        <v>#DIV/0!</v>
      </c>
      <c r="S35" s="390"/>
    </row>
    <row r="36" spans="2:19" x14ac:dyDescent="0.25">
      <c r="B36" s="494"/>
      <c r="C36" s="69">
        <v>2026</v>
      </c>
      <c r="D36" s="189"/>
      <c r="E36" s="533"/>
      <c r="F36" s="103"/>
      <c r="G36" s="374"/>
      <c r="H36" s="375"/>
      <c r="I36" s="393">
        <f t="shared" si="5"/>
        <v>148.60951404142546</v>
      </c>
      <c r="J36" s="62">
        <f t="shared" si="3"/>
        <v>135</v>
      </c>
      <c r="K36" s="179">
        <f t="shared" si="4"/>
        <v>80</v>
      </c>
      <c r="M36" s="39"/>
      <c r="N36" s="43"/>
      <c r="O36" s="43"/>
      <c r="P36" s="73"/>
      <c r="Q36" s="73"/>
      <c r="R36" s="364" t="e">
        <f>AVERAGE(R27:R35)</f>
        <v>#DIV/0!</v>
      </c>
      <c r="S36" s="397" t="e">
        <f>AVERAGE(S27:S29)</f>
        <v>#DIV/0!</v>
      </c>
    </row>
    <row r="37" spans="2:19" ht="15.75" thickBot="1" x14ac:dyDescent="0.3">
      <c r="B37" s="497"/>
      <c r="C37" s="252">
        <v>2027</v>
      </c>
      <c r="D37" s="192"/>
      <c r="E37" s="534"/>
      <c r="F37" s="501"/>
      <c r="G37" s="376"/>
      <c r="H37" s="377"/>
      <c r="I37" s="396">
        <f t="shared" si="5"/>
        <v>155.29694217328958</v>
      </c>
      <c r="J37" s="183">
        <f t="shared" si="3"/>
        <v>135</v>
      </c>
      <c r="K37" s="181">
        <f t="shared" si="4"/>
        <v>80</v>
      </c>
      <c r="M37" s="10"/>
      <c r="N37" s="5"/>
      <c r="O37" s="5"/>
    </row>
    <row r="38" spans="2:19" x14ac:dyDescent="0.25">
      <c r="F38" s="143">
        <f>AVERAGE(F8:F27)</f>
        <v>4.6781483607948558E-2</v>
      </c>
      <c r="M38" s="10"/>
      <c r="N38" s="5"/>
      <c r="O38" s="5"/>
    </row>
    <row r="39" spans="2:19" ht="15.75" thickBot="1" x14ac:dyDescent="0.3">
      <c r="M39" s="10"/>
      <c r="N39" s="5"/>
      <c r="O39" s="5"/>
    </row>
    <row r="40" spans="2:19" ht="20.100000000000001" customHeight="1" thickBot="1" x14ac:dyDescent="0.3">
      <c r="C40" s="1201" t="s">
        <v>301</v>
      </c>
      <c r="D40" s="1202"/>
      <c r="E40" s="1202"/>
      <c r="F40" s="1202"/>
      <c r="G40" s="1202"/>
      <c r="H40" s="1202"/>
      <c r="I40" s="1202"/>
      <c r="J40" s="1202"/>
      <c r="K40" s="1203"/>
      <c r="M40" s="10"/>
      <c r="N40" s="5"/>
      <c r="O40" s="5"/>
    </row>
    <row r="41" spans="2:19" ht="15.95" customHeight="1" thickBot="1" x14ac:dyDescent="0.3">
      <c r="C41" s="1246" t="s">
        <v>329</v>
      </c>
      <c r="D41" s="1247"/>
      <c r="E41" s="1247"/>
      <c r="F41" s="1247"/>
      <c r="G41" s="1247"/>
      <c r="H41" s="1247"/>
      <c r="I41" s="1247"/>
      <c r="J41" s="1247"/>
      <c r="K41" s="1248"/>
      <c r="M41" s="10" t="s">
        <v>266</v>
      </c>
      <c r="N41" s="5"/>
      <c r="O41" s="5"/>
    </row>
    <row r="42" spans="2:19" ht="15.95" customHeight="1" thickBot="1" x14ac:dyDescent="0.3">
      <c r="B42" s="1051" t="s">
        <v>26</v>
      </c>
      <c r="C42" s="1043" t="s">
        <v>35</v>
      </c>
      <c r="D42" s="1045" t="s">
        <v>110</v>
      </c>
      <c r="E42" s="1046"/>
      <c r="F42" s="1047"/>
      <c r="G42" s="1045" t="s">
        <v>74</v>
      </c>
      <c r="H42" s="1047"/>
      <c r="I42" s="1043" t="s">
        <v>180</v>
      </c>
      <c r="J42" s="1043" t="s">
        <v>268</v>
      </c>
      <c r="K42" s="1049" t="s">
        <v>269</v>
      </c>
      <c r="M42" s="10"/>
      <c r="N42" s="5"/>
      <c r="O42" s="5"/>
    </row>
    <row r="43" spans="2:19" ht="35.1" customHeight="1" thickBot="1" x14ac:dyDescent="0.3">
      <c r="B43" s="1051"/>
      <c r="C43" s="1044"/>
      <c r="D43" s="541" t="s">
        <v>174</v>
      </c>
      <c r="E43" s="541" t="s">
        <v>122</v>
      </c>
      <c r="F43" s="541" t="s">
        <v>81</v>
      </c>
      <c r="G43" s="537" t="s">
        <v>170</v>
      </c>
      <c r="H43" s="538" t="s">
        <v>270</v>
      </c>
      <c r="I43" s="1044"/>
      <c r="J43" s="1044"/>
      <c r="K43" s="1175"/>
      <c r="M43" s="10"/>
      <c r="N43" s="5"/>
      <c r="O43" s="5"/>
    </row>
    <row r="44" spans="2:19" ht="15" customHeight="1" x14ac:dyDescent="0.25">
      <c r="B44" s="748">
        <v>1997</v>
      </c>
      <c r="C44" s="786">
        <v>1997</v>
      </c>
      <c r="D44" s="648">
        <v>42.46</v>
      </c>
      <c r="E44" s="648">
        <v>43.332993146544624</v>
      </c>
      <c r="F44" s="731"/>
      <c r="G44" s="657"/>
      <c r="H44" s="657"/>
      <c r="I44" s="587">
        <f>3*25</f>
        <v>75</v>
      </c>
      <c r="J44" s="579">
        <f>I44-25</f>
        <v>50</v>
      </c>
      <c r="K44" s="679">
        <f>E44/I44</f>
        <v>0.57777324195392832</v>
      </c>
      <c r="M44" s="10"/>
      <c r="N44" s="5"/>
      <c r="O44" s="5"/>
    </row>
    <row r="45" spans="2:19" ht="15" customHeight="1" x14ac:dyDescent="0.25">
      <c r="B45" s="49">
        <v>1998</v>
      </c>
      <c r="C45" s="787">
        <v>1998</v>
      </c>
      <c r="D45" s="650">
        <v>41.3</v>
      </c>
      <c r="E45" s="650">
        <v>42.149143121815655</v>
      </c>
      <c r="F45" s="729">
        <f t="shared" ref="F45:F64" si="7">(E45-E44)/E44</f>
        <v>-2.7319830428638853E-2</v>
      </c>
      <c r="G45" s="658"/>
      <c r="H45" s="658"/>
      <c r="I45" s="588">
        <f t="shared" ref="I45:I62" si="8">3*25</f>
        <v>75</v>
      </c>
      <c r="J45" s="581">
        <f t="shared" ref="J45:J62" si="9">I45-25</f>
        <v>50</v>
      </c>
      <c r="K45" s="680">
        <f t="shared" ref="K45:K64" si="10">E45/I45</f>
        <v>0.56198857495754206</v>
      </c>
      <c r="M45" s="10"/>
      <c r="N45" s="5"/>
      <c r="O45" s="5"/>
    </row>
    <row r="46" spans="2:19" ht="15" customHeight="1" x14ac:dyDescent="0.25">
      <c r="B46" s="49">
        <v>1999</v>
      </c>
      <c r="C46" s="787">
        <v>1999</v>
      </c>
      <c r="D46" s="650">
        <v>48.22</v>
      </c>
      <c r="E46" s="650">
        <v>49.211420855543608</v>
      </c>
      <c r="F46" s="729">
        <f t="shared" si="7"/>
        <v>0.16755447941888627</v>
      </c>
      <c r="G46" s="658"/>
      <c r="H46" s="658"/>
      <c r="I46" s="588">
        <f t="shared" si="8"/>
        <v>75</v>
      </c>
      <c r="J46" s="581">
        <f t="shared" si="9"/>
        <v>50</v>
      </c>
      <c r="K46" s="680">
        <f t="shared" si="10"/>
        <v>0.65615227807391474</v>
      </c>
      <c r="M46" s="10"/>
      <c r="N46" s="5"/>
      <c r="O46" s="5"/>
    </row>
    <row r="47" spans="2:19" ht="15" customHeight="1" x14ac:dyDescent="0.25">
      <c r="B47" s="49">
        <v>2000</v>
      </c>
      <c r="C47" s="787">
        <v>2000</v>
      </c>
      <c r="D47" s="650">
        <v>46.1</v>
      </c>
      <c r="E47" s="650">
        <v>47.047832879314818</v>
      </c>
      <c r="F47" s="729">
        <f t="shared" si="7"/>
        <v>-4.3965159684778016E-2</v>
      </c>
      <c r="G47" s="658"/>
      <c r="H47" s="658"/>
      <c r="I47" s="588">
        <f t="shared" si="8"/>
        <v>75</v>
      </c>
      <c r="J47" s="581">
        <f t="shared" si="9"/>
        <v>50</v>
      </c>
      <c r="K47" s="680">
        <f t="shared" si="10"/>
        <v>0.62730443839086425</v>
      </c>
      <c r="M47" s="10"/>
      <c r="N47" s="5"/>
      <c r="O47" s="5"/>
    </row>
    <row r="48" spans="2:19" ht="15" customHeight="1" x14ac:dyDescent="0.25">
      <c r="B48" s="49">
        <v>2001</v>
      </c>
      <c r="C48" s="787">
        <v>2001</v>
      </c>
      <c r="D48" s="650">
        <v>57.8</v>
      </c>
      <c r="E48" s="650">
        <v>58.988389163219004</v>
      </c>
      <c r="F48" s="729">
        <f t="shared" si="7"/>
        <v>0.25379609544468529</v>
      </c>
      <c r="G48" s="658"/>
      <c r="H48" s="658"/>
      <c r="I48" s="588">
        <f t="shared" si="8"/>
        <v>75</v>
      </c>
      <c r="J48" s="581">
        <f t="shared" si="9"/>
        <v>50</v>
      </c>
      <c r="K48" s="680">
        <f t="shared" si="10"/>
        <v>0.78651185550958669</v>
      </c>
      <c r="M48" s="10"/>
      <c r="N48" s="5"/>
      <c r="O48" s="5"/>
    </row>
    <row r="49" spans="2:15" ht="15" customHeight="1" x14ac:dyDescent="0.25">
      <c r="B49" s="49">
        <v>2002</v>
      </c>
      <c r="C49" s="787">
        <v>2002</v>
      </c>
      <c r="D49" s="650">
        <v>53.26</v>
      </c>
      <c r="E49" s="650">
        <v>54.355045100917721</v>
      </c>
      <c r="F49" s="729">
        <f t="shared" si="7"/>
        <v>-7.8546712802768134E-2</v>
      </c>
      <c r="G49" s="658"/>
      <c r="H49" s="658"/>
      <c r="I49" s="588">
        <f t="shared" si="8"/>
        <v>75</v>
      </c>
      <c r="J49" s="581">
        <f t="shared" si="9"/>
        <v>50</v>
      </c>
      <c r="K49" s="680">
        <f t="shared" si="10"/>
        <v>0.7247339346789029</v>
      </c>
      <c r="M49" s="10"/>
      <c r="N49" s="5"/>
      <c r="O49" s="5"/>
    </row>
    <row r="50" spans="2:15" ht="15" customHeight="1" x14ac:dyDescent="0.25">
      <c r="B50" s="49">
        <v>2003</v>
      </c>
      <c r="C50" s="580">
        <v>37860.833333333336</v>
      </c>
      <c r="D50" s="650">
        <v>52.9</v>
      </c>
      <c r="E50" s="650">
        <v>53.67</v>
      </c>
      <c r="F50" s="729">
        <f t="shared" si="7"/>
        <v>-1.2603155781507263E-2</v>
      </c>
      <c r="G50" s="658"/>
      <c r="H50" s="658"/>
      <c r="I50" s="588">
        <f t="shared" si="8"/>
        <v>75</v>
      </c>
      <c r="J50" s="581">
        <f t="shared" si="9"/>
        <v>50</v>
      </c>
      <c r="K50" s="680">
        <f t="shared" si="10"/>
        <v>0.71560000000000001</v>
      </c>
      <c r="M50" s="10"/>
      <c r="N50" s="5"/>
      <c r="O50" s="5"/>
    </row>
    <row r="51" spans="2:15" ht="15" customHeight="1" x14ac:dyDescent="0.25">
      <c r="B51" s="49">
        <v>2004</v>
      </c>
      <c r="C51" s="580">
        <v>38218.875</v>
      </c>
      <c r="D51" s="650">
        <v>55.31</v>
      </c>
      <c r="E51" s="650">
        <v>55.69</v>
      </c>
      <c r="F51" s="729">
        <f t="shared" si="7"/>
        <v>3.7637413825228172E-2</v>
      </c>
      <c r="G51" s="658"/>
      <c r="H51" s="658"/>
      <c r="I51" s="588">
        <f t="shared" si="8"/>
        <v>75</v>
      </c>
      <c r="J51" s="581">
        <f t="shared" si="9"/>
        <v>50</v>
      </c>
      <c r="K51" s="680">
        <f t="shared" si="10"/>
        <v>0.74253333333333327</v>
      </c>
      <c r="M51" s="10"/>
      <c r="N51" s="5"/>
      <c r="O51" s="5"/>
    </row>
    <row r="52" spans="2:15" ht="15" customHeight="1" x14ac:dyDescent="0.25">
      <c r="B52" s="49">
        <v>2005</v>
      </c>
      <c r="C52" s="580">
        <v>38524.854166666664</v>
      </c>
      <c r="D52" s="650">
        <v>56.48</v>
      </c>
      <c r="E52" s="650">
        <v>56.88</v>
      </c>
      <c r="F52" s="729">
        <f t="shared" si="7"/>
        <v>2.1368288741246272E-2</v>
      </c>
      <c r="G52" s="658"/>
      <c r="H52" s="658"/>
      <c r="I52" s="588">
        <f t="shared" si="8"/>
        <v>75</v>
      </c>
      <c r="J52" s="581">
        <f t="shared" si="9"/>
        <v>50</v>
      </c>
      <c r="K52" s="680">
        <f t="shared" si="10"/>
        <v>0.75840000000000007</v>
      </c>
      <c r="M52" s="10"/>
      <c r="N52" s="5"/>
      <c r="O52" s="5"/>
    </row>
    <row r="53" spans="2:15" ht="15" customHeight="1" x14ac:dyDescent="0.25">
      <c r="B53" s="49">
        <v>2006</v>
      </c>
      <c r="C53" s="580">
        <v>38929.802083333336</v>
      </c>
      <c r="D53" s="650">
        <v>57.5</v>
      </c>
      <c r="E53" s="650">
        <v>58.08</v>
      </c>
      <c r="F53" s="729">
        <f t="shared" si="7"/>
        <v>2.1097046413502032E-2</v>
      </c>
      <c r="G53" s="658"/>
      <c r="H53" s="658"/>
      <c r="I53" s="588">
        <f t="shared" si="8"/>
        <v>75</v>
      </c>
      <c r="J53" s="581">
        <f t="shared" si="9"/>
        <v>50</v>
      </c>
      <c r="K53" s="680">
        <f t="shared" si="10"/>
        <v>0.77439999999999998</v>
      </c>
      <c r="M53" s="10"/>
      <c r="N53" s="5"/>
      <c r="O53" s="5"/>
    </row>
    <row r="54" spans="2:15" ht="15" customHeight="1" x14ac:dyDescent="0.25">
      <c r="B54" s="49">
        <v>2007</v>
      </c>
      <c r="C54" s="580">
        <v>39429.885416666664</v>
      </c>
      <c r="D54" s="650">
        <v>61.15</v>
      </c>
      <c r="E54" s="650">
        <v>62.98</v>
      </c>
      <c r="F54" s="729">
        <f t="shared" si="7"/>
        <v>8.4366391184572981E-2</v>
      </c>
      <c r="G54" s="658"/>
      <c r="H54" s="658"/>
      <c r="I54" s="588">
        <f t="shared" si="8"/>
        <v>75</v>
      </c>
      <c r="J54" s="581">
        <f t="shared" si="9"/>
        <v>50</v>
      </c>
      <c r="K54" s="680">
        <f t="shared" si="10"/>
        <v>0.83973333333333333</v>
      </c>
      <c r="M54" s="10"/>
      <c r="N54" s="5"/>
      <c r="O54" s="5"/>
    </row>
    <row r="55" spans="2:15" ht="15" customHeight="1" x14ac:dyDescent="0.25">
      <c r="B55" s="49">
        <v>2008</v>
      </c>
      <c r="C55" s="580">
        <v>39779.635416666664</v>
      </c>
      <c r="D55" s="650">
        <v>62.83</v>
      </c>
      <c r="E55" s="650">
        <v>65.58</v>
      </c>
      <c r="F55" s="729">
        <f t="shared" si="7"/>
        <v>4.1282946967291227E-2</v>
      </c>
      <c r="G55" s="658"/>
      <c r="H55" s="658"/>
      <c r="I55" s="588">
        <f t="shared" si="8"/>
        <v>75</v>
      </c>
      <c r="J55" s="581">
        <f t="shared" si="9"/>
        <v>50</v>
      </c>
      <c r="K55" s="680">
        <f t="shared" si="10"/>
        <v>0.87439999999999996</v>
      </c>
      <c r="M55" s="10"/>
      <c r="N55" s="5"/>
      <c r="O55" s="5"/>
    </row>
    <row r="56" spans="2:15" ht="15" customHeight="1" x14ac:dyDescent="0.25">
      <c r="B56" s="49">
        <v>2009</v>
      </c>
      <c r="C56" s="580">
        <v>40115.885416666664</v>
      </c>
      <c r="D56" s="650">
        <v>62.43</v>
      </c>
      <c r="E56" s="650">
        <v>65.260000000000005</v>
      </c>
      <c r="F56" s="729">
        <f t="shared" si="7"/>
        <v>-4.8795364440377123E-3</v>
      </c>
      <c r="G56" s="658"/>
      <c r="H56" s="658"/>
      <c r="I56" s="588">
        <f t="shared" si="8"/>
        <v>75</v>
      </c>
      <c r="J56" s="581">
        <f t="shared" si="9"/>
        <v>50</v>
      </c>
      <c r="K56" s="680">
        <f t="shared" si="10"/>
        <v>0.87013333333333343</v>
      </c>
      <c r="M56" s="10"/>
      <c r="N56" s="5"/>
      <c r="O56" s="5"/>
    </row>
    <row r="57" spans="2:15" ht="15" customHeight="1" x14ac:dyDescent="0.25">
      <c r="B57" s="49">
        <v>2010</v>
      </c>
      <c r="C57" s="580">
        <v>40529.65625</v>
      </c>
      <c r="D57" s="650">
        <v>63.87</v>
      </c>
      <c r="E57" s="650">
        <v>66.959999999999994</v>
      </c>
      <c r="F57" s="729">
        <f t="shared" si="7"/>
        <v>2.604964756359161E-2</v>
      </c>
      <c r="G57" s="659"/>
      <c r="H57" s="658"/>
      <c r="I57" s="588">
        <f t="shared" si="8"/>
        <v>75</v>
      </c>
      <c r="J57" s="581">
        <f t="shared" si="9"/>
        <v>50</v>
      </c>
      <c r="K57" s="680">
        <f t="shared" si="10"/>
        <v>0.89279999999999993</v>
      </c>
      <c r="M57" s="10"/>
      <c r="N57" s="5"/>
      <c r="O57" s="5"/>
    </row>
    <row r="58" spans="2:15" ht="15" customHeight="1" x14ac:dyDescent="0.25">
      <c r="B58" s="49">
        <v>2011</v>
      </c>
      <c r="C58" s="580">
        <v>40898.645833333336</v>
      </c>
      <c r="D58" s="650">
        <v>66.92</v>
      </c>
      <c r="E58" s="650">
        <v>68.900000000000006</v>
      </c>
      <c r="F58" s="729">
        <f t="shared" si="7"/>
        <v>2.8972520908004961E-2</v>
      </c>
      <c r="G58" s="659"/>
      <c r="H58" s="658"/>
      <c r="I58" s="588">
        <f t="shared" si="8"/>
        <v>75</v>
      </c>
      <c r="J58" s="581">
        <f t="shared" si="9"/>
        <v>50</v>
      </c>
      <c r="K58" s="681">
        <f t="shared" si="10"/>
        <v>0.91866666666666674</v>
      </c>
      <c r="M58" s="10"/>
      <c r="N58" s="5"/>
      <c r="O58" s="5"/>
    </row>
    <row r="59" spans="2:15" ht="15" customHeight="1" x14ac:dyDescent="0.25">
      <c r="B59" s="49">
        <v>2012</v>
      </c>
      <c r="C59" s="580">
        <v>41249.541666666664</v>
      </c>
      <c r="D59" s="650">
        <v>68.77</v>
      </c>
      <c r="E59" s="650">
        <v>71.36</v>
      </c>
      <c r="F59" s="729">
        <f t="shared" si="7"/>
        <v>3.5703918722786554E-2</v>
      </c>
      <c r="G59" s="658"/>
      <c r="H59" s="658"/>
      <c r="I59" s="588">
        <f t="shared" si="8"/>
        <v>75</v>
      </c>
      <c r="J59" s="581">
        <f t="shared" si="9"/>
        <v>50</v>
      </c>
      <c r="K59" s="681">
        <f t="shared" si="10"/>
        <v>0.95146666666666668</v>
      </c>
      <c r="M59" s="10"/>
      <c r="N59" s="5"/>
      <c r="O59" s="5"/>
    </row>
    <row r="60" spans="2:15" ht="15" customHeight="1" x14ac:dyDescent="0.25">
      <c r="B60" s="49">
        <v>2013</v>
      </c>
      <c r="C60" s="580">
        <v>41625.604166666664</v>
      </c>
      <c r="D60" s="650">
        <v>71.69</v>
      </c>
      <c r="E60" s="650">
        <v>73.73</v>
      </c>
      <c r="F60" s="729">
        <f t="shared" si="7"/>
        <v>3.321188340807181E-2</v>
      </c>
      <c r="G60" s="658"/>
      <c r="H60" s="658"/>
      <c r="I60" s="588">
        <f t="shared" si="8"/>
        <v>75</v>
      </c>
      <c r="J60" s="581">
        <f t="shared" si="9"/>
        <v>50</v>
      </c>
      <c r="K60" s="681">
        <f t="shared" si="10"/>
        <v>0.98306666666666676</v>
      </c>
      <c r="M60" s="10"/>
    </row>
    <row r="61" spans="2:15" ht="15" customHeight="1" x14ac:dyDescent="0.25">
      <c r="B61" s="49">
        <v>2014</v>
      </c>
      <c r="C61" s="580">
        <v>41661.604166666664</v>
      </c>
      <c r="D61" s="650">
        <v>78.900000000000006</v>
      </c>
      <c r="E61" s="650">
        <v>80.989999999999995</v>
      </c>
      <c r="F61" s="729">
        <f t="shared" si="7"/>
        <v>9.8467380984673683E-2</v>
      </c>
      <c r="G61" s="658"/>
      <c r="H61" s="658"/>
      <c r="I61" s="588">
        <f t="shared" si="8"/>
        <v>75</v>
      </c>
      <c r="J61" s="581">
        <f t="shared" si="9"/>
        <v>50</v>
      </c>
      <c r="K61" s="681">
        <f t="shared" si="10"/>
        <v>1.0798666666666665</v>
      </c>
      <c r="M61" s="10"/>
    </row>
    <row r="62" spans="2:15" ht="15" customHeight="1" x14ac:dyDescent="0.25">
      <c r="B62" s="49">
        <v>2015</v>
      </c>
      <c r="C62" s="580">
        <v>42030.572916666664</v>
      </c>
      <c r="D62" s="650">
        <v>71.52</v>
      </c>
      <c r="E62" s="650">
        <v>73.62</v>
      </c>
      <c r="F62" s="729">
        <f t="shared" si="7"/>
        <v>-9.0998888751697621E-2</v>
      </c>
      <c r="G62" s="658"/>
      <c r="H62" s="658"/>
      <c r="I62" s="588">
        <f t="shared" si="8"/>
        <v>75</v>
      </c>
      <c r="J62" s="581">
        <f t="shared" si="9"/>
        <v>50</v>
      </c>
      <c r="K62" s="681">
        <f t="shared" si="10"/>
        <v>0.98160000000000003</v>
      </c>
      <c r="M62" s="10"/>
    </row>
    <row r="63" spans="2:15" ht="15" customHeight="1" x14ac:dyDescent="0.25">
      <c r="B63" s="49">
        <v>2016</v>
      </c>
      <c r="C63" s="580">
        <v>42412.59375</v>
      </c>
      <c r="D63" s="650">
        <v>75.19</v>
      </c>
      <c r="E63" s="650">
        <v>77.180000000000007</v>
      </c>
      <c r="F63" s="729">
        <f t="shared" si="7"/>
        <v>4.8356424884542275E-2</v>
      </c>
      <c r="G63" s="658"/>
      <c r="H63" s="658"/>
      <c r="I63" s="588">
        <f>1*25+2*55</f>
        <v>135</v>
      </c>
      <c r="J63" s="581">
        <f>I63-55</f>
        <v>80</v>
      </c>
      <c r="K63" s="680">
        <f t="shared" si="10"/>
        <v>0.57170370370370371</v>
      </c>
      <c r="M63" s="10"/>
      <c r="N63" s="5"/>
      <c r="O63" s="5"/>
    </row>
    <row r="64" spans="2:15" ht="15" customHeight="1" x14ac:dyDescent="0.25">
      <c r="B64" s="49">
        <v>2017</v>
      </c>
      <c r="C64" s="580">
        <v>42781.65625</v>
      </c>
      <c r="D64" s="650">
        <v>76.180000000000007</v>
      </c>
      <c r="E64" s="650">
        <v>76.62</v>
      </c>
      <c r="F64" s="729">
        <f t="shared" si="7"/>
        <v>-7.2557657424203448E-3</v>
      </c>
      <c r="G64" s="658"/>
      <c r="H64" s="658">
        <f>E64</f>
        <v>76.62</v>
      </c>
      <c r="I64" s="588">
        <f t="shared" ref="I64:I74" si="11">1*25+2*55</f>
        <v>135</v>
      </c>
      <c r="J64" s="581">
        <f t="shared" ref="J64:J74" si="12">I64-55</f>
        <v>80</v>
      </c>
      <c r="K64" s="680">
        <f t="shared" si="10"/>
        <v>0.56755555555555559</v>
      </c>
      <c r="L64" s="11">
        <f>E64</f>
        <v>76.62</v>
      </c>
      <c r="M64" s="10"/>
      <c r="N64" s="5"/>
      <c r="O64" s="5"/>
    </row>
    <row r="65" spans="2:22" ht="15" customHeight="1" x14ac:dyDescent="0.25">
      <c r="B65" s="54">
        <v>2018</v>
      </c>
      <c r="C65" s="763">
        <v>2018</v>
      </c>
      <c r="D65" s="652"/>
      <c r="E65" s="652"/>
      <c r="F65" s="730"/>
      <c r="G65" s="660">
        <f>1.7837*C65-3517.9</f>
        <v>81.606600000000071</v>
      </c>
      <c r="H65" s="661">
        <f>1.8+H64-5</f>
        <v>73.42</v>
      </c>
      <c r="I65" s="589">
        <f t="shared" si="11"/>
        <v>135</v>
      </c>
      <c r="J65" s="584">
        <f t="shared" si="12"/>
        <v>80</v>
      </c>
      <c r="K65" s="684">
        <f>H65/I65</f>
        <v>0.54385185185185192</v>
      </c>
      <c r="L65" s="762">
        <f>1.043*L64</f>
        <v>79.914659999999998</v>
      </c>
      <c r="M65" s="10" t="s">
        <v>395</v>
      </c>
      <c r="N65" t="s">
        <v>336</v>
      </c>
    </row>
    <row r="66" spans="2:22" ht="15" customHeight="1" x14ac:dyDescent="0.25">
      <c r="B66" s="54">
        <v>2019</v>
      </c>
      <c r="C66" s="763">
        <v>2019</v>
      </c>
      <c r="D66" s="652"/>
      <c r="E66" s="652"/>
      <c r="F66" s="730"/>
      <c r="G66" s="660">
        <f t="shared" ref="G66:G74" si="13">1.7837*C66-3517.9</f>
        <v>83.390300000000025</v>
      </c>
      <c r="H66" s="661">
        <f>1.8+H65</f>
        <v>75.22</v>
      </c>
      <c r="I66" s="589">
        <f t="shared" si="11"/>
        <v>135</v>
      </c>
      <c r="J66" s="584">
        <f t="shared" si="12"/>
        <v>80</v>
      </c>
      <c r="K66" s="684">
        <f t="shared" ref="K66:K74" si="14">H66/I66</f>
        <v>0.55718518518518523</v>
      </c>
      <c r="L66" s="762">
        <f>1.043*L65</f>
        <v>83.350990379999999</v>
      </c>
      <c r="M66" s="10"/>
    </row>
    <row r="67" spans="2:22" ht="15" customHeight="1" x14ac:dyDescent="0.25">
      <c r="B67" s="54">
        <v>2020</v>
      </c>
      <c r="C67" s="763">
        <v>2020</v>
      </c>
      <c r="D67" s="652"/>
      <c r="E67" s="652"/>
      <c r="F67" s="730"/>
      <c r="G67" s="660">
        <f t="shared" si="13"/>
        <v>85.173999999999978</v>
      </c>
      <c r="H67" s="661">
        <f>1.8+H66-20</f>
        <v>57.019999999999996</v>
      </c>
      <c r="I67" s="589">
        <f t="shared" si="11"/>
        <v>135</v>
      </c>
      <c r="J67" s="584">
        <f t="shared" si="12"/>
        <v>80</v>
      </c>
      <c r="K67" s="684">
        <f t="shared" si="14"/>
        <v>0.42237037037037034</v>
      </c>
      <c r="L67" s="762">
        <f>1.043*L66-15</f>
        <v>71.935082966339991</v>
      </c>
      <c r="N67" s="1173" t="s">
        <v>302</v>
      </c>
      <c r="O67" s="1173"/>
      <c r="P67" s="757">
        <v>2020</v>
      </c>
      <c r="Q67" t="s">
        <v>303</v>
      </c>
      <c r="T67" t="s">
        <v>337</v>
      </c>
      <c r="U67">
        <f>18/0.9</f>
        <v>20</v>
      </c>
      <c r="V67" t="s">
        <v>255</v>
      </c>
    </row>
    <row r="68" spans="2:22" ht="15" customHeight="1" x14ac:dyDescent="0.25">
      <c r="B68" s="54">
        <v>2021</v>
      </c>
      <c r="C68" s="763">
        <v>2021</v>
      </c>
      <c r="D68" s="652"/>
      <c r="E68" s="652"/>
      <c r="F68" s="730"/>
      <c r="G68" s="660">
        <f t="shared" si="13"/>
        <v>86.957699999999932</v>
      </c>
      <c r="H68" s="661">
        <f>1.8+H67</f>
        <v>58.819999999999993</v>
      </c>
      <c r="I68" s="589">
        <f t="shared" si="11"/>
        <v>135</v>
      </c>
      <c r="J68" s="584">
        <f t="shared" si="12"/>
        <v>80</v>
      </c>
      <c r="K68" s="684">
        <f t="shared" si="14"/>
        <v>0.43570370370370365</v>
      </c>
      <c r="L68" s="762">
        <f>1.043*L67</f>
        <v>75.028291533892599</v>
      </c>
    </row>
    <row r="69" spans="2:22" ht="15" customHeight="1" x14ac:dyDescent="0.25">
      <c r="B69" s="54">
        <v>2022</v>
      </c>
      <c r="C69" s="763">
        <v>2022</v>
      </c>
      <c r="D69" s="652"/>
      <c r="E69" s="652"/>
      <c r="F69" s="730"/>
      <c r="G69" s="660">
        <f t="shared" si="13"/>
        <v>88.741399999999885</v>
      </c>
      <c r="H69" s="661">
        <f>1.8+H68</f>
        <v>60.61999999999999</v>
      </c>
      <c r="I69" s="589">
        <f t="shared" si="11"/>
        <v>135</v>
      </c>
      <c r="J69" s="584">
        <f t="shared" si="12"/>
        <v>80</v>
      </c>
      <c r="K69" s="684">
        <f t="shared" si="14"/>
        <v>0.44903703703703696</v>
      </c>
      <c r="L69" s="762">
        <f t="shared" ref="L69:L74" si="15">1.043*L68</f>
        <v>78.254508069849976</v>
      </c>
      <c r="N69" s="1245" t="s">
        <v>304</v>
      </c>
      <c r="O69" s="1245"/>
      <c r="P69" s="1245"/>
      <c r="Q69" s="1245"/>
      <c r="R69" s="1245"/>
      <c r="S69" s="1245"/>
      <c r="T69" s="1245"/>
    </row>
    <row r="70" spans="2:22" ht="15" customHeight="1" x14ac:dyDescent="0.25">
      <c r="B70" s="54">
        <v>2023</v>
      </c>
      <c r="C70" s="763">
        <v>2023</v>
      </c>
      <c r="D70" s="652"/>
      <c r="E70" s="652"/>
      <c r="F70" s="730"/>
      <c r="G70" s="660">
        <f t="shared" si="13"/>
        <v>90.525099999999838</v>
      </c>
      <c r="H70" s="661">
        <f t="shared" ref="H70:H74" si="16">1.8+H69</f>
        <v>62.419999999999987</v>
      </c>
      <c r="I70" s="589">
        <f t="shared" si="11"/>
        <v>135</v>
      </c>
      <c r="J70" s="584">
        <f t="shared" si="12"/>
        <v>80</v>
      </c>
      <c r="K70" s="684">
        <f t="shared" si="14"/>
        <v>0.46237037037037026</v>
      </c>
      <c r="L70" s="762">
        <f t="shared" si="15"/>
        <v>81.619451916853521</v>
      </c>
      <c r="N70" s="1245"/>
      <c r="O70" s="1245"/>
      <c r="P70" s="1245"/>
      <c r="Q70" s="1245"/>
      <c r="R70" s="1245"/>
      <c r="S70" s="1245"/>
      <c r="T70" s="1245"/>
    </row>
    <row r="71" spans="2:22" ht="15" customHeight="1" x14ac:dyDescent="0.25">
      <c r="B71" s="54">
        <v>2024</v>
      </c>
      <c r="C71" s="763">
        <v>2024</v>
      </c>
      <c r="D71" s="652"/>
      <c r="E71" s="652"/>
      <c r="F71" s="730"/>
      <c r="G71" s="660">
        <f t="shared" si="13"/>
        <v>92.308800000000247</v>
      </c>
      <c r="H71" s="661">
        <f t="shared" si="16"/>
        <v>64.219999999999985</v>
      </c>
      <c r="I71" s="589">
        <f t="shared" si="11"/>
        <v>135</v>
      </c>
      <c r="J71" s="584">
        <f t="shared" si="12"/>
        <v>80</v>
      </c>
      <c r="K71" s="684">
        <f t="shared" si="14"/>
        <v>0.47570370370370357</v>
      </c>
      <c r="L71" s="762">
        <f t="shared" si="15"/>
        <v>85.12908834927822</v>
      </c>
    </row>
    <row r="72" spans="2:22" ht="15" customHeight="1" x14ac:dyDescent="0.25">
      <c r="B72" s="54">
        <v>2025</v>
      </c>
      <c r="C72" s="763">
        <v>2025</v>
      </c>
      <c r="D72" s="652"/>
      <c r="E72" s="652"/>
      <c r="F72" s="730"/>
      <c r="G72" s="660">
        <f t="shared" si="13"/>
        <v>94.0925000000002</v>
      </c>
      <c r="H72" s="661">
        <f t="shared" si="16"/>
        <v>66.019999999999982</v>
      </c>
      <c r="I72" s="589">
        <f t="shared" si="11"/>
        <v>135</v>
      </c>
      <c r="J72" s="584">
        <f t="shared" si="12"/>
        <v>80</v>
      </c>
      <c r="K72" s="684">
        <f t="shared" si="14"/>
        <v>0.48903703703703688</v>
      </c>
      <c r="L72" s="762">
        <f t="shared" si="15"/>
        <v>88.789639148297184</v>
      </c>
    </row>
    <row r="73" spans="2:22" x14ac:dyDescent="0.25">
      <c r="B73" s="54">
        <v>2026</v>
      </c>
      <c r="C73" s="763">
        <v>2026</v>
      </c>
      <c r="D73" s="765"/>
      <c r="E73" s="765"/>
      <c r="F73" s="766"/>
      <c r="G73" s="660">
        <f t="shared" si="13"/>
        <v>95.876200000000154</v>
      </c>
      <c r="H73" s="661">
        <f t="shared" si="16"/>
        <v>67.819999999999979</v>
      </c>
      <c r="I73" s="589">
        <f t="shared" si="11"/>
        <v>135</v>
      </c>
      <c r="J73" s="584">
        <f t="shared" si="12"/>
        <v>80</v>
      </c>
      <c r="K73" s="684">
        <f t="shared" si="14"/>
        <v>0.50237037037037025</v>
      </c>
      <c r="L73" s="762">
        <f t="shared" si="15"/>
        <v>92.60759363167395</v>
      </c>
    </row>
    <row r="74" spans="2:22" ht="15.75" thickBot="1" x14ac:dyDescent="0.3">
      <c r="B74" s="209">
        <v>2027</v>
      </c>
      <c r="C74" s="764">
        <v>2027</v>
      </c>
      <c r="D74" s="788"/>
      <c r="E74" s="788"/>
      <c r="F74" s="789"/>
      <c r="G74" s="662">
        <f t="shared" si="13"/>
        <v>97.659900000000107</v>
      </c>
      <c r="H74" s="663">
        <f t="shared" si="16"/>
        <v>69.619999999999976</v>
      </c>
      <c r="I74" s="590">
        <f t="shared" si="11"/>
        <v>135</v>
      </c>
      <c r="J74" s="586">
        <f t="shared" si="12"/>
        <v>80</v>
      </c>
      <c r="K74" s="686">
        <f t="shared" si="14"/>
        <v>0.51570370370370355</v>
      </c>
      <c r="L74" s="762">
        <f t="shared" si="15"/>
        <v>96.589720157835927</v>
      </c>
    </row>
    <row r="75" spans="2:22" x14ac:dyDescent="0.25">
      <c r="B75" s="945"/>
      <c r="C75" s="945"/>
      <c r="D75" s="952"/>
      <c r="E75" s="955">
        <f>E64-E54</f>
        <v>13.640000000000008</v>
      </c>
      <c r="F75" s="953">
        <f>AVERAGE(F45:F64)</f>
        <v>3.161476944156176E-2</v>
      </c>
      <c r="G75" s="952">
        <f>(G67-G66)/G66</f>
        <v>2.1389777947794324E-2</v>
      </c>
      <c r="H75" s="952">
        <f>0.045*H64</f>
        <v>3.4479000000000002</v>
      </c>
      <c r="I75" s="952"/>
      <c r="J75" s="952"/>
      <c r="K75" s="952"/>
      <c r="L75" s="31"/>
    </row>
    <row r="76" spans="2:22" x14ac:dyDescent="0.25">
      <c r="B76" s="945"/>
      <c r="C76" s="945"/>
      <c r="D76" s="945"/>
      <c r="E76" s="945">
        <f>E75/E54</f>
        <v>0.21657669101302013</v>
      </c>
      <c r="F76" s="945"/>
      <c r="G76" s="954">
        <f>G74-G65</f>
        <v>16.053300000000036</v>
      </c>
      <c r="H76" s="954"/>
      <c r="I76" s="945"/>
      <c r="J76" s="945"/>
      <c r="K76" s="945"/>
    </row>
    <row r="77" spans="2:22" x14ac:dyDescent="0.25">
      <c r="B77" s="945"/>
      <c r="C77" s="577"/>
      <c r="D77" s="698"/>
      <c r="E77" s="698"/>
      <c r="F77" s="698"/>
      <c r="G77" s="698">
        <f>G76/G65</f>
        <v>0.19671570681783118</v>
      </c>
      <c r="H77" s="945"/>
      <c r="I77" s="945"/>
      <c r="J77" s="945"/>
      <c r="K77" s="945"/>
    </row>
    <row r="78" spans="2:22" x14ac:dyDescent="0.25">
      <c r="B78" s="945"/>
      <c r="C78" s="577"/>
      <c r="D78" s="698"/>
      <c r="E78" s="698"/>
      <c r="F78" s="698"/>
      <c r="G78" s="698"/>
      <c r="H78" s="945"/>
      <c r="I78" s="945"/>
      <c r="J78" s="945"/>
      <c r="K78" s="945"/>
    </row>
    <row r="79" spans="2:22" x14ac:dyDescent="0.25">
      <c r="B79" s="945"/>
      <c r="C79" s="577"/>
      <c r="D79" s="698"/>
      <c r="E79" s="698"/>
      <c r="F79" s="698"/>
      <c r="G79" s="698"/>
      <c r="H79" s="945"/>
      <c r="I79" s="945"/>
      <c r="J79" s="945"/>
      <c r="K79" s="945"/>
    </row>
    <row r="80" spans="2:22" x14ac:dyDescent="0.25">
      <c r="C80" s="39"/>
      <c r="D80" s="301"/>
      <c r="E80" s="301"/>
      <c r="F80" s="301"/>
      <c r="G80" s="301"/>
      <c r="H80" s="75"/>
    </row>
    <row r="81" spans="3:17" x14ac:dyDescent="0.25">
      <c r="C81" s="39"/>
    </row>
    <row r="90" spans="3:17" x14ac:dyDescent="0.25">
      <c r="P90" s="10">
        <v>2023</v>
      </c>
      <c r="Q90" s="10">
        <v>0</v>
      </c>
    </row>
    <row r="91" spans="3:17" x14ac:dyDescent="0.25">
      <c r="P91" s="10">
        <v>2023</v>
      </c>
      <c r="Q91" s="10">
        <v>20</v>
      </c>
    </row>
    <row r="92" spans="3:17" x14ac:dyDescent="0.25">
      <c r="P92" s="10">
        <v>2023</v>
      </c>
      <c r="Q92" s="10">
        <v>40</v>
      </c>
    </row>
    <row r="93" spans="3:17" x14ac:dyDescent="0.25">
      <c r="P93" s="10">
        <v>2023</v>
      </c>
      <c r="Q93" s="10">
        <v>60</v>
      </c>
    </row>
    <row r="94" spans="3:17" x14ac:dyDescent="0.25">
      <c r="P94" s="10">
        <v>2023</v>
      </c>
      <c r="Q94" s="10">
        <v>80</v>
      </c>
    </row>
    <row r="95" spans="3:17" x14ac:dyDescent="0.25">
      <c r="P95" s="10">
        <v>2023</v>
      </c>
      <c r="Q95" s="10">
        <v>100</v>
      </c>
    </row>
    <row r="96" spans="3:17" x14ac:dyDescent="0.25">
      <c r="P96" s="10">
        <v>2023</v>
      </c>
      <c r="Q96" s="10">
        <v>120</v>
      </c>
    </row>
    <row r="99" spans="16:18" x14ac:dyDescent="0.25">
      <c r="P99" s="10">
        <v>2016</v>
      </c>
      <c r="Q99" s="7">
        <v>75</v>
      </c>
      <c r="R99" s="11">
        <v>50</v>
      </c>
    </row>
    <row r="100" spans="16:18" x14ac:dyDescent="0.25">
      <c r="P100" s="10">
        <v>2016</v>
      </c>
      <c r="Q100" s="7">
        <v>135</v>
      </c>
      <c r="R100" s="11">
        <v>80</v>
      </c>
    </row>
    <row r="101" spans="16:18" x14ac:dyDescent="0.25">
      <c r="P101" s="5"/>
      <c r="Q101" s="5"/>
    </row>
    <row r="118" spans="1:20" ht="18" x14ac:dyDescent="0.25">
      <c r="A118" s="1093" t="s">
        <v>247</v>
      </c>
      <c r="B118" s="1093"/>
      <c r="C118" s="1093"/>
      <c r="D118" s="1093"/>
      <c r="E118" s="1093"/>
      <c r="F118" s="1093"/>
      <c r="G118" s="1093"/>
      <c r="H118" s="1093"/>
      <c r="I118" s="1093"/>
      <c r="J118" s="1093"/>
      <c r="K118" s="1093"/>
      <c r="L118" s="1093"/>
      <c r="M118" s="1093"/>
      <c r="N118" s="1093"/>
      <c r="O118" s="1093"/>
      <c r="P118" s="1093"/>
      <c r="Q118" s="1093"/>
      <c r="R118" s="1093"/>
      <c r="S118" s="1093"/>
      <c r="T118" s="1093"/>
    </row>
    <row r="119" spans="1:20" ht="18" x14ac:dyDescent="0.25">
      <c r="A119" s="1094" t="s">
        <v>248</v>
      </c>
      <c r="B119" s="1094"/>
      <c r="C119" s="1094"/>
      <c r="D119" s="1094"/>
      <c r="E119" s="1094"/>
      <c r="F119" s="1094"/>
      <c r="G119" s="1094"/>
      <c r="H119" s="1094"/>
      <c r="I119" s="1094"/>
      <c r="J119" s="1094"/>
      <c r="K119" s="1094"/>
      <c r="L119" s="1094"/>
      <c r="M119" s="1094"/>
      <c r="N119" s="1094"/>
      <c r="O119" s="1094"/>
      <c r="P119" s="1094"/>
      <c r="Q119" s="1094"/>
      <c r="R119" s="1094"/>
      <c r="S119" s="1094"/>
      <c r="T119" s="1094"/>
    </row>
    <row r="120" spans="1:20" ht="15.75" thickBot="1" x14ac:dyDescent="0.3">
      <c r="A120" s="452"/>
      <c r="B120" s="452"/>
      <c r="C120" s="452"/>
      <c r="D120" s="452"/>
      <c r="E120" s="452"/>
      <c r="F120" s="452"/>
      <c r="G120" s="452"/>
      <c r="H120" s="453"/>
      <c r="I120" s="452"/>
      <c r="J120" s="454"/>
      <c r="K120" s="453"/>
      <c r="L120" s="452"/>
      <c r="M120" s="454"/>
      <c r="N120" s="453"/>
      <c r="O120" s="452"/>
      <c r="P120" s="454"/>
      <c r="Q120" s="453"/>
      <c r="R120" s="452"/>
      <c r="S120" s="449"/>
      <c r="T120" s="450"/>
    </row>
    <row r="121" spans="1:20" x14ac:dyDescent="0.25">
      <c r="A121" s="1095" t="s">
        <v>249</v>
      </c>
      <c r="B121" s="1098" t="s">
        <v>250</v>
      </c>
      <c r="C121" s="1101" t="s">
        <v>251</v>
      </c>
      <c r="D121" s="1063" t="s">
        <v>252</v>
      </c>
      <c r="E121" s="1065"/>
      <c r="F121" s="1066">
        <v>2017</v>
      </c>
      <c r="G121" s="1064"/>
      <c r="H121" s="1106"/>
      <c r="I121" s="1063">
        <f>+F121+1</f>
        <v>2018</v>
      </c>
      <c r="J121" s="1064"/>
      <c r="K121" s="1065"/>
      <c r="L121" s="1066">
        <f>+I121+1</f>
        <v>2019</v>
      </c>
      <c r="M121" s="1064"/>
      <c r="N121" s="1106"/>
      <c r="O121" s="1063">
        <f>+L121+1</f>
        <v>2020</v>
      </c>
      <c r="P121" s="1064"/>
      <c r="Q121" s="1065"/>
      <c r="R121" s="1066">
        <f>+O121+1</f>
        <v>2021</v>
      </c>
      <c r="S121" s="1064"/>
      <c r="T121" s="1065"/>
    </row>
    <row r="122" spans="1:20" x14ac:dyDescent="0.25">
      <c r="A122" s="1096"/>
      <c r="B122" s="1099"/>
      <c r="C122" s="1102"/>
      <c r="D122" s="1104"/>
      <c r="E122" s="1105"/>
      <c r="F122" s="455" t="s">
        <v>253</v>
      </c>
      <c r="G122" s="1067" t="s">
        <v>254</v>
      </c>
      <c r="H122" s="1068"/>
      <c r="I122" s="456" t="s">
        <v>253</v>
      </c>
      <c r="J122" s="1067" t="s">
        <v>254</v>
      </c>
      <c r="K122" s="1069"/>
      <c r="L122" s="455" t="s">
        <v>253</v>
      </c>
      <c r="M122" s="1067" t="s">
        <v>254</v>
      </c>
      <c r="N122" s="1068"/>
      <c r="O122" s="456" t="s">
        <v>253</v>
      </c>
      <c r="P122" s="1067" t="s">
        <v>254</v>
      </c>
      <c r="Q122" s="1069"/>
      <c r="R122" s="455" t="s">
        <v>253</v>
      </c>
      <c r="S122" s="1067" t="s">
        <v>254</v>
      </c>
      <c r="T122" s="1069"/>
    </row>
    <row r="123" spans="1:20" ht="15.75" thickBot="1" x14ac:dyDescent="0.3">
      <c r="A123" s="1097"/>
      <c r="B123" s="1100"/>
      <c r="C123" s="1103"/>
      <c r="D123" s="1091" t="s">
        <v>255</v>
      </c>
      <c r="E123" s="1092"/>
      <c r="F123" s="457" t="s">
        <v>255</v>
      </c>
      <c r="G123" s="458" t="s">
        <v>255</v>
      </c>
      <c r="H123" s="459" t="s">
        <v>256</v>
      </c>
      <c r="I123" s="460" t="s">
        <v>255</v>
      </c>
      <c r="J123" s="461" t="s">
        <v>255</v>
      </c>
      <c r="K123" s="462" t="s">
        <v>256</v>
      </c>
      <c r="L123" s="457" t="s">
        <v>255</v>
      </c>
      <c r="M123" s="461" t="s">
        <v>255</v>
      </c>
      <c r="N123" s="459" t="s">
        <v>256</v>
      </c>
      <c r="O123" s="460" t="s">
        <v>255</v>
      </c>
      <c r="P123" s="461" t="s">
        <v>255</v>
      </c>
      <c r="Q123" s="462" t="s">
        <v>256</v>
      </c>
      <c r="R123" s="457" t="s">
        <v>255</v>
      </c>
      <c r="S123" s="461" t="s">
        <v>255</v>
      </c>
      <c r="T123" s="462" t="s">
        <v>256</v>
      </c>
    </row>
    <row r="124" spans="1:20" x14ac:dyDescent="0.25">
      <c r="B124" s="1188" t="s">
        <v>10</v>
      </c>
      <c r="C124" s="666" t="s">
        <v>24</v>
      </c>
      <c r="D124" s="641">
        <v>25</v>
      </c>
      <c r="E124" s="1138">
        <v>135</v>
      </c>
      <c r="F124" s="1139">
        <v>135</v>
      </c>
      <c r="G124" s="1142">
        <v>80.503467686385406</v>
      </c>
      <c r="H124" s="1132">
        <v>0.59632198286211413</v>
      </c>
      <c r="I124" s="1139">
        <v>135</v>
      </c>
      <c r="J124" s="1170">
        <v>83.965116796899977</v>
      </c>
      <c r="K124" s="1132">
        <v>0.62196382812518503</v>
      </c>
      <c r="L124" s="1135">
        <v>135</v>
      </c>
      <c r="M124" s="1170">
        <v>72.135323289573464</v>
      </c>
      <c r="N124" s="1132">
        <v>0.53433572807091456</v>
      </c>
      <c r="O124" s="1135">
        <v>135</v>
      </c>
      <c r="P124" s="1170">
        <v>75.237142191025114</v>
      </c>
      <c r="Q124" s="1132">
        <v>0.55731216437796383</v>
      </c>
      <c r="R124" s="1145">
        <v>135</v>
      </c>
      <c r="S124" s="1170">
        <v>78.472339305239188</v>
      </c>
      <c r="T124" s="1132">
        <v>0.58127658744621624</v>
      </c>
    </row>
    <row r="125" spans="1:20" x14ac:dyDescent="0.25">
      <c r="B125" s="1189"/>
      <c r="C125" s="666" t="s">
        <v>24</v>
      </c>
      <c r="D125" s="641">
        <v>55</v>
      </c>
      <c r="E125" s="1138"/>
      <c r="F125" s="1140"/>
      <c r="G125" s="1143"/>
      <c r="H125" s="1133"/>
      <c r="I125" s="1140"/>
      <c r="J125" s="1171"/>
      <c r="K125" s="1133"/>
      <c r="L125" s="1136"/>
      <c r="M125" s="1171"/>
      <c r="N125" s="1133"/>
      <c r="O125" s="1136"/>
      <c r="P125" s="1171"/>
      <c r="Q125" s="1133"/>
      <c r="R125" s="1146"/>
      <c r="S125" s="1171"/>
      <c r="T125" s="1133"/>
    </row>
    <row r="126" spans="1:20" x14ac:dyDescent="0.25">
      <c r="B126" s="1189"/>
      <c r="C126" s="666" t="s">
        <v>24</v>
      </c>
      <c r="D126" s="641">
        <v>55</v>
      </c>
      <c r="E126" s="1138"/>
      <c r="F126" s="1141"/>
      <c r="G126" s="1144"/>
      <c r="H126" s="1134"/>
      <c r="I126" s="1141"/>
      <c r="J126" s="1172"/>
      <c r="K126" s="1134"/>
      <c r="L126" s="1137"/>
      <c r="M126" s="1172"/>
      <c r="N126" s="1134"/>
      <c r="O126" s="1137"/>
      <c r="P126" s="1172"/>
      <c r="Q126" s="1134"/>
      <c r="R126" s="1147"/>
      <c r="S126" s="1172"/>
      <c r="T126" s="1134"/>
    </row>
    <row r="127" spans="1:20" x14ac:dyDescent="0.25">
      <c r="B127" s="1190"/>
      <c r="C127" s="666" t="s">
        <v>257</v>
      </c>
      <c r="D127" s="641">
        <v>40</v>
      </c>
      <c r="E127" s="688">
        <v>40</v>
      </c>
      <c r="F127" s="689">
        <v>40</v>
      </c>
      <c r="G127" s="690">
        <v>43.140211861306241</v>
      </c>
      <c r="H127" s="691">
        <v>1.078505296532656</v>
      </c>
      <c r="I127" s="689">
        <v>40</v>
      </c>
      <c r="J127" s="690">
        <v>43.747921867037846</v>
      </c>
      <c r="K127" s="691">
        <v>1.0936980466759461</v>
      </c>
      <c r="L127" s="689">
        <v>40</v>
      </c>
      <c r="M127" s="690">
        <v>44.364192596862637</v>
      </c>
      <c r="N127" s="691">
        <v>1.1091048149215659</v>
      </c>
      <c r="O127" s="689">
        <v>40</v>
      </c>
      <c r="P127" s="690">
        <v>44.989144644478777</v>
      </c>
      <c r="Q127" s="691">
        <v>1.1247286161119694</v>
      </c>
      <c r="R127" s="641">
        <v>40</v>
      </c>
      <c r="S127" s="690">
        <v>45.622900302370631</v>
      </c>
      <c r="T127" s="691">
        <v>1.1405725075592659</v>
      </c>
    </row>
    <row r="129" spans="5:6" x14ac:dyDescent="0.25">
      <c r="E129" s="39"/>
      <c r="F129" s="258"/>
    </row>
    <row r="130" spans="5:6" x14ac:dyDescent="0.25">
      <c r="E130" s="39"/>
      <c r="F130" s="258"/>
    </row>
    <row r="131" spans="5:6" x14ac:dyDescent="0.25">
      <c r="E131" s="588">
        <v>2018</v>
      </c>
      <c r="F131" s="694">
        <f>J124</f>
        <v>83.965116796899977</v>
      </c>
    </row>
    <row r="132" spans="5:6" x14ac:dyDescent="0.25">
      <c r="E132" s="588">
        <v>2019</v>
      </c>
      <c r="F132" s="694">
        <f>M124</f>
        <v>72.135323289573464</v>
      </c>
    </row>
    <row r="133" spans="5:6" x14ac:dyDescent="0.25">
      <c r="E133" s="588">
        <v>2020</v>
      </c>
      <c r="F133" s="694">
        <f>P124</f>
        <v>75.237142191025114</v>
      </c>
    </row>
    <row r="134" spans="5:6" x14ac:dyDescent="0.25">
      <c r="E134" s="758">
        <v>2021</v>
      </c>
      <c r="F134" s="759">
        <f>S124</f>
        <v>78.472339305239188</v>
      </c>
    </row>
    <row r="135" spans="5:6" x14ac:dyDescent="0.25">
      <c r="E135" s="758"/>
      <c r="F135" s="759"/>
    </row>
    <row r="136" spans="5:6" x14ac:dyDescent="0.25">
      <c r="E136" s="760"/>
      <c r="F136" s="761"/>
    </row>
    <row r="137" spans="5:6" x14ac:dyDescent="0.25">
      <c r="F137" s="11"/>
    </row>
  </sheetData>
  <mergeCells count="53">
    <mergeCell ref="S124:S126"/>
    <mergeCell ref="T124:T126"/>
    <mergeCell ref="N124:N126"/>
    <mergeCell ref="O124:O126"/>
    <mergeCell ref="P124:P126"/>
    <mergeCell ref="Q124:Q126"/>
    <mergeCell ref="R124:R126"/>
    <mergeCell ref="I124:I126"/>
    <mergeCell ref="J124:J126"/>
    <mergeCell ref="K124:K126"/>
    <mergeCell ref="L124:L126"/>
    <mergeCell ref="M124:M126"/>
    <mergeCell ref="B124:B127"/>
    <mergeCell ref="E124:E126"/>
    <mergeCell ref="F124:F126"/>
    <mergeCell ref="G124:G126"/>
    <mergeCell ref="H124:H126"/>
    <mergeCell ref="B3:K3"/>
    <mergeCell ref="B4:K4"/>
    <mergeCell ref="B5:B6"/>
    <mergeCell ref="G5:I5"/>
    <mergeCell ref="D5:F5"/>
    <mergeCell ref="C5:C6"/>
    <mergeCell ref="J5:J6"/>
    <mergeCell ref="K5:K6"/>
    <mergeCell ref="D123:E123"/>
    <mergeCell ref="A118:T118"/>
    <mergeCell ref="A119:T119"/>
    <mergeCell ref="A121:A123"/>
    <mergeCell ref="B121:B123"/>
    <mergeCell ref="C121:C123"/>
    <mergeCell ref="D121:E122"/>
    <mergeCell ref="F121:H121"/>
    <mergeCell ref="I121:K121"/>
    <mergeCell ref="L121:N121"/>
    <mergeCell ref="O121:Q121"/>
    <mergeCell ref="R121:T121"/>
    <mergeCell ref="G122:H122"/>
    <mergeCell ref="J122:K122"/>
    <mergeCell ref="M122:N122"/>
    <mergeCell ref="P122:Q122"/>
    <mergeCell ref="S122:T122"/>
    <mergeCell ref="N69:T70"/>
    <mergeCell ref="C40:K40"/>
    <mergeCell ref="C41:K41"/>
    <mergeCell ref="B42:B43"/>
    <mergeCell ref="C42:C43"/>
    <mergeCell ref="D42:F42"/>
    <mergeCell ref="G42:H42"/>
    <mergeCell ref="I42:I43"/>
    <mergeCell ref="J42:J43"/>
    <mergeCell ref="K42:K43"/>
    <mergeCell ref="N67:O67"/>
  </mergeCells>
  <conditionalFormatting sqref="H124:H127 T124:T127 Q124:Q127 N124:N127 K124:K127">
    <cfRule type="cellIs" dxfId="10" priority="1" operator="greaterThan">
      <formula>1</formula>
    </cfRule>
  </conditionalFormatting>
  <printOptions gridLines="1"/>
  <pageMargins left="0.11811023622047245" right="0.11811023622047245" top="0.35433070866141736" bottom="0.35433070866141736" header="0" footer="0"/>
  <pageSetup paperSize="9" scale="93" orientation="landscape" r:id="rId1"/>
  <ignoredErrors>
    <ignoredError sqref="L67" formula="1"/>
  </ignoredError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2:V126"/>
  <sheetViews>
    <sheetView topLeftCell="A55" zoomScaleNormal="100" workbookViewId="0">
      <selection activeCell="H68" sqref="H68"/>
    </sheetView>
  </sheetViews>
  <sheetFormatPr baseColWidth="10" defaultRowHeight="15" x14ac:dyDescent="0.25"/>
  <cols>
    <col min="1" max="1" width="5.7109375" customWidth="1"/>
    <col min="2" max="2" width="6.7109375" customWidth="1"/>
    <col min="3" max="3" width="14.7109375" customWidth="1"/>
    <col min="4" max="5" width="10.7109375" customWidth="1"/>
    <col min="6" max="6" width="11.7109375" customWidth="1"/>
    <col min="7" max="8" width="12.7109375" customWidth="1"/>
    <col min="9" max="11" width="10.7109375" customWidth="1"/>
    <col min="12" max="13" width="9.28515625" style="10" customWidth="1"/>
    <col min="14" max="14" width="11" style="10" customWidth="1"/>
    <col min="15" max="17" width="11.42578125" style="10"/>
  </cols>
  <sheetData>
    <row r="2" spans="2:16" ht="15.75" thickBot="1" x14ac:dyDescent="0.3"/>
    <row r="3" spans="2:16" ht="15.95" customHeight="1" x14ac:dyDescent="0.25">
      <c r="B3" s="1249" t="s">
        <v>42</v>
      </c>
      <c r="C3" s="1250"/>
      <c r="D3" s="1250"/>
      <c r="E3" s="1250"/>
      <c r="F3" s="1250"/>
      <c r="G3" s="1250"/>
      <c r="H3" s="1250"/>
      <c r="I3" s="1250"/>
      <c r="J3" s="1250"/>
      <c r="K3" s="1251"/>
    </row>
    <row r="4" spans="2:16" ht="15.95" customHeight="1" thickBot="1" x14ac:dyDescent="0.3">
      <c r="B4" s="1115" t="s">
        <v>52</v>
      </c>
      <c r="C4" s="1116"/>
      <c r="D4" s="1116"/>
      <c r="E4" s="1116"/>
      <c r="F4" s="1116"/>
      <c r="G4" s="1116"/>
      <c r="H4" s="1116"/>
      <c r="I4" s="1116"/>
      <c r="J4" s="1116"/>
      <c r="K4" s="1117"/>
    </row>
    <row r="5" spans="2:16" ht="15.95" customHeight="1" x14ac:dyDescent="0.25">
      <c r="B5" s="1254" t="s">
        <v>124</v>
      </c>
      <c r="C5" s="1181" t="s">
        <v>26</v>
      </c>
      <c r="D5" s="1167" t="s">
        <v>110</v>
      </c>
      <c r="E5" s="1167"/>
      <c r="F5" s="1168"/>
      <c r="G5" s="1169" t="s">
        <v>74</v>
      </c>
      <c r="H5" s="1167"/>
      <c r="I5" s="1167"/>
      <c r="J5" s="1181" t="s">
        <v>105</v>
      </c>
      <c r="K5" s="1221" t="s">
        <v>135</v>
      </c>
    </row>
    <row r="6" spans="2:16" ht="39.950000000000003" customHeight="1" x14ac:dyDescent="0.25">
      <c r="B6" s="1255"/>
      <c r="C6" s="1032"/>
      <c r="D6" s="38" t="s">
        <v>79</v>
      </c>
      <c r="E6" s="488" t="s">
        <v>122</v>
      </c>
      <c r="F6" s="38" t="s">
        <v>169</v>
      </c>
      <c r="G6" s="488" t="s">
        <v>170</v>
      </c>
      <c r="H6" s="38" t="s">
        <v>232</v>
      </c>
      <c r="I6" s="488" t="s">
        <v>171</v>
      </c>
      <c r="J6" s="1032"/>
      <c r="K6" s="1252"/>
      <c r="L6" s="259" t="s">
        <v>185</v>
      </c>
      <c r="M6" s="85" t="s">
        <v>73</v>
      </c>
      <c r="N6" s="38" t="s">
        <v>240</v>
      </c>
    </row>
    <row r="7" spans="2:16" x14ac:dyDescent="0.25">
      <c r="B7" s="201"/>
      <c r="C7" s="101">
        <v>1999</v>
      </c>
      <c r="D7" s="62">
        <v>40.28</v>
      </c>
      <c r="E7" s="40">
        <f>D7/L24</f>
        <v>40.700964258906396</v>
      </c>
      <c r="F7" s="175"/>
      <c r="G7" s="40"/>
      <c r="H7" s="40"/>
      <c r="I7" s="40"/>
      <c r="J7" s="62">
        <v>80</v>
      </c>
      <c r="K7" s="204">
        <f t="shared" ref="K7:K35" si="0">J7-40</f>
        <v>40</v>
      </c>
      <c r="L7" s="263"/>
      <c r="M7" s="50"/>
      <c r="N7" s="50"/>
      <c r="O7" s="39"/>
      <c r="P7" s="39"/>
    </row>
    <row r="8" spans="2:16" x14ac:dyDescent="0.25">
      <c r="B8" s="201"/>
      <c r="C8" s="101">
        <v>2000</v>
      </c>
      <c r="D8" s="62">
        <v>51.6</v>
      </c>
      <c r="E8" s="40">
        <f>D8/L24</f>
        <v>52.139269010912862</v>
      </c>
      <c r="F8" s="175">
        <f>(E8-E7)/E7</f>
        <v>0.28103277060575971</v>
      </c>
      <c r="G8" s="40"/>
      <c r="H8" s="40"/>
      <c r="I8" s="40"/>
      <c r="J8" s="62">
        <v>80</v>
      </c>
      <c r="K8" s="204">
        <f t="shared" si="0"/>
        <v>40</v>
      </c>
      <c r="L8" s="263"/>
      <c r="M8" s="50"/>
      <c r="N8" s="50"/>
      <c r="O8" s="39"/>
      <c r="P8" s="39"/>
    </row>
    <row r="9" spans="2:16" x14ac:dyDescent="0.25">
      <c r="B9" s="201"/>
      <c r="C9" s="101">
        <v>2001</v>
      </c>
      <c r="D9" s="62">
        <v>55.69</v>
      </c>
      <c r="E9" s="40">
        <f>D9/L24</f>
        <v>56.272013395692582</v>
      </c>
      <c r="F9" s="175">
        <f t="shared" ref="F9:F25" si="1">(E9-E8)/E8</f>
        <v>7.9263565891472848E-2</v>
      </c>
      <c r="G9" s="40"/>
      <c r="H9" s="40"/>
      <c r="I9" s="40"/>
      <c r="J9" s="62">
        <v>80</v>
      </c>
      <c r="K9" s="204">
        <f t="shared" si="0"/>
        <v>40</v>
      </c>
      <c r="L9" s="263"/>
      <c r="M9" s="50"/>
      <c r="N9" s="50"/>
      <c r="O9" s="39"/>
      <c r="P9" s="39"/>
    </row>
    <row r="10" spans="2:16" x14ac:dyDescent="0.25">
      <c r="B10" s="201"/>
      <c r="C10" s="101">
        <v>2002</v>
      </c>
      <c r="D10" s="62">
        <v>53.41</v>
      </c>
      <c r="E10" s="40">
        <f>D10/L24</f>
        <v>53.968185230094107</v>
      </c>
      <c r="F10" s="175">
        <f t="shared" si="1"/>
        <v>-4.0940922966421253E-2</v>
      </c>
      <c r="G10" s="40"/>
      <c r="H10" s="40"/>
      <c r="I10" s="40"/>
      <c r="J10" s="62">
        <v>80</v>
      </c>
      <c r="K10" s="204">
        <f t="shared" si="0"/>
        <v>40</v>
      </c>
      <c r="L10" s="263"/>
      <c r="M10" s="50"/>
      <c r="N10" s="50"/>
      <c r="O10" s="39"/>
      <c r="P10" s="39"/>
    </row>
    <row r="11" spans="2:16" x14ac:dyDescent="0.25">
      <c r="B11" s="201">
        <v>5</v>
      </c>
      <c r="C11" s="101">
        <v>2003</v>
      </c>
      <c r="D11" s="62">
        <v>51.97</v>
      </c>
      <c r="E11" s="40">
        <v>53</v>
      </c>
      <c r="F11" s="175">
        <f t="shared" si="1"/>
        <v>-1.7939925642602883E-2</v>
      </c>
      <c r="G11" s="40"/>
      <c r="H11" s="40"/>
      <c r="I11" s="40"/>
      <c r="J11" s="62">
        <v>80</v>
      </c>
      <c r="K11" s="204">
        <f t="shared" si="0"/>
        <v>40</v>
      </c>
      <c r="L11" s="263">
        <v>0.98050000000000004</v>
      </c>
      <c r="M11" s="50"/>
      <c r="N11" s="50"/>
      <c r="O11" s="39"/>
      <c r="P11" s="39"/>
    </row>
    <row r="12" spans="2:16" x14ac:dyDescent="0.25">
      <c r="B12" s="201">
        <v>5</v>
      </c>
      <c r="C12" s="101">
        <v>2004</v>
      </c>
      <c r="D12" s="62">
        <v>52.27</v>
      </c>
      <c r="E12" s="40">
        <v>52.81</v>
      </c>
      <c r="F12" s="175">
        <f t="shared" si="1"/>
        <v>-3.5849056603773155E-3</v>
      </c>
      <c r="G12" s="40"/>
      <c r="H12" s="40"/>
      <c r="I12" s="40"/>
      <c r="J12" s="62">
        <v>80</v>
      </c>
      <c r="K12" s="204">
        <f t="shared" si="0"/>
        <v>40</v>
      </c>
      <c r="L12" s="263">
        <v>0.9899</v>
      </c>
      <c r="M12" s="50"/>
      <c r="N12" s="50"/>
      <c r="O12" s="39"/>
      <c r="P12" s="39"/>
    </row>
    <row r="13" spans="2:16" x14ac:dyDescent="0.25">
      <c r="B13" s="201">
        <v>6</v>
      </c>
      <c r="C13" s="101">
        <v>2005</v>
      </c>
      <c r="D13" s="62">
        <v>47.94</v>
      </c>
      <c r="E13" s="40">
        <v>48.47</v>
      </c>
      <c r="F13" s="175">
        <f t="shared" si="1"/>
        <v>-8.2181405036924893E-2</v>
      </c>
      <c r="G13" s="40"/>
      <c r="H13" s="40"/>
      <c r="I13" s="40"/>
      <c r="J13" s="62">
        <v>80</v>
      </c>
      <c r="K13" s="204">
        <f t="shared" si="0"/>
        <v>40</v>
      </c>
      <c r="L13" s="263">
        <v>0.98909999999999998</v>
      </c>
      <c r="M13" s="50"/>
      <c r="N13" s="50"/>
      <c r="O13" s="39"/>
      <c r="P13" s="39"/>
    </row>
    <row r="14" spans="2:16" x14ac:dyDescent="0.25">
      <c r="B14" s="201">
        <v>6</v>
      </c>
      <c r="C14" s="101">
        <v>2006</v>
      </c>
      <c r="D14" s="62">
        <v>48.55</v>
      </c>
      <c r="E14" s="40">
        <v>49.05</v>
      </c>
      <c r="F14" s="175">
        <f t="shared" si="1"/>
        <v>1.1966164637920329E-2</v>
      </c>
      <c r="G14" s="40"/>
      <c r="H14" s="40"/>
      <c r="I14" s="40"/>
      <c r="J14" s="62">
        <v>80</v>
      </c>
      <c r="K14" s="204">
        <f t="shared" si="0"/>
        <v>40</v>
      </c>
      <c r="L14" s="263">
        <v>0.98970000000000002</v>
      </c>
      <c r="M14" s="50"/>
      <c r="N14" s="50"/>
      <c r="O14" s="39"/>
      <c r="P14" s="39"/>
    </row>
    <row r="15" spans="2:16" x14ac:dyDescent="0.25">
      <c r="B15" s="201">
        <v>2</v>
      </c>
      <c r="C15" s="101">
        <v>2007</v>
      </c>
      <c r="D15" s="62">
        <v>48.47</v>
      </c>
      <c r="E15" s="40">
        <v>49.36</v>
      </c>
      <c r="F15" s="175">
        <f t="shared" si="1"/>
        <v>6.3200815494393941E-3</v>
      </c>
      <c r="G15" s="40"/>
      <c r="H15" s="40"/>
      <c r="I15" s="40"/>
      <c r="J15" s="62">
        <v>80</v>
      </c>
      <c r="K15" s="204">
        <f t="shared" si="0"/>
        <v>40</v>
      </c>
      <c r="L15" s="263">
        <v>0.98199999999999998</v>
      </c>
      <c r="M15" s="50"/>
      <c r="N15" s="50"/>
      <c r="O15" s="39"/>
      <c r="P15" s="39"/>
    </row>
    <row r="16" spans="2:16" x14ac:dyDescent="0.25">
      <c r="B16" s="201">
        <v>5</v>
      </c>
      <c r="C16" s="101">
        <v>2008</v>
      </c>
      <c r="D16" s="62">
        <v>48.78</v>
      </c>
      <c r="E16" s="40">
        <v>48.84</v>
      </c>
      <c r="F16" s="175">
        <f t="shared" si="1"/>
        <v>-1.053484602917334E-2</v>
      </c>
      <c r="G16" s="40"/>
      <c r="H16" s="40"/>
      <c r="I16" s="40"/>
      <c r="J16" s="62">
        <v>80</v>
      </c>
      <c r="K16" s="204">
        <f t="shared" si="0"/>
        <v>40</v>
      </c>
      <c r="L16" s="263">
        <v>0.99870000000000003</v>
      </c>
      <c r="M16" s="50"/>
      <c r="N16" s="50"/>
      <c r="O16" s="39"/>
      <c r="P16" s="39"/>
    </row>
    <row r="17" spans="2:16" x14ac:dyDescent="0.25">
      <c r="B17" s="201">
        <v>7</v>
      </c>
      <c r="C17" s="101">
        <v>2009</v>
      </c>
      <c r="D17" s="62">
        <v>51.14</v>
      </c>
      <c r="E17" s="40">
        <v>51.26</v>
      </c>
      <c r="F17" s="175">
        <f t="shared" si="1"/>
        <v>4.9549549549549439E-2</v>
      </c>
      <c r="G17" s="40"/>
      <c r="H17" s="40"/>
      <c r="I17" s="40"/>
      <c r="J17" s="62">
        <v>80</v>
      </c>
      <c r="K17" s="204">
        <f t="shared" si="0"/>
        <v>40</v>
      </c>
      <c r="L17" s="263">
        <v>0.99770000000000003</v>
      </c>
      <c r="M17" s="50"/>
      <c r="N17" s="50"/>
      <c r="O17" s="39"/>
      <c r="P17" s="39"/>
    </row>
    <row r="18" spans="2:16" x14ac:dyDescent="0.25">
      <c r="B18" s="201">
        <v>8</v>
      </c>
      <c r="C18" s="101">
        <v>2010</v>
      </c>
      <c r="D18" s="62">
        <v>50.99</v>
      </c>
      <c r="E18" s="40">
        <v>51.32</v>
      </c>
      <c r="F18" s="175">
        <f t="shared" si="1"/>
        <v>1.1705033164261076E-3</v>
      </c>
      <c r="G18" s="40"/>
      <c r="H18" s="40"/>
      <c r="I18" s="40"/>
      <c r="J18" s="62">
        <v>80</v>
      </c>
      <c r="K18" s="204">
        <f t="shared" si="0"/>
        <v>40</v>
      </c>
      <c r="L18" s="263"/>
      <c r="M18" s="50"/>
      <c r="N18" s="50"/>
      <c r="O18" s="39"/>
      <c r="P18" s="39"/>
    </row>
    <row r="19" spans="2:16" x14ac:dyDescent="0.25">
      <c r="B19" s="201">
        <v>6</v>
      </c>
      <c r="C19" s="101">
        <v>2011</v>
      </c>
      <c r="D19" s="62">
        <v>50.18</v>
      </c>
      <c r="E19" s="40">
        <v>50.29</v>
      </c>
      <c r="F19" s="175">
        <f t="shared" si="1"/>
        <v>-2.0070148090413117E-2</v>
      </c>
      <c r="G19" s="40"/>
      <c r="H19" s="40"/>
      <c r="I19" s="40"/>
      <c r="J19" s="62">
        <v>80</v>
      </c>
      <c r="K19" s="204">
        <f t="shared" si="0"/>
        <v>40</v>
      </c>
      <c r="L19" s="263"/>
      <c r="M19" s="50"/>
      <c r="N19" s="50"/>
      <c r="O19" s="39"/>
      <c r="P19" s="39"/>
    </row>
    <row r="20" spans="2:16" x14ac:dyDescent="0.25">
      <c r="B20" s="201">
        <v>2</v>
      </c>
      <c r="C20" s="101">
        <v>2012</v>
      </c>
      <c r="D20" s="62">
        <v>51.22</v>
      </c>
      <c r="E20" s="40">
        <v>52.95</v>
      </c>
      <c r="F20" s="175">
        <f t="shared" si="1"/>
        <v>5.2893219327898262E-2</v>
      </c>
      <c r="G20" s="40"/>
      <c r="H20" s="40"/>
      <c r="I20" s="40"/>
      <c r="J20" s="62">
        <v>80</v>
      </c>
      <c r="K20" s="204">
        <f t="shared" si="0"/>
        <v>40</v>
      </c>
      <c r="L20" s="263"/>
      <c r="M20" s="175"/>
      <c r="N20" s="50"/>
      <c r="O20" s="39"/>
      <c r="P20" s="39"/>
    </row>
    <row r="21" spans="2:16" x14ac:dyDescent="0.25">
      <c r="B21" s="201">
        <v>12</v>
      </c>
      <c r="C21" s="101">
        <v>2013</v>
      </c>
      <c r="D21" s="62">
        <v>45.17</v>
      </c>
      <c r="E21" s="40">
        <v>46.62</v>
      </c>
      <c r="F21" s="175">
        <f t="shared" si="1"/>
        <v>-0.11954674220963182</v>
      </c>
      <c r="G21" s="40"/>
      <c r="H21" s="40"/>
      <c r="I21" s="40"/>
      <c r="J21" s="62">
        <v>80</v>
      </c>
      <c r="K21" s="204">
        <f t="shared" si="0"/>
        <v>40</v>
      </c>
      <c r="L21" s="263"/>
      <c r="M21" s="50"/>
      <c r="N21" s="50"/>
      <c r="O21" s="39"/>
      <c r="P21" s="39"/>
    </row>
    <row r="22" spans="2:16" ht="15" customHeight="1" x14ac:dyDescent="0.25">
      <c r="B22" s="201">
        <v>1</v>
      </c>
      <c r="C22" s="101">
        <v>2014</v>
      </c>
      <c r="D22" s="62">
        <v>49.73</v>
      </c>
      <c r="E22" s="40">
        <v>50.97</v>
      </c>
      <c r="F22" s="175">
        <f t="shared" si="1"/>
        <v>9.3307593307593348E-2</v>
      </c>
      <c r="G22" s="40"/>
      <c r="H22" s="40"/>
      <c r="I22" s="40"/>
      <c r="J22" s="62">
        <v>80</v>
      </c>
      <c r="K22" s="204">
        <f t="shared" si="0"/>
        <v>40</v>
      </c>
      <c r="L22" s="263"/>
      <c r="M22" s="175"/>
      <c r="N22" s="50"/>
      <c r="O22" s="39"/>
      <c r="P22" s="39"/>
    </row>
    <row r="23" spans="2:16" x14ac:dyDescent="0.25">
      <c r="B23" s="201">
        <v>6</v>
      </c>
      <c r="C23" s="101">
        <v>2015</v>
      </c>
      <c r="D23" s="62">
        <v>45.16</v>
      </c>
      <c r="E23" s="40">
        <v>45.17</v>
      </c>
      <c r="F23" s="175">
        <f t="shared" si="1"/>
        <v>-0.11379242691779473</v>
      </c>
      <c r="G23" s="40"/>
      <c r="H23" s="40"/>
      <c r="I23" s="40"/>
      <c r="J23" s="62">
        <v>80</v>
      </c>
      <c r="K23" s="204">
        <f t="shared" si="0"/>
        <v>40</v>
      </c>
      <c r="L23" s="263"/>
      <c r="M23" s="50"/>
      <c r="N23" s="50"/>
      <c r="O23" s="39"/>
      <c r="P23" s="39"/>
    </row>
    <row r="24" spans="2:16" x14ac:dyDescent="0.25">
      <c r="B24" s="201">
        <v>2</v>
      </c>
      <c r="C24" s="101">
        <v>2016</v>
      </c>
      <c r="D24" s="62">
        <v>43.65</v>
      </c>
      <c r="E24" s="40">
        <v>44.29</v>
      </c>
      <c r="F24" s="175">
        <f t="shared" si="1"/>
        <v>-1.9481957051140194E-2</v>
      </c>
      <c r="G24" s="258"/>
      <c r="H24" s="258"/>
      <c r="I24" s="258"/>
      <c r="J24" s="62">
        <v>80</v>
      </c>
      <c r="K24" s="204">
        <f t="shared" si="0"/>
        <v>40</v>
      </c>
      <c r="L24" s="273">
        <f>AVERAGE(L11:L23)</f>
        <v>0.98965714285714301</v>
      </c>
      <c r="M24" s="175"/>
      <c r="N24" s="390" t="e">
        <f>(H24-H23)/H23</f>
        <v>#DIV/0!</v>
      </c>
      <c r="O24" s="39"/>
      <c r="P24" s="39"/>
    </row>
    <row r="25" spans="2:16" x14ac:dyDescent="0.25">
      <c r="B25" s="201"/>
      <c r="C25" s="101">
        <v>2017</v>
      </c>
      <c r="D25" s="62"/>
      <c r="E25" s="40">
        <v>100</v>
      </c>
      <c r="F25" s="175">
        <f t="shared" si="1"/>
        <v>1.2578460149017838</v>
      </c>
      <c r="G25" s="258"/>
      <c r="H25" s="258">
        <f>E25</f>
        <v>100</v>
      </c>
      <c r="I25" s="258">
        <f>E25</f>
        <v>100</v>
      </c>
      <c r="J25" s="62">
        <v>80</v>
      </c>
      <c r="K25" s="204">
        <f t="shared" si="0"/>
        <v>40</v>
      </c>
      <c r="L25" s="263"/>
      <c r="M25" s="402" t="e">
        <f>(G25-G24)/G24</f>
        <v>#DIV/0!</v>
      </c>
      <c r="N25" s="390" t="e">
        <f>(H25-H24)/H24</f>
        <v>#DIV/0!</v>
      </c>
      <c r="O25" s="39"/>
      <c r="P25" s="39"/>
    </row>
    <row r="26" spans="2:16" x14ac:dyDescent="0.25">
      <c r="B26" s="202"/>
      <c r="C26" s="107">
        <v>2018</v>
      </c>
      <c r="D26" s="109"/>
      <c r="E26" s="55"/>
      <c r="F26" s="187"/>
      <c r="G26" s="374"/>
      <c r="H26" s="375"/>
      <c r="I26" s="393">
        <f t="shared" ref="I26:I35" si="2">1.045*I25</f>
        <v>104.5</v>
      </c>
      <c r="J26" s="62">
        <v>80</v>
      </c>
      <c r="K26" s="204">
        <f t="shared" si="0"/>
        <v>40</v>
      </c>
      <c r="L26" s="263"/>
      <c r="M26" s="402" t="e">
        <f t="shared" ref="M26:M33" si="3">(G26-G25)/G25</f>
        <v>#DIV/0!</v>
      </c>
      <c r="N26" s="390">
        <f>(H26-H25)/H25</f>
        <v>-1</v>
      </c>
      <c r="O26" s="39"/>
      <c r="P26" s="39"/>
    </row>
    <row r="27" spans="2:16" x14ac:dyDescent="0.25">
      <c r="B27" s="202"/>
      <c r="C27" s="107">
        <v>2019</v>
      </c>
      <c r="D27" s="109"/>
      <c r="E27" s="55"/>
      <c r="F27" s="187"/>
      <c r="G27" s="374"/>
      <c r="H27" s="375"/>
      <c r="I27" s="393">
        <f t="shared" si="2"/>
        <v>109.20249999999999</v>
      </c>
      <c r="J27" s="62">
        <v>80</v>
      </c>
      <c r="K27" s="204">
        <f t="shared" si="0"/>
        <v>40</v>
      </c>
      <c r="L27" s="263"/>
      <c r="M27" s="402" t="e">
        <f t="shared" si="3"/>
        <v>#DIV/0!</v>
      </c>
      <c r="N27" s="390" t="e">
        <f>(H27-H26)/H26</f>
        <v>#DIV/0!</v>
      </c>
      <c r="O27" s="39"/>
      <c r="P27" s="39"/>
    </row>
    <row r="28" spans="2:16" x14ac:dyDescent="0.25">
      <c r="B28" s="202"/>
      <c r="C28" s="107">
        <v>2020</v>
      </c>
      <c r="D28" s="109"/>
      <c r="E28" s="55"/>
      <c r="F28" s="187"/>
      <c r="G28" s="374"/>
      <c r="H28" s="375"/>
      <c r="I28" s="393">
        <f t="shared" si="2"/>
        <v>114.11661249999997</v>
      </c>
      <c r="J28" s="62">
        <v>80</v>
      </c>
      <c r="K28" s="204">
        <f t="shared" si="0"/>
        <v>40</v>
      </c>
      <c r="L28" s="263"/>
      <c r="M28" s="402" t="e">
        <f t="shared" si="3"/>
        <v>#DIV/0!</v>
      </c>
      <c r="N28" s="390" t="e">
        <f>(H28-H27)/H27</f>
        <v>#DIV/0!</v>
      </c>
      <c r="O28" s="39"/>
      <c r="P28" s="39"/>
    </row>
    <row r="29" spans="2:16" x14ac:dyDescent="0.25">
      <c r="B29" s="202"/>
      <c r="C29" s="107">
        <v>2021</v>
      </c>
      <c r="D29" s="105"/>
      <c r="E29" s="509"/>
      <c r="F29" s="187"/>
      <c r="G29" s="374"/>
      <c r="H29" s="375"/>
      <c r="I29" s="393">
        <f t="shared" si="2"/>
        <v>119.25186006249996</v>
      </c>
      <c r="J29" s="62">
        <v>80</v>
      </c>
      <c r="K29" s="204">
        <f t="shared" si="0"/>
        <v>40</v>
      </c>
      <c r="L29" s="263"/>
      <c r="M29" s="402" t="e">
        <f t="shared" si="3"/>
        <v>#DIV/0!</v>
      </c>
      <c r="N29" s="390"/>
      <c r="O29" s="39"/>
      <c r="P29" s="39"/>
    </row>
    <row r="30" spans="2:16" x14ac:dyDescent="0.25">
      <c r="B30" s="202"/>
      <c r="C30" s="107">
        <v>2022</v>
      </c>
      <c r="D30" s="105"/>
      <c r="E30" s="509"/>
      <c r="F30" s="187"/>
      <c r="G30" s="374"/>
      <c r="H30" s="375"/>
      <c r="I30" s="393">
        <f t="shared" si="2"/>
        <v>124.61819376531244</v>
      </c>
      <c r="J30" s="62">
        <v>80</v>
      </c>
      <c r="K30" s="204">
        <f t="shared" si="0"/>
        <v>40</v>
      </c>
      <c r="L30" s="263"/>
      <c r="M30" s="402" t="e">
        <f t="shared" si="3"/>
        <v>#DIV/0!</v>
      </c>
      <c r="N30" s="390"/>
      <c r="O30" s="39"/>
      <c r="P30" s="39"/>
    </row>
    <row r="31" spans="2:16" x14ac:dyDescent="0.25">
      <c r="B31" s="202"/>
      <c r="C31" s="107">
        <v>2023</v>
      </c>
      <c r="D31" s="105"/>
      <c r="E31" s="509"/>
      <c r="F31" s="187"/>
      <c r="G31" s="374"/>
      <c r="H31" s="375"/>
      <c r="I31" s="393">
        <f t="shared" si="2"/>
        <v>130.22601248475149</v>
      </c>
      <c r="J31" s="62">
        <v>80</v>
      </c>
      <c r="K31" s="204">
        <f t="shared" si="0"/>
        <v>40</v>
      </c>
      <c r="L31" s="263"/>
      <c r="M31" s="402" t="e">
        <f t="shared" si="3"/>
        <v>#DIV/0!</v>
      </c>
      <c r="N31" s="390"/>
      <c r="O31" s="39"/>
      <c r="P31" s="39"/>
    </row>
    <row r="32" spans="2:16" x14ac:dyDescent="0.25">
      <c r="B32" s="202"/>
      <c r="C32" s="107">
        <v>2024</v>
      </c>
      <c r="D32" s="105"/>
      <c r="E32" s="509"/>
      <c r="F32" s="187"/>
      <c r="G32" s="374"/>
      <c r="H32" s="375"/>
      <c r="I32" s="393">
        <f t="shared" si="2"/>
        <v>136.08618304656531</v>
      </c>
      <c r="J32" s="62">
        <v>80</v>
      </c>
      <c r="K32" s="204">
        <f t="shared" si="0"/>
        <v>40</v>
      </c>
      <c r="L32" s="262"/>
      <c r="M32" s="402" t="e">
        <f t="shared" si="3"/>
        <v>#DIV/0!</v>
      </c>
      <c r="N32" s="390"/>
      <c r="O32" s="39"/>
      <c r="P32" s="39"/>
    </row>
    <row r="33" spans="2:16" x14ac:dyDescent="0.25">
      <c r="B33" s="202"/>
      <c r="C33" s="107">
        <v>2025</v>
      </c>
      <c r="D33" s="105"/>
      <c r="E33" s="509"/>
      <c r="F33" s="187"/>
      <c r="G33" s="374"/>
      <c r="H33" s="375"/>
      <c r="I33" s="393">
        <f t="shared" si="2"/>
        <v>142.21006128366074</v>
      </c>
      <c r="J33" s="62">
        <v>80</v>
      </c>
      <c r="K33" s="204">
        <f t="shared" si="0"/>
        <v>40</v>
      </c>
      <c r="L33" s="263"/>
      <c r="M33" s="402" t="e">
        <f t="shared" si="3"/>
        <v>#DIV/0!</v>
      </c>
      <c r="N33" s="390"/>
      <c r="O33" s="39"/>
      <c r="P33" s="39"/>
    </row>
    <row r="34" spans="2:16" x14ac:dyDescent="0.25">
      <c r="B34" s="202"/>
      <c r="C34" s="107">
        <v>2026</v>
      </c>
      <c r="D34" s="105"/>
      <c r="E34" s="509"/>
      <c r="F34" s="187"/>
      <c r="G34" s="374"/>
      <c r="H34" s="375"/>
      <c r="I34" s="393">
        <f t="shared" si="2"/>
        <v>148.60951404142546</v>
      </c>
      <c r="J34" s="62">
        <v>80</v>
      </c>
      <c r="K34" s="204">
        <f t="shared" si="0"/>
        <v>40</v>
      </c>
      <c r="M34" s="401" t="e">
        <f>AVERAGE(M25:M33)</f>
        <v>#DIV/0!</v>
      </c>
      <c r="N34" s="397" t="e">
        <f>AVERAGE(N26:N28)</f>
        <v>#DIV/0!</v>
      </c>
    </row>
    <row r="35" spans="2:16" ht="15.75" thickBot="1" x14ac:dyDescent="0.3">
      <c r="B35" s="203"/>
      <c r="C35" s="207">
        <v>2027</v>
      </c>
      <c r="D35" s="366"/>
      <c r="E35" s="535"/>
      <c r="F35" s="253"/>
      <c r="G35" s="376"/>
      <c r="H35" s="377"/>
      <c r="I35" s="396">
        <f t="shared" si="2"/>
        <v>155.29694217328958</v>
      </c>
      <c r="J35" s="183">
        <v>80</v>
      </c>
      <c r="K35" s="206">
        <f t="shared" si="0"/>
        <v>40</v>
      </c>
      <c r="M35" s="50"/>
      <c r="N35" s="50"/>
    </row>
    <row r="36" spans="2:16" x14ac:dyDescent="0.25">
      <c r="F36" s="398">
        <f>AVERAGE(F7:F25)</f>
        <v>7.8070899082409093E-2</v>
      </c>
      <c r="M36" s="50"/>
      <c r="N36" s="50"/>
    </row>
    <row r="37" spans="2:16" ht="15.75" thickBot="1" x14ac:dyDescent="0.3"/>
    <row r="38" spans="2:16" ht="20.100000000000001" customHeight="1" thickBot="1" x14ac:dyDescent="0.3">
      <c r="C38" s="1037" t="s">
        <v>42</v>
      </c>
      <c r="D38" s="1038"/>
      <c r="E38" s="1038"/>
      <c r="F38" s="1038"/>
      <c r="G38" s="1038"/>
      <c r="H38" s="1038"/>
      <c r="I38" s="1038"/>
      <c r="J38" s="1038"/>
      <c r="K38" s="1039"/>
    </row>
    <row r="39" spans="2:16" ht="15.95" customHeight="1" thickBot="1" x14ac:dyDescent="0.3">
      <c r="C39" s="1201" t="s">
        <v>54</v>
      </c>
      <c r="D39" s="1202"/>
      <c r="E39" s="1202"/>
      <c r="F39" s="1202"/>
      <c r="G39" s="1202"/>
      <c r="H39" s="1202"/>
      <c r="I39" s="1202"/>
      <c r="J39" s="1202"/>
      <c r="K39" s="1203"/>
    </row>
    <row r="40" spans="2:16" ht="15.95" customHeight="1" thickBot="1" x14ac:dyDescent="0.3">
      <c r="B40" s="1051" t="s">
        <v>26</v>
      </c>
      <c r="C40" s="1043" t="s">
        <v>35</v>
      </c>
      <c r="D40" s="1045" t="s">
        <v>110</v>
      </c>
      <c r="E40" s="1046"/>
      <c r="F40" s="1047"/>
      <c r="G40" s="1045" t="s">
        <v>74</v>
      </c>
      <c r="H40" s="1047"/>
      <c r="I40" s="1043" t="s">
        <v>180</v>
      </c>
      <c r="J40" s="1043" t="s">
        <v>268</v>
      </c>
      <c r="K40" s="1049" t="s">
        <v>269</v>
      </c>
    </row>
    <row r="41" spans="2:16" ht="35.1" customHeight="1" thickBot="1" x14ac:dyDescent="0.3">
      <c r="B41" s="1051"/>
      <c r="C41" s="1044"/>
      <c r="D41" s="541" t="s">
        <v>174</v>
      </c>
      <c r="E41" s="541" t="s">
        <v>122</v>
      </c>
      <c r="F41" s="541" t="s">
        <v>81</v>
      </c>
      <c r="G41" s="537" t="s">
        <v>170</v>
      </c>
      <c r="H41" s="538" t="s">
        <v>270</v>
      </c>
      <c r="I41" s="1044"/>
      <c r="J41" s="1044"/>
      <c r="K41" s="1175"/>
    </row>
    <row r="42" spans="2:16" ht="15" customHeight="1" x14ac:dyDescent="0.25">
      <c r="B42" s="49">
        <v>1999</v>
      </c>
      <c r="C42" s="786">
        <v>1999</v>
      </c>
      <c r="D42" s="647">
        <v>40.28</v>
      </c>
      <c r="E42" s="648">
        <v>40.700964258906396</v>
      </c>
      <c r="F42" s="643"/>
      <c r="G42" s="657"/>
      <c r="H42" s="657"/>
      <c r="I42" s="579">
        <f>2*40</f>
        <v>80</v>
      </c>
      <c r="J42" s="579">
        <f>I42-40</f>
        <v>40</v>
      </c>
      <c r="K42" s="679">
        <f>E42/I42</f>
        <v>0.50876205323632995</v>
      </c>
    </row>
    <row r="43" spans="2:16" ht="15" customHeight="1" x14ac:dyDescent="0.25">
      <c r="B43" s="49">
        <v>2000</v>
      </c>
      <c r="C43" s="787">
        <v>2000</v>
      </c>
      <c r="D43" s="649">
        <v>51.6</v>
      </c>
      <c r="E43" s="650">
        <v>52.139269010912862</v>
      </c>
      <c r="F43" s="644">
        <f t="shared" ref="F43:F60" si="4">(E43-E42)/E42</f>
        <v>0.28103277060575971</v>
      </c>
      <c r="G43" s="658"/>
      <c r="H43" s="658"/>
      <c r="I43" s="581">
        <f t="shared" ref="I43:I70" si="5">2*40</f>
        <v>80</v>
      </c>
      <c r="J43" s="581">
        <f t="shared" ref="J43:J70" si="6">I43-40</f>
        <v>40</v>
      </c>
      <c r="K43" s="680">
        <f t="shared" ref="K43:K60" si="7">E43/I43</f>
        <v>0.65174086263641073</v>
      </c>
    </row>
    <row r="44" spans="2:16" ht="15" customHeight="1" x14ac:dyDescent="0.25">
      <c r="B44" s="49">
        <v>2001</v>
      </c>
      <c r="C44" s="787">
        <v>2001</v>
      </c>
      <c r="D44" s="649">
        <v>55.69</v>
      </c>
      <c r="E44" s="650">
        <v>56.272013395692582</v>
      </c>
      <c r="F44" s="644">
        <f t="shared" si="4"/>
        <v>7.9263565891472848E-2</v>
      </c>
      <c r="G44" s="658"/>
      <c r="H44" s="658"/>
      <c r="I44" s="581">
        <f t="shared" si="5"/>
        <v>80</v>
      </c>
      <c r="J44" s="581">
        <f t="shared" si="6"/>
        <v>40</v>
      </c>
      <c r="K44" s="680">
        <f t="shared" si="7"/>
        <v>0.7034001674461573</v>
      </c>
    </row>
    <row r="45" spans="2:16" ht="15" customHeight="1" x14ac:dyDescent="0.25">
      <c r="B45" s="49">
        <v>2002</v>
      </c>
      <c r="C45" s="787">
        <v>2002</v>
      </c>
      <c r="D45" s="649">
        <v>53.41</v>
      </c>
      <c r="E45" s="650">
        <v>53.968185230094107</v>
      </c>
      <c r="F45" s="644">
        <f t="shared" si="4"/>
        <v>-4.0940922966421253E-2</v>
      </c>
      <c r="G45" s="658"/>
      <c r="H45" s="658"/>
      <c r="I45" s="581">
        <f t="shared" si="5"/>
        <v>80</v>
      </c>
      <c r="J45" s="581">
        <f t="shared" si="6"/>
        <v>40</v>
      </c>
      <c r="K45" s="680">
        <f t="shared" si="7"/>
        <v>0.67460231537617632</v>
      </c>
    </row>
    <row r="46" spans="2:16" ht="15" customHeight="1" x14ac:dyDescent="0.25">
      <c r="B46" s="49">
        <v>2003</v>
      </c>
      <c r="C46" s="582">
        <v>37760.864583333336</v>
      </c>
      <c r="D46" s="649">
        <v>51.97</v>
      </c>
      <c r="E46" s="650">
        <v>53</v>
      </c>
      <c r="F46" s="644">
        <f t="shared" si="4"/>
        <v>-1.7939925642602883E-2</v>
      </c>
      <c r="G46" s="658"/>
      <c r="H46" s="658"/>
      <c r="I46" s="581">
        <f t="shared" si="5"/>
        <v>80</v>
      </c>
      <c r="J46" s="581">
        <f t="shared" si="6"/>
        <v>40</v>
      </c>
      <c r="K46" s="680">
        <f t="shared" si="7"/>
        <v>0.66249999999999998</v>
      </c>
    </row>
    <row r="47" spans="2:16" ht="15" customHeight="1" x14ac:dyDescent="0.25">
      <c r="B47" s="49">
        <v>2004</v>
      </c>
      <c r="C47" s="582">
        <v>38133.802083333336</v>
      </c>
      <c r="D47" s="649">
        <v>52.27</v>
      </c>
      <c r="E47" s="650">
        <v>52.81</v>
      </c>
      <c r="F47" s="644">
        <f t="shared" si="4"/>
        <v>-3.5849056603773155E-3</v>
      </c>
      <c r="G47" s="658"/>
      <c r="H47" s="658"/>
      <c r="I47" s="581">
        <f t="shared" si="5"/>
        <v>80</v>
      </c>
      <c r="J47" s="581">
        <f t="shared" si="6"/>
        <v>40</v>
      </c>
      <c r="K47" s="680">
        <f t="shared" si="7"/>
        <v>0.66012500000000007</v>
      </c>
    </row>
    <row r="48" spans="2:16" ht="15" customHeight="1" x14ac:dyDescent="0.25">
      <c r="B48" s="49">
        <v>2005</v>
      </c>
      <c r="C48" s="582">
        <v>38524.833333333336</v>
      </c>
      <c r="D48" s="649">
        <v>47.94</v>
      </c>
      <c r="E48" s="650">
        <v>48.47</v>
      </c>
      <c r="F48" s="644">
        <f t="shared" si="4"/>
        <v>-8.2181405036924893E-2</v>
      </c>
      <c r="G48" s="658"/>
      <c r="H48" s="658"/>
      <c r="I48" s="581">
        <f t="shared" si="5"/>
        <v>80</v>
      </c>
      <c r="J48" s="581">
        <f t="shared" si="6"/>
        <v>40</v>
      </c>
      <c r="K48" s="680">
        <f t="shared" si="7"/>
        <v>0.60587499999999994</v>
      </c>
    </row>
    <row r="49" spans="2:12" ht="15" customHeight="1" x14ac:dyDescent="0.25">
      <c r="B49" s="49">
        <v>2006</v>
      </c>
      <c r="C49" s="582">
        <v>38894.833333333336</v>
      </c>
      <c r="D49" s="649">
        <v>48.55</v>
      </c>
      <c r="E49" s="650">
        <v>49.05</v>
      </c>
      <c r="F49" s="644">
        <f t="shared" si="4"/>
        <v>1.1966164637920329E-2</v>
      </c>
      <c r="G49" s="658"/>
      <c r="H49" s="658"/>
      <c r="I49" s="581">
        <f t="shared" si="5"/>
        <v>80</v>
      </c>
      <c r="J49" s="581">
        <f t="shared" si="6"/>
        <v>40</v>
      </c>
      <c r="K49" s="680">
        <f t="shared" si="7"/>
        <v>0.61312499999999992</v>
      </c>
    </row>
    <row r="50" spans="2:12" ht="15" customHeight="1" x14ac:dyDescent="0.25">
      <c r="B50" s="49">
        <v>2007</v>
      </c>
      <c r="C50" s="582">
        <v>39115.90625</v>
      </c>
      <c r="D50" s="649">
        <v>48.47</v>
      </c>
      <c r="E50" s="650">
        <v>49.36</v>
      </c>
      <c r="F50" s="644">
        <f t="shared" si="4"/>
        <v>6.3200815494393941E-3</v>
      </c>
      <c r="G50" s="658"/>
      <c r="H50" s="658"/>
      <c r="I50" s="581">
        <f t="shared" si="5"/>
        <v>80</v>
      </c>
      <c r="J50" s="581">
        <f t="shared" si="6"/>
        <v>40</v>
      </c>
      <c r="K50" s="680">
        <f t="shared" si="7"/>
        <v>0.61699999999999999</v>
      </c>
    </row>
    <row r="51" spans="2:12" ht="15" customHeight="1" x14ac:dyDescent="0.25">
      <c r="B51" s="49">
        <v>2008</v>
      </c>
      <c r="C51" s="582">
        <v>39596.854166666664</v>
      </c>
      <c r="D51" s="649">
        <v>48.78</v>
      </c>
      <c r="E51" s="650">
        <v>48.84</v>
      </c>
      <c r="F51" s="644">
        <f t="shared" si="4"/>
        <v>-1.053484602917334E-2</v>
      </c>
      <c r="G51" s="658"/>
      <c r="H51" s="658"/>
      <c r="I51" s="581">
        <f t="shared" si="5"/>
        <v>80</v>
      </c>
      <c r="J51" s="581">
        <f t="shared" si="6"/>
        <v>40</v>
      </c>
      <c r="K51" s="680">
        <f t="shared" si="7"/>
        <v>0.61050000000000004</v>
      </c>
    </row>
    <row r="52" spans="2:12" ht="15" customHeight="1" x14ac:dyDescent="0.25">
      <c r="B52" s="49">
        <v>2009</v>
      </c>
      <c r="C52" s="582">
        <v>40016.8125</v>
      </c>
      <c r="D52" s="649">
        <v>51.14</v>
      </c>
      <c r="E52" s="650">
        <v>51.26</v>
      </c>
      <c r="F52" s="644">
        <f t="shared" si="4"/>
        <v>4.9549549549549439E-2</v>
      </c>
      <c r="G52" s="658"/>
      <c r="H52" s="658"/>
      <c r="I52" s="581">
        <f t="shared" si="5"/>
        <v>80</v>
      </c>
      <c r="J52" s="581">
        <f t="shared" si="6"/>
        <v>40</v>
      </c>
      <c r="K52" s="680">
        <f t="shared" si="7"/>
        <v>0.64074999999999993</v>
      </c>
    </row>
    <row r="53" spans="2:12" ht="15" customHeight="1" x14ac:dyDescent="0.25">
      <c r="B53" s="49">
        <v>2010</v>
      </c>
      <c r="C53" s="582">
        <v>40395.833333333336</v>
      </c>
      <c r="D53" s="649">
        <v>50.99</v>
      </c>
      <c r="E53" s="650">
        <v>51.32</v>
      </c>
      <c r="F53" s="644">
        <f t="shared" si="4"/>
        <v>1.1705033164261076E-3</v>
      </c>
      <c r="G53" s="658"/>
      <c r="H53" s="658"/>
      <c r="I53" s="581">
        <f t="shared" si="5"/>
        <v>80</v>
      </c>
      <c r="J53" s="581">
        <f t="shared" si="6"/>
        <v>40</v>
      </c>
      <c r="K53" s="680">
        <f t="shared" si="7"/>
        <v>0.64149999999999996</v>
      </c>
    </row>
    <row r="54" spans="2:12" ht="15" customHeight="1" x14ac:dyDescent="0.25">
      <c r="B54" s="49">
        <v>2011</v>
      </c>
      <c r="C54" s="582">
        <v>40722.895833333336</v>
      </c>
      <c r="D54" s="649">
        <v>50.18</v>
      </c>
      <c r="E54" s="650">
        <v>50.29</v>
      </c>
      <c r="F54" s="644">
        <f t="shared" si="4"/>
        <v>-2.0070148090413117E-2</v>
      </c>
      <c r="G54" s="658"/>
      <c r="H54" s="658"/>
      <c r="I54" s="581">
        <f t="shared" si="5"/>
        <v>80</v>
      </c>
      <c r="J54" s="581">
        <f t="shared" si="6"/>
        <v>40</v>
      </c>
      <c r="K54" s="680">
        <f t="shared" si="7"/>
        <v>0.62862499999999999</v>
      </c>
    </row>
    <row r="55" spans="2:12" ht="15" customHeight="1" x14ac:dyDescent="0.25">
      <c r="B55" s="49">
        <v>2012</v>
      </c>
      <c r="C55" s="582">
        <v>40956.635416666664</v>
      </c>
      <c r="D55" s="649">
        <v>51.22</v>
      </c>
      <c r="E55" s="650">
        <v>52.95</v>
      </c>
      <c r="F55" s="644">
        <f t="shared" si="4"/>
        <v>5.2893219327898262E-2</v>
      </c>
      <c r="G55" s="659"/>
      <c r="H55" s="658"/>
      <c r="I55" s="581">
        <f t="shared" si="5"/>
        <v>80</v>
      </c>
      <c r="J55" s="581">
        <f t="shared" si="6"/>
        <v>40</v>
      </c>
      <c r="K55" s="680">
        <f t="shared" si="7"/>
        <v>0.66187499999999999</v>
      </c>
    </row>
    <row r="56" spans="2:12" ht="15" customHeight="1" x14ac:dyDescent="0.25">
      <c r="B56" s="49">
        <v>2013</v>
      </c>
      <c r="C56" s="582">
        <v>41624.708333333336</v>
      </c>
      <c r="D56" s="649">
        <v>45.17</v>
      </c>
      <c r="E56" s="650">
        <v>46.62</v>
      </c>
      <c r="F56" s="644">
        <f t="shared" si="4"/>
        <v>-0.11954674220963182</v>
      </c>
      <c r="G56" s="659"/>
      <c r="H56" s="658"/>
      <c r="I56" s="581">
        <f t="shared" si="5"/>
        <v>80</v>
      </c>
      <c r="J56" s="581">
        <f t="shared" si="6"/>
        <v>40</v>
      </c>
      <c r="K56" s="680">
        <f t="shared" si="7"/>
        <v>0.58274999999999999</v>
      </c>
    </row>
    <row r="57" spans="2:12" ht="15" customHeight="1" x14ac:dyDescent="0.25">
      <c r="B57" s="49">
        <v>2014</v>
      </c>
      <c r="C57" s="580">
        <v>41661.666666666664</v>
      </c>
      <c r="D57" s="649">
        <v>49.73</v>
      </c>
      <c r="E57" s="650">
        <v>50.97</v>
      </c>
      <c r="F57" s="644">
        <f t="shared" si="4"/>
        <v>9.3307593307593348E-2</v>
      </c>
      <c r="G57" s="658"/>
      <c r="H57" s="658"/>
      <c r="I57" s="581">
        <f t="shared" si="5"/>
        <v>80</v>
      </c>
      <c r="J57" s="581">
        <f t="shared" si="6"/>
        <v>40</v>
      </c>
      <c r="K57" s="680">
        <f t="shared" si="7"/>
        <v>0.63712499999999994</v>
      </c>
    </row>
    <row r="58" spans="2:12" ht="15" customHeight="1" x14ac:dyDescent="0.25">
      <c r="B58" s="49">
        <v>2015</v>
      </c>
      <c r="C58" s="580">
        <v>42173.854166666664</v>
      </c>
      <c r="D58" s="649">
        <v>45.16</v>
      </c>
      <c r="E58" s="650">
        <v>45.17</v>
      </c>
      <c r="F58" s="644">
        <f t="shared" si="4"/>
        <v>-0.11379242691779473</v>
      </c>
      <c r="G58" s="658"/>
      <c r="H58" s="658"/>
      <c r="I58" s="581">
        <f t="shared" si="5"/>
        <v>80</v>
      </c>
      <c r="J58" s="581">
        <f t="shared" si="6"/>
        <v>40</v>
      </c>
      <c r="K58" s="680">
        <f t="shared" si="7"/>
        <v>0.56462500000000004</v>
      </c>
    </row>
    <row r="59" spans="2:12" ht="15" customHeight="1" x14ac:dyDescent="0.25">
      <c r="B59" s="49">
        <v>2016</v>
      </c>
      <c r="C59" s="580">
        <v>42716.583333333336</v>
      </c>
      <c r="D59" s="649">
        <v>50.4</v>
      </c>
      <c r="E59" s="650">
        <v>51.2</v>
      </c>
      <c r="F59" s="644">
        <f t="shared" si="4"/>
        <v>0.13349568297542619</v>
      </c>
      <c r="G59" s="658"/>
      <c r="H59" s="658"/>
      <c r="I59" s="581">
        <f t="shared" si="5"/>
        <v>80</v>
      </c>
      <c r="J59" s="581">
        <f t="shared" si="6"/>
        <v>40</v>
      </c>
      <c r="K59" s="680">
        <f t="shared" si="7"/>
        <v>0.64</v>
      </c>
    </row>
    <row r="60" spans="2:12" ht="15" customHeight="1" x14ac:dyDescent="0.25">
      <c r="B60" s="49">
        <v>2017</v>
      </c>
      <c r="C60" s="580">
        <v>42796.645833333336</v>
      </c>
      <c r="D60" s="649">
        <v>45.17</v>
      </c>
      <c r="E60" s="650">
        <v>45.89</v>
      </c>
      <c r="F60" s="644">
        <f t="shared" si="4"/>
        <v>-0.10371093750000004</v>
      </c>
      <c r="G60" s="658"/>
      <c r="H60" s="658">
        <f>E60</f>
        <v>45.89</v>
      </c>
      <c r="I60" s="581">
        <f t="shared" si="5"/>
        <v>80</v>
      </c>
      <c r="J60" s="581">
        <f t="shared" si="6"/>
        <v>40</v>
      </c>
      <c r="K60" s="680">
        <f t="shared" si="7"/>
        <v>0.57362500000000005</v>
      </c>
      <c r="L60" s="7">
        <f>H60</f>
        <v>45.89</v>
      </c>
    </row>
    <row r="61" spans="2:12" ht="15" customHeight="1" x14ac:dyDescent="0.25">
      <c r="B61" s="54">
        <v>2018</v>
      </c>
      <c r="C61" s="720">
        <v>2018</v>
      </c>
      <c r="D61" s="651"/>
      <c r="E61" s="652"/>
      <c r="F61" s="645"/>
      <c r="G61" s="660">
        <f>-0.1333*C61+317.59</f>
        <v>48.590599999999995</v>
      </c>
      <c r="H61" s="661">
        <f>0.01+H60</f>
        <v>45.9</v>
      </c>
      <c r="I61" s="584">
        <f t="shared" si="5"/>
        <v>80</v>
      </c>
      <c r="J61" s="584">
        <f t="shared" si="6"/>
        <v>40</v>
      </c>
      <c r="K61" s="684">
        <f>H61/I61</f>
        <v>0.57374999999999998</v>
      </c>
      <c r="L61" s="10">
        <f>1.043*L60</f>
        <v>47.86327</v>
      </c>
    </row>
    <row r="62" spans="2:12" ht="15" customHeight="1" x14ac:dyDescent="0.25">
      <c r="B62" s="54">
        <v>2019</v>
      </c>
      <c r="C62" s="720">
        <v>2019</v>
      </c>
      <c r="D62" s="651"/>
      <c r="E62" s="652"/>
      <c r="F62" s="645"/>
      <c r="G62" s="660">
        <f t="shared" ref="G62:G70" si="8">-0.1333*C62+317.59</f>
        <v>48.457299999999975</v>
      </c>
      <c r="H62" s="661">
        <f t="shared" ref="H62:H69" si="9">0.01+H61</f>
        <v>45.91</v>
      </c>
      <c r="I62" s="584">
        <f t="shared" si="5"/>
        <v>80</v>
      </c>
      <c r="J62" s="584">
        <f t="shared" si="6"/>
        <v>40</v>
      </c>
      <c r="K62" s="684">
        <f t="shared" ref="K62:K70" si="10">H62/I62</f>
        <v>0.57387499999999991</v>
      </c>
    </row>
    <row r="63" spans="2:12" ht="15" customHeight="1" x14ac:dyDescent="0.25">
      <c r="B63" s="54">
        <v>2020</v>
      </c>
      <c r="C63" s="720">
        <v>2020</v>
      </c>
      <c r="D63" s="651"/>
      <c r="E63" s="652"/>
      <c r="F63" s="645"/>
      <c r="G63" s="660">
        <f t="shared" si="8"/>
        <v>48.323999999999955</v>
      </c>
      <c r="H63" s="661">
        <f t="shared" si="9"/>
        <v>45.919999999999995</v>
      </c>
      <c r="I63" s="584">
        <f t="shared" si="5"/>
        <v>80</v>
      </c>
      <c r="J63" s="584">
        <f t="shared" si="6"/>
        <v>40</v>
      </c>
      <c r="K63" s="684">
        <f t="shared" si="10"/>
        <v>0.57399999999999995</v>
      </c>
    </row>
    <row r="64" spans="2:12" ht="15" customHeight="1" x14ac:dyDescent="0.25">
      <c r="B64" s="54">
        <v>2021</v>
      </c>
      <c r="C64" s="720">
        <v>2021</v>
      </c>
      <c r="D64" s="651"/>
      <c r="E64" s="652"/>
      <c r="F64" s="645"/>
      <c r="G64" s="660">
        <f t="shared" si="8"/>
        <v>48.190699999999993</v>
      </c>
      <c r="H64" s="661">
        <f t="shared" si="9"/>
        <v>45.929999999999993</v>
      </c>
      <c r="I64" s="584">
        <f t="shared" si="5"/>
        <v>80</v>
      </c>
      <c r="J64" s="584">
        <f t="shared" si="6"/>
        <v>40</v>
      </c>
      <c r="K64" s="684">
        <f t="shared" si="10"/>
        <v>0.57412499999999989</v>
      </c>
    </row>
    <row r="65" spans="2:12" ht="15" customHeight="1" x14ac:dyDescent="0.25">
      <c r="B65" s="54">
        <v>2022</v>
      </c>
      <c r="C65" s="720">
        <v>2022</v>
      </c>
      <c r="D65" s="651"/>
      <c r="E65" s="652"/>
      <c r="F65" s="645"/>
      <c r="G65" s="660">
        <f t="shared" si="8"/>
        <v>48.057399999999973</v>
      </c>
      <c r="H65" s="661">
        <f t="shared" si="9"/>
        <v>45.939999999999991</v>
      </c>
      <c r="I65" s="584">
        <f t="shared" si="5"/>
        <v>80</v>
      </c>
      <c r="J65" s="584">
        <f t="shared" si="6"/>
        <v>40</v>
      </c>
      <c r="K65" s="684">
        <f t="shared" si="10"/>
        <v>0.57424999999999993</v>
      </c>
    </row>
    <row r="66" spans="2:12" ht="15" customHeight="1" x14ac:dyDescent="0.25">
      <c r="B66" s="54">
        <v>2023</v>
      </c>
      <c r="C66" s="720">
        <v>2023</v>
      </c>
      <c r="D66" s="651"/>
      <c r="E66" s="652"/>
      <c r="F66" s="645"/>
      <c r="G66" s="660">
        <f t="shared" si="8"/>
        <v>47.924099999999953</v>
      </c>
      <c r="H66" s="661">
        <f t="shared" si="9"/>
        <v>45.949999999999989</v>
      </c>
      <c r="I66" s="584">
        <f t="shared" si="5"/>
        <v>80</v>
      </c>
      <c r="J66" s="584">
        <f t="shared" si="6"/>
        <v>40</v>
      </c>
      <c r="K66" s="684">
        <f t="shared" si="10"/>
        <v>0.57437499999999986</v>
      </c>
    </row>
    <row r="67" spans="2:12" ht="15" customHeight="1" x14ac:dyDescent="0.25">
      <c r="B67" s="54">
        <v>2024</v>
      </c>
      <c r="C67" s="822">
        <v>2024</v>
      </c>
      <c r="D67" s="769"/>
      <c r="E67" s="770"/>
      <c r="F67" s="771"/>
      <c r="G67" s="660">
        <f t="shared" si="8"/>
        <v>47.79079999999999</v>
      </c>
      <c r="H67" s="661">
        <f t="shared" si="9"/>
        <v>45.959999999999987</v>
      </c>
      <c r="I67" s="584">
        <f t="shared" si="5"/>
        <v>80</v>
      </c>
      <c r="J67" s="584">
        <f t="shared" si="6"/>
        <v>40</v>
      </c>
      <c r="K67" s="684">
        <f t="shared" si="10"/>
        <v>0.57449999999999979</v>
      </c>
    </row>
    <row r="68" spans="2:12" ht="15" customHeight="1" x14ac:dyDescent="0.25">
      <c r="B68" s="54">
        <v>2025</v>
      </c>
      <c r="C68" s="822">
        <v>2025</v>
      </c>
      <c r="D68" s="769"/>
      <c r="E68" s="770"/>
      <c r="F68" s="771"/>
      <c r="G68" s="660">
        <f t="shared" si="8"/>
        <v>47.65749999999997</v>
      </c>
      <c r="H68" s="661">
        <f t="shared" si="9"/>
        <v>45.969999999999985</v>
      </c>
      <c r="I68" s="584">
        <f t="shared" si="5"/>
        <v>80</v>
      </c>
      <c r="J68" s="584">
        <f t="shared" si="6"/>
        <v>40</v>
      </c>
      <c r="K68" s="684">
        <f t="shared" si="10"/>
        <v>0.57462499999999983</v>
      </c>
    </row>
    <row r="69" spans="2:12" ht="15" customHeight="1" x14ac:dyDescent="0.25">
      <c r="B69" s="54">
        <v>2026</v>
      </c>
      <c r="C69" s="822">
        <v>2026</v>
      </c>
      <c r="D69" s="769"/>
      <c r="E69" s="770"/>
      <c r="F69" s="771"/>
      <c r="G69" s="660">
        <f t="shared" si="8"/>
        <v>47.524199999999951</v>
      </c>
      <c r="H69" s="661">
        <f t="shared" si="9"/>
        <v>45.979999999999983</v>
      </c>
      <c r="I69" s="584">
        <f t="shared" si="5"/>
        <v>80</v>
      </c>
      <c r="J69" s="584">
        <f t="shared" si="6"/>
        <v>40</v>
      </c>
      <c r="K69" s="684">
        <f t="shared" si="10"/>
        <v>0.57474999999999976</v>
      </c>
    </row>
    <row r="70" spans="2:12" ht="15" customHeight="1" thickBot="1" x14ac:dyDescent="0.3">
      <c r="B70" s="209">
        <v>2027</v>
      </c>
      <c r="C70" s="823">
        <v>2027</v>
      </c>
      <c r="D70" s="774"/>
      <c r="E70" s="775"/>
      <c r="F70" s="776"/>
      <c r="G70" s="662">
        <f t="shared" si="8"/>
        <v>47.390899999999988</v>
      </c>
      <c r="H70" s="663">
        <f>0.02+H69</f>
        <v>45.999999999999986</v>
      </c>
      <c r="I70" s="586">
        <f t="shared" si="5"/>
        <v>80</v>
      </c>
      <c r="J70" s="586">
        <f t="shared" si="6"/>
        <v>40</v>
      </c>
      <c r="K70" s="686">
        <f t="shared" si="10"/>
        <v>0.57499999999999984</v>
      </c>
    </row>
    <row r="71" spans="2:12" ht="15" customHeight="1" x14ac:dyDescent="0.25">
      <c r="F71" s="143">
        <f>AVERAGE(F43:F60)</f>
        <v>1.0927603950452565E-2</v>
      </c>
      <c r="H71">
        <f>0.043*H60</f>
        <v>1.9732699999999999</v>
      </c>
    </row>
    <row r="72" spans="2:12" ht="15" customHeight="1" x14ac:dyDescent="0.25">
      <c r="H72">
        <f>0.045*0.1333</f>
        <v>5.9984999999999995E-3</v>
      </c>
    </row>
    <row r="75" spans="2:12" ht="15" customHeight="1" x14ac:dyDescent="0.25">
      <c r="C75" s="1253" t="s">
        <v>90</v>
      </c>
      <c r="D75" s="1253"/>
      <c r="E75" s="1253"/>
      <c r="F75" s="1253"/>
      <c r="G75" s="1253"/>
      <c r="H75" s="1253"/>
      <c r="I75" s="1253"/>
      <c r="J75" s="1253"/>
      <c r="K75" s="1253"/>
      <c r="L75" s="1253"/>
    </row>
    <row r="76" spans="2:12" x14ac:dyDescent="0.25">
      <c r="C76" s="1253"/>
      <c r="D76" s="1253"/>
      <c r="E76" s="1253"/>
      <c r="F76" s="1253"/>
      <c r="G76" s="1253"/>
      <c r="H76" s="1253"/>
      <c r="I76" s="1253"/>
      <c r="J76" s="1253"/>
      <c r="K76" s="1253"/>
      <c r="L76" s="1253"/>
    </row>
    <row r="77" spans="2:12" x14ac:dyDescent="0.25">
      <c r="C77" s="1253"/>
      <c r="D77" s="1253"/>
      <c r="E77" s="1253"/>
      <c r="F77" s="1253"/>
      <c r="G77" s="1253"/>
      <c r="H77" s="1253"/>
      <c r="I77" s="1253"/>
      <c r="J77" s="1253"/>
      <c r="K77" s="1253"/>
      <c r="L77" s="1253"/>
    </row>
    <row r="78" spans="2:12" x14ac:dyDescent="0.25">
      <c r="C78" s="1253"/>
      <c r="D78" s="1253"/>
      <c r="E78" s="1253"/>
      <c r="F78" s="1253"/>
      <c r="G78" s="1253"/>
      <c r="H78" s="1253"/>
      <c r="I78" s="1253"/>
      <c r="J78" s="1253"/>
      <c r="K78" s="1253"/>
      <c r="L78" s="1253"/>
    </row>
    <row r="93" spans="15:22" x14ac:dyDescent="0.25">
      <c r="O93" s="1256" t="s">
        <v>339</v>
      </c>
      <c r="P93" s="1256"/>
      <c r="Q93" s="1256"/>
      <c r="R93" s="1256"/>
      <c r="S93" s="1256"/>
      <c r="T93" s="1256"/>
      <c r="U93" s="1256"/>
      <c r="V93" s="1256"/>
    </row>
    <row r="94" spans="15:22" x14ac:dyDescent="0.25">
      <c r="O94" s="1256"/>
      <c r="P94" s="1256"/>
      <c r="Q94" s="1256"/>
      <c r="R94" s="1256"/>
      <c r="S94" s="1256"/>
      <c r="T94" s="1256"/>
      <c r="U94" s="1256"/>
      <c r="V94" s="1256"/>
    </row>
    <row r="95" spans="15:22" x14ac:dyDescent="0.25">
      <c r="O95" s="1256"/>
      <c r="P95" s="1256"/>
      <c r="Q95" s="1256"/>
      <c r="R95" s="1256"/>
      <c r="S95" s="1256"/>
      <c r="T95" s="1256"/>
      <c r="U95" s="1256"/>
      <c r="V95" s="1256"/>
    </row>
    <row r="96" spans="15:22" x14ac:dyDescent="0.25">
      <c r="O96" s="1256"/>
      <c r="P96" s="1256"/>
      <c r="Q96" s="1256"/>
      <c r="R96" s="1256"/>
      <c r="S96" s="1256"/>
      <c r="T96" s="1256"/>
      <c r="U96" s="1256"/>
      <c r="V96" s="1256"/>
    </row>
    <row r="111" spans="1:20" ht="18" x14ac:dyDescent="0.25">
      <c r="A111" s="1093" t="s">
        <v>247</v>
      </c>
      <c r="B111" s="1093"/>
      <c r="C111" s="1093"/>
      <c r="D111" s="1093"/>
      <c r="E111" s="1093"/>
      <c r="F111" s="1093"/>
      <c r="G111" s="1093"/>
      <c r="H111" s="1093"/>
      <c r="I111" s="1093"/>
      <c r="J111" s="1093"/>
      <c r="K111" s="1093"/>
      <c r="L111" s="1093"/>
      <c r="M111" s="1093"/>
      <c r="N111" s="1093"/>
      <c r="O111" s="1093"/>
      <c r="P111" s="1093"/>
      <c r="Q111" s="1093"/>
      <c r="R111" s="1093"/>
      <c r="S111" s="1093"/>
      <c r="T111" s="1093"/>
    </row>
    <row r="112" spans="1:20" ht="18" x14ac:dyDescent="0.25">
      <c r="A112" s="1094" t="s">
        <v>248</v>
      </c>
      <c r="B112" s="1094"/>
      <c r="C112" s="1094"/>
      <c r="D112" s="1094"/>
      <c r="E112" s="1094"/>
      <c r="F112" s="1094"/>
      <c r="G112" s="1094"/>
      <c r="H112" s="1094"/>
      <c r="I112" s="1094"/>
      <c r="J112" s="1094"/>
      <c r="K112" s="1094"/>
      <c r="L112" s="1094"/>
      <c r="M112" s="1094"/>
      <c r="N112" s="1094"/>
      <c r="O112" s="1094"/>
      <c r="P112" s="1094"/>
      <c r="Q112" s="1094"/>
      <c r="R112" s="1094"/>
      <c r="S112" s="1094"/>
      <c r="T112" s="1094"/>
    </row>
    <row r="113" spans="1:20" ht="15.75" thickBot="1" x14ac:dyDescent="0.3">
      <c r="A113" s="452"/>
      <c r="B113" s="452"/>
      <c r="C113" s="452"/>
      <c r="D113" s="452"/>
      <c r="E113" s="452"/>
      <c r="F113" s="452"/>
      <c r="G113" s="452"/>
      <c r="H113" s="453"/>
      <c r="I113" s="452"/>
      <c r="J113" s="454"/>
      <c r="K113" s="453"/>
      <c r="L113" s="452"/>
      <c r="M113" s="454"/>
      <c r="N113" s="453"/>
      <c r="O113" s="452"/>
      <c r="P113" s="454"/>
      <c r="Q113" s="453"/>
      <c r="R113" s="452"/>
      <c r="S113" s="449"/>
      <c r="T113" s="450"/>
    </row>
    <row r="114" spans="1:20" x14ac:dyDescent="0.25">
      <c r="A114" s="1095" t="s">
        <v>249</v>
      </c>
      <c r="B114" s="1098" t="s">
        <v>250</v>
      </c>
      <c r="C114" s="1101" t="s">
        <v>251</v>
      </c>
      <c r="D114" s="1063" t="s">
        <v>252</v>
      </c>
      <c r="E114" s="1065"/>
      <c r="F114" s="1066">
        <v>2017</v>
      </c>
      <c r="G114" s="1064"/>
      <c r="H114" s="1106"/>
      <c r="I114" s="1063">
        <f>+F114+1</f>
        <v>2018</v>
      </c>
      <c r="J114" s="1064"/>
      <c r="K114" s="1065"/>
      <c r="L114" s="1066">
        <f>+I114+1</f>
        <v>2019</v>
      </c>
      <c r="M114" s="1064"/>
      <c r="N114" s="1106"/>
      <c r="O114" s="1063">
        <f>+L114+1</f>
        <v>2020</v>
      </c>
      <c r="P114" s="1064"/>
      <c r="Q114" s="1065"/>
      <c r="R114" s="1066">
        <f>+O114+1</f>
        <v>2021</v>
      </c>
      <c r="S114" s="1064"/>
      <c r="T114" s="1065"/>
    </row>
    <row r="115" spans="1:20" x14ac:dyDescent="0.25">
      <c r="A115" s="1096"/>
      <c r="B115" s="1099"/>
      <c r="C115" s="1102"/>
      <c r="D115" s="1104"/>
      <c r="E115" s="1105"/>
      <c r="F115" s="455" t="s">
        <v>253</v>
      </c>
      <c r="G115" s="1067" t="s">
        <v>254</v>
      </c>
      <c r="H115" s="1068"/>
      <c r="I115" s="456" t="s">
        <v>253</v>
      </c>
      <c r="J115" s="1067" t="s">
        <v>254</v>
      </c>
      <c r="K115" s="1069"/>
      <c r="L115" s="455" t="s">
        <v>253</v>
      </c>
      <c r="M115" s="1067" t="s">
        <v>254</v>
      </c>
      <c r="N115" s="1068"/>
      <c r="O115" s="456" t="s">
        <v>253</v>
      </c>
      <c r="P115" s="1067" t="s">
        <v>254</v>
      </c>
      <c r="Q115" s="1069"/>
      <c r="R115" s="455" t="s">
        <v>253</v>
      </c>
      <c r="S115" s="1067" t="s">
        <v>254</v>
      </c>
      <c r="T115" s="1069"/>
    </row>
    <row r="116" spans="1:20" ht="15.75" thickBot="1" x14ac:dyDescent="0.3">
      <c r="A116" s="1097"/>
      <c r="B116" s="1100"/>
      <c r="C116" s="1103"/>
      <c r="D116" s="1091" t="s">
        <v>255</v>
      </c>
      <c r="E116" s="1092"/>
      <c r="F116" s="457" t="s">
        <v>255</v>
      </c>
      <c r="G116" s="458" t="s">
        <v>255</v>
      </c>
      <c r="H116" s="459" t="s">
        <v>256</v>
      </c>
      <c r="I116" s="460" t="s">
        <v>255</v>
      </c>
      <c r="J116" s="461" t="s">
        <v>255</v>
      </c>
      <c r="K116" s="462" t="s">
        <v>256</v>
      </c>
      <c r="L116" s="457" t="s">
        <v>255</v>
      </c>
      <c r="M116" s="461" t="s">
        <v>255</v>
      </c>
      <c r="N116" s="459" t="s">
        <v>256</v>
      </c>
      <c r="O116" s="460" t="s">
        <v>255</v>
      </c>
      <c r="P116" s="461" t="s">
        <v>255</v>
      </c>
      <c r="Q116" s="462" t="s">
        <v>256</v>
      </c>
      <c r="R116" s="457" t="s">
        <v>255</v>
      </c>
      <c r="S116" s="461" t="s">
        <v>255</v>
      </c>
      <c r="T116" s="462" t="s">
        <v>256</v>
      </c>
    </row>
    <row r="117" spans="1:20" x14ac:dyDescent="0.25">
      <c r="B117" s="1190" t="s">
        <v>12</v>
      </c>
      <c r="C117" s="638" t="s">
        <v>24</v>
      </c>
      <c r="D117" s="639">
        <v>40</v>
      </c>
      <c r="E117" s="1138">
        <v>80</v>
      </c>
      <c r="F117" s="1186">
        <v>80</v>
      </c>
      <c r="G117" s="1184">
        <v>38.908874731301992</v>
      </c>
      <c r="H117" s="1185">
        <v>0.4863609341412749</v>
      </c>
      <c r="I117" s="1186">
        <v>80</v>
      </c>
      <c r="J117" s="1184">
        <v>40.581956344747972</v>
      </c>
      <c r="K117" s="1185">
        <v>0.5072744543093497</v>
      </c>
      <c r="L117" s="1139">
        <v>80</v>
      </c>
      <c r="M117" s="1170">
        <v>42.326980467572135</v>
      </c>
      <c r="N117" s="1185">
        <v>0.52908725584465166</v>
      </c>
      <c r="O117" s="1139">
        <v>80</v>
      </c>
      <c r="P117" s="1170">
        <v>44.147040627677733</v>
      </c>
      <c r="Q117" s="1185">
        <v>0.5518380078459717</v>
      </c>
      <c r="R117" s="1187">
        <v>80</v>
      </c>
      <c r="S117" s="1184">
        <v>46.045363374667872</v>
      </c>
      <c r="T117" s="1185">
        <v>0.57556704218334842</v>
      </c>
    </row>
    <row r="118" spans="1:20" x14ac:dyDescent="0.25">
      <c r="B118" s="1148"/>
      <c r="C118" s="640" t="s">
        <v>24</v>
      </c>
      <c r="D118" s="641">
        <v>40</v>
      </c>
      <c r="E118" s="1138"/>
      <c r="F118" s="1186"/>
      <c r="G118" s="1184"/>
      <c r="H118" s="1185"/>
      <c r="I118" s="1186"/>
      <c r="J118" s="1184"/>
      <c r="K118" s="1185"/>
      <c r="L118" s="1141"/>
      <c r="M118" s="1172"/>
      <c r="N118" s="1185"/>
      <c r="O118" s="1141"/>
      <c r="P118" s="1172"/>
      <c r="Q118" s="1185"/>
      <c r="R118" s="1187"/>
      <c r="S118" s="1184"/>
      <c r="T118" s="1185"/>
    </row>
    <row r="119" spans="1:20" x14ac:dyDescent="0.25">
      <c r="J119">
        <f>1.043*G117</f>
        <v>40.581956344747972</v>
      </c>
      <c r="L119"/>
      <c r="M119">
        <f t="shared" ref="M119:S119" si="11">1.043*J117</f>
        <v>42.326980467572135</v>
      </c>
      <c r="N119"/>
      <c r="O119"/>
      <c r="P119">
        <f t="shared" si="11"/>
        <v>44.147040627677733</v>
      </c>
      <c r="Q119"/>
      <c r="S119">
        <f t="shared" si="11"/>
        <v>46.045363374667872</v>
      </c>
    </row>
    <row r="120" spans="1:20" x14ac:dyDescent="0.25">
      <c r="I120" s="39">
        <v>2016</v>
      </c>
      <c r="J120" s="40">
        <v>45.644351267236097</v>
      </c>
      <c r="K120" s="75"/>
      <c r="L120" s="132"/>
      <c r="M120" s="132"/>
      <c r="N120" s="132"/>
    </row>
    <row r="121" spans="1:20" x14ac:dyDescent="0.25">
      <c r="I121" s="39">
        <v>2017</v>
      </c>
      <c r="J121" s="40">
        <v>47.607058371727298</v>
      </c>
      <c r="K121" s="778">
        <v>45.89</v>
      </c>
      <c r="L121" s="132"/>
      <c r="M121" s="132"/>
      <c r="N121" s="132"/>
    </row>
    <row r="122" spans="1:20" x14ac:dyDescent="0.25">
      <c r="I122" s="39">
        <v>2018</v>
      </c>
      <c r="J122" s="40">
        <v>49.654161881711502</v>
      </c>
      <c r="K122" s="779">
        <f>J117</f>
        <v>40.581956344747972</v>
      </c>
      <c r="L122" s="132">
        <f>1.043*G117</f>
        <v>40.581956344747972</v>
      </c>
      <c r="M122" s="132"/>
      <c r="N122" s="132"/>
    </row>
    <row r="123" spans="1:20" x14ac:dyDescent="0.25">
      <c r="I123" s="39">
        <v>2019</v>
      </c>
      <c r="J123" s="40">
        <v>51.7892908426251</v>
      </c>
      <c r="K123" s="779">
        <f>M117</f>
        <v>42.326980467572135</v>
      </c>
      <c r="L123" s="132">
        <f>1.043*L122</f>
        <v>42.326980467572135</v>
      </c>
      <c r="M123" s="132"/>
      <c r="N123" s="132"/>
    </row>
    <row r="124" spans="1:20" x14ac:dyDescent="0.25">
      <c r="I124" s="39">
        <v>2020</v>
      </c>
      <c r="J124" s="40">
        <v>54.016230348858002</v>
      </c>
      <c r="K124" s="779">
        <f>P117</f>
        <v>44.147040627677733</v>
      </c>
      <c r="L124" s="132">
        <f>1.043*L123</f>
        <v>44.147040627677733</v>
      </c>
      <c r="M124" s="132"/>
      <c r="N124" s="132"/>
    </row>
    <row r="125" spans="1:20" x14ac:dyDescent="0.25">
      <c r="I125" s="39">
        <v>2021</v>
      </c>
      <c r="J125" s="75"/>
      <c r="K125" s="779">
        <f>S117</f>
        <v>46.045363374667872</v>
      </c>
      <c r="L125" s="132">
        <f>1.043*L124</f>
        <v>46.045363374667872</v>
      </c>
      <c r="M125" s="132"/>
      <c r="N125" s="132"/>
    </row>
    <row r="126" spans="1:20" x14ac:dyDescent="0.25">
      <c r="I126" s="75"/>
      <c r="J126" s="75"/>
      <c r="K126" s="778"/>
      <c r="L126" s="132"/>
      <c r="M126" s="132"/>
      <c r="N126" s="132"/>
    </row>
  </sheetData>
  <mergeCells count="53">
    <mergeCell ref="O93:V96"/>
    <mergeCell ref="I117:I118"/>
    <mergeCell ref="J117:J118"/>
    <mergeCell ref="K117:K118"/>
    <mergeCell ref="J115:K115"/>
    <mergeCell ref="I114:K114"/>
    <mergeCell ref="L114:N114"/>
    <mergeCell ref="O114:Q114"/>
    <mergeCell ref="R114:T114"/>
    <mergeCell ref="G40:H40"/>
    <mergeCell ref="I40:I41"/>
    <mergeCell ref="A111:T111"/>
    <mergeCell ref="L117:L118"/>
    <mergeCell ref="M117:M118"/>
    <mergeCell ref="S117:S118"/>
    <mergeCell ref="T117:T118"/>
    <mergeCell ref="N117:N118"/>
    <mergeCell ref="O117:O118"/>
    <mergeCell ref="P117:P118"/>
    <mergeCell ref="Q117:Q118"/>
    <mergeCell ref="R117:R118"/>
    <mergeCell ref="B117:B118"/>
    <mergeCell ref="E117:E118"/>
    <mergeCell ref="F117:F118"/>
    <mergeCell ref="G117:G118"/>
    <mergeCell ref="H117:H118"/>
    <mergeCell ref="C75:L78"/>
    <mergeCell ref="B5:B6"/>
    <mergeCell ref="C38:K38"/>
    <mergeCell ref="C39:K39"/>
    <mergeCell ref="J40:J41"/>
    <mergeCell ref="D40:F40"/>
    <mergeCell ref="K40:K41"/>
    <mergeCell ref="B40:B41"/>
    <mergeCell ref="C40:C41"/>
    <mergeCell ref="A112:T112"/>
    <mergeCell ref="A114:A116"/>
    <mergeCell ref="B114:B116"/>
    <mergeCell ref="C114:C116"/>
    <mergeCell ref="D114:E115"/>
    <mergeCell ref="F114:H114"/>
    <mergeCell ref="B3:K3"/>
    <mergeCell ref="B4:K4"/>
    <mergeCell ref="D5:F5"/>
    <mergeCell ref="G5:I5"/>
    <mergeCell ref="C5:C6"/>
    <mergeCell ref="J5:J6"/>
    <mergeCell ref="K5:K6"/>
    <mergeCell ref="G115:H115"/>
    <mergeCell ref="S115:T115"/>
    <mergeCell ref="M115:N115"/>
    <mergeCell ref="P115:Q115"/>
    <mergeCell ref="D116:E116"/>
  </mergeCells>
  <conditionalFormatting sqref="H117:H118 T117:T118 Q117:Q118 N117:N118 K117:K118">
    <cfRule type="cellIs" dxfId="9" priority="1" operator="greaterThan">
      <formula>1</formula>
    </cfRule>
  </conditionalFormatting>
  <printOptions gridLines="1"/>
  <pageMargins left="0" right="0" top="0.35433070866141736" bottom="0.35433070866141736" header="0" footer="0"/>
  <pageSetup scale="12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2:T120"/>
  <sheetViews>
    <sheetView topLeftCell="A58" workbookViewId="0">
      <selection activeCell="G66" sqref="G66"/>
    </sheetView>
  </sheetViews>
  <sheetFormatPr baseColWidth="10" defaultRowHeight="15" x14ac:dyDescent="0.25"/>
  <cols>
    <col min="1" max="1" width="5.7109375" customWidth="1"/>
    <col min="2" max="2" width="6.7109375" style="10" customWidth="1"/>
    <col min="3" max="3" width="14.7109375" customWidth="1"/>
    <col min="4" max="5" width="10.7109375" customWidth="1"/>
    <col min="6" max="6" width="11.7109375" customWidth="1"/>
    <col min="7" max="8" width="12.7109375" customWidth="1"/>
    <col min="9" max="11" width="10.7109375" customWidth="1"/>
  </cols>
  <sheetData>
    <row r="2" spans="2:16" ht="15.75" thickBot="1" x14ac:dyDescent="0.3"/>
    <row r="3" spans="2:16" ht="15.95" customHeight="1" x14ac:dyDescent="0.25">
      <c r="B3" s="1112" t="s">
        <v>40</v>
      </c>
      <c r="C3" s="1113"/>
      <c r="D3" s="1113"/>
      <c r="E3" s="1113"/>
      <c r="F3" s="1113"/>
      <c r="G3" s="1113"/>
      <c r="H3" s="1113"/>
      <c r="I3" s="1113"/>
      <c r="J3" s="1113"/>
      <c r="K3" s="1114"/>
    </row>
    <row r="4" spans="2:16" ht="15.95" customHeight="1" thickBot="1" x14ac:dyDescent="0.3">
      <c r="B4" s="1257" t="s">
        <v>96</v>
      </c>
      <c r="C4" s="1258"/>
      <c r="D4" s="1258"/>
      <c r="E4" s="1258"/>
      <c r="F4" s="1258"/>
      <c r="G4" s="1258"/>
      <c r="H4" s="1258"/>
      <c r="I4" s="1258"/>
      <c r="J4" s="1258"/>
      <c r="K4" s="1259"/>
      <c r="L4" s="1260"/>
    </row>
    <row r="5" spans="2:16" ht="15.95" customHeight="1" x14ac:dyDescent="0.25">
      <c r="B5" s="1166" t="s">
        <v>124</v>
      </c>
      <c r="C5" s="1181" t="s">
        <v>26</v>
      </c>
      <c r="D5" s="1169" t="s">
        <v>110</v>
      </c>
      <c r="E5" s="1167"/>
      <c r="F5" s="1168"/>
      <c r="G5" s="1228" t="s">
        <v>74</v>
      </c>
      <c r="H5" s="1228"/>
      <c r="I5" s="1229"/>
      <c r="J5" s="1181" t="s">
        <v>105</v>
      </c>
      <c r="K5" s="1183" t="s">
        <v>123</v>
      </c>
      <c r="L5" s="1260"/>
      <c r="M5" s="50"/>
      <c r="N5" s="50"/>
    </row>
    <row r="6" spans="2:16" ht="39.950000000000003" customHeight="1" x14ac:dyDescent="0.25">
      <c r="B6" s="1119"/>
      <c r="C6" s="1032"/>
      <c r="D6" s="330" t="s">
        <v>115</v>
      </c>
      <c r="E6" s="330" t="s">
        <v>122</v>
      </c>
      <c r="F6" s="330" t="s">
        <v>81</v>
      </c>
      <c r="G6" s="38" t="s">
        <v>243</v>
      </c>
      <c r="H6" s="38" t="s">
        <v>232</v>
      </c>
      <c r="I6" s="38" t="s">
        <v>130</v>
      </c>
      <c r="J6" s="1032"/>
      <c r="K6" s="1124"/>
      <c r="L6" s="200" t="s">
        <v>185</v>
      </c>
      <c r="M6" s="85" t="s">
        <v>73</v>
      </c>
      <c r="N6" s="38" t="s">
        <v>240</v>
      </c>
    </row>
    <row r="7" spans="2:16" ht="15" customHeight="1" x14ac:dyDescent="0.25">
      <c r="B7" s="201"/>
      <c r="C7" s="49">
        <v>2001</v>
      </c>
      <c r="D7" s="62">
        <v>4.26</v>
      </c>
      <c r="E7" s="40">
        <f>D7/L22</f>
        <v>4.3594579185123452</v>
      </c>
      <c r="F7" s="175"/>
      <c r="G7" s="40"/>
      <c r="H7" s="40"/>
      <c r="I7" s="40"/>
      <c r="J7" s="53">
        <f t="shared" ref="J7:J33" si="0" xml:space="preserve"> 1 * 25 + 1 * 40</f>
        <v>65</v>
      </c>
      <c r="K7" s="179">
        <f t="shared" ref="K7:K33" si="1">J7 - 40</f>
        <v>25</v>
      </c>
      <c r="L7" s="263"/>
      <c r="M7" s="50"/>
      <c r="N7" s="50"/>
      <c r="O7" s="73"/>
      <c r="P7" s="73"/>
    </row>
    <row r="8" spans="2:16" ht="15" customHeight="1" x14ac:dyDescent="0.25">
      <c r="B8" s="201"/>
      <c r="C8" s="49">
        <v>2002</v>
      </c>
      <c r="D8" s="62">
        <v>6.47</v>
      </c>
      <c r="E8" s="40">
        <f>D8/L22</f>
        <v>6.6210546321067785</v>
      </c>
      <c r="F8" s="175">
        <f>(E8-E7)/E7</f>
        <v>0.51877934272300485</v>
      </c>
      <c r="G8" s="40"/>
      <c r="H8" s="40"/>
      <c r="I8" s="40"/>
      <c r="J8" s="53">
        <f t="shared" si="0"/>
        <v>65</v>
      </c>
      <c r="K8" s="179">
        <f t="shared" si="1"/>
        <v>25</v>
      </c>
      <c r="L8" s="263"/>
      <c r="M8" s="50"/>
      <c r="N8" s="50"/>
      <c r="O8" s="73"/>
      <c r="P8" s="73"/>
    </row>
    <row r="9" spans="2:16" ht="15" customHeight="1" x14ac:dyDescent="0.25">
      <c r="B9" s="201">
        <v>7</v>
      </c>
      <c r="C9" s="49">
        <v>2003</v>
      </c>
      <c r="D9" s="62">
        <v>13.85</v>
      </c>
      <c r="E9" s="40">
        <v>15.85</v>
      </c>
      <c r="F9" s="175">
        <f>(E9-E8)/E8</f>
        <v>1.39387844998896</v>
      </c>
      <c r="G9" s="40"/>
      <c r="H9" s="40"/>
      <c r="I9" s="40"/>
      <c r="J9" s="53">
        <f t="shared" si="0"/>
        <v>65</v>
      </c>
      <c r="K9" s="179">
        <f t="shared" si="1"/>
        <v>25</v>
      </c>
      <c r="L9" s="263">
        <v>0.90849999999999997</v>
      </c>
      <c r="M9" s="50"/>
      <c r="N9" s="50"/>
      <c r="O9" s="73"/>
      <c r="P9" s="73"/>
    </row>
    <row r="10" spans="2:16" ht="15" customHeight="1" x14ac:dyDescent="0.25">
      <c r="B10" s="201">
        <v>8</v>
      </c>
      <c r="C10" s="49">
        <v>2004</v>
      </c>
      <c r="D10" s="62">
        <v>11.66</v>
      </c>
      <c r="E10" s="40">
        <v>11.83</v>
      </c>
      <c r="F10" s="175">
        <f>(E10-E9)/E9</f>
        <v>-0.25362776025236589</v>
      </c>
      <c r="G10" s="40"/>
      <c r="H10" s="40"/>
      <c r="I10" s="40"/>
      <c r="J10" s="53">
        <f t="shared" si="0"/>
        <v>65</v>
      </c>
      <c r="K10" s="179">
        <f t="shared" si="1"/>
        <v>25</v>
      </c>
      <c r="L10" s="263">
        <v>0.98599999999999999</v>
      </c>
      <c r="M10" s="50"/>
      <c r="N10" s="50"/>
      <c r="O10" s="73"/>
      <c r="P10" s="73"/>
    </row>
    <row r="11" spans="2:16" ht="15" customHeight="1" x14ac:dyDescent="0.25">
      <c r="B11" s="201">
        <v>7</v>
      </c>
      <c r="C11" s="49">
        <v>2005</v>
      </c>
      <c r="D11" s="62">
        <v>11.96</v>
      </c>
      <c r="E11" s="40">
        <v>12.15</v>
      </c>
      <c r="F11" s="175">
        <f>(E11-E10)/E10</f>
        <v>2.704987320371938E-2</v>
      </c>
      <c r="G11" s="40"/>
      <c r="H11" s="40"/>
      <c r="I11" s="40"/>
      <c r="J11" s="53">
        <f t="shared" si="0"/>
        <v>65</v>
      </c>
      <c r="K11" s="179">
        <f t="shared" si="1"/>
        <v>25</v>
      </c>
      <c r="L11" s="263">
        <v>0.98470000000000002</v>
      </c>
      <c r="M11" s="50"/>
      <c r="N11" s="50"/>
      <c r="O11" s="73"/>
      <c r="P11" s="73"/>
    </row>
    <row r="12" spans="2:16" ht="15" customHeight="1" x14ac:dyDescent="0.25">
      <c r="B12" s="201">
        <v>10</v>
      </c>
      <c r="C12" s="49">
        <v>2006</v>
      </c>
      <c r="D12" s="62">
        <v>13.49</v>
      </c>
      <c r="E12" s="40">
        <v>14.02</v>
      </c>
      <c r="F12" s="175">
        <f t="shared" ref="F12:F23" si="2">(E12-E11)/E11</f>
        <v>0.15390946502057606</v>
      </c>
      <c r="G12" s="40"/>
      <c r="H12" s="40"/>
      <c r="I12" s="40"/>
      <c r="J12" s="53">
        <f t="shared" si="0"/>
        <v>65</v>
      </c>
      <c r="K12" s="179">
        <f t="shared" si="1"/>
        <v>25</v>
      </c>
      <c r="L12" s="263">
        <v>0.96209999999999996</v>
      </c>
      <c r="M12" s="50"/>
      <c r="N12" s="50"/>
      <c r="O12" s="73"/>
      <c r="P12" s="73"/>
    </row>
    <row r="13" spans="2:16" ht="15" customHeight="1" x14ac:dyDescent="0.25">
      <c r="B13" s="201">
        <v>8</v>
      </c>
      <c r="C13" s="49">
        <v>2007</v>
      </c>
      <c r="D13" s="62">
        <v>19.53</v>
      </c>
      <c r="E13" s="40">
        <v>19.55</v>
      </c>
      <c r="F13" s="175">
        <f t="shared" si="2"/>
        <v>0.39443651925820267</v>
      </c>
      <c r="G13" s="40"/>
      <c r="H13" s="40"/>
      <c r="I13" s="40"/>
      <c r="J13" s="53">
        <f t="shared" si="0"/>
        <v>65</v>
      </c>
      <c r="K13" s="179">
        <f t="shared" si="1"/>
        <v>25</v>
      </c>
      <c r="L13" s="263">
        <v>0.999</v>
      </c>
      <c r="M13" s="50"/>
      <c r="N13" s="50"/>
      <c r="O13" s="73"/>
      <c r="P13" s="73"/>
    </row>
    <row r="14" spans="2:16" ht="15" customHeight="1" x14ac:dyDescent="0.25">
      <c r="B14" s="201">
        <v>6</v>
      </c>
      <c r="C14" s="49">
        <v>2008</v>
      </c>
      <c r="D14" s="62">
        <v>20.38</v>
      </c>
      <c r="E14" s="40">
        <v>20.38</v>
      </c>
      <c r="F14" s="175">
        <f t="shared" si="2"/>
        <v>4.2455242966751829E-2</v>
      </c>
      <c r="G14" s="40"/>
      <c r="H14" s="40"/>
      <c r="I14" s="40"/>
      <c r="J14" s="53">
        <f t="shared" si="0"/>
        <v>65</v>
      </c>
      <c r="K14" s="179">
        <f t="shared" si="1"/>
        <v>25</v>
      </c>
      <c r="L14" s="263">
        <v>1</v>
      </c>
      <c r="M14" s="50"/>
      <c r="N14" s="50"/>
      <c r="O14" s="73"/>
      <c r="P14" s="73"/>
    </row>
    <row r="15" spans="2:16" ht="15" customHeight="1" x14ac:dyDescent="0.25">
      <c r="B15" s="201">
        <v>7</v>
      </c>
      <c r="C15" s="49">
        <v>2009</v>
      </c>
      <c r="D15" s="62">
        <v>21</v>
      </c>
      <c r="E15" s="40">
        <v>21</v>
      </c>
      <c r="F15" s="175">
        <f t="shared" si="2"/>
        <v>3.042198233562321E-2</v>
      </c>
      <c r="G15" s="40"/>
      <c r="H15" s="40"/>
      <c r="I15" s="40"/>
      <c r="J15" s="53">
        <f t="shared" si="0"/>
        <v>65</v>
      </c>
      <c r="K15" s="179">
        <f t="shared" si="1"/>
        <v>25</v>
      </c>
      <c r="L15" s="263">
        <v>1</v>
      </c>
      <c r="M15" s="50"/>
      <c r="N15" s="50"/>
      <c r="O15" s="73"/>
      <c r="P15" s="73"/>
    </row>
    <row r="16" spans="2:16" ht="15" customHeight="1" x14ac:dyDescent="0.25">
      <c r="B16" s="201">
        <v>8</v>
      </c>
      <c r="C16" s="49">
        <v>2010</v>
      </c>
      <c r="D16" s="62">
        <v>22.18</v>
      </c>
      <c r="E16" s="40">
        <v>22.22</v>
      </c>
      <c r="F16" s="175">
        <f t="shared" si="2"/>
        <v>5.809523809523804E-2</v>
      </c>
      <c r="G16" s="40"/>
      <c r="H16" s="40"/>
      <c r="I16" s="40"/>
      <c r="J16" s="53">
        <f t="shared" si="0"/>
        <v>65</v>
      </c>
      <c r="K16" s="179">
        <f t="shared" si="1"/>
        <v>25</v>
      </c>
      <c r="L16" s="263"/>
      <c r="M16" s="50"/>
      <c r="N16" s="50"/>
      <c r="O16" s="40">
        <v>22.215544229456835</v>
      </c>
      <c r="P16" s="73"/>
    </row>
    <row r="17" spans="2:16" ht="15" customHeight="1" x14ac:dyDescent="0.25">
      <c r="B17" s="201">
        <v>8</v>
      </c>
      <c r="C17" s="49">
        <v>2011</v>
      </c>
      <c r="D17" s="62">
        <v>22.08</v>
      </c>
      <c r="E17" s="40">
        <v>22.33</v>
      </c>
      <c r="F17" s="175">
        <f t="shared" si="2"/>
        <v>4.9504950495049254E-3</v>
      </c>
      <c r="G17" s="40"/>
      <c r="H17" s="40"/>
      <c r="I17" s="40"/>
      <c r="J17" s="53">
        <f t="shared" si="0"/>
        <v>65</v>
      </c>
      <c r="K17" s="179">
        <f t="shared" si="1"/>
        <v>25</v>
      </c>
      <c r="L17" s="263"/>
      <c r="M17" s="175"/>
      <c r="N17" s="50"/>
      <c r="O17" s="40">
        <v>22.329985617163775</v>
      </c>
      <c r="P17" s="73"/>
    </row>
    <row r="18" spans="2:16" ht="15" customHeight="1" x14ac:dyDescent="0.25">
      <c r="B18" s="201">
        <v>7</v>
      </c>
      <c r="C18" s="49">
        <v>2012</v>
      </c>
      <c r="D18" s="62">
        <v>22.34</v>
      </c>
      <c r="E18" s="40">
        <v>22.34</v>
      </c>
      <c r="F18" s="175">
        <f t="shared" si="2"/>
        <v>4.4782803403500062E-4</v>
      </c>
      <c r="G18" s="40"/>
      <c r="H18" s="40"/>
      <c r="I18" s="40"/>
      <c r="J18" s="53">
        <f t="shared" si="0"/>
        <v>65</v>
      </c>
      <c r="K18" s="179">
        <f t="shared" si="1"/>
        <v>25</v>
      </c>
      <c r="L18" s="263"/>
      <c r="M18" s="50"/>
      <c r="N18" s="50"/>
      <c r="O18" s="40">
        <v>22.144869320121558</v>
      </c>
      <c r="P18" s="73"/>
    </row>
    <row r="19" spans="2:16" ht="15" customHeight="1" x14ac:dyDescent="0.25">
      <c r="B19" s="201">
        <v>7</v>
      </c>
      <c r="C19" s="49">
        <v>2013</v>
      </c>
      <c r="D19" s="62">
        <v>26.26</v>
      </c>
      <c r="E19" s="40">
        <v>26.27</v>
      </c>
      <c r="F19" s="175">
        <f t="shared" si="2"/>
        <v>0.17591763652641002</v>
      </c>
      <c r="G19" s="40"/>
      <c r="H19" s="40"/>
      <c r="I19" s="40"/>
      <c r="J19" s="53">
        <f t="shared" si="0"/>
        <v>65</v>
      </c>
      <c r="K19" s="179">
        <f t="shared" si="1"/>
        <v>25</v>
      </c>
      <c r="L19" s="263"/>
      <c r="M19" s="175"/>
      <c r="N19" s="50"/>
      <c r="O19" s="40">
        <v>26.253044764910317</v>
      </c>
      <c r="P19" s="73"/>
    </row>
    <row r="20" spans="2:16" ht="15" customHeight="1" x14ac:dyDescent="0.25">
      <c r="B20" s="201">
        <v>7</v>
      </c>
      <c r="C20" s="49">
        <v>2014</v>
      </c>
      <c r="D20" s="62">
        <v>24.79</v>
      </c>
      <c r="E20" s="40">
        <v>24.79</v>
      </c>
      <c r="F20" s="175">
        <f t="shared" si="2"/>
        <v>-5.63380281690141E-2</v>
      </c>
      <c r="G20" s="40"/>
      <c r="H20" s="40"/>
      <c r="I20" s="40"/>
      <c r="J20" s="53">
        <f t="shared" si="0"/>
        <v>65</v>
      </c>
      <c r="K20" s="179">
        <f t="shared" si="1"/>
        <v>25</v>
      </c>
      <c r="L20" s="263"/>
      <c r="M20" s="50"/>
      <c r="N20" s="50"/>
      <c r="O20" s="40">
        <v>24.803521105451075</v>
      </c>
      <c r="P20" s="73"/>
    </row>
    <row r="21" spans="2:16" ht="15" customHeight="1" x14ac:dyDescent="0.25">
      <c r="B21" s="201">
        <v>7</v>
      </c>
      <c r="C21" s="49">
        <v>2015</v>
      </c>
      <c r="D21" s="62">
        <v>30.48</v>
      </c>
      <c r="E21" s="62">
        <v>30.490236142083255</v>
      </c>
      <c r="F21" s="175">
        <f t="shared" si="2"/>
        <v>0.22994094966047826</v>
      </c>
      <c r="G21" s="40"/>
      <c r="H21" s="40"/>
      <c r="I21" s="40"/>
      <c r="J21" s="53">
        <f t="shared" si="0"/>
        <v>65</v>
      </c>
      <c r="K21" s="179">
        <f t="shared" si="1"/>
        <v>25</v>
      </c>
      <c r="L21" s="263"/>
      <c r="M21" s="175"/>
      <c r="N21" s="390"/>
      <c r="O21" s="40">
        <v>30.490236142083255</v>
      </c>
      <c r="P21" s="73"/>
    </row>
    <row r="22" spans="2:16" ht="15" customHeight="1" x14ac:dyDescent="0.25">
      <c r="B22" s="201">
        <v>2</v>
      </c>
      <c r="C22" s="49">
        <v>2016</v>
      </c>
      <c r="D22" s="62">
        <v>25.62</v>
      </c>
      <c r="E22" s="40">
        <v>26.13</v>
      </c>
      <c r="F22" s="175">
        <f t="shared" si="2"/>
        <v>-0.14300434151328753</v>
      </c>
      <c r="G22" s="258"/>
      <c r="H22" s="258"/>
      <c r="I22" s="258"/>
      <c r="J22" s="53">
        <f t="shared" si="0"/>
        <v>65</v>
      </c>
      <c r="K22" s="179">
        <f t="shared" si="1"/>
        <v>25</v>
      </c>
      <c r="L22" s="273">
        <f>AVERAGE(L9:L21)</f>
        <v>0.97718571428571432</v>
      </c>
      <c r="M22" s="402"/>
      <c r="N22" s="390" t="e">
        <f>(H22-H21)/H21</f>
        <v>#DIV/0!</v>
      </c>
      <c r="O22" s="40">
        <v>22.515838646926554</v>
      </c>
      <c r="P22" s="73"/>
    </row>
    <row r="23" spans="2:16" ht="15" customHeight="1" x14ac:dyDescent="0.25">
      <c r="B23" s="201"/>
      <c r="C23" s="49">
        <v>2017</v>
      </c>
      <c r="D23" s="62"/>
      <c r="E23" s="40"/>
      <c r="F23" s="175">
        <f t="shared" si="2"/>
        <v>-1</v>
      </c>
      <c r="G23" s="258"/>
      <c r="H23" s="258">
        <f>E23</f>
        <v>0</v>
      </c>
      <c r="I23" s="258">
        <f>E23</f>
        <v>0</v>
      </c>
      <c r="J23" s="53">
        <f t="shared" si="0"/>
        <v>65</v>
      </c>
      <c r="K23" s="179">
        <f t="shared" si="1"/>
        <v>25</v>
      </c>
      <c r="L23" s="263"/>
      <c r="M23" s="402" t="e">
        <f>(G23-G22)/G22</f>
        <v>#DIV/0!</v>
      </c>
      <c r="N23" s="390" t="e">
        <f>(H23-H22)/H22</f>
        <v>#DIV/0!</v>
      </c>
      <c r="O23" s="40">
        <v>23.393704109656948</v>
      </c>
      <c r="P23" s="73"/>
    </row>
    <row r="24" spans="2:16" ht="15" customHeight="1" x14ac:dyDescent="0.25">
      <c r="B24" s="202"/>
      <c r="C24" s="54">
        <v>2018</v>
      </c>
      <c r="D24" s="109"/>
      <c r="E24" s="55"/>
      <c r="F24" s="187"/>
      <c r="G24" s="374"/>
      <c r="H24" s="375"/>
      <c r="I24" s="393">
        <f t="shared" ref="I24:I33" si="3">1.045*I23</f>
        <v>0</v>
      </c>
      <c r="J24" s="53">
        <f t="shared" si="0"/>
        <v>65</v>
      </c>
      <c r="K24" s="179">
        <f t="shared" si="1"/>
        <v>25</v>
      </c>
      <c r="L24" s="263"/>
      <c r="M24" s="402" t="e">
        <f t="shared" ref="M24:M30" si="4">(G24-G23)/G23</f>
        <v>#DIV/0!</v>
      </c>
      <c r="N24" s="390" t="e">
        <f>(H24-H23)/H23</f>
        <v>#DIV/0!</v>
      </c>
      <c r="O24" s="40">
        <v>24.327377980624725</v>
      </c>
      <c r="P24" s="73"/>
    </row>
    <row r="25" spans="2:16" ht="15" customHeight="1" x14ac:dyDescent="0.25">
      <c r="B25" s="202"/>
      <c r="C25" s="54">
        <v>2019</v>
      </c>
      <c r="D25" s="109"/>
      <c r="E25" s="55"/>
      <c r="F25" s="187"/>
      <c r="G25" s="374"/>
      <c r="H25" s="375"/>
      <c r="I25" s="393">
        <f t="shared" si="3"/>
        <v>0</v>
      </c>
      <c r="J25" s="53">
        <f t="shared" si="0"/>
        <v>65</v>
      </c>
      <c r="K25" s="179">
        <f t="shared" si="1"/>
        <v>25</v>
      </c>
      <c r="L25" s="263"/>
      <c r="M25" s="402" t="e">
        <f t="shared" si="4"/>
        <v>#DIV/0!</v>
      </c>
      <c r="N25" s="390" t="e">
        <f>(H25-H24)/H24</f>
        <v>#DIV/0!</v>
      </c>
      <c r="O25" s="40">
        <v>25.294785875113082</v>
      </c>
      <c r="P25" s="73"/>
    </row>
    <row r="26" spans="2:16" ht="15" customHeight="1" x14ac:dyDescent="0.25">
      <c r="B26" s="202"/>
      <c r="C26" s="54">
        <v>2020</v>
      </c>
      <c r="D26" s="109"/>
      <c r="E26" s="55"/>
      <c r="F26" s="187"/>
      <c r="G26" s="374"/>
      <c r="H26" s="375"/>
      <c r="I26" s="393">
        <f t="shared" si="3"/>
        <v>0</v>
      </c>
      <c r="J26" s="53">
        <f t="shared" si="0"/>
        <v>65</v>
      </c>
      <c r="K26" s="179">
        <f t="shared" si="1"/>
        <v>25</v>
      </c>
      <c r="L26" s="263"/>
      <c r="M26" s="402" t="e">
        <f t="shared" si="4"/>
        <v>#DIV/0!</v>
      </c>
      <c r="N26" s="390" t="e">
        <f>(H26-H25)/H25</f>
        <v>#DIV/0!</v>
      </c>
      <c r="O26" s="40">
        <v>26.296792964705141</v>
      </c>
      <c r="P26" s="73"/>
    </row>
    <row r="27" spans="2:16" ht="15" customHeight="1" x14ac:dyDescent="0.25">
      <c r="B27" s="202"/>
      <c r="C27" s="54">
        <v>2021</v>
      </c>
      <c r="D27" s="102"/>
      <c r="E27" s="251"/>
      <c r="F27" s="399"/>
      <c r="G27" s="374"/>
      <c r="H27" s="375"/>
      <c r="I27" s="393">
        <f t="shared" si="3"/>
        <v>0</v>
      </c>
      <c r="J27" s="53">
        <f t="shared" si="0"/>
        <v>65</v>
      </c>
      <c r="K27" s="179">
        <f t="shared" si="1"/>
        <v>25</v>
      </c>
      <c r="L27" s="268"/>
      <c r="M27" s="402" t="e">
        <f t="shared" si="4"/>
        <v>#DIV/0!</v>
      </c>
      <c r="N27" s="390"/>
      <c r="O27" s="73"/>
      <c r="P27" s="73"/>
    </row>
    <row r="28" spans="2:16" ht="15" customHeight="1" x14ac:dyDescent="0.25">
      <c r="B28" s="202"/>
      <c r="C28" s="57">
        <v>2022</v>
      </c>
      <c r="D28" s="115"/>
      <c r="E28" s="45"/>
      <c r="F28" s="242"/>
      <c r="G28" s="374"/>
      <c r="H28" s="375"/>
      <c r="I28" s="393">
        <f t="shared" si="3"/>
        <v>0</v>
      </c>
      <c r="J28" s="53">
        <f t="shared" si="0"/>
        <v>65</v>
      </c>
      <c r="K28" s="179">
        <f t="shared" si="1"/>
        <v>25</v>
      </c>
      <c r="L28" s="268"/>
      <c r="M28" s="402" t="e">
        <f t="shared" si="4"/>
        <v>#DIV/0!</v>
      </c>
      <c r="N28" s="390"/>
      <c r="O28" s="73"/>
      <c r="P28" s="73"/>
    </row>
    <row r="29" spans="2:16" ht="15" customHeight="1" x14ac:dyDescent="0.25">
      <c r="B29" s="202"/>
      <c r="C29" s="54">
        <v>2023</v>
      </c>
      <c r="D29" s="102"/>
      <c r="E29" s="251"/>
      <c r="F29" s="399"/>
      <c r="G29" s="374"/>
      <c r="H29" s="375"/>
      <c r="I29" s="393">
        <f t="shared" si="3"/>
        <v>0</v>
      </c>
      <c r="J29" s="53">
        <f t="shared" si="0"/>
        <v>65</v>
      </c>
      <c r="K29" s="179">
        <f t="shared" si="1"/>
        <v>25</v>
      </c>
      <c r="L29" s="268"/>
      <c r="M29" s="402" t="e">
        <f t="shared" si="4"/>
        <v>#DIV/0!</v>
      </c>
      <c r="N29" s="390"/>
      <c r="O29" s="73"/>
      <c r="P29" s="73"/>
    </row>
    <row r="30" spans="2:16" ht="15" customHeight="1" x14ac:dyDescent="0.25">
      <c r="B30" s="202"/>
      <c r="C30" s="54">
        <v>2024</v>
      </c>
      <c r="D30" s="102"/>
      <c r="E30" s="251"/>
      <c r="F30" s="399"/>
      <c r="G30" s="374"/>
      <c r="H30" s="375"/>
      <c r="I30" s="393">
        <f t="shared" si="3"/>
        <v>0</v>
      </c>
      <c r="J30" s="53">
        <f t="shared" si="0"/>
        <v>65</v>
      </c>
      <c r="K30" s="179">
        <f t="shared" si="1"/>
        <v>25</v>
      </c>
      <c r="L30" s="268"/>
      <c r="M30" s="402" t="e">
        <f t="shared" si="4"/>
        <v>#DIV/0!</v>
      </c>
      <c r="N30" s="390"/>
      <c r="O30" s="73"/>
      <c r="P30" s="73"/>
    </row>
    <row r="31" spans="2:16" ht="15" customHeight="1" x14ac:dyDescent="0.25">
      <c r="B31" s="202"/>
      <c r="C31" s="54">
        <v>2025</v>
      </c>
      <c r="D31" s="102"/>
      <c r="E31" s="251"/>
      <c r="F31" s="399"/>
      <c r="G31" s="374"/>
      <c r="H31" s="375"/>
      <c r="I31" s="391">
        <f t="shared" si="3"/>
        <v>0</v>
      </c>
      <c r="J31" s="53">
        <f t="shared" si="0"/>
        <v>65</v>
      </c>
      <c r="K31" s="179">
        <f t="shared" si="1"/>
        <v>25</v>
      </c>
      <c r="L31" s="268"/>
      <c r="M31" s="402" t="e">
        <f>(G31-G30)/G30</f>
        <v>#DIV/0!</v>
      </c>
      <c r="N31" s="390"/>
      <c r="O31" s="73"/>
      <c r="P31" s="73"/>
    </row>
    <row r="32" spans="2:16" x14ac:dyDescent="0.25">
      <c r="B32" s="202"/>
      <c r="C32" s="54">
        <v>2026</v>
      </c>
      <c r="D32" s="102"/>
      <c r="E32" s="251"/>
      <c r="F32" s="399"/>
      <c r="G32" s="374"/>
      <c r="H32" s="375"/>
      <c r="I32" s="391">
        <f t="shared" si="3"/>
        <v>0</v>
      </c>
      <c r="J32" s="53">
        <f t="shared" si="0"/>
        <v>65</v>
      </c>
      <c r="K32" s="179">
        <f t="shared" si="1"/>
        <v>25</v>
      </c>
      <c r="M32" s="404" t="e">
        <f>AVERAGE(M23:M31)</f>
        <v>#DIV/0!</v>
      </c>
      <c r="N32" s="397" t="e">
        <f>AVERAGE(N23:N27)</f>
        <v>#DIV/0!</v>
      </c>
    </row>
    <row r="33" spans="2:13" ht="15.75" thickBot="1" x14ac:dyDescent="0.3">
      <c r="B33" s="203"/>
      <c r="C33" s="209">
        <v>2027</v>
      </c>
      <c r="D33" s="254"/>
      <c r="E33" s="255"/>
      <c r="F33" s="400"/>
      <c r="G33" s="376"/>
      <c r="H33" s="377"/>
      <c r="I33" s="392">
        <f t="shared" si="3"/>
        <v>0</v>
      </c>
      <c r="J33" s="210">
        <f t="shared" si="0"/>
        <v>65</v>
      </c>
      <c r="K33" s="181">
        <f t="shared" si="1"/>
        <v>25</v>
      </c>
      <c r="M33" s="144"/>
    </row>
    <row r="34" spans="2:13" x14ac:dyDescent="0.25">
      <c r="B34" s="71"/>
      <c r="C34" s="238"/>
      <c r="D34" s="238"/>
      <c r="E34" s="238"/>
      <c r="F34" s="398">
        <f>AVERAGE(F7:F23)</f>
        <v>9.8582055807989816E-2</v>
      </c>
      <c r="M34" s="144"/>
    </row>
    <row r="35" spans="2:13" x14ac:dyDescent="0.25">
      <c r="B35" s="71"/>
      <c r="C35" s="238"/>
      <c r="D35" s="238"/>
      <c r="E35" s="238"/>
      <c r="M35" s="144"/>
    </row>
    <row r="36" spans="2:13" ht="15.75" thickBot="1" x14ac:dyDescent="0.3">
      <c r="B36" s="71"/>
      <c r="C36" s="238"/>
      <c r="D36" s="238"/>
      <c r="E36" s="238"/>
      <c r="M36" s="144"/>
    </row>
    <row r="37" spans="2:13" ht="20.100000000000001" customHeight="1" thickBot="1" x14ac:dyDescent="0.3">
      <c r="B37"/>
      <c r="C37" s="1037" t="s">
        <v>40</v>
      </c>
      <c r="D37" s="1038"/>
      <c r="E37" s="1038"/>
      <c r="F37" s="1038"/>
      <c r="G37" s="1038"/>
      <c r="H37" s="1038"/>
      <c r="I37" s="1038"/>
      <c r="J37" s="1038"/>
      <c r="K37" s="1039"/>
    </row>
    <row r="38" spans="2:13" ht="15.95" customHeight="1" thickBot="1" x14ac:dyDescent="0.3">
      <c r="B38"/>
      <c r="C38" s="1201" t="s">
        <v>305</v>
      </c>
      <c r="D38" s="1202"/>
      <c r="E38" s="1202"/>
      <c r="F38" s="1202"/>
      <c r="G38" s="1202"/>
      <c r="H38" s="1202"/>
      <c r="I38" s="1202"/>
      <c r="J38" s="1202"/>
      <c r="K38" s="1203"/>
    </row>
    <row r="39" spans="2:13" ht="15.95" customHeight="1" thickBot="1" x14ac:dyDescent="0.3">
      <c r="B39" s="1051" t="s">
        <v>26</v>
      </c>
      <c r="C39" s="1043" t="s">
        <v>35</v>
      </c>
      <c r="D39" s="1045" t="s">
        <v>110</v>
      </c>
      <c r="E39" s="1046"/>
      <c r="F39" s="1047"/>
      <c r="G39" s="1045" t="s">
        <v>74</v>
      </c>
      <c r="H39" s="1047"/>
      <c r="I39" s="1043" t="s">
        <v>180</v>
      </c>
      <c r="J39" s="1043" t="s">
        <v>268</v>
      </c>
      <c r="K39" s="1049" t="s">
        <v>269</v>
      </c>
    </row>
    <row r="40" spans="2:13" ht="35.1" customHeight="1" thickBot="1" x14ac:dyDescent="0.3">
      <c r="B40" s="1051"/>
      <c r="C40" s="1044"/>
      <c r="D40" s="541" t="s">
        <v>174</v>
      </c>
      <c r="E40" s="541" t="s">
        <v>122</v>
      </c>
      <c r="F40" s="541" t="s">
        <v>81</v>
      </c>
      <c r="G40" s="737" t="s">
        <v>170</v>
      </c>
      <c r="H40" s="933" t="s">
        <v>270</v>
      </c>
      <c r="I40" s="1044"/>
      <c r="J40" s="1044"/>
      <c r="K40" s="1175"/>
    </row>
    <row r="41" spans="2:13" ht="15" customHeight="1" x14ac:dyDescent="0.25">
      <c r="B41" s="740">
        <v>2001</v>
      </c>
      <c r="C41" s="781">
        <v>2001</v>
      </c>
      <c r="D41" s="647">
        <v>4.26</v>
      </c>
      <c r="E41" s="648">
        <v>4.3594579185123452</v>
      </c>
      <c r="F41" s="643"/>
      <c r="G41" s="658">
        <f t="shared" ref="G41:G57" si="5">1.5641*B41-3122.4</f>
        <v>7.3640999999997803</v>
      </c>
      <c r="H41" s="657"/>
      <c r="I41" s="579">
        <f>1*25+1*40</f>
        <v>65</v>
      </c>
      <c r="J41" s="579">
        <f>I41-40</f>
        <v>25</v>
      </c>
      <c r="K41" s="679">
        <f>E41/I41</f>
        <v>6.7068583361728384E-2</v>
      </c>
    </row>
    <row r="42" spans="2:13" ht="15" customHeight="1" x14ac:dyDescent="0.25">
      <c r="B42" s="740">
        <v>2002</v>
      </c>
      <c r="C42" s="780">
        <v>2002</v>
      </c>
      <c r="D42" s="649">
        <v>6.47</v>
      </c>
      <c r="E42" s="650">
        <v>6.6210546321067785</v>
      </c>
      <c r="F42" s="644">
        <f>(E42-E41)/E41</f>
        <v>0.51877934272300485</v>
      </c>
      <c r="G42" s="658">
        <f t="shared" si="5"/>
        <v>8.9281999999998334</v>
      </c>
      <c r="H42" s="658"/>
      <c r="I42" s="581">
        <f t="shared" ref="I42:I67" si="6">1*25+1*40</f>
        <v>65</v>
      </c>
      <c r="J42" s="581">
        <f t="shared" ref="J42:J67" si="7">I42-40</f>
        <v>25</v>
      </c>
      <c r="K42" s="680">
        <f>E42/I42</f>
        <v>0.1018623789554889</v>
      </c>
    </row>
    <row r="43" spans="2:13" ht="15" customHeight="1" x14ac:dyDescent="0.25">
      <c r="B43" s="740">
        <v>2003</v>
      </c>
      <c r="C43" s="582">
        <v>37945.375</v>
      </c>
      <c r="D43" s="649">
        <v>13.85</v>
      </c>
      <c r="E43" s="650">
        <v>15.85</v>
      </c>
      <c r="F43" s="644">
        <f t="shared" ref="F43:F57" si="8">(E43-E42)/E42</f>
        <v>1.39387844998896</v>
      </c>
      <c r="G43" s="658">
        <f t="shared" si="5"/>
        <v>10.492299999999886</v>
      </c>
      <c r="H43" s="658"/>
      <c r="I43" s="581">
        <f t="shared" si="6"/>
        <v>65</v>
      </c>
      <c r="J43" s="581">
        <f t="shared" si="7"/>
        <v>25</v>
      </c>
      <c r="K43" s="680">
        <f t="shared" ref="K43:K57" si="9">E43/I43</f>
        <v>0.24384615384615385</v>
      </c>
    </row>
    <row r="44" spans="2:13" ht="15" customHeight="1" x14ac:dyDescent="0.25">
      <c r="B44" s="740">
        <v>2004</v>
      </c>
      <c r="C44" s="582">
        <v>38218.822916666664</v>
      </c>
      <c r="D44" s="649">
        <v>11.66</v>
      </c>
      <c r="E44" s="650">
        <v>11.83</v>
      </c>
      <c r="F44" s="644">
        <f t="shared" si="8"/>
        <v>-0.25362776025236589</v>
      </c>
      <c r="G44" s="658">
        <f t="shared" si="5"/>
        <v>12.05639999999994</v>
      </c>
      <c r="H44" s="658"/>
      <c r="I44" s="581">
        <f t="shared" si="6"/>
        <v>65</v>
      </c>
      <c r="J44" s="581">
        <f t="shared" si="7"/>
        <v>25</v>
      </c>
      <c r="K44" s="680">
        <f t="shared" si="9"/>
        <v>0.182</v>
      </c>
    </row>
    <row r="45" spans="2:13" ht="15" customHeight="1" x14ac:dyDescent="0.25">
      <c r="B45" s="740">
        <v>2005</v>
      </c>
      <c r="C45" s="582">
        <v>38540.833333333336</v>
      </c>
      <c r="D45" s="649">
        <v>11.96</v>
      </c>
      <c r="E45" s="650">
        <v>12.15</v>
      </c>
      <c r="F45" s="644">
        <f t="shared" si="8"/>
        <v>2.704987320371938E-2</v>
      </c>
      <c r="G45" s="658">
        <f t="shared" si="5"/>
        <v>13.620499999999993</v>
      </c>
      <c r="H45" s="658"/>
      <c r="I45" s="581">
        <f t="shared" si="6"/>
        <v>65</v>
      </c>
      <c r="J45" s="581">
        <f t="shared" si="7"/>
        <v>25</v>
      </c>
      <c r="K45" s="680">
        <f t="shared" si="9"/>
        <v>0.18692307692307694</v>
      </c>
    </row>
    <row r="46" spans="2:13" ht="15" customHeight="1" x14ac:dyDescent="0.25">
      <c r="B46" s="740">
        <v>2006</v>
      </c>
      <c r="C46" s="582">
        <v>39008.854166666664</v>
      </c>
      <c r="D46" s="649">
        <v>13.49</v>
      </c>
      <c r="E46" s="650">
        <v>14.02</v>
      </c>
      <c r="F46" s="644">
        <f t="shared" si="8"/>
        <v>0.15390946502057606</v>
      </c>
      <c r="G46" s="658">
        <f t="shared" si="5"/>
        <v>15.184600000000046</v>
      </c>
      <c r="H46" s="658"/>
      <c r="I46" s="581">
        <f t="shared" si="6"/>
        <v>65</v>
      </c>
      <c r="J46" s="581">
        <f t="shared" si="7"/>
        <v>25</v>
      </c>
      <c r="K46" s="680">
        <f t="shared" si="9"/>
        <v>0.21569230769230768</v>
      </c>
    </row>
    <row r="47" spans="2:13" ht="15" customHeight="1" x14ac:dyDescent="0.25">
      <c r="B47" s="740">
        <v>2007</v>
      </c>
      <c r="C47" s="582">
        <v>39296.822916666664</v>
      </c>
      <c r="D47" s="649">
        <v>19.53</v>
      </c>
      <c r="E47" s="650">
        <v>19.55</v>
      </c>
      <c r="F47" s="644">
        <f t="shared" si="8"/>
        <v>0.39443651925820267</v>
      </c>
      <c r="G47" s="658">
        <f t="shared" si="5"/>
        <v>16.748700000000099</v>
      </c>
      <c r="H47" s="658"/>
      <c r="I47" s="581">
        <f t="shared" si="6"/>
        <v>65</v>
      </c>
      <c r="J47" s="581">
        <f t="shared" si="7"/>
        <v>25</v>
      </c>
      <c r="K47" s="680">
        <f t="shared" si="9"/>
        <v>0.30076923076923079</v>
      </c>
    </row>
    <row r="48" spans="2:13" ht="15" customHeight="1" x14ac:dyDescent="0.25">
      <c r="B48" s="740">
        <v>2008</v>
      </c>
      <c r="C48" s="582">
        <v>39623.875</v>
      </c>
      <c r="D48" s="649">
        <v>20.38</v>
      </c>
      <c r="E48" s="650">
        <v>20.38</v>
      </c>
      <c r="F48" s="644">
        <f t="shared" si="8"/>
        <v>4.2455242966751829E-2</v>
      </c>
      <c r="G48" s="658">
        <f t="shared" si="5"/>
        <v>18.312800000000152</v>
      </c>
      <c r="H48" s="658"/>
      <c r="I48" s="581">
        <f t="shared" si="6"/>
        <v>65</v>
      </c>
      <c r="J48" s="581">
        <f t="shared" si="7"/>
        <v>25</v>
      </c>
      <c r="K48" s="680">
        <f t="shared" si="9"/>
        <v>0.31353846153846154</v>
      </c>
    </row>
    <row r="49" spans="2:12" ht="15" customHeight="1" x14ac:dyDescent="0.25">
      <c r="B49" s="740">
        <v>2009</v>
      </c>
      <c r="C49" s="582">
        <v>40017.822916666664</v>
      </c>
      <c r="D49" s="649">
        <v>21</v>
      </c>
      <c r="E49" s="650">
        <v>21</v>
      </c>
      <c r="F49" s="644">
        <f t="shared" si="8"/>
        <v>3.042198233562321E-2</v>
      </c>
      <c r="G49" s="658">
        <f t="shared" si="5"/>
        <v>19.876900000000205</v>
      </c>
      <c r="H49" s="658"/>
      <c r="I49" s="581">
        <f t="shared" si="6"/>
        <v>65</v>
      </c>
      <c r="J49" s="581">
        <f t="shared" si="7"/>
        <v>25</v>
      </c>
      <c r="K49" s="680">
        <f t="shared" si="9"/>
        <v>0.32307692307692309</v>
      </c>
    </row>
    <row r="50" spans="2:12" ht="15" customHeight="1" x14ac:dyDescent="0.25">
      <c r="B50" s="740">
        <v>2010</v>
      </c>
      <c r="C50" s="582">
        <v>40394.833333333336</v>
      </c>
      <c r="D50" s="649">
        <v>22.18</v>
      </c>
      <c r="E50" s="650">
        <v>22.22</v>
      </c>
      <c r="F50" s="644">
        <f t="shared" si="8"/>
        <v>5.809523809523804E-2</v>
      </c>
      <c r="G50" s="658">
        <f t="shared" si="5"/>
        <v>21.440999999999804</v>
      </c>
      <c r="H50" s="658"/>
      <c r="I50" s="581">
        <f t="shared" si="6"/>
        <v>65</v>
      </c>
      <c r="J50" s="581">
        <f t="shared" si="7"/>
        <v>25</v>
      </c>
      <c r="K50" s="680">
        <f t="shared" si="9"/>
        <v>0.34184615384615386</v>
      </c>
    </row>
    <row r="51" spans="2:12" ht="15" customHeight="1" x14ac:dyDescent="0.25">
      <c r="B51" s="740">
        <v>2011</v>
      </c>
      <c r="C51" s="582">
        <v>40757.864583333336</v>
      </c>
      <c r="D51" s="649">
        <v>22.08</v>
      </c>
      <c r="E51" s="650">
        <v>22.33</v>
      </c>
      <c r="F51" s="644">
        <f t="shared" si="8"/>
        <v>4.9504950495049254E-3</v>
      </c>
      <c r="G51" s="658">
        <f t="shared" si="5"/>
        <v>23.005099999999857</v>
      </c>
      <c r="H51" s="658"/>
      <c r="I51" s="581">
        <f t="shared" si="6"/>
        <v>65</v>
      </c>
      <c r="J51" s="581">
        <f t="shared" si="7"/>
        <v>25</v>
      </c>
      <c r="K51" s="680">
        <f t="shared" si="9"/>
        <v>0.34353846153846151</v>
      </c>
    </row>
    <row r="52" spans="2:12" ht="15" customHeight="1" x14ac:dyDescent="0.25">
      <c r="B52" s="740">
        <v>2012</v>
      </c>
      <c r="C52" s="582">
        <v>41120.854166666664</v>
      </c>
      <c r="D52" s="649">
        <v>22.34</v>
      </c>
      <c r="E52" s="650">
        <v>22.34</v>
      </c>
      <c r="F52" s="644">
        <f t="shared" si="8"/>
        <v>4.4782803403500062E-4</v>
      </c>
      <c r="G52" s="658">
        <f t="shared" si="5"/>
        <v>24.56919999999991</v>
      </c>
      <c r="H52" s="658"/>
      <c r="I52" s="581">
        <f t="shared" si="6"/>
        <v>65</v>
      </c>
      <c r="J52" s="581">
        <f t="shared" si="7"/>
        <v>25</v>
      </c>
      <c r="K52" s="680">
        <f>E52/I52</f>
        <v>0.34369230769230769</v>
      </c>
    </row>
    <row r="53" spans="2:12" ht="15" customHeight="1" x14ac:dyDescent="0.25">
      <c r="B53" s="740">
        <v>2013</v>
      </c>
      <c r="C53" s="582">
        <v>41478.53125</v>
      </c>
      <c r="D53" s="649">
        <v>26.26</v>
      </c>
      <c r="E53" s="650">
        <v>26.27</v>
      </c>
      <c r="F53" s="644">
        <f t="shared" si="8"/>
        <v>0.17591763652641002</v>
      </c>
      <c r="G53" s="658">
        <f t="shared" si="5"/>
        <v>26.133299999999963</v>
      </c>
      <c r="H53" s="658"/>
      <c r="I53" s="581">
        <f t="shared" si="6"/>
        <v>65</v>
      </c>
      <c r="J53" s="581">
        <f t="shared" si="7"/>
        <v>25</v>
      </c>
      <c r="K53" s="680">
        <f t="shared" si="9"/>
        <v>0.40415384615384614</v>
      </c>
    </row>
    <row r="54" spans="2:12" ht="15" customHeight="1" x14ac:dyDescent="0.25">
      <c r="B54" s="740">
        <v>2014</v>
      </c>
      <c r="C54" s="580">
        <v>41844.875</v>
      </c>
      <c r="D54" s="649">
        <v>24.79</v>
      </c>
      <c r="E54" s="650">
        <v>24.79</v>
      </c>
      <c r="F54" s="644">
        <f t="shared" si="8"/>
        <v>-5.63380281690141E-2</v>
      </c>
      <c r="G54" s="658">
        <f t="shared" si="5"/>
        <v>27.697400000000016</v>
      </c>
      <c r="H54" s="658"/>
      <c r="I54" s="581">
        <f t="shared" si="6"/>
        <v>65</v>
      </c>
      <c r="J54" s="581">
        <f t="shared" si="7"/>
        <v>25</v>
      </c>
      <c r="K54" s="680">
        <f t="shared" si="9"/>
        <v>0.38138461538461538</v>
      </c>
    </row>
    <row r="55" spans="2:12" ht="15" customHeight="1" x14ac:dyDescent="0.25">
      <c r="B55" s="740">
        <v>2015</v>
      </c>
      <c r="C55" s="580">
        <v>42199.885416666664</v>
      </c>
      <c r="D55" s="649">
        <v>30.48</v>
      </c>
      <c r="E55" s="650">
        <v>30.490236142083255</v>
      </c>
      <c r="F55" s="644">
        <f t="shared" si="8"/>
        <v>0.22994094966047826</v>
      </c>
      <c r="G55" s="658">
        <f t="shared" si="5"/>
        <v>29.261500000000069</v>
      </c>
      <c r="H55" s="658"/>
      <c r="I55" s="581">
        <f t="shared" si="6"/>
        <v>65</v>
      </c>
      <c r="J55" s="581">
        <f t="shared" si="7"/>
        <v>25</v>
      </c>
      <c r="K55" s="680">
        <f t="shared" si="9"/>
        <v>0.46908055603205007</v>
      </c>
    </row>
    <row r="56" spans="2:12" ht="15" customHeight="1" x14ac:dyDescent="0.25">
      <c r="B56" s="740">
        <v>2016</v>
      </c>
      <c r="C56" s="580">
        <v>42548.854166666664</v>
      </c>
      <c r="D56" s="649">
        <v>33.46</v>
      </c>
      <c r="E56" s="650">
        <v>33.47</v>
      </c>
      <c r="F56" s="644">
        <f t="shared" si="8"/>
        <v>9.77284611385483E-2</v>
      </c>
      <c r="G56" s="658">
        <f t="shared" si="5"/>
        <v>30.825600000000122</v>
      </c>
      <c r="H56" s="658"/>
      <c r="I56" s="581">
        <f t="shared" si="6"/>
        <v>65</v>
      </c>
      <c r="J56" s="581">
        <f t="shared" si="7"/>
        <v>25</v>
      </c>
      <c r="K56" s="680">
        <f t="shared" si="9"/>
        <v>0.51492307692307693</v>
      </c>
    </row>
    <row r="57" spans="2:12" ht="15" customHeight="1" x14ac:dyDescent="0.25">
      <c r="B57" s="740">
        <v>2017</v>
      </c>
      <c r="C57" s="580">
        <v>42933.895833333336</v>
      </c>
      <c r="D57" s="649">
        <v>30.43</v>
      </c>
      <c r="E57" s="650">
        <v>30.45</v>
      </c>
      <c r="F57" s="644">
        <f t="shared" si="8"/>
        <v>-9.0230056767254249E-2</v>
      </c>
      <c r="G57" s="658">
        <f t="shared" si="5"/>
        <v>32.389700000000175</v>
      </c>
      <c r="H57" s="658">
        <f>E57</f>
        <v>30.45</v>
      </c>
      <c r="I57" s="581">
        <f t="shared" si="6"/>
        <v>65</v>
      </c>
      <c r="J57" s="581">
        <f t="shared" si="7"/>
        <v>25</v>
      </c>
      <c r="K57" s="680">
        <f t="shared" si="9"/>
        <v>0.46846153846153843</v>
      </c>
    </row>
    <row r="58" spans="2:12" ht="15" customHeight="1" x14ac:dyDescent="0.25">
      <c r="B58" s="736">
        <v>2018</v>
      </c>
      <c r="C58" s="720">
        <v>2018</v>
      </c>
      <c r="D58" s="651"/>
      <c r="E58" s="652"/>
      <c r="F58" s="645"/>
      <c r="G58" s="660">
        <f>1.5641*B58-3122.4</f>
        <v>33.953800000000228</v>
      </c>
      <c r="H58" s="661">
        <f>1.6+H57</f>
        <v>32.049999999999997</v>
      </c>
      <c r="I58" s="584">
        <f t="shared" si="6"/>
        <v>65</v>
      </c>
      <c r="J58" s="584">
        <f t="shared" si="7"/>
        <v>25</v>
      </c>
      <c r="K58" s="684">
        <f>H58/I58</f>
        <v>0.49307692307692302</v>
      </c>
      <c r="L58" s="11"/>
    </row>
    <row r="59" spans="2:12" ht="15" customHeight="1" x14ac:dyDescent="0.25">
      <c r="B59" s="736">
        <v>2019</v>
      </c>
      <c r="C59" s="720">
        <v>2019</v>
      </c>
      <c r="D59" s="651"/>
      <c r="E59" s="652"/>
      <c r="F59" s="645"/>
      <c r="G59" s="660">
        <f t="shared" ref="G59:G67" si="10">1.5641*B59-3122.4</f>
        <v>35.517899999999827</v>
      </c>
      <c r="H59" s="661">
        <f t="shared" ref="H59:H67" si="11">1.6+H58</f>
        <v>33.65</v>
      </c>
      <c r="I59" s="584">
        <f t="shared" si="6"/>
        <v>65</v>
      </c>
      <c r="J59" s="584">
        <f t="shared" si="7"/>
        <v>25</v>
      </c>
      <c r="K59" s="684">
        <f t="shared" ref="K59:K67" si="12">H59/I59</f>
        <v>0.51769230769230767</v>
      </c>
      <c r="L59" s="11"/>
    </row>
    <row r="60" spans="2:12" ht="15" customHeight="1" x14ac:dyDescent="0.25">
      <c r="B60" s="736">
        <v>2020</v>
      </c>
      <c r="C60" s="720">
        <v>2020</v>
      </c>
      <c r="D60" s="651"/>
      <c r="E60" s="652"/>
      <c r="F60" s="645"/>
      <c r="G60" s="660">
        <f t="shared" si="10"/>
        <v>37.08199999999988</v>
      </c>
      <c r="H60" s="661">
        <f t="shared" si="11"/>
        <v>35.25</v>
      </c>
      <c r="I60" s="584">
        <f t="shared" si="6"/>
        <v>65</v>
      </c>
      <c r="J60" s="584">
        <f t="shared" si="7"/>
        <v>25</v>
      </c>
      <c r="K60" s="684">
        <f t="shared" si="12"/>
        <v>0.54230769230769227</v>
      </c>
      <c r="L60" s="11"/>
    </row>
    <row r="61" spans="2:12" ht="15" customHeight="1" x14ac:dyDescent="0.25">
      <c r="B61" s="736">
        <v>2021</v>
      </c>
      <c r="C61" s="720">
        <v>2021</v>
      </c>
      <c r="D61" s="651"/>
      <c r="E61" s="652"/>
      <c r="F61" s="645"/>
      <c r="G61" s="660">
        <f t="shared" si="10"/>
        <v>38.646099999999933</v>
      </c>
      <c r="H61" s="661">
        <f t="shared" si="11"/>
        <v>36.85</v>
      </c>
      <c r="I61" s="584">
        <f t="shared" si="6"/>
        <v>65</v>
      </c>
      <c r="J61" s="584">
        <f t="shared" si="7"/>
        <v>25</v>
      </c>
      <c r="K61" s="684">
        <f t="shared" si="12"/>
        <v>0.56692307692307697</v>
      </c>
      <c r="L61" s="11"/>
    </row>
    <row r="62" spans="2:12" ht="15" customHeight="1" x14ac:dyDescent="0.25">
      <c r="B62" s="736">
        <v>2022</v>
      </c>
      <c r="C62" s="721">
        <v>2022</v>
      </c>
      <c r="D62" s="651"/>
      <c r="E62" s="652"/>
      <c r="F62" s="645"/>
      <c r="G62" s="660">
        <f t="shared" si="10"/>
        <v>40.210199999999986</v>
      </c>
      <c r="H62" s="661">
        <f t="shared" si="11"/>
        <v>38.450000000000003</v>
      </c>
      <c r="I62" s="584">
        <f t="shared" si="6"/>
        <v>65</v>
      </c>
      <c r="J62" s="584">
        <f t="shared" si="7"/>
        <v>25</v>
      </c>
      <c r="K62" s="684">
        <f t="shared" si="12"/>
        <v>0.59153846153846157</v>
      </c>
      <c r="L62" s="11"/>
    </row>
    <row r="63" spans="2:12" ht="15" customHeight="1" x14ac:dyDescent="0.25">
      <c r="B63" s="736">
        <v>2023</v>
      </c>
      <c r="C63" s="720">
        <v>2023</v>
      </c>
      <c r="D63" s="651"/>
      <c r="E63" s="652"/>
      <c r="F63" s="645"/>
      <c r="G63" s="660">
        <f t="shared" si="10"/>
        <v>41.774300000000039</v>
      </c>
      <c r="H63" s="661">
        <f t="shared" si="11"/>
        <v>40.050000000000004</v>
      </c>
      <c r="I63" s="584">
        <f t="shared" si="6"/>
        <v>65</v>
      </c>
      <c r="J63" s="584">
        <f t="shared" si="7"/>
        <v>25</v>
      </c>
      <c r="K63" s="684">
        <f t="shared" si="12"/>
        <v>0.61615384615384627</v>
      </c>
      <c r="L63" s="11"/>
    </row>
    <row r="64" spans="2:12" ht="15" customHeight="1" x14ac:dyDescent="0.25">
      <c r="B64" s="736">
        <v>2024</v>
      </c>
      <c r="C64" s="720">
        <v>2024</v>
      </c>
      <c r="D64" s="769"/>
      <c r="E64" s="770"/>
      <c r="F64" s="771"/>
      <c r="G64" s="660">
        <f t="shared" si="10"/>
        <v>43.338400000000092</v>
      </c>
      <c r="H64" s="661">
        <f t="shared" si="11"/>
        <v>41.650000000000006</v>
      </c>
      <c r="I64" s="584">
        <f t="shared" si="6"/>
        <v>65</v>
      </c>
      <c r="J64" s="584">
        <f t="shared" si="7"/>
        <v>25</v>
      </c>
      <c r="K64" s="684">
        <f t="shared" si="12"/>
        <v>0.64076923076923087</v>
      </c>
      <c r="L64" s="11"/>
    </row>
    <row r="65" spans="2:12" ht="15" customHeight="1" x14ac:dyDescent="0.25">
      <c r="B65" s="736">
        <v>2025</v>
      </c>
      <c r="C65" s="720">
        <v>2025</v>
      </c>
      <c r="D65" s="769"/>
      <c r="E65" s="770"/>
      <c r="F65" s="771"/>
      <c r="G65" s="660">
        <f t="shared" si="10"/>
        <v>44.902500000000146</v>
      </c>
      <c r="H65" s="661">
        <f t="shared" si="11"/>
        <v>43.250000000000007</v>
      </c>
      <c r="I65" s="584">
        <f t="shared" si="6"/>
        <v>65</v>
      </c>
      <c r="J65" s="584">
        <f t="shared" si="7"/>
        <v>25</v>
      </c>
      <c r="K65" s="684">
        <f>H65/I65</f>
        <v>0.66538461538461546</v>
      </c>
      <c r="L65" s="11"/>
    </row>
    <row r="66" spans="2:12" ht="15" customHeight="1" x14ac:dyDescent="0.25">
      <c r="B66" s="736">
        <v>2026</v>
      </c>
      <c r="C66" s="720">
        <v>2026</v>
      </c>
      <c r="D66" s="769"/>
      <c r="E66" s="770"/>
      <c r="F66" s="771"/>
      <c r="G66" s="660">
        <f t="shared" si="10"/>
        <v>46.466600000000199</v>
      </c>
      <c r="H66" s="661">
        <f t="shared" si="11"/>
        <v>44.850000000000009</v>
      </c>
      <c r="I66" s="584">
        <f t="shared" si="6"/>
        <v>65</v>
      </c>
      <c r="J66" s="584">
        <f t="shared" si="7"/>
        <v>25</v>
      </c>
      <c r="K66" s="684">
        <f t="shared" si="12"/>
        <v>0.69000000000000017</v>
      </c>
      <c r="L66" s="11"/>
    </row>
    <row r="67" spans="2:12" ht="15" customHeight="1" thickBot="1" x14ac:dyDescent="0.3">
      <c r="B67" s="741">
        <v>2027</v>
      </c>
      <c r="C67" s="793">
        <v>2027</v>
      </c>
      <c r="D67" s="774"/>
      <c r="E67" s="775"/>
      <c r="F67" s="776"/>
      <c r="G67" s="662">
        <f t="shared" si="10"/>
        <v>48.030699999999797</v>
      </c>
      <c r="H67" s="663">
        <f t="shared" si="11"/>
        <v>46.45000000000001</v>
      </c>
      <c r="I67" s="586">
        <f t="shared" si="6"/>
        <v>65</v>
      </c>
      <c r="J67" s="586">
        <f t="shared" si="7"/>
        <v>25</v>
      </c>
      <c r="K67" s="686">
        <f t="shared" si="12"/>
        <v>0.71461538461538476</v>
      </c>
      <c r="L67" s="11"/>
    </row>
    <row r="68" spans="2:12" ht="15" customHeight="1" x14ac:dyDescent="0.25">
      <c r="B68"/>
      <c r="F68" s="143">
        <f>AVERAGE(F42:F57)</f>
        <v>0.17048847742577616</v>
      </c>
      <c r="G68" s="958">
        <f>(G59-G58)/E47</f>
        <v>8.0005115089493525E-2</v>
      </c>
      <c r="H68">
        <f>0.043*H57</f>
        <v>1.3093499999999998</v>
      </c>
    </row>
    <row r="69" spans="2:12" ht="15" customHeight="1" x14ac:dyDescent="0.25">
      <c r="B69"/>
      <c r="G69" s="660">
        <f>(G59-G58)/G58</f>
        <v>4.6065536110820815E-2</v>
      </c>
      <c r="H69" s="661">
        <f>(H58-H57)/E47</f>
        <v>8.184143222506382E-2</v>
      </c>
    </row>
    <row r="70" spans="2:12" ht="15" customHeight="1" x14ac:dyDescent="0.25">
      <c r="B70"/>
    </row>
    <row r="83" spans="15:15" x14ac:dyDescent="0.25">
      <c r="O83" t="s">
        <v>382</v>
      </c>
    </row>
    <row r="105" spans="1:20" ht="18" x14ac:dyDescent="0.25">
      <c r="A105" s="1093" t="s">
        <v>247</v>
      </c>
      <c r="B105" s="1093"/>
      <c r="C105" s="1093"/>
      <c r="D105" s="1093"/>
      <c r="E105" s="1093"/>
      <c r="F105" s="1093"/>
      <c r="G105" s="1093"/>
      <c r="H105" s="1093"/>
      <c r="I105" s="1093"/>
      <c r="J105" s="1093"/>
      <c r="K105" s="1093"/>
      <c r="L105" s="1093"/>
      <c r="M105" s="1093"/>
      <c r="N105" s="1093"/>
      <c r="O105" s="1093"/>
      <c r="P105" s="1093"/>
      <c r="Q105" s="1093"/>
      <c r="R105" s="1093"/>
      <c r="S105" s="1093"/>
      <c r="T105" s="1093"/>
    </row>
    <row r="106" spans="1:20" ht="18" x14ac:dyDescent="0.25">
      <c r="A106" s="1094" t="s">
        <v>248</v>
      </c>
      <c r="B106" s="1094"/>
      <c r="C106" s="1094"/>
      <c r="D106" s="1094"/>
      <c r="E106" s="1094"/>
      <c r="F106" s="1094"/>
      <c r="G106" s="1094"/>
      <c r="H106" s="1094"/>
      <c r="I106" s="1094"/>
      <c r="J106" s="1094"/>
      <c r="K106" s="1094"/>
      <c r="L106" s="1094"/>
      <c r="M106" s="1094"/>
      <c r="N106" s="1094"/>
      <c r="O106" s="1094"/>
      <c r="P106" s="1094"/>
      <c r="Q106" s="1094"/>
      <c r="R106" s="1094"/>
      <c r="S106" s="1094"/>
      <c r="T106" s="1094"/>
    </row>
    <row r="107" spans="1:20" ht="15.75" thickBot="1" x14ac:dyDescent="0.3">
      <c r="A107" s="452"/>
      <c r="B107" s="452"/>
      <c r="C107" s="452"/>
      <c r="D107" s="452"/>
      <c r="E107" s="452"/>
      <c r="F107" s="452"/>
      <c r="G107" s="452"/>
      <c r="H107" s="453"/>
      <c r="I107" s="452"/>
      <c r="J107" s="454"/>
      <c r="K107" s="453"/>
      <c r="L107" s="452"/>
      <c r="M107" s="454"/>
      <c r="N107" s="453"/>
      <c r="O107" s="452"/>
      <c r="P107" s="454"/>
      <c r="Q107" s="453"/>
      <c r="R107" s="452"/>
      <c r="S107" s="449"/>
      <c r="T107" s="450"/>
    </row>
    <row r="108" spans="1:20" x14ac:dyDescent="0.25">
      <c r="A108" s="1095" t="s">
        <v>249</v>
      </c>
      <c r="B108" s="1098" t="s">
        <v>250</v>
      </c>
      <c r="C108" s="1101" t="s">
        <v>251</v>
      </c>
      <c r="D108" s="1063" t="s">
        <v>252</v>
      </c>
      <c r="E108" s="1065"/>
      <c r="F108" s="1066">
        <v>2017</v>
      </c>
      <c r="G108" s="1064"/>
      <c r="H108" s="1106"/>
      <c r="I108" s="1063">
        <f>+F108+1</f>
        <v>2018</v>
      </c>
      <c r="J108" s="1064"/>
      <c r="K108" s="1065"/>
      <c r="L108" s="1066">
        <f>+I108+1</f>
        <v>2019</v>
      </c>
      <c r="M108" s="1064"/>
      <c r="N108" s="1106"/>
      <c r="O108" s="1063">
        <f>+L108+1</f>
        <v>2020</v>
      </c>
      <c r="P108" s="1064"/>
      <c r="Q108" s="1065"/>
      <c r="R108" s="1066">
        <f>+O108+1</f>
        <v>2021</v>
      </c>
      <c r="S108" s="1064"/>
      <c r="T108" s="1065"/>
    </row>
    <row r="109" spans="1:20" x14ac:dyDescent="0.25">
      <c r="A109" s="1096"/>
      <c r="B109" s="1099"/>
      <c r="C109" s="1102"/>
      <c r="D109" s="1104"/>
      <c r="E109" s="1105"/>
      <c r="F109" s="455" t="s">
        <v>253</v>
      </c>
      <c r="G109" s="1067" t="s">
        <v>254</v>
      </c>
      <c r="H109" s="1068"/>
      <c r="I109" s="456" t="s">
        <v>253</v>
      </c>
      <c r="J109" s="1067" t="s">
        <v>254</v>
      </c>
      <c r="K109" s="1069"/>
      <c r="L109" s="455" t="s">
        <v>253</v>
      </c>
      <c r="M109" s="1067" t="s">
        <v>254</v>
      </c>
      <c r="N109" s="1068"/>
      <c r="O109" s="456" t="s">
        <v>253</v>
      </c>
      <c r="P109" s="1067" t="s">
        <v>254</v>
      </c>
      <c r="Q109" s="1069"/>
      <c r="R109" s="455" t="s">
        <v>253</v>
      </c>
      <c r="S109" s="1067" t="s">
        <v>254</v>
      </c>
      <c r="T109" s="1069"/>
    </row>
    <row r="110" spans="1:20" ht="15.75" thickBot="1" x14ac:dyDescent="0.3">
      <c r="A110" s="1097"/>
      <c r="B110" s="1100"/>
      <c r="C110" s="1103"/>
      <c r="D110" s="1091" t="s">
        <v>255</v>
      </c>
      <c r="E110" s="1092"/>
      <c r="F110" s="457" t="s">
        <v>255</v>
      </c>
      <c r="G110" s="458" t="s">
        <v>255</v>
      </c>
      <c r="H110" s="459" t="s">
        <v>256</v>
      </c>
      <c r="I110" s="460" t="s">
        <v>255</v>
      </c>
      <c r="J110" s="461" t="s">
        <v>255</v>
      </c>
      <c r="K110" s="462" t="s">
        <v>256</v>
      </c>
      <c r="L110" s="457" t="s">
        <v>255</v>
      </c>
      <c r="M110" s="461" t="s">
        <v>255</v>
      </c>
      <c r="N110" s="459" t="s">
        <v>256</v>
      </c>
      <c r="O110" s="460" t="s">
        <v>255</v>
      </c>
      <c r="P110" s="461" t="s">
        <v>255</v>
      </c>
      <c r="Q110" s="462" t="s">
        <v>256</v>
      </c>
      <c r="R110" s="457" t="s">
        <v>255</v>
      </c>
      <c r="S110" s="461" t="s">
        <v>255</v>
      </c>
      <c r="T110" s="462" t="s">
        <v>256</v>
      </c>
    </row>
    <row r="111" spans="1:20" x14ac:dyDescent="0.25">
      <c r="B111" s="1190" t="s">
        <v>13</v>
      </c>
      <c r="C111" s="638" t="s">
        <v>24</v>
      </c>
      <c r="D111" s="639">
        <v>40</v>
      </c>
      <c r="E111" s="1242">
        <v>65</v>
      </c>
      <c r="F111" s="1139">
        <v>65</v>
      </c>
      <c r="G111" s="1170">
        <v>34.910574879203864</v>
      </c>
      <c r="H111" s="1132">
        <v>0.53708576737236713</v>
      </c>
      <c r="I111" s="1139">
        <v>65</v>
      </c>
      <c r="J111" s="1170">
        <v>36.411729599009625</v>
      </c>
      <c r="K111" s="1132">
        <v>0.56018045536937888</v>
      </c>
      <c r="L111" s="1139">
        <v>65</v>
      </c>
      <c r="M111" s="1170">
        <v>37.977433971767034</v>
      </c>
      <c r="N111" s="1132">
        <v>0.58426821495026204</v>
      </c>
      <c r="O111" s="1139">
        <v>65</v>
      </c>
      <c r="P111" s="1170">
        <v>39.610463632553014</v>
      </c>
      <c r="Q111" s="1132">
        <v>0.60939174819312325</v>
      </c>
      <c r="R111" s="1139">
        <v>65</v>
      </c>
      <c r="S111" s="1170">
        <v>41.313713568752789</v>
      </c>
      <c r="T111" s="1132">
        <v>0.63559559336542748</v>
      </c>
    </row>
    <row r="112" spans="1:20" x14ac:dyDescent="0.25">
      <c r="B112" s="1148"/>
      <c r="C112" s="640" t="s">
        <v>24</v>
      </c>
      <c r="D112" s="641">
        <v>25</v>
      </c>
      <c r="E112" s="1244"/>
      <c r="F112" s="1141"/>
      <c r="G112" s="1172"/>
      <c r="H112" s="1134"/>
      <c r="I112" s="1141"/>
      <c r="J112" s="1172"/>
      <c r="K112" s="1134"/>
      <c r="L112" s="1141"/>
      <c r="M112" s="1172"/>
      <c r="N112" s="1134"/>
      <c r="O112" s="1141"/>
      <c r="P112" s="1172"/>
      <c r="Q112" s="1134"/>
      <c r="R112" s="1141"/>
      <c r="S112" s="1172"/>
      <c r="T112" s="1134"/>
    </row>
    <row r="114" spans="9:12" x14ac:dyDescent="0.25">
      <c r="I114" s="577">
        <v>2016</v>
      </c>
      <c r="J114" s="694">
        <v>31.801069999999999</v>
      </c>
      <c r="K114" s="790"/>
    </row>
    <row r="115" spans="9:12" x14ac:dyDescent="0.25">
      <c r="I115" s="577">
        <v>2017</v>
      </c>
      <c r="J115" s="694">
        <v>33.168516009999998</v>
      </c>
      <c r="K115" s="791">
        <f>G111</f>
        <v>34.910574879203864</v>
      </c>
    </row>
    <row r="116" spans="9:12" x14ac:dyDescent="0.25">
      <c r="I116" s="577">
        <v>2018</v>
      </c>
      <c r="J116" s="694">
        <v>34.594762198429997</v>
      </c>
      <c r="K116" s="791">
        <f>J111</f>
        <v>36.411729599009625</v>
      </c>
      <c r="L116">
        <f>1.043*K115</f>
        <v>36.411729599009625</v>
      </c>
    </row>
    <row r="117" spans="9:12" x14ac:dyDescent="0.25">
      <c r="I117" s="577">
        <v>2019</v>
      </c>
      <c r="J117" s="694">
        <v>36.082336972962501</v>
      </c>
      <c r="K117" s="791">
        <f>M111</f>
        <v>37.977433971767034</v>
      </c>
      <c r="L117">
        <f>1.043*K116</f>
        <v>37.977433971767034</v>
      </c>
    </row>
    <row r="118" spans="9:12" x14ac:dyDescent="0.25">
      <c r="I118" s="577">
        <v>2020</v>
      </c>
      <c r="J118" s="694">
        <v>37.633877462799902</v>
      </c>
      <c r="K118" s="791">
        <f>P111</f>
        <v>39.610463632553014</v>
      </c>
      <c r="L118">
        <f>1.043*K117</f>
        <v>39.610463632553014</v>
      </c>
    </row>
    <row r="119" spans="9:12" x14ac:dyDescent="0.25">
      <c r="I119" s="577">
        <v>2021</v>
      </c>
      <c r="J119" s="792"/>
      <c r="K119" s="791">
        <f>S111</f>
        <v>41.313713568752789</v>
      </c>
      <c r="L119">
        <f>1.043*K118</f>
        <v>41.313713568752789</v>
      </c>
    </row>
    <row r="120" spans="9:12" x14ac:dyDescent="0.25">
      <c r="K120" s="132"/>
    </row>
  </sheetData>
  <mergeCells count="52">
    <mergeCell ref="S109:T109"/>
    <mergeCell ref="I111:I112"/>
    <mergeCell ref="J111:J112"/>
    <mergeCell ref="K111:K112"/>
    <mergeCell ref="L111:L112"/>
    <mergeCell ref="M111:M112"/>
    <mergeCell ref="S111:S112"/>
    <mergeCell ref="T111:T112"/>
    <mergeCell ref="N111:N112"/>
    <mergeCell ref="O111:O112"/>
    <mergeCell ref="P111:P112"/>
    <mergeCell ref="Q111:Q112"/>
    <mergeCell ref="R111:R112"/>
    <mergeCell ref="B111:B112"/>
    <mergeCell ref="E111:E112"/>
    <mergeCell ref="F111:F112"/>
    <mergeCell ref="G111:G112"/>
    <mergeCell ref="H111:H112"/>
    <mergeCell ref="B3:K3"/>
    <mergeCell ref="B4:K4"/>
    <mergeCell ref="L4:L5"/>
    <mergeCell ref="D5:F5"/>
    <mergeCell ref="B5:B6"/>
    <mergeCell ref="C5:C6"/>
    <mergeCell ref="G5:I5"/>
    <mergeCell ref="J5:J6"/>
    <mergeCell ref="K5:K6"/>
    <mergeCell ref="C37:K37"/>
    <mergeCell ref="C38:K38"/>
    <mergeCell ref="B39:B40"/>
    <mergeCell ref="C39:C40"/>
    <mergeCell ref="D39:F39"/>
    <mergeCell ref="G39:H39"/>
    <mergeCell ref="I39:I40"/>
    <mergeCell ref="J39:J40"/>
    <mergeCell ref="K39:K40"/>
    <mergeCell ref="D110:E110"/>
    <mergeCell ref="A105:T105"/>
    <mergeCell ref="A106:T106"/>
    <mergeCell ref="A108:A110"/>
    <mergeCell ref="B108:B110"/>
    <mergeCell ref="C108:C110"/>
    <mergeCell ref="D108:E109"/>
    <mergeCell ref="F108:H108"/>
    <mergeCell ref="I108:K108"/>
    <mergeCell ref="L108:N108"/>
    <mergeCell ref="O108:Q108"/>
    <mergeCell ref="R108:T108"/>
    <mergeCell ref="G109:H109"/>
    <mergeCell ref="J109:K109"/>
    <mergeCell ref="M109:N109"/>
    <mergeCell ref="P109:Q109"/>
  </mergeCells>
  <conditionalFormatting sqref="Q111 N111 H111 T111 K111">
    <cfRule type="cellIs" dxfId="8" priority="1" operator="greaterThan">
      <formula>1</formula>
    </cfRule>
  </conditionalFormatting>
  <printOptions horizontalCentered="1" verticalCentered="1" gridLines="1"/>
  <pageMargins left="0.70866141732283472" right="0.70866141732283472" top="0.74803149606299213" bottom="0.74803149606299213" header="0" footer="0"/>
  <pageSetup paperSize="9" scale="13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9" tint="0.79998168889431442"/>
  </sheetPr>
  <dimension ref="A2:T123"/>
  <sheetViews>
    <sheetView topLeftCell="A47" workbookViewId="0">
      <selection activeCell="H62" sqref="H62"/>
    </sheetView>
  </sheetViews>
  <sheetFormatPr baseColWidth="10" defaultRowHeight="15" x14ac:dyDescent="0.25"/>
  <cols>
    <col min="1" max="1" width="5.7109375" customWidth="1"/>
    <col min="2" max="2" width="6.7109375" customWidth="1"/>
    <col min="3" max="3" width="14.7109375" customWidth="1"/>
    <col min="4" max="5" width="10.7109375" style="11" customWidth="1"/>
    <col min="6" max="6" width="11.7109375" customWidth="1"/>
    <col min="7" max="7" width="12.7109375" style="11" customWidth="1"/>
    <col min="8" max="8" width="12.7109375" customWidth="1"/>
    <col min="9" max="11" width="10.7109375" style="11" customWidth="1"/>
    <col min="12" max="12" width="11.42578125" style="7"/>
    <col min="14" max="14" width="13.28515625" customWidth="1"/>
  </cols>
  <sheetData>
    <row r="2" spans="2:16" ht="15.75" thickBot="1" x14ac:dyDescent="0.3"/>
    <row r="3" spans="2:16" ht="15.95" customHeight="1" x14ac:dyDescent="0.25">
      <c r="B3" s="1112" t="s">
        <v>43</v>
      </c>
      <c r="C3" s="1113"/>
      <c r="D3" s="1113"/>
      <c r="E3" s="1113"/>
      <c r="F3" s="1113"/>
      <c r="G3" s="1113"/>
      <c r="H3" s="1113"/>
      <c r="I3" s="1113"/>
      <c r="J3" s="1113"/>
      <c r="K3" s="1114"/>
    </row>
    <row r="4" spans="2:16" ht="15.95" customHeight="1" thickBot="1" x14ac:dyDescent="0.3">
      <c r="B4" s="1115" t="s">
        <v>52</v>
      </c>
      <c r="C4" s="1116"/>
      <c r="D4" s="1116"/>
      <c r="E4" s="1116"/>
      <c r="F4" s="1116"/>
      <c r="G4" s="1116"/>
      <c r="H4" s="1116"/>
      <c r="I4" s="1116"/>
      <c r="J4" s="1116"/>
      <c r="K4" s="1117"/>
    </row>
    <row r="5" spans="2:16" ht="15.95" customHeight="1" x14ac:dyDescent="0.25">
      <c r="B5" s="1166" t="s">
        <v>124</v>
      </c>
      <c r="C5" s="1181" t="s">
        <v>26</v>
      </c>
      <c r="D5" s="1169" t="s">
        <v>110</v>
      </c>
      <c r="E5" s="1167"/>
      <c r="F5" s="1168"/>
      <c r="G5" s="1169" t="s">
        <v>74</v>
      </c>
      <c r="H5" s="1167"/>
      <c r="I5" s="1168"/>
      <c r="J5" s="1262" t="s">
        <v>105</v>
      </c>
      <c r="K5" s="1264" t="s">
        <v>177</v>
      </c>
    </row>
    <row r="6" spans="2:16" ht="39.950000000000003" customHeight="1" x14ac:dyDescent="0.25">
      <c r="B6" s="1119"/>
      <c r="C6" s="1032"/>
      <c r="D6" s="490" t="s">
        <v>103</v>
      </c>
      <c r="E6" s="490" t="s">
        <v>102</v>
      </c>
      <c r="F6" s="330" t="s">
        <v>178</v>
      </c>
      <c r="G6" s="257" t="s">
        <v>243</v>
      </c>
      <c r="H6" s="38" t="s">
        <v>232</v>
      </c>
      <c r="I6" s="257" t="s">
        <v>238</v>
      </c>
      <c r="J6" s="1263"/>
      <c r="K6" s="1265"/>
      <c r="L6" s="6" t="s">
        <v>206</v>
      </c>
      <c r="M6" s="85" t="s">
        <v>73</v>
      </c>
      <c r="N6" s="38" t="s">
        <v>240</v>
      </c>
    </row>
    <row r="7" spans="2:16" ht="15" customHeight="1" x14ac:dyDescent="0.25">
      <c r="B7" s="196"/>
      <c r="C7" s="266">
        <v>2001</v>
      </c>
      <c r="D7" s="61">
        <v>18.91</v>
      </c>
      <c r="E7" s="61">
        <f>D7/L22</f>
        <v>20.824025422395625</v>
      </c>
      <c r="F7" s="174"/>
      <c r="G7" s="40"/>
      <c r="H7" s="40"/>
      <c r="I7" s="40"/>
      <c r="J7" s="61">
        <v>80</v>
      </c>
      <c r="K7" s="178">
        <f t="shared" ref="K7:K33" si="0">J7-40</f>
        <v>40</v>
      </c>
      <c r="L7" s="263"/>
      <c r="M7" s="50"/>
      <c r="N7" s="50"/>
      <c r="O7" s="73"/>
      <c r="P7" s="73"/>
    </row>
    <row r="8" spans="2:16" ht="15" customHeight="1" x14ac:dyDescent="0.25">
      <c r="B8" s="196"/>
      <c r="C8" s="101">
        <v>2002</v>
      </c>
      <c r="D8" s="62">
        <v>22.12</v>
      </c>
      <c r="E8" s="62">
        <f>D8/L22</f>
        <v>24.358934021332164</v>
      </c>
      <c r="F8" s="175">
        <f>(E8-E7)/E7</f>
        <v>0.16975145425700688</v>
      </c>
      <c r="G8" s="40"/>
      <c r="H8" s="40"/>
      <c r="I8" s="40"/>
      <c r="J8" s="62">
        <v>80</v>
      </c>
      <c r="K8" s="179">
        <f t="shared" si="0"/>
        <v>40</v>
      </c>
      <c r="L8" s="263"/>
      <c r="M8" s="50"/>
      <c r="N8" s="50"/>
      <c r="O8" s="73"/>
      <c r="P8" s="73"/>
    </row>
    <row r="9" spans="2:16" ht="15" customHeight="1" x14ac:dyDescent="0.25">
      <c r="B9" s="196">
        <v>8</v>
      </c>
      <c r="C9" s="101">
        <v>2003</v>
      </c>
      <c r="D9" s="62">
        <v>22.34</v>
      </c>
      <c r="E9" s="62">
        <v>23.88</v>
      </c>
      <c r="F9" s="175">
        <f t="shared" ref="F9:F23" si="1">(E9-E8)/E8</f>
        <v>-1.9661534487212865E-2</v>
      </c>
      <c r="G9" s="40"/>
      <c r="H9" s="40"/>
      <c r="I9" s="40"/>
      <c r="J9" s="62">
        <v>80</v>
      </c>
      <c r="K9" s="179">
        <f t="shared" si="0"/>
        <v>40</v>
      </c>
      <c r="L9" s="263">
        <v>0.93569999999999998</v>
      </c>
      <c r="M9" s="50"/>
      <c r="N9" s="50"/>
      <c r="O9" s="73"/>
      <c r="P9" s="73"/>
    </row>
    <row r="10" spans="2:16" ht="15" customHeight="1" x14ac:dyDescent="0.25">
      <c r="B10" s="196">
        <v>12</v>
      </c>
      <c r="C10" s="101">
        <v>2004</v>
      </c>
      <c r="D10" s="62">
        <v>25.63</v>
      </c>
      <c r="E10" s="62">
        <v>27.56</v>
      </c>
      <c r="F10" s="175">
        <f t="shared" si="1"/>
        <v>0.1541038525963149</v>
      </c>
      <c r="G10" s="40"/>
      <c r="H10" s="40"/>
      <c r="I10" s="40"/>
      <c r="J10" s="62">
        <v>80</v>
      </c>
      <c r="K10" s="179">
        <f t="shared" si="0"/>
        <v>40</v>
      </c>
      <c r="L10" s="263">
        <v>0.93020000000000003</v>
      </c>
      <c r="M10" s="50"/>
      <c r="N10" s="50"/>
      <c r="O10" s="73"/>
      <c r="P10" s="73"/>
    </row>
    <row r="11" spans="2:16" ht="15" customHeight="1" x14ac:dyDescent="0.25">
      <c r="B11" s="196">
        <v>12</v>
      </c>
      <c r="C11" s="101">
        <v>2005</v>
      </c>
      <c r="D11" s="62">
        <v>28.7</v>
      </c>
      <c r="E11" s="62">
        <v>32.46</v>
      </c>
      <c r="F11" s="175">
        <f t="shared" si="1"/>
        <v>0.17779390420899863</v>
      </c>
      <c r="G11" s="40"/>
      <c r="H11" s="40"/>
      <c r="I11" s="40"/>
      <c r="J11" s="62">
        <v>80</v>
      </c>
      <c r="K11" s="179">
        <f t="shared" si="0"/>
        <v>40</v>
      </c>
      <c r="L11" s="263">
        <v>0.8841</v>
      </c>
      <c r="M11" s="50"/>
      <c r="N11" s="50"/>
      <c r="O11" s="73"/>
      <c r="P11" s="73"/>
    </row>
    <row r="12" spans="2:16" ht="15" customHeight="1" x14ac:dyDescent="0.25">
      <c r="B12" s="196">
        <v>11</v>
      </c>
      <c r="C12" s="101">
        <v>2006</v>
      </c>
      <c r="D12" s="62">
        <v>35.520000000000003</v>
      </c>
      <c r="E12" s="62">
        <v>39.78</v>
      </c>
      <c r="F12" s="175">
        <f t="shared" si="1"/>
        <v>0.2255083179297597</v>
      </c>
      <c r="G12" s="40"/>
      <c r="H12" s="40"/>
      <c r="I12" s="40"/>
      <c r="J12" s="62">
        <v>80</v>
      </c>
      <c r="K12" s="179">
        <f t="shared" si="0"/>
        <v>40</v>
      </c>
      <c r="L12" s="263">
        <v>0.89290000000000003</v>
      </c>
      <c r="M12" s="50"/>
      <c r="N12" s="50"/>
      <c r="O12" s="73"/>
      <c r="P12" s="73"/>
    </row>
    <row r="13" spans="2:16" ht="15" customHeight="1" x14ac:dyDescent="0.25">
      <c r="B13" s="196">
        <v>11</v>
      </c>
      <c r="C13" s="101">
        <v>2007</v>
      </c>
      <c r="D13" s="62">
        <v>38.799999999999997</v>
      </c>
      <c r="E13" s="62">
        <v>43.15</v>
      </c>
      <c r="F13" s="175">
        <f t="shared" si="1"/>
        <v>8.4715937657114063E-2</v>
      </c>
      <c r="G13" s="40"/>
      <c r="H13" s="40"/>
      <c r="I13" s="40"/>
      <c r="J13" s="62">
        <v>80</v>
      </c>
      <c r="K13" s="179">
        <f t="shared" si="0"/>
        <v>40</v>
      </c>
      <c r="L13" s="263">
        <v>0.8992</v>
      </c>
      <c r="M13" s="50"/>
      <c r="N13" s="50"/>
      <c r="O13" s="73"/>
      <c r="P13" s="73"/>
    </row>
    <row r="14" spans="2:16" ht="15" customHeight="1" x14ac:dyDescent="0.25">
      <c r="B14" s="196">
        <v>11</v>
      </c>
      <c r="C14" s="101">
        <v>2008</v>
      </c>
      <c r="D14" s="62">
        <v>45.49</v>
      </c>
      <c r="E14" s="62">
        <v>50.43</v>
      </c>
      <c r="F14" s="175">
        <f t="shared" si="1"/>
        <v>0.16871378910776363</v>
      </c>
      <c r="G14" s="40"/>
      <c r="H14" s="40"/>
      <c r="I14" s="40"/>
      <c r="J14" s="62">
        <v>80</v>
      </c>
      <c r="K14" s="179">
        <f t="shared" si="0"/>
        <v>40</v>
      </c>
      <c r="L14" s="263">
        <v>0.90200000000000002</v>
      </c>
      <c r="M14" s="50"/>
      <c r="N14" s="50"/>
      <c r="O14" s="73"/>
      <c r="P14" s="73"/>
    </row>
    <row r="15" spans="2:16" ht="15" customHeight="1" x14ac:dyDescent="0.25">
      <c r="B15" s="196">
        <v>2</v>
      </c>
      <c r="C15" s="101">
        <v>2009</v>
      </c>
      <c r="D15" s="62">
        <v>45.59</v>
      </c>
      <c r="E15" s="62">
        <v>49.96</v>
      </c>
      <c r="F15" s="175">
        <f t="shared" si="1"/>
        <v>-9.3198492960539139E-3</v>
      </c>
      <c r="G15" s="40"/>
      <c r="H15" s="40"/>
      <c r="I15" s="40"/>
      <c r="J15" s="62">
        <v>80</v>
      </c>
      <c r="K15" s="179">
        <f t="shared" si="0"/>
        <v>40</v>
      </c>
      <c r="L15" s="263">
        <v>0.91249999999999998</v>
      </c>
      <c r="M15" s="50"/>
      <c r="N15" s="50"/>
      <c r="O15" s="73"/>
      <c r="P15" s="73"/>
    </row>
    <row r="16" spans="2:16" ht="15" customHeight="1" x14ac:dyDescent="0.25">
      <c r="B16" s="196">
        <v>12</v>
      </c>
      <c r="C16" s="101">
        <v>2010</v>
      </c>
      <c r="D16" s="62">
        <f>E16*L22</f>
        <v>44.193122915544073</v>
      </c>
      <c r="E16" s="62">
        <v>48.666246170721543</v>
      </c>
      <c r="F16" s="175">
        <f t="shared" si="1"/>
        <v>-2.5895793220145277E-2</v>
      </c>
      <c r="G16" s="40"/>
      <c r="H16" s="40"/>
      <c r="I16" s="40"/>
      <c r="J16" s="62">
        <v>80</v>
      </c>
      <c r="K16" s="179">
        <f t="shared" si="0"/>
        <v>40</v>
      </c>
      <c r="L16" s="263"/>
      <c r="M16" s="175"/>
      <c r="N16" s="50"/>
      <c r="O16" s="40">
        <v>48.666246170721543</v>
      </c>
      <c r="P16" s="73"/>
    </row>
    <row r="17" spans="2:16" ht="15" customHeight="1" x14ac:dyDescent="0.25">
      <c r="B17" s="196">
        <v>11</v>
      </c>
      <c r="C17" s="101">
        <v>2011</v>
      </c>
      <c r="D17" s="62">
        <f>E17*L22</f>
        <v>46.305403758068046</v>
      </c>
      <c r="E17" s="100">
        <v>50.992327078387248</v>
      </c>
      <c r="F17" s="175">
        <f t="shared" si="1"/>
        <v>4.7796596012476426E-2</v>
      </c>
      <c r="G17" s="40"/>
      <c r="H17" s="40"/>
      <c r="I17" s="40"/>
      <c r="J17" s="62">
        <v>80</v>
      </c>
      <c r="K17" s="179">
        <f t="shared" si="0"/>
        <v>40</v>
      </c>
      <c r="L17" s="263"/>
      <c r="M17" s="50"/>
      <c r="N17" s="50"/>
      <c r="O17" s="40">
        <v>50.992327078387248</v>
      </c>
      <c r="P17" s="73"/>
    </row>
    <row r="18" spans="2:16" ht="15" customHeight="1" x14ac:dyDescent="0.25">
      <c r="B18" s="196">
        <v>2</v>
      </c>
      <c r="C18" s="101">
        <v>2012</v>
      </c>
      <c r="D18" s="62">
        <f>E18*L22</f>
        <v>50.143035672586493</v>
      </c>
      <c r="E18" s="62">
        <v>55.218395008039749</v>
      </c>
      <c r="F18" s="175">
        <f t="shared" si="1"/>
        <v>8.2876545782192626E-2</v>
      </c>
      <c r="G18" s="40"/>
      <c r="H18" s="40"/>
      <c r="I18" s="40"/>
      <c r="J18" s="62">
        <v>80</v>
      </c>
      <c r="K18" s="179">
        <f t="shared" si="0"/>
        <v>40</v>
      </c>
      <c r="L18" s="263"/>
      <c r="M18" s="175"/>
      <c r="N18" s="50"/>
      <c r="O18" s="40">
        <v>55.218395008039749</v>
      </c>
      <c r="P18" s="73"/>
    </row>
    <row r="19" spans="2:16" ht="15" customHeight="1" x14ac:dyDescent="0.25">
      <c r="B19" s="196">
        <v>12</v>
      </c>
      <c r="C19" s="101">
        <v>2013</v>
      </c>
      <c r="D19" s="62">
        <f>E19*L22</f>
        <v>51.904190115983802</v>
      </c>
      <c r="E19" s="100">
        <v>57.157809333902819</v>
      </c>
      <c r="F19" s="175">
        <f t="shared" si="1"/>
        <v>3.512261313608793E-2</v>
      </c>
      <c r="G19" s="40"/>
      <c r="H19" s="40"/>
      <c r="I19" s="40"/>
      <c r="J19" s="62">
        <v>80</v>
      </c>
      <c r="K19" s="179">
        <f t="shared" si="0"/>
        <v>40</v>
      </c>
      <c r="L19" s="263"/>
      <c r="M19" s="50"/>
      <c r="N19" s="50"/>
      <c r="O19" s="40">
        <v>57.157809333902819</v>
      </c>
      <c r="P19" s="73"/>
    </row>
    <row r="20" spans="2:16" ht="15" customHeight="1" x14ac:dyDescent="0.25">
      <c r="B20" s="196"/>
      <c r="C20" s="101">
        <v>2014</v>
      </c>
      <c r="D20" s="62">
        <f>E20*L22</f>
        <v>47.204691443754754</v>
      </c>
      <c r="E20" s="100">
        <v>51.98263853416659</v>
      </c>
      <c r="F20" s="175">
        <f t="shared" si="1"/>
        <v>-9.0541797525935039E-2</v>
      </c>
      <c r="G20" s="40"/>
      <c r="H20" s="40"/>
      <c r="I20" s="40"/>
      <c r="J20" s="62">
        <v>80</v>
      </c>
      <c r="K20" s="179">
        <f t="shared" si="0"/>
        <v>40</v>
      </c>
      <c r="L20" s="263"/>
      <c r="M20" s="175"/>
      <c r="N20" s="390"/>
      <c r="O20" s="40">
        <v>51.98263853416659</v>
      </c>
      <c r="P20" s="73"/>
    </row>
    <row r="21" spans="2:16" ht="15" customHeight="1" x14ac:dyDescent="0.25">
      <c r="B21" s="196"/>
      <c r="C21" s="101">
        <v>2015</v>
      </c>
      <c r="D21" s="62">
        <f>E21*L22</f>
        <v>43.826297860850453</v>
      </c>
      <c r="E21" s="100">
        <v>48.26229195260882</v>
      </c>
      <c r="F21" s="175">
        <f t="shared" si="1"/>
        <v>-7.1569021628490451E-2</v>
      </c>
      <c r="G21" s="40"/>
      <c r="H21" s="40"/>
      <c r="I21" s="40"/>
      <c r="J21" s="62">
        <v>80</v>
      </c>
      <c r="K21" s="179">
        <f t="shared" si="0"/>
        <v>40</v>
      </c>
      <c r="L21" s="263"/>
      <c r="M21" s="402"/>
      <c r="N21" s="390"/>
      <c r="O21" s="40">
        <v>48.262291952608798</v>
      </c>
      <c r="P21" s="73"/>
    </row>
    <row r="22" spans="2:16" ht="15" customHeight="1" x14ac:dyDescent="0.25">
      <c r="B22" s="196">
        <v>2</v>
      </c>
      <c r="C22" s="101">
        <v>2016</v>
      </c>
      <c r="D22" s="62">
        <v>51.9</v>
      </c>
      <c r="E22" s="62">
        <v>53.6</v>
      </c>
      <c r="F22" s="175">
        <f t="shared" si="1"/>
        <v>0.11059789809884178</v>
      </c>
      <c r="G22" s="258"/>
      <c r="H22" s="258"/>
      <c r="I22" s="258"/>
      <c r="J22" s="62">
        <v>80</v>
      </c>
      <c r="K22" s="179">
        <f t="shared" si="0"/>
        <v>40</v>
      </c>
      <c r="L22" s="273">
        <f>AVERAGE(L7:L21)</f>
        <v>0.90808571428571416</v>
      </c>
      <c r="M22" s="402"/>
      <c r="N22" s="390" t="e">
        <f>(H22-H21)/H21</f>
        <v>#DIV/0!</v>
      </c>
      <c r="O22" s="40">
        <v>42.403769223203604</v>
      </c>
      <c r="P22" s="73"/>
    </row>
    <row r="23" spans="2:16" ht="15" customHeight="1" x14ac:dyDescent="0.25">
      <c r="B23" s="196"/>
      <c r="C23" s="101">
        <v>2017</v>
      </c>
      <c r="D23" s="62"/>
      <c r="E23" s="62"/>
      <c r="F23" s="175">
        <f t="shared" si="1"/>
        <v>-1</v>
      </c>
      <c r="G23" s="258"/>
      <c r="H23" s="258">
        <f>E23</f>
        <v>0</v>
      </c>
      <c r="I23" s="258">
        <f>E23</f>
        <v>0</v>
      </c>
      <c r="J23" s="62">
        <v>80</v>
      </c>
      <c r="K23" s="179">
        <f t="shared" si="0"/>
        <v>40</v>
      </c>
      <c r="L23" s="40"/>
      <c r="M23" s="402" t="e">
        <f>(G23-G22)/G22</f>
        <v>#DIV/0!</v>
      </c>
      <c r="N23" s="390" t="e">
        <f>(H23-H22)/H22</f>
        <v>#DIV/0!</v>
      </c>
      <c r="O23" s="40">
        <v>44.057041174311763</v>
      </c>
      <c r="P23" s="73"/>
    </row>
    <row r="24" spans="2:16" ht="15" customHeight="1" x14ac:dyDescent="0.25">
      <c r="B24" s="197"/>
      <c r="C24" s="107">
        <v>2018</v>
      </c>
      <c r="D24" s="109"/>
      <c r="E24" s="109"/>
      <c r="F24" s="187"/>
      <c r="G24" s="374"/>
      <c r="H24" s="375"/>
      <c r="I24" s="393">
        <f t="shared" ref="I24:I33" si="2">1.045*I23</f>
        <v>0</v>
      </c>
      <c r="J24" s="62">
        <v>80</v>
      </c>
      <c r="K24" s="179">
        <f t="shared" si="0"/>
        <v>40</v>
      </c>
      <c r="L24" s="40"/>
      <c r="M24" s="402" t="e">
        <f t="shared" ref="M24:M31" si="3">(G24-G23)/G23</f>
        <v>#DIV/0!</v>
      </c>
      <c r="N24" s="390" t="e">
        <f>(H24-H23)/H23</f>
        <v>#DIV/0!</v>
      </c>
      <c r="O24" s="40">
        <v>45.815416333020629</v>
      </c>
      <c r="P24" s="73"/>
    </row>
    <row r="25" spans="2:16" ht="15" customHeight="1" x14ac:dyDescent="0.25">
      <c r="B25" s="197"/>
      <c r="C25" s="107">
        <v>2019</v>
      </c>
      <c r="D25" s="109"/>
      <c r="E25" s="109"/>
      <c r="F25" s="187"/>
      <c r="G25" s="374"/>
      <c r="H25" s="375"/>
      <c r="I25" s="393">
        <f t="shared" si="2"/>
        <v>0</v>
      </c>
      <c r="J25" s="62">
        <v>80</v>
      </c>
      <c r="K25" s="179">
        <f t="shared" si="0"/>
        <v>40</v>
      </c>
      <c r="L25" s="40"/>
      <c r="M25" s="402" t="e">
        <f t="shared" si="3"/>
        <v>#DIV/0!</v>
      </c>
      <c r="N25" s="390" t="e">
        <f>(H25-H24)/H24</f>
        <v>#DIV/0!</v>
      </c>
      <c r="O25" s="40">
        <v>47.637322314221521</v>
      </c>
      <c r="P25" s="73"/>
    </row>
    <row r="26" spans="2:16" ht="15" customHeight="1" x14ac:dyDescent="0.25">
      <c r="B26" s="197"/>
      <c r="C26" s="107">
        <v>2020</v>
      </c>
      <c r="D26" s="109"/>
      <c r="E26" s="109"/>
      <c r="F26" s="187"/>
      <c r="G26" s="374"/>
      <c r="H26" s="375"/>
      <c r="I26" s="393">
        <f t="shared" si="2"/>
        <v>0</v>
      </c>
      <c r="J26" s="62">
        <v>80</v>
      </c>
      <c r="K26" s="179">
        <f t="shared" si="0"/>
        <v>40</v>
      </c>
      <c r="L26" s="40"/>
      <c r="M26" s="402" t="e">
        <f t="shared" si="3"/>
        <v>#DIV/0!</v>
      </c>
      <c r="N26" s="390" t="e">
        <f>(H26-H25)/H25</f>
        <v>#DIV/0!</v>
      </c>
      <c r="O26" s="40">
        <v>49.524388483656672</v>
      </c>
      <c r="P26" s="73"/>
    </row>
    <row r="27" spans="2:16" ht="15" customHeight="1" x14ac:dyDescent="0.25">
      <c r="B27" s="197"/>
      <c r="C27" s="107">
        <v>2021</v>
      </c>
      <c r="D27" s="109"/>
      <c r="E27" s="109"/>
      <c r="F27" s="187"/>
      <c r="G27" s="374"/>
      <c r="H27" s="375"/>
      <c r="I27" s="393">
        <f t="shared" si="2"/>
        <v>0</v>
      </c>
      <c r="J27" s="62">
        <v>80</v>
      </c>
      <c r="K27" s="179">
        <f t="shared" si="0"/>
        <v>40</v>
      </c>
      <c r="L27" s="40"/>
      <c r="M27" s="402" t="e">
        <f t="shared" si="3"/>
        <v>#DIV/0!</v>
      </c>
      <c r="N27" s="390"/>
      <c r="O27" s="73"/>
      <c r="P27" s="73"/>
    </row>
    <row r="28" spans="2:16" ht="15" customHeight="1" x14ac:dyDescent="0.25">
      <c r="B28" s="197"/>
      <c r="C28" s="107">
        <v>2022</v>
      </c>
      <c r="D28" s="109"/>
      <c r="E28" s="109"/>
      <c r="F28" s="187"/>
      <c r="G28" s="374"/>
      <c r="H28" s="375"/>
      <c r="I28" s="393">
        <f t="shared" si="2"/>
        <v>0</v>
      </c>
      <c r="J28" s="62">
        <v>80</v>
      </c>
      <c r="K28" s="179">
        <f t="shared" si="0"/>
        <v>40</v>
      </c>
      <c r="L28" s="40"/>
      <c r="M28" s="402" t="e">
        <f t="shared" si="3"/>
        <v>#DIV/0!</v>
      </c>
      <c r="N28" s="390"/>
      <c r="O28" s="73"/>
      <c r="P28" s="73"/>
    </row>
    <row r="29" spans="2:16" ht="15" customHeight="1" x14ac:dyDescent="0.25">
      <c r="B29" s="197"/>
      <c r="C29" s="107">
        <v>2023</v>
      </c>
      <c r="D29" s="109"/>
      <c r="E29" s="109"/>
      <c r="F29" s="187"/>
      <c r="G29" s="374"/>
      <c r="H29" s="375"/>
      <c r="I29" s="393">
        <f t="shared" si="2"/>
        <v>0</v>
      </c>
      <c r="J29" s="62">
        <v>80</v>
      </c>
      <c r="K29" s="179">
        <f t="shared" si="0"/>
        <v>40</v>
      </c>
      <c r="L29" s="258"/>
      <c r="M29" s="402" t="e">
        <f t="shared" si="3"/>
        <v>#DIV/0!</v>
      </c>
      <c r="N29" s="390"/>
      <c r="O29" s="73"/>
      <c r="P29" s="73"/>
    </row>
    <row r="30" spans="2:16" ht="15" customHeight="1" x14ac:dyDescent="0.25">
      <c r="B30" s="197"/>
      <c r="C30" s="107">
        <v>2024</v>
      </c>
      <c r="D30" s="109"/>
      <c r="E30" s="109"/>
      <c r="F30" s="187"/>
      <c r="G30" s="374"/>
      <c r="H30" s="375"/>
      <c r="I30" s="393">
        <f t="shared" si="2"/>
        <v>0</v>
      </c>
      <c r="J30" s="62">
        <v>80</v>
      </c>
      <c r="K30" s="179">
        <f t="shared" si="0"/>
        <v>40</v>
      </c>
      <c r="L30" s="40"/>
      <c r="M30" s="402" t="e">
        <f t="shared" si="3"/>
        <v>#DIV/0!</v>
      </c>
      <c r="O30" s="73"/>
      <c r="P30" s="73"/>
    </row>
    <row r="31" spans="2:16" ht="15" customHeight="1" x14ac:dyDescent="0.25">
      <c r="B31" s="197"/>
      <c r="C31" s="107">
        <v>2025</v>
      </c>
      <c r="D31" s="109"/>
      <c r="E31" s="109"/>
      <c r="F31" s="187"/>
      <c r="G31" s="374"/>
      <c r="H31" s="375"/>
      <c r="I31" s="393">
        <f t="shared" si="2"/>
        <v>0</v>
      </c>
      <c r="J31" s="62">
        <v>80</v>
      </c>
      <c r="K31" s="179">
        <f t="shared" si="0"/>
        <v>40</v>
      </c>
      <c r="L31" s="40"/>
      <c r="M31" s="402" t="e">
        <f t="shared" si="3"/>
        <v>#DIV/0!</v>
      </c>
      <c r="N31" s="43"/>
      <c r="O31" s="73"/>
      <c r="P31" s="73"/>
    </row>
    <row r="32" spans="2:16" x14ac:dyDescent="0.25">
      <c r="B32" s="197"/>
      <c r="C32" s="107">
        <v>2026</v>
      </c>
      <c r="D32" s="109"/>
      <c r="E32" s="109"/>
      <c r="F32" s="187"/>
      <c r="G32" s="374"/>
      <c r="H32" s="375"/>
      <c r="I32" s="393">
        <f t="shared" si="2"/>
        <v>0</v>
      </c>
      <c r="J32" s="62">
        <v>80</v>
      </c>
      <c r="K32" s="179">
        <f t="shared" si="0"/>
        <v>40</v>
      </c>
      <c r="L32" s="40"/>
      <c r="M32" s="73" t="e">
        <f>AVERAGE(M23:M31)</f>
        <v>#DIV/0!</v>
      </c>
      <c r="N32" s="397" t="e">
        <f>AVERAGE(N23:N27)</f>
        <v>#DIV/0!</v>
      </c>
      <c r="O32" s="73"/>
      <c r="P32" s="73"/>
    </row>
    <row r="33" spans="2:16" ht="15.75" thickBot="1" x14ac:dyDescent="0.3">
      <c r="B33" s="198"/>
      <c r="C33" s="207">
        <v>2027</v>
      </c>
      <c r="D33" s="247"/>
      <c r="E33" s="247"/>
      <c r="F33" s="253"/>
      <c r="G33" s="376"/>
      <c r="H33" s="377"/>
      <c r="I33" s="396">
        <f t="shared" si="2"/>
        <v>0</v>
      </c>
      <c r="J33" s="183">
        <v>80</v>
      </c>
      <c r="K33" s="181">
        <f t="shared" si="0"/>
        <v>40</v>
      </c>
      <c r="L33" s="40"/>
      <c r="M33" s="43"/>
      <c r="N33" s="43"/>
      <c r="O33" s="73"/>
      <c r="P33" s="73"/>
    </row>
    <row r="34" spans="2:16" x14ac:dyDescent="0.25">
      <c r="F34" s="403">
        <f>AVERAGE(F7:F23)</f>
        <v>2.4995570392949418E-3</v>
      </c>
      <c r="M34" s="5"/>
      <c r="N34" s="5"/>
    </row>
    <row r="35" spans="2:16" ht="15.75" thickBot="1" x14ac:dyDescent="0.3">
      <c r="M35" s="5"/>
      <c r="N35" s="5"/>
    </row>
    <row r="36" spans="2:16" ht="20.100000000000001" customHeight="1" thickBot="1" x14ac:dyDescent="0.3">
      <c r="C36" s="1037" t="s">
        <v>43</v>
      </c>
      <c r="D36" s="1038"/>
      <c r="E36" s="1038"/>
      <c r="F36" s="1038"/>
      <c r="G36" s="1038"/>
      <c r="H36" s="1038"/>
      <c r="I36" s="1038"/>
      <c r="J36" s="1038"/>
      <c r="K36" s="1039"/>
      <c r="M36" s="5"/>
      <c r="N36" s="5"/>
    </row>
    <row r="37" spans="2:16" ht="15.95" customHeight="1" thickBot="1" x14ac:dyDescent="0.3">
      <c r="C37" s="1201" t="s">
        <v>54</v>
      </c>
      <c r="D37" s="1202"/>
      <c r="E37" s="1202"/>
      <c r="F37" s="1202"/>
      <c r="G37" s="1202"/>
      <c r="H37" s="1202"/>
      <c r="I37" s="1202"/>
      <c r="J37" s="1202"/>
      <c r="K37" s="1203"/>
      <c r="M37" s="5"/>
      <c r="N37" s="5"/>
    </row>
    <row r="38" spans="2:16" ht="15.95" customHeight="1" thickBot="1" x14ac:dyDescent="0.3">
      <c r="B38" s="1051" t="s">
        <v>26</v>
      </c>
      <c r="C38" s="1043" t="s">
        <v>35</v>
      </c>
      <c r="D38" s="1045" t="s">
        <v>110</v>
      </c>
      <c r="E38" s="1046"/>
      <c r="F38" s="1047"/>
      <c r="G38" s="1045" t="s">
        <v>74</v>
      </c>
      <c r="H38" s="1047"/>
      <c r="I38" s="1043" t="s">
        <v>180</v>
      </c>
      <c r="J38" s="1043" t="s">
        <v>268</v>
      </c>
      <c r="K38" s="1049" t="s">
        <v>269</v>
      </c>
      <c r="M38" s="5"/>
      <c r="N38" s="5"/>
    </row>
    <row r="39" spans="2:16" ht="35.1" customHeight="1" thickBot="1" x14ac:dyDescent="0.3">
      <c r="B39" s="1051"/>
      <c r="C39" s="1044"/>
      <c r="D39" s="541" t="s">
        <v>174</v>
      </c>
      <c r="E39" s="541" t="s">
        <v>122</v>
      </c>
      <c r="F39" s="541" t="s">
        <v>81</v>
      </c>
      <c r="G39" s="737" t="s">
        <v>170</v>
      </c>
      <c r="H39" s="933" t="s">
        <v>270</v>
      </c>
      <c r="I39" s="1044"/>
      <c r="J39" s="1044"/>
      <c r="K39" s="1175"/>
      <c r="L39" s="971" t="s">
        <v>354</v>
      </c>
      <c r="M39" s="972" t="s">
        <v>355</v>
      </c>
      <c r="N39" s="942" t="s">
        <v>374</v>
      </c>
    </row>
    <row r="40" spans="2:16" ht="15" customHeight="1" x14ac:dyDescent="0.25">
      <c r="B40" s="64">
        <v>2001</v>
      </c>
      <c r="C40" s="781">
        <v>2001</v>
      </c>
      <c r="D40" s="647">
        <v>18.91</v>
      </c>
      <c r="E40" s="648">
        <v>20.824025422395625</v>
      </c>
      <c r="F40" s="643"/>
      <c r="G40" s="658">
        <f t="shared" ref="G40:G56" si="4">2.2625*B40-4502</f>
        <v>25.262500000000728</v>
      </c>
      <c r="H40" s="657"/>
      <c r="I40" s="579">
        <f>2*40</f>
        <v>80</v>
      </c>
      <c r="J40" s="579">
        <f>I40-40</f>
        <v>40</v>
      </c>
      <c r="K40" s="969">
        <f>E40/I40</f>
        <v>0.26030031777994533</v>
      </c>
      <c r="L40" s="943">
        <f>E40-G40</f>
        <v>-4.4384745776051027</v>
      </c>
      <c r="M40" s="944">
        <f>L40*L40</f>
        <v>19.700056576046794</v>
      </c>
      <c r="N40" s="588">
        <f>B56-B40</f>
        <v>16</v>
      </c>
      <c r="O40" s="694"/>
      <c r="P40" s="945"/>
    </row>
    <row r="41" spans="2:16" ht="15" customHeight="1" x14ac:dyDescent="0.25">
      <c r="B41" s="68">
        <v>2002</v>
      </c>
      <c r="C41" s="780">
        <v>2002</v>
      </c>
      <c r="D41" s="649">
        <v>22.12</v>
      </c>
      <c r="E41" s="650">
        <v>24.358934021332164</v>
      </c>
      <c r="F41" s="644">
        <f>(E41-E40)/E40</f>
        <v>0.16975145425700688</v>
      </c>
      <c r="G41" s="658">
        <f t="shared" si="4"/>
        <v>27.525000000000546</v>
      </c>
      <c r="H41" s="658"/>
      <c r="I41" s="581">
        <f t="shared" ref="I41:I66" si="5">2*40</f>
        <v>80</v>
      </c>
      <c r="J41" s="581">
        <f t="shared" ref="J41:J66" si="6">I41-40</f>
        <v>40</v>
      </c>
      <c r="K41" s="970">
        <f t="shared" ref="K41:K56" si="7">E41/I41</f>
        <v>0.30448667526665207</v>
      </c>
      <c r="L41" s="973">
        <f t="shared" ref="L41:L56" si="8">E41-G41</f>
        <v>-3.1660659786683816</v>
      </c>
      <c r="M41" s="974">
        <f t="shared" ref="M41:M56" si="9">L41*L41</f>
        <v>10.023973781281377</v>
      </c>
      <c r="N41" s="694"/>
      <c r="O41" s="694"/>
      <c r="P41" s="945"/>
    </row>
    <row r="42" spans="2:16" ht="15" customHeight="1" x14ac:dyDescent="0.25">
      <c r="B42" s="68">
        <v>2003</v>
      </c>
      <c r="C42" s="582">
        <v>37860.833333333336</v>
      </c>
      <c r="D42" s="649">
        <v>22.34</v>
      </c>
      <c r="E42" s="650">
        <v>23.88</v>
      </c>
      <c r="F42" s="644">
        <f t="shared" ref="F42:F56" si="10">(E42-E41)/E41</f>
        <v>-1.9661534487212865E-2</v>
      </c>
      <c r="G42" s="658">
        <f t="shared" si="4"/>
        <v>29.787500000000364</v>
      </c>
      <c r="H42" s="658"/>
      <c r="I42" s="581">
        <f t="shared" si="5"/>
        <v>80</v>
      </c>
      <c r="J42" s="581">
        <f t="shared" si="6"/>
        <v>40</v>
      </c>
      <c r="K42" s="970">
        <f t="shared" si="7"/>
        <v>0.29849999999999999</v>
      </c>
      <c r="L42" s="973">
        <f t="shared" si="8"/>
        <v>-5.9075000000003648</v>
      </c>
      <c r="M42" s="974">
        <f t="shared" si="9"/>
        <v>34.898556250004312</v>
      </c>
      <c r="N42" s="694"/>
      <c r="O42" s="694"/>
      <c r="P42" s="945"/>
    </row>
    <row r="43" spans="2:16" ht="15" customHeight="1" x14ac:dyDescent="0.25">
      <c r="B43" s="68">
        <v>2004</v>
      </c>
      <c r="C43" s="582">
        <v>38337.916666666664</v>
      </c>
      <c r="D43" s="649">
        <v>25.63</v>
      </c>
      <c r="E43" s="650">
        <v>27.56</v>
      </c>
      <c r="F43" s="644">
        <f t="shared" si="10"/>
        <v>0.1541038525963149</v>
      </c>
      <c r="G43" s="658">
        <f t="shared" si="4"/>
        <v>32.050000000000182</v>
      </c>
      <c r="H43" s="658"/>
      <c r="I43" s="581">
        <f t="shared" si="5"/>
        <v>80</v>
      </c>
      <c r="J43" s="581">
        <f t="shared" si="6"/>
        <v>40</v>
      </c>
      <c r="K43" s="970">
        <f t="shared" si="7"/>
        <v>0.34449999999999997</v>
      </c>
      <c r="L43" s="973">
        <f t="shared" si="8"/>
        <v>-4.4900000000001832</v>
      </c>
      <c r="M43" s="974">
        <f t="shared" si="9"/>
        <v>20.160100000001645</v>
      </c>
      <c r="N43" s="694"/>
      <c r="O43" s="694"/>
      <c r="P43" s="945"/>
    </row>
    <row r="44" spans="2:16" ht="15" customHeight="1" x14ac:dyDescent="0.25">
      <c r="B44" s="68">
        <v>2005</v>
      </c>
      <c r="C44" s="582">
        <v>38701.864583333336</v>
      </c>
      <c r="D44" s="649">
        <v>28.7</v>
      </c>
      <c r="E44" s="650">
        <v>32.46</v>
      </c>
      <c r="F44" s="644">
        <f t="shared" si="10"/>
        <v>0.17779390420899863</v>
      </c>
      <c r="G44" s="658">
        <f t="shared" si="4"/>
        <v>34.3125</v>
      </c>
      <c r="H44" s="658"/>
      <c r="I44" s="581">
        <f t="shared" si="5"/>
        <v>80</v>
      </c>
      <c r="J44" s="581">
        <f t="shared" si="6"/>
        <v>40</v>
      </c>
      <c r="K44" s="970">
        <f t="shared" si="7"/>
        <v>0.40575</v>
      </c>
      <c r="L44" s="973">
        <f t="shared" si="8"/>
        <v>-1.8524999999999991</v>
      </c>
      <c r="M44" s="974">
        <f t="shared" si="9"/>
        <v>3.4317562499999967</v>
      </c>
      <c r="N44" s="694"/>
      <c r="O44" s="694"/>
      <c r="P44" s="945"/>
    </row>
    <row r="45" spans="2:16" ht="15" customHeight="1" x14ac:dyDescent="0.25">
      <c r="B45" s="68">
        <v>2006</v>
      </c>
      <c r="C45" s="582">
        <v>39035.864583333336</v>
      </c>
      <c r="D45" s="649">
        <v>35.520000000000003</v>
      </c>
      <c r="E45" s="650">
        <v>39.78</v>
      </c>
      <c r="F45" s="644">
        <f t="shared" si="10"/>
        <v>0.2255083179297597</v>
      </c>
      <c r="G45" s="658">
        <f t="shared" si="4"/>
        <v>36.575000000000728</v>
      </c>
      <c r="H45" s="658"/>
      <c r="I45" s="581">
        <f t="shared" si="5"/>
        <v>80</v>
      </c>
      <c r="J45" s="581">
        <f t="shared" si="6"/>
        <v>40</v>
      </c>
      <c r="K45" s="970">
        <f t="shared" si="7"/>
        <v>0.49725000000000003</v>
      </c>
      <c r="L45" s="973">
        <f t="shared" si="8"/>
        <v>3.2049999999992735</v>
      </c>
      <c r="M45" s="974">
        <f t="shared" si="9"/>
        <v>10.272024999995343</v>
      </c>
      <c r="N45" s="694"/>
      <c r="O45" s="694"/>
      <c r="P45" s="945"/>
    </row>
    <row r="46" spans="2:16" ht="15" customHeight="1" x14ac:dyDescent="0.25">
      <c r="B46" s="68">
        <v>2007</v>
      </c>
      <c r="C46" s="582">
        <v>39407.541666666664</v>
      </c>
      <c r="D46" s="649">
        <v>38.799999999999997</v>
      </c>
      <c r="E46" s="650">
        <v>43.15</v>
      </c>
      <c r="F46" s="644">
        <f t="shared" si="10"/>
        <v>8.4715937657114063E-2</v>
      </c>
      <c r="G46" s="658">
        <f t="shared" si="4"/>
        <v>38.837500000000546</v>
      </c>
      <c r="H46" s="658"/>
      <c r="I46" s="581">
        <f t="shared" si="5"/>
        <v>80</v>
      </c>
      <c r="J46" s="581">
        <f t="shared" si="6"/>
        <v>40</v>
      </c>
      <c r="K46" s="970">
        <f t="shared" si="7"/>
        <v>0.53937499999999994</v>
      </c>
      <c r="L46" s="973">
        <f t="shared" si="8"/>
        <v>4.3124999999994529</v>
      </c>
      <c r="M46" s="974">
        <f t="shared" si="9"/>
        <v>18.597656249995282</v>
      </c>
      <c r="N46" s="694"/>
      <c r="O46" s="694"/>
      <c r="P46" s="945"/>
    </row>
    <row r="47" spans="2:16" ht="15" customHeight="1" x14ac:dyDescent="0.25">
      <c r="B47" s="68">
        <v>2008</v>
      </c>
      <c r="C47" s="582">
        <v>39779.71875</v>
      </c>
      <c r="D47" s="649">
        <v>45.49</v>
      </c>
      <c r="E47" s="650">
        <v>50.43</v>
      </c>
      <c r="F47" s="644">
        <f t="shared" si="10"/>
        <v>0.16871378910776363</v>
      </c>
      <c r="G47" s="658">
        <f t="shared" si="4"/>
        <v>41.100000000000364</v>
      </c>
      <c r="H47" s="658"/>
      <c r="I47" s="581">
        <f t="shared" si="5"/>
        <v>80</v>
      </c>
      <c r="J47" s="581">
        <f t="shared" si="6"/>
        <v>40</v>
      </c>
      <c r="K47" s="970">
        <f t="shared" si="7"/>
        <v>0.63037500000000002</v>
      </c>
      <c r="L47" s="973">
        <f t="shared" si="8"/>
        <v>9.3299999999996359</v>
      </c>
      <c r="M47" s="974">
        <f t="shared" si="9"/>
        <v>87.04889999999321</v>
      </c>
      <c r="N47" s="694"/>
      <c r="O47" s="694"/>
      <c r="P47" s="945"/>
    </row>
    <row r="48" spans="2:16" ht="15" customHeight="1" x14ac:dyDescent="0.25">
      <c r="B48" s="68">
        <v>2009</v>
      </c>
      <c r="C48" s="582">
        <v>39863.729166666664</v>
      </c>
      <c r="D48" s="649">
        <v>45.59</v>
      </c>
      <c r="E48" s="650">
        <v>49.96</v>
      </c>
      <c r="F48" s="644">
        <f t="shared" si="10"/>
        <v>-9.3198492960539139E-3</v>
      </c>
      <c r="G48" s="658">
        <f t="shared" si="4"/>
        <v>43.362500000000182</v>
      </c>
      <c r="H48" s="658"/>
      <c r="I48" s="581">
        <f t="shared" si="5"/>
        <v>80</v>
      </c>
      <c r="J48" s="581">
        <f t="shared" si="6"/>
        <v>40</v>
      </c>
      <c r="K48" s="970">
        <f t="shared" si="7"/>
        <v>0.62450000000000006</v>
      </c>
      <c r="L48" s="973">
        <f t="shared" si="8"/>
        <v>6.597499999999819</v>
      </c>
      <c r="M48" s="974">
        <f t="shared" si="9"/>
        <v>43.527006249997612</v>
      </c>
      <c r="N48" s="694"/>
      <c r="O48" s="694"/>
      <c r="P48" s="945"/>
    </row>
    <row r="49" spans="2:16" ht="15" customHeight="1" x14ac:dyDescent="0.25">
      <c r="B49" s="68">
        <v>2010</v>
      </c>
      <c r="C49" s="582">
        <v>40522.635416666664</v>
      </c>
      <c r="D49" s="649">
        <v>44.193122915544073</v>
      </c>
      <c r="E49" s="650">
        <v>48.666246170721543</v>
      </c>
      <c r="F49" s="644">
        <f t="shared" si="10"/>
        <v>-2.5895793220145277E-2</v>
      </c>
      <c r="G49" s="658">
        <f t="shared" si="4"/>
        <v>45.625</v>
      </c>
      <c r="H49" s="658"/>
      <c r="I49" s="581">
        <f t="shared" si="5"/>
        <v>80</v>
      </c>
      <c r="J49" s="581">
        <f t="shared" si="6"/>
        <v>40</v>
      </c>
      <c r="K49" s="970">
        <f t="shared" si="7"/>
        <v>0.60832807713401926</v>
      </c>
      <c r="L49" s="973">
        <f t="shared" si="8"/>
        <v>3.0412461707215428</v>
      </c>
      <c r="M49" s="974">
        <f t="shared" si="9"/>
        <v>9.2491782709284482</v>
      </c>
      <c r="N49" s="694"/>
      <c r="O49" s="694"/>
      <c r="P49" s="945"/>
    </row>
    <row r="50" spans="2:16" ht="15" customHeight="1" x14ac:dyDescent="0.25">
      <c r="B50" s="68">
        <v>2011</v>
      </c>
      <c r="C50" s="582">
        <v>40855.71875</v>
      </c>
      <c r="D50" s="649">
        <v>46.305403758068046</v>
      </c>
      <c r="E50" s="650">
        <v>50.992327078387248</v>
      </c>
      <c r="F50" s="644">
        <f t="shared" si="10"/>
        <v>4.7796596012476426E-2</v>
      </c>
      <c r="G50" s="658">
        <f t="shared" si="4"/>
        <v>47.887500000000728</v>
      </c>
      <c r="H50" s="658"/>
      <c r="I50" s="581">
        <f t="shared" si="5"/>
        <v>80</v>
      </c>
      <c r="J50" s="581">
        <f t="shared" si="6"/>
        <v>40</v>
      </c>
      <c r="K50" s="970">
        <f t="shared" si="7"/>
        <v>0.63740408847984065</v>
      </c>
      <c r="L50" s="973">
        <f t="shared" si="8"/>
        <v>3.1048270783865206</v>
      </c>
      <c r="M50" s="974">
        <f t="shared" si="9"/>
        <v>9.6399511866821772</v>
      </c>
      <c r="N50" s="694"/>
      <c r="O50" s="694"/>
      <c r="P50" s="945"/>
    </row>
    <row r="51" spans="2:16" ht="15" customHeight="1" x14ac:dyDescent="0.25">
      <c r="B51" s="68">
        <v>2012</v>
      </c>
      <c r="C51" s="582">
        <v>40956.635416666664</v>
      </c>
      <c r="D51" s="649">
        <v>50.143035672586493</v>
      </c>
      <c r="E51" s="650">
        <v>55.218395008039749</v>
      </c>
      <c r="F51" s="644">
        <f t="shared" si="10"/>
        <v>8.2876545782192626E-2</v>
      </c>
      <c r="G51" s="658">
        <f t="shared" si="4"/>
        <v>50.150000000000546</v>
      </c>
      <c r="H51" s="658"/>
      <c r="I51" s="581">
        <f t="shared" si="5"/>
        <v>80</v>
      </c>
      <c r="J51" s="581">
        <f t="shared" si="6"/>
        <v>40</v>
      </c>
      <c r="K51" s="970">
        <f t="shared" si="7"/>
        <v>0.69022993760049689</v>
      </c>
      <c r="L51" s="973">
        <f t="shared" si="8"/>
        <v>5.0683950080392037</v>
      </c>
      <c r="M51" s="974">
        <f t="shared" si="9"/>
        <v>25.688627957516719</v>
      </c>
      <c r="N51" s="694"/>
      <c r="O51" s="694"/>
      <c r="P51" s="945"/>
    </row>
    <row r="52" spans="2:16" ht="15" customHeight="1" x14ac:dyDescent="0.25">
      <c r="B52" s="68">
        <v>2013</v>
      </c>
      <c r="C52" s="582">
        <v>41625.572916666664</v>
      </c>
      <c r="D52" s="649">
        <v>51.904190115983802</v>
      </c>
      <c r="E52" s="650">
        <v>57.157809333902819</v>
      </c>
      <c r="F52" s="644">
        <f t="shared" si="10"/>
        <v>3.512261313608793E-2</v>
      </c>
      <c r="G52" s="658">
        <f t="shared" si="4"/>
        <v>52.412500000000364</v>
      </c>
      <c r="H52" s="658"/>
      <c r="I52" s="581">
        <f t="shared" si="5"/>
        <v>80</v>
      </c>
      <c r="J52" s="581">
        <f t="shared" si="6"/>
        <v>40</v>
      </c>
      <c r="K52" s="970">
        <f t="shared" si="7"/>
        <v>0.71447261667378525</v>
      </c>
      <c r="L52" s="973">
        <f t="shared" si="8"/>
        <v>4.7453093339024548</v>
      </c>
      <c r="M52" s="974">
        <f t="shared" si="9"/>
        <v>22.517960674421758</v>
      </c>
      <c r="N52" s="694"/>
      <c r="O52" s="694"/>
      <c r="P52" s="945"/>
    </row>
    <row r="53" spans="2:16" ht="15" customHeight="1" thickBot="1" x14ac:dyDescent="0.3">
      <c r="B53" s="68">
        <v>2014</v>
      </c>
      <c r="C53" s="582">
        <v>41661.614583333336</v>
      </c>
      <c r="D53" s="649">
        <v>50.29</v>
      </c>
      <c r="E53" s="650">
        <v>51.91</v>
      </c>
      <c r="F53" s="644">
        <f t="shared" si="10"/>
        <v>-9.1812639341132249E-2</v>
      </c>
      <c r="G53" s="658">
        <f t="shared" si="4"/>
        <v>54.675000000000182</v>
      </c>
      <c r="H53" s="658"/>
      <c r="I53" s="581">
        <f t="shared" si="5"/>
        <v>80</v>
      </c>
      <c r="J53" s="581">
        <f t="shared" si="6"/>
        <v>40</v>
      </c>
      <c r="K53" s="970">
        <f t="shared" si="7"/>
        <v>0.64887499999999998</v>
      </c>
      <c r="L53" s="973">
        <f t="shared" si="8"/>
        <v>-2.7650000000001853</v>
      </c>
      <c r="M53" s="974">
        <f t="shared" si="9"/>
        <v>7.6452250000010249</v>
      </c>
      <c r="N53" s="694"/>
      <c r="O53" s="694"/>
      <c r="P53" s="945"/>
    </row>
    <row r="54" spans="2:16" ht="15" customHeight="1" x14ac:dyDescent="0.25">
      <c r="B54" s="68">
        <v>2015</v>
      </c>
      <c r="C54" s="582">
        <v>42030.59375</v>
      </c>
      <c r="D54" s="649">
        <v>46.75</v>
      </c>
      <c r="E54" s="650">
        <v>48.26229195260882</v>
      </c>
      <c r="F54" s="644">
        <f t="shared" si="10"/>
        <v>-7.0269852579294495E-2</v>
      </c>
      <c r="G54" s="658">
        <f t="shared" si="4"/>
        <v>56.9375</v>
      </c>
      <c r="H54" s="658"/>
      <c r="I54" s="581">
        <f t="shared" si="5"/>
        <v>80</v>
      </c>
      <c r="J54" s="581">
        <f t="shared" si="6"/>
        <v>40</v>
      </c>
      <c r="K54" s="970">
        <f t="shared" si="7"/>
        <v>0.60327864940761022</v>
      </c>
      <c r="L54" s="973">
        <f t="shared" si="8"/>
        <v>-8.6752080473911803</v>
      </c>
      <c r="M54" s="974">
        <f t="shared" si="9"/>
        <v>75.259234665520694</v>
      </c>
      <c r="N54" s="1226" t="s">
        <v>362</v>
      </c>
      <c r="O54" s="1227"/>
      <c r="P54" s="945"/>
    </row>
    <row r="55" spans="2:16" ht="15" customHeight="1" x14ac:dyDescent="0.25">
      <c r="B55" s="68">
        <v>2016</v>
      </c>
      <c r="C55" s="580">
        <v>42412.614583333336</v>
      </c>
      <c r="D55" s="649">
        <v>51.9</v>
      </c>
      <c r="E55" s="650">
        <v>53.6</v>
      </c>
      <c r="F55" s="644">
        <f t="shared" si="10"/>
        <v>0.11059789809884178</v>
      </c>
      <c r="G55" s="658">
        <f t="shared" si="4"/>
        <v>59.200000000000728</v>
      </c>
      <c r="H55" s="658"/>
      <c r="I55" s="581">
        <f t="shared" si="5"/>
        <v>80</v>
      </c>
      <c r="J55" s="581">
        <f t="shared" si="6"/>
        <v>40</v>
      </c>
      <c r="K55" s="970">
        <f t="shared" si="7"/>
        <v>0.67</v>
      </c>
      <c r="L55" s="973">
        <f t="shared" si="8"/>
        <v>-5.6000000000007262</v>
      </c>
      <c r="M55" s="974">
        <f t="shared" si="9"/>
        <v>31.360000000008132</v>
      </c>
      <c r="N55" s="977" t="s">
        <v>358</v>
      </c>
      <c r="O55" s="946" t="s">
        <v>357</v>
      </c>
      <c r="P55" s="945"/>
    </row>
    <row r="56" spans="2:16" ht="15" customHeight="1" thickBot="1" x14ac:dyDescent="0.3">
      <c r="B56" s="68">
        <v>2017</v>
      </c>
      <c r="C56" s="580">
        <v>42796.635416666664</v>
      </c>
      <c r="D56" s="649">
        <v>55.4</v>
      </c>
      <c r="E56" s="650">
        <v>57.24</v>
      </c>
      <c r="F56" s="644">
        <f t="shared" si="10"/>
        <v>6.7910447761194037E-2</v>
      </c>
      <c r="G56" s="658">
        <f t="shared" si="4"/>
        <v>61.462500000000546</v>
      </c>
      <c r="H56" s="658">
        <f>E56</f>
        <v>57.24</v>
      </c>
      <c r="I56" s="581">
        <f t="shared" si="5"/>
        <v>80</v>
      </c>
      <c r="J56" s="581">
        <f t="shared" si="6"/>
        <v>40</v>
      </c>
      <c r="K56" s="970">
        <f t="shared" si="7"/>
        <v>0.71550000000000002</v>
      </c>
      <c r="L56" s="975">
        <f t="shared" si="8"/>
        <v>-4.2225000000005437</v>
      </c>
      <c r="M56" s="976">
        <f t="shared" si="9"/>
        <v>17.829506250004592</v>
      </c>
      <c r="N56" s="975">
        <f>H56</f>
        <v>57.24</v>
      </c>
      <c r="O56" s="978">
        <f>H56</f>
        <v>57.24</v>
      </c>
      <c r="P56" s="945"/>
    </row>
    <row r="57" spans="2:16" ht="15" customHeight="1" x14ac:dyDescent="0.25">
      <c r="B57" s="69">
        <v>2018</v>
      </c>
      <c r="C57" s="720">
        <v>2018</v>
      </c>
      <c r="D57" s="651"/>
      <c r="E57" s="652"/>
      <c r="F57" s="794"/>
      <c r="G57" s="660">
        <f>2.2625*B57-4502</f>
        <v>63.725000000000364</v>
      </c>
      <c r="H57" s="661">
        <f>2.2625+H56</f>
        <v>59.502500000000005</v>
      </c>
      <c r="I57" s="584">
        <f t="shared" si="5"/>
        <v>80</v>
      </c>
      <c r="J57" s="584">
        <f t="shared" si="6"/>
        <v>40</v>
      </c>
      <c r="K57" s="684">
        <f>H57/I57</f>
        <v>0.74378125000000006</v>
      </c>
      <c r="L57" s="694" t="s">
        <v>369</v>
      </c>
      <c r="M57" s="694">
        <f>SUM(M40:M56)</f>
        <v>446.84971436239914</v>
      </c>
      <c r="N57" s="979">
        <f>H57+11.3</f>
        <v>70.802500000000009</v>
      </c>
      <c r="O57" s="980">
        <f>H57-11.3</f>
        <v>48.202500000000001</v>
      </c>
      <c r="P57" s="945"/>
    </row>
    <row r="58" spans="2:16" ht="15" customHeight="1" x14ac:dyDescent="0.25">
      <c r="B58" s="69">
        <v>2019</v>
      </c>
      <c r="C58" s="720">
        <v>2019</v>
      </c>
      <c r="D58" s="651"/>
      <c r="E58" s="652"/>
      <c r="F58" s="794"/>
      <c r="G58" s="660">
        <f t="shared" ref="G58:G66" si="11">2.2625*B58-4502</f>
        <v>65.987500000000182</v>
      </c>
      <c r="H58" s="661">
        <f t="shared" ref="H58:H66" si="12">2.2625+H57</f>
        <v>61.765000000000008</v>
      </c>
      <c r="I58" s="584">
        <f t="shared" si="5"/>
        <v>80</v>
      </c>
      <c r="J58" s="584">
        <f t="shared" si="6"/>
        <v>40</v>
      </c>
      <c r="K58" s="684">
        <f t="shared" ref="K58:K66" si="13">H58/I58</f>
        <v>0.7720625000000001</v>
      </c>
      <c r="L58" s="694" t="s">
        <v>373</v>
      </c>
      <c r="M58" s="694">
        <f>M57/(N40-2)</f>
        <v>31.917836740171367</v>
      </c>
      <c r="N58" s="948">
        <f t="shared" ref="N58:N66" si="14">H58+11.3</f>
        <v>73.065000000000012</v>
      </c>
      <c r="O58" s="949">
        <f t="shared" ref="O58:O66" si="15">H58-11.3</f>
        <v>50.465000000000003</v>
      </c>
      <c r="P58" s="945"/>
    </row>
    <row r="59" spans="2:16" ht="15" customHeight="1" x14ac:dyDescent="0.25">
      <c r="B59" s="69">
        <v>2020</v>
      </c>
      <c r="C59" s="720">
        <v>2020</v>
      </c>
      <c r="D59" s="651"/>
      <c r="E59" s="652"/>
      <c r="F59" s="645"/>
      <c r="G59" s="660">
        <f t="shared" si="11"/>
        <v>68.25</v>
      </c>
      <c r="H59" s="661">
        <f t="shared" si="12"/>
        <v>64.027500000000003</v>
      </c>
      <c r="I59" s="584">
        <f t="shared" si="5"/>
        <v>80</v>
      </c>
      <c r="J59" s="584">
        <f t="shared" si="6"/>
        <v>40</v>
      </c>
      <c r="K59" s="684">
        <f t="shared" si="13"/>
        <v>0.80034375000000002</v>
      </c>
      <c r="L59" s="694" t="s">
        <v>371</v>
      </c>
      <c r="M59" s="950">
        <f>SQRT(M58)</f>
        <v>5.6495873070668949</v>
      </c>
      <c r="N59" s="948">
        <f t="shared" si="14"/>
        <v>75.327500000000001</v>
      </c>
      <c r="O59" s="949">
        <f t="shared" si="15"/>
        <v>52.727500000000006</v>
      </c>
      <c r="P59" s="945"/>
    </row>
    <row r="60" spans="2:16" ht="15" customHeight="1" x14ac:dyDescent="0.25">
      <c r="B60" s="69">
        <v>2021</v>
      </c>
      <c r="C60" s="720">
        <v>2021</v>
      </c>
      <c r="D60" s="651"/>
      <c r="E60" s="652"/>
      <c r="F60" s="645"/>
      <c r="G60" s="660">
        <f t="shared" si="11"/>
        <v>70.512500000000728</v>
      </c>
      <c r="H60" s="661">
        <f t="shared" si="12"/>
        <v>66.290000000000006</v>
      </c>
      <c r="I60" s="584">
        <f t="shared" si="5"/>
        <v>80</v>
      </c>
      <c r="J60" s="584">
        <f t="shared" si="6"/>
        <v>40</v>
      </c>
      <c r="K60" s="684">
        <f t="shared" si="13"/>
        <v>0.82862500000000006</v>
      </c>
      <c r="L60" s="694" t="s">
        <v>372</v>
      </c>
      <c r="M60" s="950">
        <f>2*M59</f>
        <v>11.29917461413379</v>
      </c>
      <c r="N60" s="948">
        <f t="shared" si="14"/>
        <v>77.59</v>
      </c>
      <c r="O60" s="949">
        <f t="shared" si="15"/>
        <v>54.990000000000009</v>
      </c>
      <c r="P60" s="945"/>
    </row>
    <row r="61" spans="2:16" ht="15" customHeight="1" x14ac:dyDescent="0.25">
      <c r="B61" s="69">
        <v>2022</v>
      </c>
      <c r="C61" s="721">
        <v>2022</v>
      </c>
      <c r="D61" s="651"/>
      <c r="E61" s="652"/>
      <c r="F61" s="645"/>
      <c r="G61" s="660">
        <f t="shared" si="11"/>
        <v>72.775000000000546</v>
      </c>
      <c r="H61" s="661">
        <f t="shared" si="12"/>
        <v>68.552500000000009</v>
      </c>
      <c r="I61" s="584">
        <f t="shared" si="5"/>
        <v>80</v>
      </c>
      <c r="J61" s="584">
        <f t="shared" si="6"/>
        <v>40</v>
      </c>
      <c r="K61" s="684">
        <f t="shared" si="13"/>
        <v>0.85690625000000009</v>
      </c>
      <c r="L61" s="694"/>
      <c r="M61" s="694"/>
      <c r="N61" s="948">
        <f t="shared" si="14"/>
        <v>79.852500000000006</v>
      </c>
      <c r="O61" s="949">
        <f t="shared" si="15"/>
        <v>57.252500000000012</v>
      </c>
      <c r="P61" s="945"/>
    </row>
    <row r="62" spans="2:16" ht="15" customHeight="1" x14ac:dyDescent="0.25">
      <c r="B62" s="69">
        <v>2023</v>
      </c>
      <c r="C62" s="720">
        <v>2023</v>
      </c>
      <c r="D62" s="651"/>
      <c r="E62" s="652"/>
      <c r="F62" s="645"/>
      <c r="G62" s="660">
        <f t="shared" si="11"/>
        <v>75.037500000000364</v>
      </c>
      <c r="H62" s="661">
        <f t="shared" si="12"/>
        <v>70.815000000000012</v>
      </c>
      <c r="I62" s="584">
        <f t="shared" si="5"/>
        <v>80</v>
      </c>
      <c r="J62" s="584">
        <f t="shared" si="6"/>
        <v>40</v>
      </c>
      <c r="K62" s="681">
        <f t="shared" si="13"/>
        <v>0.88518750000000013</v>
      </c>
      <c r="L62" s="694"/>
      <c r="M62" s="694"/>
      <c r="N62" s="948">
        <f t="shared" si="14"/>
        <v>82.115000000000009</v>
      </c>
      <c r="O62" s="949">
        <f t="shared" si="15"/>
        <v>59.515000000000015</v>
      </c>
      <c r="P62" s="945"/>
    </row>
    <row r="63" spans="2:16" ht="15" customHeight="1" x14ac:dyDescent="0.25">
      <c r="B63" s="69">
        <v>2024</v>
      </c>
      <c r="C63" s="720">
        <v>2024</v>
      </c>
      <c r="D63" s="651"/>
      <c r="E63" s="652"/>
      <c r="F63" s="645"/>
      <c r="G63" s="660">
        <f t="shared" si="11"/>
        <v>77.300000000000182</v>
      </c>
      <c r="H63" s="661">
        <f t="shared" si="12"/>
        <v>73.077500000000015</v>
      </c>
      <c r="I63" s="584">
        <f t="shared" si="5"/>
        <v>80</v>
      </c>
      <c r="J63" s="584">
        <f t="shared" si="6"/>
        <v>40</v>
      </c>
      <c r="K63" s="681">
        <f t="shared" si="13"/>
        <v>0.91346875000000016</v>
      </c>
      <c r="L63" s="694"/>
      <c r="M63" s="694"/>
      <c r="N63" s="948">
        <f t="shared" si="14"/>
        <v>84.377500000000012</v>
      </c>
      <c r="O63" s="949">
        <f t="shared" si="15"/>
        <v>61.777500000000018</v>
      </c>
      <c r="P63" s="945"/>
    </row>
    <row r="64" spans="2:16" ht="15" customHeight="1" x14ac:dyDescent="0.25">
      <c r="B64" s="69">
        <v>2025</v>
      </c>
      <c r="C64" s="720">
        <v>2025</v>
      </c>
      <c r="D64" s="651"/>
      <c r="E64" s="652"/>
      <c r="F64" s="645"/>
      <c r="G64" s="660">
        <f t="shared" si="11"/>
        <v>79.5625</v>
      </c>
      <c r="H64" s="661">
        <f t="shared" si="12"/>
        <v>75.340000000000018</v>
      </c>
      <c r="I64" s="584">
        <f t="shared" si="5"/>
        <v>80</v>
      </c>
      <c r="J64" s="584">
        <f t="shared" si="6"/>
        <v>40</v>
      </c>
      <c r="K64" s="681">
        <f t="shared" si="13"/>
        <v>0.9417500000000002</v>
      </c>
      <c r="L64" s="694"/>
      <c r="M64" s="694"/>
      <c r="N64" s="948">
        <f t="shared" si="14"/>
        <v>86.640000000000015</v>
      </c>
      <c r="O64" s="949">
        <f t="shared" si="15"/>
        <v>64.04000000000002</v>
      </c>
      <c r="P64" s="945"/>
    </row>
    <row r="65" spans="2:16" ht="15" customHeight="1" x14ac:dyDescent="0.25">
      <c r="B65" s="69">
        <v>2026</v>
      </c>
      <c r="C65" s="720">
        <v>2026</v>
      </c>
      <c r="D65" s="769"/>
      <c r="E65" s="770"/>
      <c r="F65" s="771"/>
      <c r="G65" s="660">
        <f t="shared" si="11"/>
        <v>81.825000000000728</v>
      </c>
      <c r="H65" s="661">
        <f t="shared" si="12"/>
        <v>77.60250000000002</v>
      </c>
      <c r="I65" s="584">
        <f t="shared" si="5"/>
        <v>80</v>
      </c>
      <c r="J65" s="584">
        <f t="shared" si="6"/>
        <v>40</v>
      </c>
      <c r="K65" s="681">
        <f t="shared" si="13"/>
        <v>0.97003125000000023</v>
      </c>
      <c r="L65" s="694"/>
      <c r="M65" s="694"/>
      <c r="N65" s="948">
        <f t="shared" si="14"/>
        <v>88.902500000000018</v>
      </c>
      <c r="O65" s="949">
        <f t="shared" si="15"/>
        <v>66.302500000000023</v>
      </c>
      <c r="P65" s="945"/>
    </row>
    <row r="66" spans="2:16" ht="15" customHeight="1" thickBot="1" x14ac:dyDescent="0.3">
      <c r="B66" s="252">
        <v>2027</v>
      </c>
      <c r="C66" s="793">
        <v>2027</v>
      </c>
      <c r="D66" s="774"/>
      <c r="E66" s="775"/>
      <c r="F66" s="776"/>
      <c r="G66" s="662">
        <f t="shared" si="11"/>
        <v>84.087500000000546</v>
      </c>
      <c r="H66" s="663">
        <f t="shared" si="12"/>
        <v>79.865000000000023</v>
      </c>
      <c r="I66" s="586">
        <f t="shared" si="5"/>
        <v>80</v>
      </c>
      <c r="J66" s="586">
        <f t="shared" si="6"/>
        <v>40</v>
      </c>
      <c r="K66" s="742">
        <f t="shared" si="13"/>
        <v>0.99831250000000027</v>
      </c>
      <c r="L66" s="694"/>
      <c r="M66" s="694"/>
      <c r="N66" s="981">
        <f t="shared" si="14"/>
        <v>91.16500000000002</v>
      </c>
      <c r="O66" s="982">
        <f t="shared" si="15"/>
        <v>68.565000000000026</v>
      </c>
      <c r="P66" s="945"/>
    </row>
    <row r="67" spans="2:16" ht="15" customHeight="1" x14ac:dyDescent="0.25">
      <c r="D67"/>
      <c r="E67" s="11">
        <f>E56-E46</f>
        <v>14.090000000000003</v>
      </c>
      <c r="F67" s="143">
        <f>AVERAGE(F41:F56)</f>
        <v>6.9245730476494488E-2</v>
      </c>
      <c r="G67"/>
      <c r="H67">
        <f>0.043*H56</f>
        <v>2.4613199999999997</v>
      </c>
      <c r="I67"/>
      <c r="J67"/>
      <c r="K67"/>
      <c r="L67"/>
    </row>
    <row r="68" spans="2:16" ht="15" customHeight="1" x14ac:dyDescent="0.25">
      <c r="D68"/>
      <c r="E68" s="11">
        <f>E56-E40</f>
        <v>36.415974577604374</v>
      </c>
      <c r="G68"/>
      <c r="H68" s="11">
        <f>H66-H56</f>
        <v>22.625000000000021</v>
      </c>
      <c r="I68"/>
      <c r="J68"/>
      <c r="K68"/>
      <c r="L68"/>
    </row>
    <row r="69" spans="2:16" x14ac:dyDescent="0.25">
      <c r="E69" s="11">
        <f>E68/(B56-B40)</f>
        <v>2.2759984111002733</v>
      </c>
    </row>
    <row r="77" spans="2:16" x14ac:dyDescent="0.25">
      <c r="O77" s="1261" t="s">
        <v>377</v>
      </c>
      <c r="P77" s="1261"/>
    </row>
    <row r="82" spans="15:16" x14ac:dyDescent="0.25">
      <c r="O82" s="32">
        <v>2023</v>
      </c>
      <c r="P82" s="32">
        <v>10</v>
      </c>
    </row>
    <row r="83" spans="15:16" x14ac:dyDescent="0.25">
      <c r="O83" s="32">
        <v>2023</v>
      </c>
      <c r="P83" s="32">
        <v>20</v>
      </c>
    </row>
    <row r="84" spans="15:16" x14ac:dyDescent="0.25">
      <c r="O84" s="32">
        <v>2023</v>
      </c>
      <c r="P84" s="32">
        <v>30</v>
      </c>
    </row>
    <row r="85" spans="15:16" x14ac:dyDescent="0.25">
      <c r="O85" s="32">
        <v>2023</v>
      </c>
      <c r="P85" s="32">
        <v>40</v>
      </c>
    </row>
    <row r="86" spans="15:16" x14ac:dyDescent="0.25">
      <c r="O86" s="32">
        <v>2023</v>
      </c>
      <c r="P86" s="32">
        <v>50</v>
      </c>
    </row>
    <row r="87" spans="15:16" x14ac:dyDescent="0.25">
      <c r="O87" s="32">
        <v>2023</v>
      </c>
      <c r="P87" s="32">
        <v>55</v>
      </c>
    </row>
    <row r="88" spans="15:16" x14ac:dyDescent="0.25">
      <c r="O88" s="32"/>
      <c r="P88" s="32"/>
    </row>
    <row r="89" spans="15:16" x14ac:dyDescent="0.25">
      <c r="O89" s="32"/>
      <c r="P89" s="32"/>
    </row>
    <row r="90" spans="15:16" x14ac:dyDescent="0.25">
      <c r="O90" s="32"/>
      <c r="P90" s="32"/>
    </row>
    <row r="91" spans="15:16" x14ac:dyDescent="0.25">
      <c r="O91" s="32"/>
      <c r="P91" s="32"/>
    </row>
    <row r="92" spans="15:16" x14ac:dyDescent="0.25">
      <c r="O92" s="32"/>
      <c r="P92" s="32"/>
    </row>
    <row r="104" spans="1:20" ht="18" x14ac:dyDescent="0.25">
      <c r="A104" s="1093" t="s">
        <v>247</v>
      </c>
      <c r="B104" s="1093"/>
      <c r="C104" s="1093"/>
      <c r="D104" s="1093"/>
      <c r="E104" s="1093"/>
      <c r="F104" s="1093"/>
      <c r="G104" s="1093"/>
      <c r="H104" s="1093"/>
      <c r="I104" s="1093"/>
      <c r="J104" s="1093"/>
      <c r="K104" s="1093"/>
      <c r="L104" s="1093"/>
      <c r="M104" s="1093"/>
      <c r="N104" s="1093"/>
      <c r="O104" s="1093"/>
      <c r="P104" s="1093"/>
      <c r="Q104" s="1093"/>
      <c r="R104" s="1093"/>
      <c r="S104" s="1093"/>
      <c r="T104" s="1093"/>
    </row>
    <row r="105" spans="1:20" ht="18" x14ac:dyDescent="0.25">
      <c r="A105" s="1094" t="s">
        <v>248</v>
      </c>
      <c r="B105" s="1094"/>
      <c r="C105" s="1094"/>
      <c r="D105" s="1094"/>
      <c r="E105" s="1094"/>
      <c r="F105" s="1094"/>
      <c r="G105" s="1094"/>
      <c r="H105" s="1094"/>
      <c r="I105" s="1094"/>
      <c r="J105" s="1094"/>
      <c r="K105" s="1094"/>
      <c r="L105" s="1094"/>
      <c r="M105" s="1094"/>
      <c r="N105" s="1094"/>
      <c r="O105" s="1094"/>
      <c r="P105" s="1094"/>
      <c r="Q105" s="1094"/>
      <c r="R105" s="1094"/>
      <c r="S105" s="1094"/>
      <c r="T105" s="1094"/>
    </row>
    <row r="106" spans="1:20" ht="15.75" thickBot="1" x14ac:dyDescent="0.3">
      <c r="A106" s="452"/>
      <c r="B106" s="452"/>
      <c r="C106" s="452"/>
      <c r="D106" s="452"/>
      <c r="E106" s="452"/>
      <c r="F106" s="452"/>
      <c r="G106" s="452"/>
      <c r="H106" s="453"/>
      <c r="I106" s="452"/>
      <c r="J106" s="454"/>
      <c r="K106" s="453"/>
      <c r="L106" s="452"/>
      <c r="M106" s="454"/>
      <c r="N106" s="453"/>
      <c r="O106" s="452"/>
      <c r="P106" s="454"/>
      <c r="Q106" s="453"/>
      <c r="R106" s="452"/>
      <c r="S106" s="449"/>
      <c r="T106" s="450"/>
    </row>
    <row r="107" spans="1:20" x14ac:dyDescent="0.25">
      <c r="A107" s="1095" t="s">
        <v>249</v>
      </c>
      <c r="B107" s="1098" t="s">
        <v>250</v>
      </c>
      <c r="C107" s="1101" t="s">
        <v>251</v>
      </c>
      <c r="D107" s="1063" t="s">
        <v>252</v>
      </c>
      <c r="E107" s="1065"/>
      <c r="F107" s="1066">
        <v>2017</v>
      </c>
      <c r="G107" s="1064"/>
      <c r="H107" s="1106"/>
      <c r="I107" s="1063">
        <f>+F107+1</f>
        <v>2018</v>
      </c>
      <c r="J107" s="1064"/>
      <c r="K107" s="1065"/>
      <c r="L107" s="1066">
        <f>+I107+1</f>
        <v>2019</v>
      </c>
      <c r="M107" s="1064"/>
      <c r="N107" s="1106"/>
      <c r="O107" s="1063">
        <f>+L107+1</f>
        <v>2020</v>
      </c>
      <c r="P107" s="1064"/>
      <c r="Q107" s="1065"/>
      <c r="R107" s="1066">
        <f>+O107+1</f>
        <v>2021</v>
      </c>
      <c r="S107" s="1064"/>
      <c r="T107" s="1065"/>
    </row>
    <row r="108" spans="1:20" x14ac:dyDescent="0.25">
      <c r="A108" s="1096"/>
      <c r="B108" s="1099"/>
      <c r="C108" s="1102"/>
      <c r="D108" s="1104"/>
      <c r="E108" s="1105"/>
      <c r="F108" s="455" t="s">
        <v>253</v>
      </c>
      <c r="G108" s="1067" t="s">
        <v>254</v>
      </c>
      <c r="H108" s="1068"/>
      <c r="I108" s="456" t="s">
        <v>253</v>
      </c>
      <c r="J108" s="1067" t="s">
        <v>254</v>
      </c>
      <c r="K108" s="1069"/>
      <c r="L108" s="455" t="s">
        <v>253</v>
      </c>
      <c r="M108" s="1067" t="s">
        <v>254</v>
      </c>
      <c r="N108" s="1068"/>
      <c r="O108" s="456" t="s">
        <v>253</v>
      </c>
      <c r="P108" s="1067" t="s">
        <v>254</v>
      </c>
      <c r="Q108" s="1069"/>
      <c r="R108" s="455" t="s">
        <v>253</v>
      </c>
      <c r="S108" s="1067" t="s">
        <v>254</v>
      </c>
      <c r="T108" s="1069"/>
    </row>
    <row r="109" spans="1:20" ht="15.75" thickBot="1" x14ac:dyDescent="0.3">
      <c r="A109" s="1097"/>
      <c r="B109" s="1100"/>
      <c r="C109" s="1103"/>
      <c r="D109" s="1091" t="s">
        <v>255</v>
      </c>
      <c r="E109" s="1092"/>
      <c r="F109" s="457" t="s">
        <v>255</v>
      </c>
      <c r="G109" s="458" t="s">
        <v>255</v>
      </c>
      <c r="H109" s="459" t="s">
        <v>256</v>
      </c>
      <c r="I109" s="460" t="s">
        <v>255</v>
      </c>
      <c r="J109" s="461" t="s">
        <v>255</v>
      </c>
      <c r="K109" s="462" t="s">
        <v>256</v>
      </c>
      <c r="L109" s="457" t="s">
        <v>255</v>
      </c>
      <c r="M109" s="461" t="s">
        <v>255</v>
      </c>
      <c r="N109" s="459" t="s">
        <v>256</v>
      </c>
      <c r="O109" s="460" t="s">
        <v>255</v>
      </c>
      <c r="P109" s="461" t="s">
        <v>255</v>
      </c>
      <c r="Q109" s="462" t="s">
        <v>256</v>
      </c>
      <c r="R109" s="457" t="s">
        <v>255</v>
      </c>
      <c r="S109" s="461" t="s">
        <v>255</v>
      </c>
      <c r="T109" s="462" t="s">
        <v>256</v>
      </c>
    </row>
    <row r="110" spans="1:20" x14ac:dyDescent="0.25">
      <c r="B110" s="1190" t="s">
        <v>14</v>
      </c>
      <c r="C110" s="638" t="s">
        <v>24</v>
      </c>
      <c r="D110" s="639">
        <v>40</v>
      </c>
      <c r="E110" s="1138">
        <v>80</v>
      </c>
      <c r="F110" s="1186">
        <v>80</v>
      </c>
      <c r="G110" s="1266">
        <v>50.749124581524043</v>
      </c>
      <c r="H110" s="1185">
        <v>0.63436405726905054</v>
      </c>
      <c r="I110" s="1186">
        <v>80</v>
      </c>
      <c r="J110" s="1184">
        <v>52.931336938529576</v>
      </c>
      <c r="K110" s="1185">
        <v>0.66164171173161967</v>
      </c>
      <c r="L110" s="1139">
        <v>80</v>
      </c>
      <c r="M110" s="1170">
        <v>55.207384426886343</v>
      </c>
      <c r="N110" s="1185">
        <v>0.69009230533607924</v>
      </c>
      <c r="O110" s="1139">
        <v>80</v>
      </c>
      <c r="P110" s="1170">
        <v>57.581301957242452</v>
      </c>
      <c r="Q110" s="1185">
        <v>0.71976627446553065</v>
      </c>
      <c r="R110" s="1187">
        <v>80</v>
      </c>
      <c r="S110" s="1184">
        <v>60.057297941403874</v>
      </c>
      <c r="T110" s="1185">
        <v>0.75071622426754847</v>
      </c>
    </row>
    <row r="111" spans="1:20" x14ac:dyDescent="0.25">
      <c r="B111" s="1148"/>
      <c r="C111" s="640" t="s">
        <v>24</v>
      </c>
      <c r="D111" s="641">
        <v>40</v>
      </c>
      <c r="E111" s="1138"/>
      <c r="F111" s="1186"/>
      <c r="G111" s="1266"/>
      <c r="H111" s="1185"/>
      <c r="I111" s="1186"/>
      <c r="J111" s="1184"/>
      <c r="K111" s="1185"/>
      <c r="L111" s="1141"/>
      <c r="M111" s="1172"/>
      <c r="N111" s="1185"/>
      <c r="O111" s="1141"/>
      <c r="P111" s="1172"/>
      <c r="Q111" s="1185"/>
      <c r="R111" s="1187"/>
      <c r="S111" s="1184"/>
      <c r="T111" s="1185"/>
    </row>
    <row r="112" spans="1:20" x14ac:dyDescent="0.25">
      <c r="J112" s="11">
        <f>1.043*G110</f>
        <v>52.931336938529576</v>
      </c>
      <c r="M112">
        <f>1.043*J110</f>
        <v>55.207384426886343</v>
      </c>
      <c r="P112">
        <f>1.043*M110</f>
        <v>57.581301957242452</v>
      </c>
      <c r="S112">
        <f>1.043*P110</f>
        <v>60.057297941403874</v>
      </c>
    </row>
    <row r="113" spans="11:16" x14ac:dyDescent="0.25">
      <c r="K113" s="577">
        <v>2016</v>
      </c>
      <c r="L113" s="694"/>
    </row>
    <row r="114" spans="11:16" x14ac:dyDescent="0.25">
      <c r="K114" s="577">
        <v>2017</v>
      </c>
      <c r="L114" s="694"/>
    </row>
    <row r="115" spans="11:16" x14ac:dyDescent="0.25">
      <c r="K115" s="577">
        <v>2018</v>
      </c>
      <c r="L115" s="694">
        <f>J110</f>
        <v>52.931336938529576</v>
      </c>
    </row>
    <row r="116" spans="11:16" x14ac:dyDescent="0.25">
      <c r="K116" s="577">
        <v>2019</v>
      </c>
      <c r="L116" s="694">
        <f>M110</f>
        <v>55.207384426886343</v>
      </c>
    </row>
    <row r="117" spans="11:16" x14ac:dyDescent="0.25">
      <c r="K117" s="577">
        <v>2020</v>
      </c>
      <c r="L117" s="694">
        <f>P110</f>
        <v>57.581301957242452</v>
      </c>
    </row>
    <row r="118" spans="11:16" x14ac:dyDescent="0.25">
      <c r="K118" s="577">
        <v>2021</v>
      </c>
      <c r="L118" s="795">
        <f>S110</f>
        <v>60.057297941403874</v>
      </c>
    </row>
    <row r="119" spans="11:16" x14ac:dyDescent="0.25">
      <c r="K119"/>
      <c r="L119"/>
    </row>
    <row r="120" spans="11:16" customFormat="1" x14ac:dyDescent="0.25"/>
    <row r="121" spans="11:16" customFormat="1" x14ac:dyDescent="0.25"/>
    <row r="123" spans="11:16" x14ac:dyDescent="0.25">
      <c r="O123" s="1261" t="s">
        <v>377</v>
      </c>
      <c r="P123" s="1261"/>
    </row>
  </sheetData>
  <mergeCells count="54">
    <mergeCell ref="S108:T108"/>
    <mergeCell ref="S110:S111"/>
    <mergeCell ref="T110:T111"/>
    <mergeCell ref="N110:N111"/>
    <mergeCell ref="O110:O111"/>
    <mergeCell ref="P110:P111"/>
    <mergeCell ref="Q110:Q111"/>
    <mergeCell ref="R110:R111"/>
    <mergeCell ref="P108:Q108"/>
    <mergeCell ref="M108:N108"/>
    <mergeCell ref="I110:I111"/>
    <mergeCell ref="J110:J111"/>
    <mergeCell ref="K110:K111"/>
    <mergeCell ref="L110:L111"/>
    <mergeCell ref="M110:M111"/>
    <mergeCell ref="B110:B111"/>
    <mergeCell ref="E110:E111"/>
    <mergeCell ref="F110:F111"/>
    <mergeCell ref="G110:G111"/>
    <mergeCell ref="H110:H111"/>
    <mergeCell ref="B3:K3"/>
    <mergeCell ref="B4:K4"/>
    <mergeCell ref="B5:B6"/>
    <mergeCell ref="D5:F5"/>
    <mergeCell ref="G5:I5"/>
    <mergeCell ref="C5:C6"/>
    <mergeCell ref="J5:J6"/>
    <mergeCell ref="K5:K6"/>
    <mergeCell ref="B38:B39"/>
    <mergeCell ref="C38:C39"/>
    <mergeCell ref="D38:F38"/>
    <mergeCell ref="G38:H38"/>
    <mergeCell ref="I38:I39"/>
    <mergeCell ref="C36:K36"/>
    <mergeCell ref="C37:K37"/>
    <mergeCell ref="J38:J39"/>
    <mergeCell ref="K38:K39"/>
    <mergeCell ref="N54:O54"/>
    <mergeCell ref="O77:P77"/>
    <mergeCell ref="O123:P123"/>
    <mergeCell ref="D109:E109"/>
    <mergeCell ref="A104:T104"/>
    <mergeCell ref="A105:T105"/>
    <mergeCell ref="A107:A109"/>
    <mergeCell ref="B107:B109"/>
    <mergeCell ref="C107:C109"/>
    <mergeCell ref="D107:E108"/>
    <mergeCell ref="F107:H107"/>
    <mergeCell ref="I107:K107"/>
    <mergeCell ref="L107:N107"/>
    <mergeCell ref="O107:Q107"/>
    <mergeCell ref="R107:T107"/>
    <mergeCell ref="G108:H108"/>
    <mergeCell ref="J108:K108"/>
  </mergeCells>
  <conditionalFormatting sqref="H110:H111 T110:T111 Q110:Q111 N110:N111 K110:K111">
    <cfRule type="cellIs" dxfId="7" priority="1" operator="greaterThan">
      <formula>1</formula>
    </cfRule>
  </conditionalFormatting>
  <printOptions gridLines="1"/>
  <pageMargins left="0.11811023622047245" right="0.11811023622047245" top="0.55118110236220474" bottom="0.15748031496062992" header="0" footer="0"/>
  <pageSetup paperSize="9" scale="12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2:T103"/>
  <sheetViews>
    <sheetView topLeftCell="A37" workbookViewId="0">
      <selection activeCell="G52" sqref="G52"/>
    </sheetView>
  </sheetViews>
  <sheetFormatPr baseColWidth="10" defaultRowHeight="15" x14ac:dyDescent="0.25"/>
  <cols>
    <col min="1" max="1" width="5.7109375" customWidth="1"/>
    <col min="2" max="2" width="6.7109375" customWidth="1"/>
    <col min="3" max="3" width="14.7109375" customWidth="1"/>
    <col min="4" max="5" width="10.7109375" customWidth="1"/>
    <col min="6" max="6" width="11.7109375" customWidth="1"/>
    <col min="7" max="8" width="12.7109375" customWidth="1"/>
    <col min="9" max="11" width="10.7109375" customWidth="1"/>
    <col min="12" max="12" width="3.7109375" customWidth="1"/>
    <col min="17" max="17" width="11.42578125" style="11"/>
  </cols>
  <sheetData>
    <row r="2" spans="2:18" ht="15.75" thickBot="1" x14ac:dyDescent="0.3"/>
    <row r="3" spans="2:18" ht="15.95" customHeight="1" x14ac:dyDescent="0.25">
      <c r="B3" s="1112" t="s">
        <v>55</v>
      </c>
      <c r="C3" s="1113"/>
      <c r="D3" s="1113"/>
      <c r="E3" s="1113"/>
      <c r="F3" s="1113"/>
      <c r="G3" s="1113"/>
      <c r="H3" s="1113"/>
      <c r="I3" s="1113"/>
      <c r="J3" s="1113"/>
      <c r="K3" s="1114"/>
      <c r="L3" s="271"/>
    </row>
    <row r="4" spans="2:18" ht="15.95" customHeight="1" thickBot="1" x14ac:dyDescent="0.3">
      <c r="B4" s="1115" t="s">
        <v>54</v>
      </c>
      <c r="C4" s="1116"/>
      <c r="D4" s="1116"/>
      <c r="E4" s="1116"/>
      <c r="F4" s="1116"/>
      <c r="G4" s="1116"/>
      <c r="H4" s="1116"/>
      <c r="I4" s="1116"/>
      <c r="J4" s="1116"/>
      <c r="K4" s="1117"/>
      <c r="L4" s="272"/>
    </row>
    <row r="5" spans="2:18" ht="15.95" customHeight="1" x14ac:dyDescent="0.25">
      <c r="B5" s="1166" t="s">
        <v>124</v>
      </c>
      <c r="C5" s="1181" t="s">
        <v>26</v>
      </c>
      <c r="D5" s="1182" t="s">
        <v>110</v>
      </c>
      <c r="E5" s="1228"/>
      <c r="F5" s="1228"/>
      <c r="G5" s="1169" t="s">
        <v>74</v>
      </c>
      <c r="H5" s="1167"/>
      <c r="I5" s="1168"/>
      <c r="J5" s="1181" t="s">
        <v>105</v>
      </c>
      <c r="K5" s="1183" t="s">
        <v>135</v>
      </c>
      <c r="L5" s="259"/>
      <c r="M5" s="73"/>
      <c r="N5" s="73"/>
      <c r="O5" s="73"/>
      <c r="P5" s="73"/>
      <c r="Q5" s="74"/>
      <c r="R5" s="73"/>
    </row>
    <row r="6" spans="2:18" ht="39.950000000000003" customHeight="1" x14ac:dyDescent="0.25">
      <c r="B6" s="1119"/>
      <c r="C6" s="1032"/>
      <c r="D6" s="38" t="s">
        <v>195</v>
      </c>
      <c r="E6" s="38" t="s">
        <v>192</v>
      </c>
      <c r="F6" s="38" t="s">
        <v>82</v>
      </c>
      <c r="G6" s="38" t="s">
        <v>243</v>
      </c>
      <c r="H6" s="38" t="s">
        <v>232</v>
      </c>
      <c r="I6" s="38" t="s">
        <v>196</v>
      </c>
      <c r="J6" s="1032"/>
      <c r="K6" s="1124"/>
      <c r="L6" s="259"/>
      <c r="M6" s="200" t="s">
        <v>185</v>
      </c>
      <c r="N6" s="200" t="s">
        <v>117</v>
      </c>
      <c r="O6" s="85" t="s">
        <v>73</v>
      </c>
      <c r="P6" s="38" t="s">
        <v>240</v>
      </c>
      <c r="Q6" s="74"/>
      <c r="R6" s="73"/>
    </row>
    <row r="7" spans="2:18" x14ac:dyDescent="0.25">
      <c r="B7" s="201">
        <v>12</v>
      </c>
      <c r="C7" s="68">
        <v>2010</v>
      </c>
      <c r="D7" s="62">
        <f>M8*E7</f>
        <v>37.215000999999994</v>
      </c>
      <c r="E7" s="62">
        <v>40.729999999999997</v>
      </c>
      <c r="F7" s="175"/>
      <c r="G7" s="40"/>
      <c r="H7" s="40"/>
      <c r="I7" s="40"/>
      <c r="J7" s="62">
        <f t="shared" ref="J7:J24" si="0">2*40</f>
        <v>80</v>
      </c>
      <c r="K7" s="204">
        <f t="shared" ref="K7:K24" si="1">J7-40</f>
        <v>40</v>
      </c>
      <c r="L7" s="40"/>
      <c r="M7" s="263"/>
      <c r="N7" s="62">
        <v>40.728135238431918</v>
      </c>
      <c r="O7" s="175"/>
      <c r="P7" s="50"/>
      <c r="Q7" s="74"/>
      <c r="R7" s="73"/>
    </row>
    <row r="8" spans="2:18" x14ac:dyDescent="0.25">
      <c r="B8" s="201">
        <v>3</v>
      </c>
      <c r="C8" s="68">
        <v>2011</v>
      </c>
      <c r="D8" s="62">
        <f>M8*E8</f>
        <v>36.767288000000001</v>
      </c>
      <c r="E8" s="62">
        <v>40.24</v>
      </c>
      <c r="F8" s="175">
        <f>(E8-E7)/E7</f>
        <v>-1.2030444389884482E-2</v>
      </c>
      <c r="G8" s="40"/>
      <c r="H8" s="40"/>
      <c r="I8" s="40"/>
      <c r="J8" s="62">
        <f t="shared" si="0"/>
        <v>80</v>
      </c>
      <c r="K8" s="204">
        <f t="shared" si="1"/>
        <v>40</v>
      </c>
      <c r="L8" s="40"/>
      <c r="M8" s="263">
        <v>0.91369999999999996</v>
      </c>
      <c r="N8" s="42">
        <v>40.238243435816152</v>
      </c>
      <c r="O8" s="50"/>
      <c r="P8" s="50"/>
      <c r="Q8" s="74"/>
      <c r="R8" s="73"/>
    </row>
    <row r="9" spans="2:18" x14ac:dyDescent="0.25">
      <c r="B9" s="201">
        <v>11</v>
      </c>
      <c r="C9" s="68">
        <v>2012</v>
      </c>
      <c r="D9" s="62">
        <v>32.93</v>
      </c>
      <c r="E9" s="62">
        <v>36.4</v>
      </c>
      <c r="F9" s="175">
        <f t="shared" ref="F9:F14" si="2">(E9-E8)/E8</f>
        <v>-9.5427435387674037E-2</v>
      </c>
      <c r="G9" s="40"/>
      <c r="H9" s="40"/>
      <c r="I9" s="40"/>
      <c r="J9" s="62">
        <f t="shared" si="0"/>
        <v>80</v>
      </c>
      <c r="K9" s="204">
        <f t="shared" si="1"/>
        <v>40</v>
      </c>
      <c r="L9" s="40"/>
      <c r="M9" s="263">
        <v>0.90480000000000005</v>
      </c>
      <c r="N9" s="62">
        <v>36.395534066695603</v>
      </c>
      <c r="O9" s="175"/>
      <c r="P9" s="50"/>
      <c r="Q9" s="74"/>
      <c r="R9" s="73"/>
    </row>
    <row r="10" spans="2:18" x14ac:dyDescent="0.25">
      <c r="B10" s="201">
        <v>12</v>
      </c>
      <c r="C10" s="68">
        <v>2013</v>
      </c>
      <c r="D10" s="62">
        <v>33.86</v>
      </c>
      <c r="E10" s="62">
        <v>36.83</v>
      </c>
      <c r="F10" s="175">
        <f t="shared" si="2"/>
        <v>1.1813186813186806E-2</v>
      </c>
      <c r="G10" s="40"/>
      <c r="H10" s="60"/>
      <c r="I10" s="60"/>
      <c r="J10" s="62">
        <f t="shared" si="0"/>
        <v>80</v>
      </c>
      <c r="K10" s="204">
        <f t="shared" si="1"/>
        <v>40</v>
      </c>
      <c r="L10" s="40"/>
      <c r="M10" s="263">
        <v>1</v>
      </c>
      <c r="N10" s="42">
        <v>36.826213489849863</v>
      </c>
      <c r="O10" s="50"/>
      <c r="P10" s="50"/>
      <c r="Q10" s="74"/>
      <c r="R10" s="73"/>
    </row>
    <row r="11" spans="2:18" x14ac:dyDescent="0.25">
      <c r="B11" s="201">
        <v>1</v>
      </c>
      <c r="C11" s="68">
        <v>2014</v>
      </c>
      <c r="D11" s="62">
        <v>38</v>
      </c>
      <c r="E11" s="62">
        <v>40.58</v>
      </c>
      <c r="F11" s="175">
        <f t="shared" si="2"/>
        <v>0.10181916915557969</v>
      </c>
      <c r="G11" s="40"/>
      <c r="H11" s="60"/>
      <c r="I11" s="60"/>
      <c r="J11" s="62">
        <f t="shared" si="0"/>
        <v>80</v>
      </c>
      <c r="K11" s="204">
        <f t="shared" si="1"/>
        <v>40</v>
      </c>
      <c r="L11" s="40"/>
      <c r="M11" s="263">
        <v>1</v>
      </c>
      <c r="N11" s="100">
        <v>40.58423339179884</v>
      </c>
      <c r="O11" s="175"/>
      <c r="P11" s="390"/>
      <c r="Q11" s="74"/>
      <c r="R11" s="73"/>
    </row>
    <row r="12" spans="2:18" x14ac:dyDescent="0.25">
      <c r="B12" s="201">
        <v>1</v>
      </c>
      <c r="C12" s="68">
        <v>2015</v>
      </c>
      <c r="D12" s="62">
        <v>36.53</v>
      </c>
      <c r="E12" s="62">
        <v>39.54</v>
      </c>
      <c r="F12" s="175">
        <f t="shared" si="2"/>
        <v>-2.5628388368654491E-2</v>
      </c>
      <c r="G12" s="40"/>
      <c r="H12" s="60"/>
      <c r="I12" s="60"/>
      <c r="J12" s="62">
        <f t="shared" si="0"/>
        <v>80</v>
      </c>
      <c r="K12" s="204">
        <f t="shared" si="1"/>
        <v>40</v>
      </c>
      <c r="L12" s="40"/>
      <c r="M12" s="263">
        <v>1</v>
      </c>
      <c r="N12" s="138">
        <v>39.543147320363865</v>
      </c>
      <c r="O12" s="402"/>
      <c r="P12" s="390"/>
      <c r="Q12" s="74"/>
      <c r="R12" s="73"/>
    </row>
    <row r="13" spans="2:18" x14ac:dyDescent="0.25">
      <c r="B13" s="201">
        <v>2</v>
      </c>
      <c r="C13" s="68">
        <v>2016</v>
      </c>
      <c r="D13" s="62">
        <v>42.24</v>
      </c>
      <c r="E13" s="62">
        <v>44.75</v>
      </c>
      <c r="F13" s="175">
        <f t="shared" si="2"/>
        <v>0.13176530096105213</v>
      </c>
      <c r="G13" s="258"/>
      <c r="H13" s="258"/>
      <c r="I13" s="526"/>
      <c r="J13" s="62">
        <f t="shared" si="0"/>
        <v>80</v>
      </c>
      <c r="K13" s="204">
        <f t="shared" si="1"/>
        <v>40</v>
      </c>
      <c r="L13" s="40"/>
      <c r="M13" s="273">
        <f>AVERAGE(M8:M12)</f>
        <v>0.9637</v>
      </c>
      <c r="N13" s="42">
        <v>36.314632934029994</v>
      </c>
      <c r="O13" s="402"/>
      <c r="P13" s="390" t="e">
        <f>(H13-H12)/H12</f>
        <v>#DIV/0!</v>
      </c>
      <c r="Q13" s="74"/>
      <c r="R13" s="73"/>
    </row>
    <row r="14" spans="2:18" x14ac:dyDescent="0.25">
      <c r="B14" s="201"/>
      <c r="C14" s="68">
        <v>2017</v>
      </c>
      <c r="D14" s="62"/>
      <c r="E14" s="62">
        <v>100</v>
      </c>
      <c r="F14" s="175">
        <f t="shared" si="2"/>
        <v>1.23463687150838</v>
      </c>
      <c r="G14" s="258"/>
      <c r="H14" s="258">
        <f>E14</f>
        <v>100</v>
      </c>
      <c r="I14" s="526">
        <f>E14</f>
        <v>100</v>
      </c>
      <c r="J14" s="62">
        <f t="shared" si="0"/>
        <v>80</v>
      </c>
      <c r="K14" s="204">
        <f t="shared" si="1"/>
        <v>40</v>
      </c>
      <c r="L14" s="40"/>
      <c r="M14" s="263"/>
      <c r="N14" s="42">
        <v>37.730496786335067</v>
      </c>
      <c r="O14" s="402" t="e">
        <f t="shared" ref="O14:O22" si="3">(G14-G13)/G13</f>
        <v>#DIV/0!</v>
      </c>
      <c r="P14" s="390" t="e">
        <f>(H14-H13)/H13</f>
        <v>#DIV/0!</v>
      </c>
      <c r="Q14" s="74"/>
      <c r="R14" s="73"/>
    </row>
    <row r="15" spans="2:18" x14ac:dyDescent="0.25">
      <c r="B15" s="202"/>
      <c r="C15" s="69">
        <v>2018</v>
      </c>
      <c r="D15" s="109"/>
      <c r="E15" s="109"/>
      <c r="F15" s="187"/>
      <c r="G15" s="374"/>
      <c r="H15" s="375"/>
      <c r="I15" s="406">
        <f t="shared" ref="I15:I24" si="4">1.045*I14</f>
        <v>104.5</v>
      </c>
      <c r="J15" s="62">
        <f t="shared" si="0"/>
        <v>80</v>
      </c>
      <c r="K15" s="204">
        <f t="shared" si="1"/>
        <v>40</v>
      </c>
      <c r="L15" s="40"/>
      <c r="M15" s="263"/>
      <c r="N15" s="42">
        <v>39.236371137096498</v>
      </c>
      <c r="O15" s="402" t="e">
        <f t="shared" si="3"/>
        <v>#DIV/0!</v>
      </c>
      <c r="P15" s="390">
        <f>(H15-H14)/H14</f>
        <v>-1</v>
      </c>
      <c r="Q15" s="74"/>
      <c r="R15" s="73"/>
    </row>
    <row r="16" spans="2:18" x14ac:dyDescent="0.25">
      <c r="B16" s="202"/>
      <c r="C16" s="69">
        <v>2019</v>
      </c>
      <c r="D16" s="109"/>
      <c r="E16" s="109"/>
      <c r="F16" s="187"/>
      <c r="G16" s="374"/>
      <c r="H16" s="375"/>
      <c r="I16" s="406">
        <f t="shared" si="4"/>
        <v>109.20249999999999</v>
      </c>
      <c r="J16" s="62">
        <f t="shared" si="0"/>
        <v>80</v>
      </c>
      <c r="K16" s="204">
        <f t="shared" si="1"/>
        <v>40</v>
      </c>
      <c r="L16" s="40"/>
      <c r="M16" s="263"/>
      <c r="N16" s="42">
        <v>40.79665335161765</v>
      </c>
      <c r="O16" s="402" t="e">
        <f t="shared" si="3"/>
        <v>#DIV/0!</v>
      </c>
      <c r="P16" s="390" t="e">
        <f>(H16-H15)/H15</f>
        <v>#DIV/0!</v>
      </c>
      <c r="Q16" s="74"/>
      <c r="R16" s="73"/>
    </row>
    <row r="17" spans="2:18" x14ac:dyDescent="0.25">
      <c r="B17" s="202"/>
      <c r="C17" s="69">
        <v>2020</v>
      </c>
      <c r="D17" s="109"/>
      <c r="E17" s="109"/>
      <c r="F17" s="187"/>
      <c r="G17" s="374"/>
      <c r="H17" s="375"/>
      <c r="I17" s="406">
        <f t="shared" si="4"/>
        <v>114.11661249999997</v>
      </c>
      <c r="J17" s="62">
        <f t="shared" si="0"/>
        <v>80</v>
      </c>
      <c r="K17" s="204">
        <f t="shared" si="1"/>
        <v>40</v>
      </c>
      <c r="L17" s="40"/>
      <c r="M17" s="263"/>
      <c r="N17" s="42">
        <v>42.412738820448205</v>
      </c>
      <c r="O17" s="402" t="e">
        <f t="shared" si="3"/>
        <v>#DIV/0!</v>
      </c>
      <c r="P17" s="390" t="e">
        <f>(H17-H16)/H16</f>
        <v>#DIV/0!</v>
      </c>
      <c r="Q17" s="74"/>
      <c r="R17" s="73"/>
    </row>
    <row r="18" spans="2:18" x14ac:dyDescent="0.25">
      <c r="B18" s="202"/>
      <c r="C18" s="69">
        <v>2021</v>
      </c>
      <c r="D18" s="109"/>
      <c r="E18" s="109"/>
      <c r="F18" s="187"/>
      <c r="G18" s="374"/>
      <c r="H18" s="428"/>
      <c r="I18" s="406">
        <f t="shared" si="4"/>
        <v>119.25186006249996</v>
      </c>
      <c r="J18" s="62">
        <f t="shared" si="0"/>
        <v>80</v>
      </c>
      <c r="K18" s="204">
        <f t="shared" si="1"/>
        <v>40</v>
      </c>
      <c r="L18" s="40"/>
      <c r="M18" s="263"/>
      <c r="N18" s="42"/>
      <c r="O18" s="402" t="e">
        <f t="shared" si="3"/>
        <v>#DIV/0!</v>
      </c>
      <c r="P18" s="390"/>
      <c r="Q18" s="74"/>
      <c r="R18" s="73"/>
    </row>
    <row r="19" spans="2:18" x14ac:dyDescent="0.25">
      <c r="B19" s="202"/>
      <c r="C19" s="69">
        <v>2022</v>
      </c>
      <c r="D19" s="109"/>
      <c r="E19" s="109"/>
      <c r="F19" s="187"/>
      <c r="G19" s="374"/>
      <c r="H19" s="428"/>
      <c r="I19" s="406">
        <f t="shared" si="4"/>
        <v>124.61819376531244</v>
      </c>
      <c r="J19" s="62">
        <f t="shared" si="0"/>
        <v>80</v>
      </c>
      <c r="K19" s="204">
        <f t="shared" si="1"/>
        <v>40</v>
      </c>
      <c r="L19" s="40"/>
      <c r="M19" s="263"/>
      <c r="N19" s="42"/>
      <c r="O19" s="402" t="e">
        <f t="shared" si="3"/>
        <v>#DIV/0!</v>
      </c>
      <c r="P19" s="390"/>
      <c r="Q19" s="74"/>
      <c r="R19" s="73"/>
    </row>
    <row r="20" spans="2:18" x14ac:dyDescent="0.25">
      <c r="B20" s="202"/>
      <c r="C20" s="69">
        <v>2023</v>
      </c>
      <c r="D20" s="109"/>
      <c r="E20" s="109"/>
      <c r="F20" s="187"/>
      <c r="G20" s="374"/>
      <c r="H20" s="428"/>
      <c r="I20" s="406">
        <f t="shared" si="4"/>
        <v>130.22601248475149</v>
      </c>
      <c r="J20" s="62">
        <f t="shared" si="0"/>
        <v>80</v>
      </c>
      <c r="K20" s="204">
        <f t="shared" si="1"/>
        <v>40</v>
      </c>
      <c r="L20" s="40"/>
      <c r="M20" s="263"/>
      <c r="N20" s="42"/>
      <c r="O20" s="402" t="e">
        <f t="shared" si="3"/>
        <v>#DIV/0!</v>
      </c>
      <c r="P20" s="390"/>
      <c r="Q20" s="74"/>
      <c r="R20" s="73"/>
    </row>
    <row r="21" spans="2:18" ht="15" customHeight="1" x14ac:dyDescent="0.25">
      <c r="B21" s="202"/>
      <c r="C21" s="69">
        <v>2024</v>
      </c>
      <c r="D21" s="109"/>
      <c r="E21" s="109"/>
      <c r="F21" s="187"/>
      <c r="G21" s="374"/>
      <c r="H21" s="428"/>
      <c r="I21" s="406">
        <f t="shared" si="4"/>
        <v>136.08618304656531</v>
      </c>
      <c r="J21" s="62">
        <f t="shared" si="0"/>
        <v>80</v>
      </c>
      <c r="K21" s="204">
        <f t="shared" si="1"/>
        <v>40</v>
      </c>
      <c r="L21" s="40"/>
      <c r="M21" s="263"/>
      <c r="N21" s="42"/>
      <c r="O21" s="402" t="e">
        <f t="shared" si="3"/>
        <v>#DIV/0!</v>
      </c>
      <c r="P21" s="75"/>
      <c r="Q21" s="74"/>
      <c r="R21" s="73"/>
    </row>
    <row r="22" spans="2:18" x14ac:dyDescent="0.25">
      <c r="B22" s="202"/>
      <c r="C22" s="69">
        <v>2025</v>
      </c>
      <c r="D22" s="109"/>
      <c r="E22" s="109"/>
      <c r="F22" s="187"/>
      <c r="G22" s="374"/>
      <c r="H22" s="428"/>
      <c r="I22" s="406">
        <f t="shared" si="4"/>
        <v>142.21006128366074</v>
      </c>
      <c r="J22" s="62">
        <f t="shared" si="0"/>
        <v>80</v>
      </c>
      <c r="K22" s="204">
        <f t="shared" si="1"/>
        <v>40</v>
      </c>
      <c r="L22" s="40"/>
      <c r="M22" s="263"/>
      <c r="N22" s="42"/>
      <c r="O22" s="402" t="e">
        <f t="shared" si="3"/>
        <v>#DIV/0!</v>
      </c>
      <c r="P22" s="250"/>
      <c r="Q22" s="74"/>
      <c r="R22" s="73"/>
    </row>
    <row r="23" spans="2:18" x14ac:dyDescent="0.25">
      <c r="B23" s="202"/>
      <c r="C23" s="69">
        <v>2026</v>
      </c>
      <c r="D23" s="109"/>
      <c r="E23" s="109"/>
      <c r="F23" s="187"/>
      <c r="G23" s="374"/>
      <c r="H23" s="428"/>
      <c r="I23" s="406">
        <f t="shared" si="4"/>
        <v>148.60951404142546</v>
      </c>
      <c r="J23" s="62">
        <f t="shared" si="0"/>
        <v>80</v>
      </c>
      <c r="K23" s="204">
        <f t="shared" si="1"/>
        <v>40</v>
      </c>
      <c r="M23" s="75"/>
      <c r="N23" s="301"/>
      <c r="O23" s="430" t="e">
        <f>AVERAGE(O14:O22)</f>
        <v>#DIV/0!</v>
      </c>
      <c r="P23" s="397" t="e">
        <f>AVERAGE(P14:P17)</f>
        <v>#DIV/0!</v>
      </c>
      <c r="Q23" s="328"/>
    </row>
    <row r="24" spans="2:18" ht="15.75" thickBot="1" x14ac:dyDescent="0.3">
      <c r="B24" s="203"/>
      <c r="C24" s="252">
        <v>2027</v>
      </c>
      <c r="D24" s="247"/>
      <c r="E24" s="247"/>
      <c r="F24" s="253"/>
      <c r="G24" s="376"/>
      <c r="H24" s="429"/>
      <c r="I24" s="407">
        <f t="shared" si="4"/>
        <v>155.29694217328958</v>
      </c>
      <c r="J24" s="183">
        <f t="shared" si="0"/>
        <v>80</v>
      </c>
      <c r="K24" s="206">
        <f t="shared" si="1"/>
        <v>40</v>
      </c>
      <c r="M24" s="75"/>
      <c r="N24" s="75"/>
      <c r="O24" s="431"/>
      <c r="P24" s="431"/>
      <c r="Q24" s="328"/>
    </row>
    <row r="25" spans="2:18" x14ac:dyDescent="0.25">
      <c r="F25" s="398">
        <f>AVERAGE(F7:F14)</f>
        <v>0.19242118004171221</v>
      </c>
      <c r="M25" s="75"/>
      <c r="N25" s="75"/>
      <c r="O25" s="431"/>
      <c r="P25" s="431"/>
      <c r="Q25" s="328"/>
    </row>
    <row r="26" spans="2:18" x14ac:dyDescent="0.25">
      <c r="O26" s="14"/>
      <c r="P26" s="14"/>
    </row>
    <row r="28" spans="2:18" ht="15" customHeight="1" x14ac:dyDescent="0.25">
      <c r="C28" s="1180" t="s">
        <v>91</v>
      </c>
      <c r="D28" s="1180"/>
      <c r="E28" s="1180"/>
      <c r="F28" s="1180"/>
      <c r="G28" s="1180"/>
      <c r="H28" s="1180"/>
      <c r="I28" s="1180"/>
      <c r="J28" s="1180"/>
      <c r="K28" s="1180"/>
      <c r="L28" s="270"/>
    </row>
    <row r="29" spans="2:18" x14ac:dyDescent="0.25">
      <c r="C29" s="1180"/>
      <c r="D29" s="1180"/>
      <c r="E29" s="1180"/>
      <c r="F29" s="1180"/>
      <c r="G29" s="1180"/>
      <c r="H29" s="1180"/>
      <c r="I29" s="1180"/>
      <c r="J29" s="1180"/>
      <c r="K29" s="1180"/>
      <c r="L29" s="270"/>
    </row>
    <row r="30" spans="2:18" x14ac:dyDescent="0.25">
      <c r="C30" s="1180"/>
      <c r="D30" s="1180"/>
      <c r="E30" s="1180"/>
      <c r="F30" s="1180"/>
      <c r="G30" s="1180"/>
      <c r="H30" s="1180"/>
      <c r="I30" s="1180"/>
      <c r="J30" s="1180"/>
      <c r="K30" s="1180"/>
      <c r="L30" s="270"/>
    </row>
    <row r="31" spans="2:18" ht="15.75" thickBot="1" x14ac:dyDescent="0.3"/>
    <row r="32" spans="2:18" ht="20.100000000000001" customHeight="1" thickBot="1" x14ac:dyDescent="0.3">
      <c r="C32" s="1037" t="s">
        <v>307</v>
      </c>
      <c r="D32" s="1038"/>
      <c r="E32" s="1038"/>
      <c r="F32" s="1038"/>
      <c r="G32" s="1038"/>
      <c r="H32" s="1038"/>
      <c r="I32" s="1038"/>
      <c r="J32" s="1038"/>
      <c r="K32" s="1039"/>
    </row>
    <row r="33" spans="2:11" ht="15.95" customHeight="1" thickBot="1" x14ac:dyDescent="0.3">
      <c r="C33" s="1201" t="s">
        <v>54</v>
      </c>
      <c r="D33" s="1202"/>
      <c r="E33" s="1202"/>
      <c r="F33" s="1202"/>
      <c r="G33" s="1202"/>
      <c r="H33" s="1202"/>
      <c r="I33" s="1202"/>
      <c r="J33" s="1202"/>
      <c r="K33" s="1203"/>
    </row>
    <row r="34" spans="2:11" ht="15.95" customHeight="1" thickBot="1" x14ac:dyDescent="0.3">
      <c r="B34" s="1051" t="s">
        <v>26</v>
      </c>
      <c r="C34" s="1043" t="s">
        <v>35</v>
      </c>
      <c r="D34" s="1045" t="s">
        <v>110</v>
      </c>
      <c r="E34" s="1046"/>
      <c r="F34" s="1047"/>
      <c r="G34" s="1045" t="s">
        <v>74</v>
      </c>
      <c r="H34" s="1047"/>
      <c r="I34" s="1043" t="s">
        <v>180</v>
      </c>
      <c r="J34" s="1043" t="s">
        <v>268</v>
      </c>
      <c r="K34" s="1049" t="s">
        <v>269</v>
      </c>
    </row>
    <row r="35" spans="2:11" ht="35.1" customHeight="1" thickBot="1" x14ac:dyDescent="0.3">
      <c r="B35" s="1051"/>
      <c r="C35" s="1048"/>
      <c r="D35" s="737" t="s">
        <v>174</v>
      </c>
      <c r="E35" s="737" t="s">
        <v>122</v>
      </c>
      <c r="F35" s="737" t="s">
        <v>81</v>
      </c>
      <c r="G35" s="547" t="s">
        <v>170</v>
      </c>
      <c r="H35" s="548" t="s">
        <v>270</v>
      </c>
      <c r="I35" s="1048"/>
      <c r="J35" s="1048"/>
      <c r="K35" s="1050"/>
    </row>
    <row r="36" spans="2:11" ht="15" customHeight="1" x14ac:dyDescent="0.25">
      <c r="B36" s="49">
        <v>2010</v>
      </c>
      <c r="C36" s="578">
        <v>40540.510416666664</v>
      </c>
      <c r="D36" s="647">
        <v>37.215000999999994</v>
      </c>
      <c r="E36" s="648">
        <v>40.729999999999997</v>
      </c>
      <c r="F36" s="643"/>
      <c r="G36" s="657"/>
      <c r="H36" s="657"/>
      <c r="I36" s="579">
        <f>2*40</f>
        <v>80</v>
      </c>
      <c r="J36" s="579">
        <f>I36-40</f>
        <v>40</v>
      </c>
      <c r="K36" s="679">
        <f t="shared" ref="K36:K43" si="5">E36/I36</f>
        <v>0.50912499999999994</v>
      </c>
    </row>
    <row r="37" spans="2:11" ht="15" customHeight="1" x14ac:dyDescent="0.25">
      <c r="B37" s="49">
        <v>2011</v>
      </c>
      <c r="C37" s="580">
        <v>40613.65625</v>
      </c>
      <c r="D37" s="649">
        <v>36.767288000000001</v>
      </c>
      <c r="E37" s="650">
        <v>40.24</v>
      </c>
      <c r="F37" s="644">
        <f>(E37-E36)/E36</f>
        <v>-1.2030444389884482E-2</v>
      </c>
      <c r="G37" s="658"/>
      <c r="H37" s="658"/>
      <c r="I37" s="581">
        <f t="shared" ref="I37:I53" si="6">2*40</f>
        <v>80</v>
      </c>
      <c r="J37" s="581">
        <f t="shared" ref="J37:J53" si="7">I37-40</f>
        <v>40</v>
      </c>
      <c r="K37" s="680">
        <f t="shared" si="5"/>
        <v>0.503</v>
      </c>
    </row>
    <row r="38" spans="2:11" ht="15" customHeight="1" x14ac:dyDescent="0.25">
      <c r="B38" s="49">
        <v>2012</v>
      </c>
      <c r="C38" s="580">
        <v>41221.479166666664</v>
      </c>
      <c r="D38" s="649">
        <v>32.93</v>
      </c>
      <c r="E38" s="650">
        <v>36.4</v>
      </c>
      <c r="F38" s="644">
        <f t="shared" ref="F38:F43" si="8">(E38-E37)/E37</f>
        <v>-9.5427435387674037E-2</v>
      </c>
      <c r="G38" s="659"/>
      <c r="H38" s="658"/>
      <c r="I38" s="581">
        <f t="shared" si="6"/>
        <v>80</v>
      </c>
      <c r="J38" s="581">
        <f t="shared" si="7"/>
        <v>40</v>
      </c>
      <c r="K38" s="680">
        <f t="shared" si="5"/>
        <v>0.45499999999999996</v>
      </c>
    </row>
    <row r="39" spans="2:11" ht="15" customHeight="1" x14ac:dyDescent="0.25">
      <c r="B39" s="49">
        <v>2013</v>
      </c>
      <c r="C39" s="580">
        <v>41638.53125</v>
      </c>
      <c r="D39" s="649">
        <v>33.86</v>
      </c>
      <c r="E39" s="650">
        <v>36.83</v>
      </c>
      <c r="F39" s="644">
        <f t="shared" si="8"/>
        <v>1.1813186813186806E-2</v>
      </c>
      <c r="G39" s="659"/>
      <c r="H39" s="658"/>
      <c r="I39" s="581">
        <f t="shared" si="6"/>
        <v>80</v>
      </c>
      <c r="J39" s="581">
        <f t="shared" si="7"/>
        <v>40</v>
      </c>
      <c r="K39" s="680">
        <f t="shared" si="5"/>
        <v>0.46037499999999998</v>
      </c>
    </row>
    <row r="40" spans="2:11" ht="15" customHeight="1" x14ac:dyDescent="0.25">
      <c r="B40" s="49">
        <v>2014</v>
      </c>
      <c r="C40" s="580">
        <v>41645.635416666664</v>
      </c>
      <c r="D40" s="649">
        <v>37.81</v>
      </c>
      <c r="E40" s="650">
        <v>40.4</v>
      </c>
      <c r="F40" s="644">
        <f t="shared" si="8"/>
        <v>9.6931849036111878E-2</v>
      </c>
      <c r="G40" s="658"/>
      <c r="H40" s="658"/>
      <c r="I40" s="581">
        <f t="shared" si="6"/>
        <v>80</v>
      </c>
      <c r="J40" s="581">
        <f t="shared" si="7"/>
        <v>40</v>
      </c>
      <c r="K40" s="680">
        <f t="shared" si="5"/>
        <v>0.505</v>
      </c>
    </row>
    <row r="41" spans="2:11" ht="15" customHeight="1" x14ac:dyDescent="0.25">
      <c r="B41" s="49">
        <v>2015</v>
      </c>
      <c r="C41" s="580">
        <v>42030.541666666664</v>
      </c>
      <c r="D41" s="649">
        <v>36.53</v>
      </c>
      <c r="E41" s="650">
        <v>39.54</v>
      </c>
      <c r="F41" s="644">
        <f t="shared" si="8"/>
        <v>-2.1287128712871275E-2</v>
      </c>
      <c r="G41" s="658"/>
      <c r="H41" s="658"/>
      <c r="I41" s="581">
        <f t="shared" si="6"/>
        <v>80</v>
      </c>
      <c r="J41" s="581">
        <f t="shared" si="7"/>
        <v>40</v>
      </c>
      <c r="K41" s="680">
        <f t="shared" si="5"/>
        <v>0.49424999999999997</v>
      </c>
    </row>
    <row r="42" spans="2:11" ht="15" customHeight="1" x14ac:dyDescent="0.25">
      <c r="B42" s="49">
        <v>2016</v>
      </c>
      <c r="C42" s="580">
        <v>42391.65625</v>
      </c>
      <c r="D42" s="649">
        <v>44.64</v>
      </c>
      <c r="E42" s="650">
        <v>46.58</v>
      </c>
      <c r="F42" s="644">
        <f t="shared" si="8"/>
        <v>0.1780475467880627</v>
      </c>
      <c r="G42" s="658"/>
      <c r="H42" s="658"/>
      <c r="I42" s="581">
        <f t="shared" si="6"/>
        <v>80</v>
      </c>
      <c r="J42" s="581">
        <f t="shared" si="7"/>
        <v>40</v>
      </c>
      <c r="K42" s="680">
        <f t="shared" si="5"/>
        <v>0.58224999999999993</v>
      </c>
    </row>
    <row r="43" spans="2:11" ht="15" customHeight="1" x14ac:dyDescent="0.25">
      <c r="B43" s="49">
        <v>2017</v>
      </c>
      <c r="C43" s="580">
        <v>42796.635416666664</v>
      </c>
      <c r="D43" s="649">
        <v>37.090000000000003</v>
      </c>
      <c r="E43" s="650">
        <v>38.35</v>
      </c>
      <c r="F43" s="644">
        <f t="shared" si="8"/>
        <v>-0.17668527264920561</v>
      </c>
      <c r="G43" s="658"/>
      <c r="H43" s="658">
        <f>E43</f>
        <v>38.35</v>
      </c>
      <c r="I43" s="581">
        <f t="shared" si="6"/>
        <v>80</v>
      </c>
      <c r="J43" s="581">
        <f t="shared" si="7"/>
        <v>40</v>
      </c>
      <c r="K43" s="680">
        <f t="shared" si="5"/>
        <v>0.479375</v>
      </c>
    </row>
    <row r="44" spans="2:11" ht="15" customHeight="1" x14ac:dyDescent="0.25">
      <c r="B44" s="54">
        <v>2018</v>
      </c>
      <c r="C44" s="720">
        <v>2018</v>
      </c>
      <c r="D44" s="651"/>
      <c r="E44" s="652"/>
      <c r="F44" s="645"/>
      <c r="G44" s="660">
        <f>0.3337*B44-632</f>
        <v>41.406600000000026</v>
      </c>
      <c r="H44" s="661">
        <f>0.043*H43+H43</f>
        <v>39.999050000000004</v>
      </c>
      <c r="I44" s="584">
        <f t="shared" si="6"/>
        <v>80</v>
      </c>
      <c r="J44" s="584">
        <f t="shared" si="7"/>
        <v>40</v>
      </c>
      <c r="K44" s="684">
        <f>H44/I44</f>
        <v>0.49998812500000006</v>
      </c>
    </row>
    <row r="45" spans="2:11" ht="15" customHeight="1" x14ac:dyDescent="0.25">
      <c r="B45" s="54">
        <v>2019</v>
      </c>
      <c r="C45" s="720">
        <v>2019</v>
      </c>
      <c r="D45" s="651"/>
      <c r="E45" s="652"/>
      <c r="F45" s="645"/>
      <c r="G45" s="660">
        <f t="shared" ref="G45:G53" si="9">0.3337*B45-632</f>
        <v>41.740300000000047</v>
      </c>
      <c r="H45" s="661">
        <f>0.043*H43+H44</f>
        <v>41.648100000000007</v>
      </c>
      <c r="I45" s="584">
        <f t="shared" si="6"/>
        <v>80</v>
      </c>
      <c r="J45" s="584">
        <f t="shared" si="7"/>
        <v>40</v>
      </c>
      <c r="K45" s="684">
        <f t="shared" ref="K45:K53" si="10">H45/I45</f>
        <v>0.52060125000000013</v>
      </c>
    </row>
    <row r="46" spans="2:11" ht="15" customHeight="1" x14ac:dyDescent="0.25">
      <c r="B46" s="54">
        <v>2020</v>
      </c>
      <c r="C46" s="720">
        <v>2020</v>
      </c>
      <c r="D46" s="651"/>
      <c r="E46" s="652"/>
      <c r="F46" s="645"/>
      <c r="G46" s="660">
        <f t="shared" si="9"/>
        <v>42.073999999999955</v>
      </c>
      <c r="H46" s="661">
        <f>0.043*H43+H45</f>
        <v>43.297150000000009</v>
      </c>
      <c r="I46" s="584">
        <f t="shared" si="6"/>
        <v>80</v>
      </c>
      <c r="J46" s="584">
        <f t="shared" si="7"/>
        <v>40</v>
      </c>
      <c r="K46" s="684">
        <f t="shared" si="10"/>
        <v>0.54121437500000014</v>
      </c>
    </row>
    <row r="47" spans="2:11" ht="15" customHeight="1" x14ac:dyDescent="0.25">
      <c r="B47" s="54">
        <v>2021</v>
      </c>
      <c r="C47" s="720">
        <v>2021</v>
      </c>
      <c r="D47" s="651"/>
      <c r="E47" s="652"/>
      <c r="F47" s="645"/>
      <c r="G47" s="660">
        <f t="shared" si="9"/>
        <v>42.407699999999977</v>
      </c>
      <c r="H47" s="661">
        <f>0.043*H43+H46</f>
        <v>44.946200000000012</v>
      </c>
      <c r="I47" s="584">
        <f t="shared" si="6"/>
        <v>80</v>
      </c>
      <c r="J47" s="584">
        <f t="shared" si="7"/>
        <v>40</v>
      </c>
      <c r="K47" s="684">
        <f t="shared" si="10"/>
        <v>0.56182750000000015</v>
      </c>
    </row>
    <row r="48" spans="2:11" ht="15" customHeight="1" x14ac:dyDescent="0.25">
      <c r="B48" s="54">
        <v>2022</v>
      </c>
      <c r="C48" s="721">
        <v>2022</v>
      </c>
      <c r="D48" s="651"/>
      <c r="E48" s="652"/>
      <c r="F48" s="645"/>
      <c r="G48" s="660">
        <f t="shared" si="9"/>
        <v>42.741399999999999</v>
      </c>
      <c r="H48" s="661">
        <f>0.043*H43+H47</f>
        <v>46.595250000000014</v>
      </c>
      <c r="I48" s="584">
        <f t="shared" si="6"/>
        <v>80</v>
      </c>
      <c r="J48" s="584">
        <f t="shared" si="7"/>
        <v>40</v>
      </c>
      <c r="K48" s="684">
        <f t="shared" si="10"/>
        <v>0.58244062500000016</v>
      </c>
    </row>
    <row r="49" spans="2:17" ht="15" customHeight="1" x14ac:dyDescent="0.25">
      <c r="B49" s="54">
        <v>2023</v>
      </c>
      <c r="C49" s="720">
        <v>2023</v>
      </c>
      <c r="D49" s="651"/>
      <c r="E49" s="652"/>
      <c r="F49" s="645"/>
      <c r="G49" s="660">
        <f t="shared" si="9"/>
        <v>43.07510000000002</v>
      </c>
      <c r="H49" s="661">
        <f>0.043*H43+H48</f>
        <v>48.244300000000017</v>
      </c>
      <c r="I49" s="584">
        <f t="shared" si="6"/>
        <v>80</v>
      </c>
      <c r="J49" s="584">
        <f t="shared" si="7"/>
        <v>40</v>
      </c>
      <c r="K49" s="684">
        <f t="shared" si="10"/>
        <v>0.60305375000000017</v>
      </c>
    </row>
    <row r="50" spans="2:17" ht="15" customHeight="1" x14ac:dyDescent="0.25">
      <c r="B50" s="54">
        <v>2024</v>
      </c>
      <c r="C50" s="720">
        <v>2024</v>
      </c>
      <c r="D50" s="769"/>
      <c r="E50" s="770"/>
      <c r="F50" s="771"/>
      <c r="G50" s="660">
        <f t="shared" si="9"/>
        <v>43.408800000000042</v>
      </c>
      <c r="H50" s="661">
        <f>0.043*H43+H49</f>
        <v>49.893350000000019</v>
      </c>
      <c r="I50" s="584">
        <f t="shared" si="6"/>
        <v>80</v>
      </c>
      <c r="J50" s="584">
        <f t="shared" si="7"/>
        <v>40</v>
      </c>
      <c r="K50" s="684">
        <f t="shared" si="10"/>
        <v>0.62366687500000029</v>
      </c>
    </row>
    <row r="51" spans="2:17" ht="15" customHeight="1" x14ac:dyDescent="0.25">
      <c r="B51" s="54">
        <v>2025</v>
      </c>
      <c r="C51" s="720">
        <v>2025</v>
      </c>
      <c r="D51" s="769"/>
      <c r="E51" s="770"/>
      <c r="F51" s="771"/>
      <c r="G51" s="660">
        <f t="shared" si="9"/>
        <v>43.74249999999995</v>
      </c>
      <c r="H51" s="661">
        <f>0.043*H43+H50</f>
        <v>51.542400000000022</v>
      </c>
      <c r="I51" s="584">
        <f t="shared" si="6"/>
        <v>80</v>
      </c>
      <c r="J51" s="584">
        <f t="shared" si="7"/>
        <v>40</v>
      </c>
      <c r="K51" s="684">
        <f t="shared" si="10"/>
        <v>0.6442800000000003</v>
      </c>
    </row>
    <row r="52" spans="2:17" ht="15" customHeight="1" x14ac:dyDescent="0.25">
      <c r="B52" s="54">
        <v>2026</v>
      </c>
      <c r="C52" s="720">
        <v>2026</v>
      </c>
      <c r="D52" s="769"/>
      <c r="E52" s="770"/>
      <c r="F52" s="771"/>
      <c r="G52" s="660">
        <f t="shared" si="9"/>
        <v>44.076199999999972</v>
      </c>
      <c r="H52" s="661">
        <f>0.043*H43+H51</f>
        <v>53.191450000000025</v>
      </c>
      <c r="I52" s="584">
        <f>2*40</f>
        <v>80</v>
      </c>
      <c r="J52" s="584">
        <f t="shared" si="7"/>
        <v>40</v>
      </c>
      <c r="K52" s="684">
        <f t="shared" si="10"/>
        <v>0.66489312500000031</v>
      </c>
    </row>
    <row r="53" spans="2:17" ht="15" customHeight="1" thickBot="1" x14ac:dyDescent="0.3">
      <c r="B53" s="209">
        <v>2027</v>
      </c>
      <c r="C53" s="793">
        <v>2027</v>
      </c>
      <c r="D53" s="774"/>
      <c r="E53" s="775"/>
      <c r="F53" s="776"/>
      <c r="G53" s="662">
        <f t="shared" si="9"/>
        <v>44.409899999999993</v>
      </c>
      <c r="H53" s="663">
        <f>0.043*H43+H52</f>
        <v>54.840500000000027</v>
      </c>
      <c r="I53" s="586">
        <f t="shared" si="6"/>
        <v>80</v>
      </c>
      <c r="J53" s="586">
        <f t="shared" si="7"/>
        <v>40</v>
      </c>
      <c r="K53" s="686">
        <f t="shared" si="10"/>
        <v>0.68550625000000032</v>
      </c>
      <c r="Q53"/>
    </row>
    <row r="54" spans="2:17" ht="15" customHeight="1" x14ac:dyDescent="0.25">
      <c r="F54" s="143">
        <f>AVERAGE(F37:F53)</f>
        <v>-2.6625283574677194E-3</v>
      </c>
      <c r="H54">
        <f>0.045*H43</f>
        <v>1.7257499999999999</v>
      </c>
      <c r="Q54"/>
    </row>
    <row r="55" spans="2:17" ht="15" customHeight="1" x14ac:dyDescent="0.25">
      <c r="F55" s="14"/>
      <c r="Q55"/>
    </row>
    <row r="56" spans="2:17" ht="15" customHeight="1" x14ac:dyDescent="0.25">
      <c r="Q56"/>
    </row>
    <row r="57" spans="2:17" ht="15" customHeight="1" x14ac:dyDescent="0.25">
      <c r="Q57"/>
    </row>
    <row r="90" spans="1:20" ht="18" x14ac:dyDescent="0.25">
      <c r="A90" s="1093" t="s">
        <v>247</v>
      </c>
      <c r="B90" s="1093"/>
      <c r="C90" s="1093"/>
      <c r="D90" s="1093"/>
      <c r="E90" s="1093"/>
      <c r="F90" s="1093"/>
      <c r="G90" s="1093"/>
      <c r="H90" s="1093"/>
      <c r="I90" s="1093"/>
      <c r="J90" s="1093"/>
      <c r="K90" s="1093"/>
      <c r="L90" s="1093"/>
      <c r="M90" s="1093"/>
      <c r="N90" s="1093"/>
      <c r="O90" s="1093"/>
      <c r="P90" s="1093"/>
      <c r="Q90" s="1093"/>
      <c r="R90" s="1093"/>
      <c r="S90" s="1093"/>
      <c r="T90" s="1093"/>
    </row>
    <row r="91" spans="1:20" ht="18" x14ac:dyDescent="0.25">
      <c r="A91" s="1094" t="s">
        <v>248</v>
      </c>
      <c r="B91" s="1094"/>
      <c r="C91" s="1094"/>
      <c r="D91" s="1094"/>
      <c r="E91" s="1094"/>
      <c r="F91" s="1094"/>
      <c r="G91" s="1094"/>
      <c r="H91" s="1094"/>
      <c r="I91" s="1094"/>
      <c r="J91" s="1094"/>
      <c r="K91" s="1094"/>
      <c r="L91" s="1094"/>
      <c r="M91" s="1094"/>
      <c r="N91" s="1094"/>
      <c r="O91" s="1094"/>
      <c r="P91" s="1094"/>
      <c r="Q91" s="1094"/>
      <c r="R91" s="1094"/>
      <c r="S91" s="1094"/>
      <c r="T91" s="1094"/>
    </row>
    <row r="92" spans="1:20" ht="15.75" thickBot="1" x14ac:dyDescent="0.3">
      <c r="A92" s="452"/>
      <c r="B92" s="452"/>
      <c r="C92" s="452"/>
      <c r="D92" s="452"/>
      <c r="E92" s="452"/>
      <c r="F92" s="452"/>
      <c r="G92" s="452"/>
      <c r="H92" s="453"/>
      <c r="I92" s="452"/>
      <c r="J92" s="454"/>
      <c r="K92" s="453"/>
      <c r="L92" s="452"/>
      <c r="M92" s="454"/>
      <c r="N92" s="453"/>
      <c r="O92" s="452"/>
      <c r="P92" s="454"/>
      <c r="Q92" s="453"/>
      <c r="R92" s="452"/>
      <c r="S92" s="449"/>
      <c r="T92" s="450"/>
    </row>
    <row r="93" spans="1:20" x14ac:dyDescent="0.25">
      <c r="A93" s="1095" t="s">
        <v>249</v>
      </c>
      <c r="B93" s="1098" t="s">
        <v>250</v>
      </c>
      <c r="C93" s="1101" t="s">
        <v>251</v>
      </c>
      <c r="D93" s="1063" t="s">
        <v>252</v>
      </c>
      <c r="E93" s="1065"/>
      <c r="F93" s="1066">
        <v>2017</v>
      </c>
      <c r="G93" s="1064"/>
      <c r="H93" s="1106"/>
      <c r="I93" s="1063">
        <f>+F93+1</f>
        <v>2018</v>
      </c>
      <c r="J93" s="1064"/>
      <c r="K93" s="1065"/>
      <c r="L93" s="1066">
        <f>+I93+1</f>
        <v>2019</v>
      </c>
      <c r="M93" s="1064"/>
      <c r="N93" s="1106"/>
      <c r="O93" s="1063">
        <f>+L93+1</f>
        <v>2020</v>
      </c>
      <c r="P93" s="1064"/>
      <c r="Q93" s="1065"/>
      <c r="R93" s="1066">
        <f>+O93+1</f>
        <v>2021</v>
      </c>
      <c r="S93" s="1064"/>
      <c r="T93" s="1065"/>
    </row>
    <row r="94" spans="1:20" x14ac:dyDescent="0.25">
      <c r="A94" s="1096"/>
      <c r="B94" s="1099"/>
      <c r="C94" s="1102"/>
      <c r="D94" s="1104"/>
      <c r="E94" s="1105"/>
      <c r="F94" s="455" t="s">
        <v>253</v>
      </c>
      <c r="G94" s="1067" t="s">
        <v>254</v>
      </c>
      <c r="H94" s="1068"/>
      <c r="I94" s="456" t="s">
        <v>253</v>
      </c>
      <c r="J94" s="1067" t="s">
        <v>254</v>
      </c>
      <c r="K94" s="1069"/>
      <c r="L94" s="455" t="s">
        <v>253</v>
      </c>
      <c r="M94" s="1067" t="s">
        <v>254</v>
      </c>
      <c r="N94" s="1068"/>
      <c r="O94" s="456" t="s">
        <v>253</v>
      </c>
      <c r="P94" s="1067" t="s">
        <v>254</v>
      </c>
      <c r="Q94" s="1069"/>
      <c r="R94" s="455" t="s">
        <v>253</v>
      </c>
      <c r="S94" s="1067" t="s">
        <v>254</v>
      </c>
      <c r="T94" s="1069"/>
    </row>
    <row r="95" spans="1:20" ht="15.75" thickBot="1" x14ac:dyDescent="0.3">
      <c r="A95" s="1097"/>
      <c r="B95" s="1100"/>
      <c r="C95" s="1103"/>
      <c r="D95" s="1091" t="s">
        <v>255</v>
      </c>
      <c r="E95" s="1092"/>
      <c r="F95" s="457" t="s">
        <v>255</v>
      </c>
      <c r="G95" s="458" t="s">
        <v>255</v>
      </c>
      <c r="H95" s="459" t="s">
        <v>256</v>
      </c>
      <c r="I95" s="460" t="s">
        <v>255</v>
      </c>
      <c r="J95" s="461" t="s">
        <v>255</v>
      </c>
      <c r="K95" s="462" t="s">
        <v>256</v>
      </c>
      <c r="L95" s="457" t="s">
        <v>255</v>
      </c>
      <c r="M95" s="461" t="s">
        <v>255</v>
      </c>
      <c r="N95" s="459" t="s">
        <v>256</v>
      </c>
      <c r="O95" s="460" t="s">
        <v>255</v>
      </c>
      <c r="P95" s="461" t="s">
        <v>255</v>
      </c>
      <c r="Q95" s="462" t="s">
        <v>256</v>
      </c>
      <c r="R95" s="457" t="s">
        <v>255</v>
      </c>
      <c r="S95" s="461" t="s">
        <v>255</v>
      </c>
      <c r="T95" s="462" t="s">
        <v>256</v>
      </c>
    </row>
    <row r="96" spans="1:20" ht="24" customHeight="1" x14ac:dyDescent="0.25">
      <c r="B96" s="1190" t="s">
        <v>259</v>
      </c>
      <c r="C96" s="638" t="s">
        <v>260</v>
      </c>
      <c r="D96" s="639">
        <v>40</v>
      </c>
      <c r="E96" s="1138">
        <v>80</v>
      </c>
      <c r="F96" s="1186">
        <v>80</v>
      </c>
      <c r="G96" s="1184">
        <v>48.585059317235583</v>
      </c>
      <c r="H96" s="1185">
        <v>0.60731324146544474</v>
      </c>
      <c r="I96" s="1186">
        <v>80</v>
      </c>
      <c r="J96" s="1184">
        <v>50.674216867876709</v>
      </c>
      <c r="K96" s="1185">
        <v>0.63342771084845884</v>
      </c>
      <c r="L96" s="1139">
        <v>80</v>
      </c>
      <c r="M96" s="1170">
        <v>52.853208193195407</v>
      </c>
      <c r="N96" s="1185">
        <v>0.66066510241494258</v>
      </c>
      <c r="O96" s="1139">
        <v>80</v>
      </c>
      <c r="P96" s="1170">
        <v>55.125896145502807</v>
      </c>
      <c r="Q96" s="1185">
        <v>0.68907370181878513</v>
      </c>
      <c r="R96" s="1187">
        <v>80</v>
      </c>
      <c r="S96" s="1184">
        <v>57.49630967975942</v>
      </c>
      <c r="T96" s="1185">
        <v>0.71870387099699273</v>
      </c>
    </row>
    <row r="97" spans="2:20" ht="24" customHeight="1" x14ac:dyDescent="0.25">
      <c r="B97" s="1148"/>
      <c r="C97" s="640" t="s">
        <v>260</v>
      </c>
      <c r="D97" s="641">
        <v>40</v>
      </c>
      <c r="E97" s="1138"/>
      <c r="F97" s="1186"/>
      <c r="G97" s="1184"/>
      <c r="H97" s="1185"/>
      <c r="I97" s="1186"/>
      <c r="J97" s="1184"/>
      <c r="K97" s="1185"/>
      <c r="L97" s="1141"/>
      <c r="M97" s="1172"/>
      <c r="N97" s="1185"/>
      <c r="O97" s="1141"/>
      <c r="P97" s="1172"/>
      <c r="Q97" s="1185"/>
      <c r="R97" s="1187"/>
      <c r="S97" s="1184"/>
      <c r="T97" s="1185"/>
    </row>
    <row r="98" spans="2:20" x14ac:dyDescent="0.25">
      <c r="J98">
        <f>1.043*G96</f>
        <v>50.674216867876709</v>
      </c>
      <c r="M98">
        <f>1.043*J96</f>
        <v>52.853208193195407</v>
      </c>
      <c r="P98">
        <f>1.043*M96</f>
        <v>55.125896145502807</v>
      </c>
      <c r="S98">
        <f>1.043*P96</f>
        <v>57.49630967975942</v>
      </c>
    </row>
    <row r="99" spans="2:20" x14ac:dyDescent="0.25">
      <c r="J99" s="39">
        <v>2016</v>
      </c>
      <c r="K99" s="258"/>
    </row>
    <row r="100" spans="2:20" x14ac:dyDescent="0.25">
      <c r="J100" s="39">
        <v>2017</v>
      </c>
      <c r="K100" s="258"/>
    </row>
    <row r="101" spans="2:20" x14ac:dyDescent="0.25">
      <c r="J101" s="39">
        <v>2018</v>
      </c>
      <c r="K101" s="258">
        <v>48.028008692431698</v>
      </c>
    </row>
    <row r="102" spans="2:20" x14ac:dyDescent="0.25">
      <c r="J102" s="39">
        <v>2019</v>
      </c>
      <c r="K102" s="258">
        <v>50.093213066206197</v>
      </c>
    </row>
    <row r="103" spans="2:20" x14ac:dyDescent="0.25">
      <c r="J103" s="39">
        <v>2020</v>
      </c>
      <c r="K103" s="258">
        <v>52.2472212280531</v>
      </c>
    </row>
  </sheetData>
  <mergeCells count="52">
    <mergeCell ref="B34:B35"/>
    <mergeCell ref="C34:C35"/>
    <mergeCell ref="D34:F34"/>
    <mergeCell ref="G34:H34"/>
    <mergeCell ref="I34:I35"/>
    <mergeCell ref="S96:S97"/>
    <mergeCell ref="T96:T97"/>
    <mergeCell ref="N96:N97"/>
    <mergeCell ref="O96:O97"/>
    <mergeCell ref="P96:P97"/>
    <mergeCell ref="Q96:Q97"/>
    <mergeCell ref="R96:R97"/>
    <mergeCell ref="I96:I97"/>
    <mergeCell ref="J96:J97"/>
    <mergeCell ref="K96:K97"/>
    <mergeCell ref="L96:L97"/>
    <mergeCell ref="M96:M97"/>
    <mergeCell ref="B96:B97"/>
    <mergeCell ref="E96:E97"/>
    <mergeCell ref="F96:F97"/>
    <mergeCell ref="G96:G97"/>
    <mergeCell ref="H96:H97"/>
    <mergeCell ref="B3:K3"/>
    <mergeCell ref="B4:K4"/>
    <mergeCell ref="B5:B6"/>
    <mergeCell ref="G5:I5"/>
    <mergeCell ref="D5:F5"/>
    <mergeCell ref="M94:N94"/>
    <mergeCell ref="C28:K30"/>
    <mergeCell ref="J5:J6"/>
    <mergeCell ref="K5:K6"/>
    <mergeCell ref="C5:C6"/>
    <mergeCell ref="C32:K32"/>
    <mergeCell ref="C33:K33"/>
    <mergeCell ref="J34:J35"/>
    <mergeCell ref="K34:K35"/>
    <mergeCell ref="P94:Q94"/>
    <mergeCell ref="S94:T94"/>
    <mergeCell ref="D95:E95"/>
    <mergeCell ref="A90:T90"/>
    <mergeCell ref="A91:T91"/>
    <mergeCell ref="A93:A95"/>
    <mergeCell ref="B93:B95"/>
    <mergeCell ref="C93:C95"/>
    <mergeCell ref="D93:E94"/>
    <mergeCell ref="F93:H93"/>
    <mergeCell ref="I93:K93"/>
    <mergeCell ref="L93:N93"/>
    <mergeCell ref="O93:Q93"/>
    <mergeCell ref="R93:T93"/>
    <mergeCell ref="G94:H94"/>
    <mergeCell ref="J94:K94"/>
  </mergeCells>
  <conditionalFormatting sqref="H96:H97 T96:T97 Q96:Q97 N96:N97 K96:K97">
    <cfRule type="cellIs" dxfId="6" priority="1" operator="greaterThan">
      <formula>1</formula>
    </cfRule>
  </conditionalFormatting>
  <printOptions gridLines="1"/>
  <pageMargins left="0.11811023622047245" right="0.11811023622047245" top="0.15748031496062992" bottom="0.35433070866141736" header="0" footer="0"/>
  <pageSetup paperSize="9" scale="13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3:AH57"/>
  <sheetViews>
    <sheetView zoomScale="80" zoomScaleNormal="80" workbookViewId="0">
      <selection activeCell="M19" sqref="M19"/>
    </sheetView>
  </sheetViews>
  <sheetFormatPr baseColWidth="10" defaultRowHeight="15" x14ac:dyDescent="0.25"/>
  <cols>
    <col min="1" max="1" width="23" customWidth="1"/>
    <col min="2" max="2" width="12.5703125" style="4" customWidth="1"/>
    <col min="3" max="3" width="11.7109375" style="5" customWidth="1"/>
    <col min="4" max="4" width="15.28515625" customWidth="1"/>
    <col min="5" max="5" width="12.5703125" customWidth="1"/>
    <col min="6" max="13" width="7.7109375" customWidth="1"/>
    <col min="14" max="14" width="7.7109375" style="7" customWidth="1"/>
    <col min="15" max="34" width="7.7109375" customWidth="1"/>
  </cols>
  <sheetData>
    <row r="3" spans="1:34" s="1" customFormat="1" x14ac:dyDescent="0.25">
      <c r="A3" s="1" t="s">
        <v>0</v>
      </c>
      <c r="B3" s="3"/>
      <c r="C3" s="2"/>
      <c r="N3" s="6"/>
    </row>
    <row r="6" spans="1:34" ht="15" customHeight="1" x14ac:dyDescent="0.25">
      <c r="A6" s="1030" t="s">
        <v>88</v>
      </c>
      <c r="B6" s="1030" t="s">
        <v>87</v>
      </c>
      <c r="C6" s="1030" t="s">
        <v>18</v>
      </c>
      <c r="D6" s="1030" t="s">
        <v>19</v>
      </c>
      <c r="E6" s="1030" t="s">
        <v>100</v>
      </c>
      <c r="F6" s="1034" t="s">
        <v>86</v>
      </c>
      <c r="G6" s="1035"/>
      <c r="H6" s="1035"/>
      <c r="I6" s="1035"/>
      <c r="J6" s="1035"/>
      <c r="K6" s="1035"/>
      <c r="L6" s="1035"/>
      <c r="M6" s="1035"/>
      <c r="N6" s="1035"/>
      <c r="O6" s="1035"/>
      <c r="P6" s="1035"/>
      <c r="Q6" s="1035"/>
      <c r="R6" s="1035"/>
      <c r="S6" s="1035"/>
      <c r="T6" s="1035"/>
      <c r="U6" s="1035"/>
      <c r="V6" s="1035"/>
      <c r="W6" s="1035"/>
      <c r="X6" s="1035"/>
      <c r="Y6" s="1035"/>
      <c r="Z6" s="1035"/>
      <c r="AA6" s="1035"/>
      <c r="AB6" s="1035"/>
      <c r="AC6" s="1035"/>
      <c r="AD6" s="1035"/>
      <c r="AE6" s="1035"/>
      <c r="AF6" s="1035"/>
      <c r="AG6" s="1035"/>
      <c r="AH6" s="1036"/>
    </row>
    <row r="7" spans="1:34" ht="15" customHeight="1" x14ac:dyDescent="0.25">
      <c r="A7" s="1031"/>
      <c r="B7" s="1031"/>
      <c r="C7" s="1031"/>
      <c r="D7" s="1031"/>
      <c r="E7" s="1031"/>
      <c r="F7" s="1034" t="s">
        <v>92</v>
      </c>
      <c r="G7" s="1035"/>
      <c r="H7" s="1035"/>
      <c r="I7" s="1035"/>
      <c r="J7" s="1035"/>
      <c r="K7" s="1035"/>
      <c r="L7" s="1035"/>
      <c r="M7" s="1035"/>
      <c r="N7" s="1035"/>
      <c r="O7" s="1035"/>
      <c r="P7" s="1035"/>
      <c r="Q7" s="1035"/>
      <c r="R7" s="1035"/>
      <c r="S7" s="1035"/>
      <c r="T7" s="1035"/>
      <c r="U7" s="1035"/>
      <c r="V7" s="1036"/>
      <c r="W7" s="1034" t="s">
        <v>85</v>
      </c>
      <c r="X7" s="1035"/>
      <c r="Y7" s="1035"/>
      <c r="Z7" s="1035"/>
      <c r="AA7" s="1035"/>
      <c r="AB7" s="1035"/>
      <c r="AC7" s="1035"/>
      <c r="AD7" s="1035"/>
      <c r="AE7" s="1035"/>
      <c r="AF7" s="1035"/>
      <c r="AG7" s="1035"/>
      <c r="AH7" s="1036"/>
    </row>
    <row r="8" spans="1:34" ht="42.75" customHeight="1" x14ac:dyDescent="0.25">
      <c r="A8" s="1032"/>
      <c r="B8" s="1032"/>
      <c r="C8" s="1032"/>
      <c r="D8" s="1033"/>
      <c r="E8" s="1032"/>
      <c r="F8" s="111">
        <v>1997</v>
      </c>
      <c r="G8" s="78">
        <v>1998</v>
      </c>
      <c r="H8" s="78">
        <v>1999</v>
      </c>
      <c r="I8" s="78">
        <v>2000</v>
      </c>
      <c r="J8" s="78">
        <v>2001</v>
      </c>
      <c r="K8" s="78">
        <v>2002</v>
      </c>
      <c r="L8" s="78">
        <v>2003</v>
      </c>
      <c r="M8" s="78">
        <v>2004</v>
      </c>
      <c r="N8" s="79">
        <v>2005</v>
      </c>
      <c r="O8" s="78">
        <v>2006</v>
      </c>
      <c r="P8" s="78">
        <v>2007</v>
      </c>
      <c r="Q8" s="78">
        <v>2008</v>
      </c>
      <c r="R8" s="78">
        <v>2009</v>
      </c>
      <c r="S8" s="78">
        <v>2010</v>
      </c>
      <c r="T8" s="78">
        <v>2011</v>
      </c>
      <c r="U8" s="78">
        <v>2012</v>
      </c>
      <c r="V8" s="78">
        <v>2013</v>
      </c>
      <c r="W8" s="113">
        <v>2014</v>
      </c>
      <c r="X8" s="84">
        <v>2015</v>
      </c>
      <c r="Y8" s="84">
        <v>2016</v>
      </c>
      <c r="Z8" s="84">
        <v>2017</v>
      </c>
      <c r="AA8" s="84">
        <v>2018</v>
      </c>
      <c r="AB8" s="84">
        <v>2019</v>
      </c>
      <c r="AC8" s="84">
        <v>2020</v>
      </c>
      <c r="AD8" s="84">
        <v>2021</v>
      </c>
      <c r="AE8" s="84">
        <v>2022</v>
      </c>
      <c r="AF8" s="84">
        <v>2023</v>
      </c>
      <c r="AG8" s="84">
        <v>2024</v>
      </c>
      <c r="AH8" s="85">
        <v>2025</v>
      </c>
    </row>
    <row r="9" spans="1:34" ht="15" customHeight="1" x14ac:dyDescent="0.25">
      <c r="A9" s="80"/>
      <c r="B9" s="127"/>
      <c r="C9" s="90"/>
      <c r="D9" s="85"/>
      <c r="E9" s="147"/>
      <c r="F9" s="551"/>
      <c r="G9" s="552"/>
      <c r="H9" s="552"/>
      <c r="I9" s="552"/>
      <c r="J9" s="552"/>
      <c r="K9" s="552"/>
      <c r="L9" s="552"/>
      <c r="M9" s="552"/>
      <c r="N9" s="552"/>
      <c r="O9" s="552"/>
      <c r="P9" s="552"/>
      <c r="Q9" s="552"/>
      <c r="R9" s="552"/>
      <c r="S9" s="552"/>
      <c r="T9" s="552"/>
      <c r="U9" s="552"/>
      <c r="V9" s="553"/>
      <c r="W9" s="83"/>
      <c r="X9" s="70"/>
      <c r="Y9" s="70"/>
      <c r="Z9" s="70"/>
      <c r="AA9" s="70"/>
      <c r="AB9" s="70"/>
      <c r="AC9" s="70"/>
      <c r="AD9" s="84"/>
      <c r="AE9" s="86"/>
      <c r="AF9" s="86"/>
      <c r="AG9" s="86"/>
      <c r="AH9" s="87"/>
    </row>
    <row r="10" spans="1:34" ht="15" customHeight="1" x14ac:dyDescent="0.25">
      <c r="A10" s="125" t="s">
        <v>16</v>
      </c>
      <c r="B10" s="128" t="s">
        <v>97</v>
      </c>
      <c r="C10" s="91" t="s">
        <v>25</v>
      </c>
      <c r="D10" s="112"/>
      <c r="E10" s="59">
        <v>4.3099999999999999E-2</v>
      </c>
      <c r="F10" s="554"/>
      <c r="G10" s="555"/>
      <c r="H10" s="555"/>
      <c r="I10" s="555"/>
      <c r="J10" s="555"/>
      <c r="K10" s="555"/>
      <c r="L10" s="555">
        <v>0.83</v>
      </c>
      <c r="M10" s="555">
        <v>0.95</v>
      </c>
      <c r="N10" s="555">
        <v>1.04</v>
      </c>
      <c r="O10" s="555">
        <v>2.5</v>
      </c>
      <c r="P10" s="555">
        <v>1.22</v>
      </c>
      <c r="Q10" s="555">
        <v>1.1000000000000001</v>
      </c>
      <c r="R10" s="555">
        <v>1.91</v>
      </c>
      <c r="S10" s="555">
        <v>2.14</v>
      </c>
      <c r="T10" s="555">
        <v>1.06</v>
      </c>
      <c r="U10" s="555">
        <v>1.78</v>
      </c>
      <c r="V10" s="549">
        <v>1.76</v>
      </c>
      <c r="W10" s="564">
        <v>1.8391999999999999</v>
      </c>
      <c r="X10" s="565">
        <v>1.921964</v>
      </c>
      <c r="Y10" s="565">
        <v>2.00845238</v>
      </c>
      <c r="Z10" s="565">
        <v>2.0988327371</v>
      </c>
      <c r="AA10" s="565">
        <v>2.1932802102695002</v>
      </c>
      <c r="AB10" s="565">
        <v>2.2919778197316276</v>
      </c>
      <c r="AC10" s="565">
        <v>2.3951168216195509</v>
      </c>
      <c r="AD10" s="566">
        <v>2.5028970785924307</v>
      </c>
      <c r="AE10" s="566">
        <v>2.6155274471290899</v>
      </c>
      <c r="AF10" s="566">
        <v>2.7332261822498989</v>
      </c>
      <c r="AG10" s="565">
        <v>2.8562213604511442</v>
      </c>
      <c r="AH10" s="567">
        <v>2.9847513216714456</v>
      </c>
    </row>
    <row r="11" spans="1:34" ht="15" customHeight="1" x14ac:dyDescent="0.25">
      <c r="A11" s="125" t="s">
        <v>8</v>
      </c>
      <c r="B11" s="128" t="s">
        <v>20</v>
      </c>
      <c r="C11" s="91" t="s">
        <v>24</v>
      </c>
      <c r="D11" s="112"/>
      <c r="E11" s="59">
        <v>3.5000000000000003E-2</v>
      </c>
      <c r="F11" s="556">
        <v>18.989999999999998</v>
      </c>
      <c r="G11" s="557">
        <v>28.15</v>
      </c>
      <c r="H11" s="557">
        <v>43.22</v>
      </c>
      <c r="I11" s="557">
        <v>26.4</v>
      </c>
      <c r="J11" s="557">
        <v>31.6</v>
      </c>
      <c r="K11" s="557">
        <v>52.58</v>
      </c>
      <c r="L11" s="557">
        <v>44.04</v>
      </c>
      <c r="M11" s="557">
        <v>44.94</v>
      </c>
      <c r="N11" s="557">
        <v>46.98</v>
      </c>
      <c r="O11" s="557">
        <v>53.19</v>
      </c>
      <c r="P11" s="557">
        <v>49.34</v>
      </c>
      <c r="Q11" s="557">
        <v>51.87</v>
      </c>
      <c r="R11" s="557">
        <v>57.92</v>
      </c>
      <c r="S11" s="557">
        <v>60.31</v>
      </c>
      <c r="T11" s="557">
        <v>58.29</v>
      </c>
      <c r="U11" s="557">
        <v>75.78</v>
      </c>
      <c r="V11" s="549">
        <v>74.239999999999995</v>
      </c>
      <c r="W11" s="54">
        <v>77.580799999999996</v>
      </c>
      <c r="X11" s="568">
        <v>81.071935999999994</v>
      </c>
      <c r="Y11" s="568">
        <v>84.720173119999998</v>
      </c>
      <c r="Z11" s="568">
        <v>88.5325809104</v>
      </c>
      <c r="AA11" s="568">
        <v>92.516547051367994</v>
      </c>
      <c r="AB11" s="568">
        <v>96.679791668679556</v>
      </c>
      <c r="AC11" s="568">
        <v>101.03038229377013</v>
      </c>
      <c r="AD11" s="568">
        <v>105.57674949698979</v>
      </c>
      <c r="AE11" s="568">
        <v>110.32770322435434</v>
      </c>
      <c r="AF11" s="568">
        <v>115.29244986945028</v>
      </c>
      <c r="AG11" s="568">
        <v>120.48061011357554</v>
      </c>
      <c r="AH11" s="550">
        <v>125.90223756868643</v>
      </c>
    </row>
    <row r="12" spans="1:34" ht="15" customHeight="1" x14ac:dyDescent="0.25">
      <c r="A12" s="125" t="s">
        <v>15</v>
      </c>
      <c r="B12" s="128" t="s">
        <v>21</v>
      </c>
      <c r="C12" s="91" t="s">
        <v>24</v>
      </c>
      <c r="D12" s="112"/>
      <c r="E12" s="59">
        <v>4.1599999999999998E-2</v>
      </c>
      <c r="F12" s="558"/>
      <c r="G12" s="555">
        <v>4.75</v>
      </c>
      <c r="H12" s="555">
        <v>15.5</v>
      </c>
      <c r="I12" s="555">
        <v>12.1</v>
      </c>
      <c r="J12" s="555">
        <v>12.38</v>
      </c>
      <c r="K12" s="555">
        <v>17.059999999999999</v>
      </c>
      <c r="L12" s="555">
        <v>19.52</v>
      </c>
      <c r="M12" s="555">
        <v>22.13</v>
      </c>
      <c r="N12" s="555">
        <v>20.47</v>
      </c>
      <c r="O12" s="555">
        <v>22.89</v>
      </c>
      <c r="P12" s="555">
        <v>33.299999999999997</v>
      </c>
      <c r="Q12" s="555">
        <v>30.51</v>
      </c>
      <c r="R12" s="555">
        <v>35.450000000000003</v>
      </c>
      <c r="S12" s="555">
        <v>36.85</v>
      </c>
      <c r="T12" s="555">
        <v>37.03</v>
      </c>
      <c r="U12" s="555">
        <v>37.979999999999997</v>
      </c>
      <c r="V12" s="549">
        <v>40.479999999999997</v>
      </c>
      <c r="W12" s="569">
        <v>42.301599999999993</v>
      </c>
      <c r="X12" s="568">
        <v>44.20517199999999</v>
      </c>
      <c r="Y12" s="568">
        <v>46.194404739999989</v>
      </c>
      <c r="Z12" s="568">
        <v>48.273152953299991</v>
      </c>
      <c r="AA12" s="568">
        <v>50.44544483619849</v>
      </c>
      <c r="AB12" s="568">
        <v>52.715489853827421</v>
      </c>
      <c r="AC12" s="568">
        <v>55.087686897249654</v>
      </c>
      <c r="AD12" s="570">
        <v>57.566632807625886</v>
      </c>
      <c r="AE12" s="568">
        <v>60.157131283969051</v>
      </c>
      <c r="AF12" s="568">
        <v>62.864202191747658</v>
      </c>
      <c r="AG12" s="568">
        <v>65.693091290376302</v>
      </c>
      <c r="AH12" s="550">
        <v>68.649280398443238</v>
      </c>
    </row>
    <row r="13" spans="1:34" x14ac:dyDescent="0.25">
      <c r="A13" s="125" t="s">
        <v>3</v>
      </c>
      <c r="B13" s="128" t="s">
        <v>20</v>
      </c>
      <c r="C13" s="91" t="s">
        <v>24</v>
      </c>
      <c r="D13" s="81"/>
      <c r="E13" s="148">
        <v>1.6299999999999999E-2</v>
      </c>
      <c r="F13" s="558">
        <v>45.68</v>
      </c>
      <c r="G13" s="559">
        <v>61.33</v>
      </c>
      <c r="H13" s="438">
        <v>45.46</v>
      </c>
      <c r="I13" s="438">
        <v>42.8</v>
      </c>
      <c r="J13" s="438">
        <v>46.17</v>
      </c>
      <c r="K13" s="438">
        <v>49.97</v>
      </c>
      <c r="L13" s="559">
        <v>48.83</v>
      </c>
      <c r="M13" s="438">
        <v>50.93</v>
      </c>
      <c r="N13" s="438">
        <v>60.94</v>
      </c>
      <c r="O13" s="438">
        <v>58.46</v>
      </c>
      <c r="P13" s="438">
        <v>58.77</v>
      </c>
      <c r="Q13" s="438">
        <v>57.19</v>
      </c>
      <c r="R13" s="438">
        <v>54.41</v>
      </c>
      <c r="S13" s="438">
        <v>57.27</v>
      </c>
      <c r="T13" s="438">
        <v>60.96</v>
      </c>
      <c r="U13" s="438">
        <v>66.010000000000005</v>
      </c>
      <c r="V13" s="549">
        <v>69.430000000000007</v>
      </c>
      <c r="W13" s="569">
        <v>72.554350000000014</v>
      </c>
      <c r="X13" s="568">
        <v>75.819295750000009</v>
      </c>
      <c r="Y13" s="568">
        <v>79.231164058750011</v>
      </c>
      <c r="Z13" s="568">
        <v>82.796566441393765</v>
      </c>
      <c r="AA13" s="568">
        <v>86.522411931256485</v>
      </c>
      <c r="AB13" s="568">
        <v>90.415920468163023</v>
      </c>
      <c r="AC13" s="568">
        <v>94.484636889230359</v>
      </c>
      <c r="AD13" s="570">
        <v>98.73644554924573</v>
      </c>
      <c r="AE13" s="568">
        <v>103.17958559896179</v>
      </c>
      <c r="AF13" s="568">
        <v>107.82266695091508</v>
      </c>
      <c r="AG13" s="568">
        <v>112.67468696370625</v>
      </c>
      <c r="AH13" s="550">
        <v>117.74504787707303</v>
      </c>
    </row>
    <row r="14" spans="1:34" x14ac:dyDescent="0.25">
      <c r="A14" s="125" t="s">
        <v>11</v>
      </c>
      <c r="B14" s="128" t="s">
        <v>23</v>
      </c>
      <c r="C14" s="91" t="s">
        <v>24</v>
      </c>
      <c r="D14" s="81"/>
      <c r="E14" s="148">
        <v>3.9800000000000002E-2</v>
      </c>
      <c r="F14" s="558">
        <v>2.9</v>
      </c>
      <c r="G14" s="559">
        <v>3.13</v>
      </c>
      <c r="H14" s="438">
        <v>3.1</v>
      </c>
      <c r="I14" s="438">
        <v>3.16</v>
      </c>
      <c r="J14" s="438">
        <v>12</v>
      </c>
      <c r="K14" s="438">
        <v>12.95</v>
      </c>
      <c r="L14" s="559">
        <v>9.1300000000000008</v>
      </c>
      <c r="M14" s="438">
        <v>9.75</v>
      </c>
      <c r="N14" s="438">
        <v>17.68</v>
      </c>
      <c r="O14" s="438">
        <v>16.05</v>
      </c>
      <c r="P14" s="438">
        <v>15.9</v>
      </c>
      <c r="Q14" s="438">
        <v>16.04</v>
      </c>
      <c r="R14" s="438">
        <v>16.72</v>
      </c>
      <c r="S14" s="438">
        <v>16.79</v>
      </c>
      <c r="T14" s="438">
        <v>17.37</v>
      </c>
      <c r="U14" s="438">
        <v>17.79</v>
      </c>
      <c r="V14" s="549">
        <v>19.79</v>
      </c>
      <c r="W14" s="569">
        <v>20.68055</v>
      </c>
      <c r="X14" s="568">
        <v>21.61117475</v>
      </c>
      <c r="Y14" s="568">
        <v>22.583677613749998</v>
      </c>
      <c r="Z14" s="568">
        <v>23.599943106368748</v>
      </c>
      <c r="AA14" s="568">
        <v>24.661940546155343</v>
      </c>
      <c r="AB14" s="568">
        <v>25.771727870732335</v>
      </c>
      <c r="AC14" s="568">
        <v>26.931455624915291</v>
      </c>
      <c r="AD14" s="570">
        <v>28.143371128036478</v>
      </c>
      <c r="AE14" s="568">
        <v>29.40982282879812</v>
      </c>
      <c r="AF14" s="568">
        <v>30.733264856094035</v>
      </c>
      <c r="AG14" s="568">
        <v>32.116261774618266</v>
      </c>
      <c r="AH14" s="550">
        <v>33.561493554476087</v>
      </c>
    </row>
    <row r="15" spans="1:34" x14ac:dyDescent="0.25">
      <c r="A15" s="125" t="s">
        <v>13</v>
      </c>
      <c r="B15" s="128" t="s">
        <v>21</v>
      </c>
      <c r="C15" s="91" t="s">
        <v>24</v>
      </c>
      <c r="D15" s="81"/>
      <c r="E15" s="148">
        <v>4.7800000000000002E-2</v>
      </c>
      <c r="F15" s="558"/>
      <c r="G15" s="559"/>
      <c r="H15" s="438"/>
      <c r="I15" s="438"/>
      <c r="J15" s="438">
        <v>4.26</v>
      </c>
      <c r="K15" s="438">
        <v>6.47</v>
      </c>
      <c r="L15" s="559">
        <v>10.53</v>
      </c>
      <c r="M15" s="438">
        <v>11.67</v>
      </c>
      <c r="N15" s="438">
        <v>11.96</v>
      </c>
      <c r="O15" s="438">
        <v>13.49</v>
      </c>
      <c r="P15" s="438">
        <v>19.53</v>
      </c>
      <c r="Q15" s="438">
        <v>20.38</v>
      </c>
      <c r="R15" s="438">
        <v>21</v>
      </c>
      <c r="S15" s="438">
        <v>22.18</v>
      </c>
      <c r="T15" s="438">
        <v>22.08</v>
      </c>
      <c r="U15" s="438">
        <v>22.34</v>
      </c>
      <c r="V15" s="549">
        <v>26.26</v>
      </c>
      <c r="W15" s="569">
        <v>27.441700000000001</v>
      </c>
      <c r="X15" s="568">
        <v>28.676576499999999</v>
      </c>
      <c r="Y15" s="568">
        <v>29.967022442499999</v>
      </c>
      <c r="Z15" s="568">
        <v>31.3155384524125</v>
      </c>
      <c r="AA15" s="568">
        <v>32.724737682771064</v>
      </c>
      <c r="AB15" s="568">
        <v>34.197350878495762</v>
      </c>
      <c r="AC15" s="568">
        <v>35.736231668028068</v>
      </c>
      <c r="AD15" s="568">
        <v>37.34436209308933</v>
      </c>
      <c r="AE15" s="568">
        <v>39.02485838727835</v>
      </c>
      <c r="AF15" s="568">
        <v>40.780977014705876</v>
      </c>
      <c r="AG15" s="568">
        <v>42.61612098036764</v>
      </c>
      <c r="AH15" s="550">
        <v>44.533846424484182</v>
      </c>
    </row>
    <row r="16" spans="1:34" x14ac:dyDescent="0.25">
      <c r="A16" s="125" t="s">
        <v>7</v>
      </c>
      <c r="B16" s="128" t="s">
        <v>20</v>
      </c>
      <c r="C16" s="91" t="s">
        <v>24</v>
      </c>
      <c r="D16" s="112"/>
      <c r="E16" s="59">
        <v>2.7900000000000001E-2</v>
      </c>
      <c r="F16" s="554">
        <v>21.25</v>
      </c>
      <c r="G16" s="555">
        <v>21.51</v>
      </c>
      <c r="H16" s="555">
        <v>22.12</v>
      </c>
      <c r="I16" s="555">
        <v>31</v>
      </c>
      <c r="J16" s="555">
        <v>33.78</v>
      </c>
      <c r="K16" s="555">
        <v>32.619999999999997</v>
      </c>
      <c r="L16" s="555">
        <v>35.44</v>
      </c>
      <c r="M16" s="555">
        <v>34.159999999999997</v>
      </c>
      <c r="N16" s="555">
        <v>35.9</v>
      </c>
      <c r="O16" s="555">
        <v>34.549999999999997</v>
      </c>
      <c r="P16" s="555">
        <v>37.9</v>
      </c>
      <c r="Q16" s="555">
        <v>38.67</v>
      </c>
      <c r="R16" s="555">
        <v>38.51</v>
      </c>
      <c r="S16" s="555">
        <v>39.729999999999997</v>
      </c>
      <c r="T16" s="555">
        <v>42.19</v>
      </c>
      <c r="U16" s="555">
        <v>51.03</v>
      </c>
      <c r="V16" s="549">
        <v>51.51</v>
      </c>
      <c r="W16" s="569">
        <v>53.827950000000001</v>
      </c>
      <c r="X16" s="568">
        <v>56.250207750000001</v>
      </c>
      <c r="Y16" s="568">
        <v>58.781467098749999</v>
      </c>
      <c r="Z16" s="568">
        <v>61.426633118193749</v>
      </c>
      <c r="AA16" s="568">
        <v>64.190831608512468</v>
      </c>
      <c r="AB16" s="568">
        <v>67.079419030895522</v>
      </c>
      <c r="AC16" s="568">
        <v>70.097992887285827</v>
      </c>
      <c r="AD16" s="568">
        <v>73.252402567213693</v>
      </c>
      <c r="AE16" s="568">
        <v>76.548760682738305</v>
      </c>
      <c r="AF16" s="568">
        <v>79.993454913461534</v>
      </c>
      <c r="AG16" s="568">
        <v>83.593160384567298</v>
      </c>
      <c r="AH16" s="550">
        <v>87.354852601872821</v>
      </c>
    </row>
    <row r="17" spans="1:34" x14ac:dyDescent="0.25">
      <c r="A17" s="125" t="s">
        <v>12</v>
      </c>
      <c r="B17" s="128" t="s">
        <v>50</v>
      </c>
      <c r="C17" s="91" t="s">
        <v>24</v>
      </c>
      <c r="D17" s="81"/>
      <c r="E17" s="148">
        <v>0</v>
      </c>
      <c r="F17" s="558"/>
      <c r="G17" s="559"/>
      <c r="H17" s="438">
        <v>40.28</v>
      </c>
      <c r="I17" s="438">
        <v>51.6</v>
      </c>
      <c r="J17" s="438">
        <v>55.69</v>
      </c>
      <c r="K17" s="438">
        <v>53.41</v>
      </c>
      <c r="L17" s="438">
        <v>51.97</v>
      </c>
      <c r="M17" s="438">
        <v>52.27</v>
      </c>
      <c r="N17" s="438">
        <v>47.94</v>
      </c>
      <c r="O17" s="438">
        <v>48.55</v>
      </c>
      <c r="P17" s="438">
        <v>48.47</v>
      </c>
      <c r="Q17" s="438">
        <v>48.78</v>
      </c>
      <c r="R17" s="438">
        <v>51.14</v>
      </c>
      <c r="S17" s="438">
        <v>50.99</v>
      </c>
      <c r="T17" s="438">
        <v>50.18</v>
      </c>
      <c r="U17" s="438">
        <v>51.22</v>
      </c>
      <c r="V17" s="549">
        <v>45.17</v>
      </c>
      <c r="W17" s="569">
        <v>47.202649999999998</v>
      </c>
      <c r="X17" s="568">
        <v>49.326769249999998</v>
      </c>
      <c r="Y17" s="568">
        <v>51.546473866249997</v>
      </c>
      <c r="Z17" s="568">
        <v>53.866065190231247</v>
      </c>
      <c r="AA17" s="568">
        <v>56.290038123791653</v>
      </c>
      <c r="AB17" s="568">
        <v>58.823089839362275</v>
      </c>
      <c r="AC17" s="568">
        <v>61.470128882133579</v>
      </c>
      <c r="AD17" s="568">
        <v>64.236284681829588</v>
      </c>
      <c r="AE17" s="568">
        <v>67.126917492511922</v>
      </c>
      <c r="AF17" s="568">
        <v>70.14762877967496</v>
      </c>
      <c r="AG17" s="568">
        <v>73.304272074760334</v>
      </c>
      <c r="AH17" s="550">
        <v>76.602964318124549</v>
      </c>
    </row>
    <row r="18" spans="1:34" x14ac:dyDescent="0.25">
      <c r="A18" s="125" t="s">
        <v>9</v>
      </c>
      <c r="B18" s="128" t="s">
        <v>22</v>
      </c>
      <c r="C18" s="91" t="s">
        <v>24</v>
      </c>
      <c r="D18" s="81"/>
      <c r="E18" s="148">
        <v>2.3699999999999999E-2</v>
      </c>
      <c r="F18" s="558"/>
      <c r="G18" s="559"/>
      <c r="H18" s="438"/>
      <c r="I18" s="438"/>
      <c r="J18" s="438"/>
      <c r="K18" s="438"/>
      <c r="L18" s="559">
        <v>2.95</v>
      </c>
      <c r="M18" s="438">
        <v>3.09</v>
      </c>
      <c r="N18" s="438">
        <v>3.28</v>
      </c>
      <c r="O18" s="438">
        <v>3.12</v>
      </c>
      <c r="P18" s="438">
        <v>3.51</v>
      </c>
      <c r="Q18" s="438">
        <v>2.94</v>
      </c>
      <c r="R18" s="438">
        <v>3.41</v>
      </c>
      <c r="S18" s="438">
        <v>2.88</v>
      </c>
      <c r="T18" s="438">
        <v>4.67</v>
      </c>
      <c r="U18" s="438">
        <v>3.85</v>
      </c>
      <c r="V18" s="549">
        <v>3.97</v>
      </c>
      <c r="W18" s="569">
        <v>4.1486499999999999</v>
      </c>
      <c r="X18" s="568">
        <v>4.3353392499999996</v>
      </c>
      <c r="Y18" s="568">
        <v>4.5304295162499999</v>
      </c>
      <c r="Z18" s="568">
        <v>4.7342988444812502</v>
      </c>
      <c r="AA18" s="568">
        <v>4.9473422924829062</v>
      </c>
      <c r="AB18" s="568">
        <v>5.1699726956446366</v>
      </c>
      <c r="AC18" s="568">
        <v>5.402621466948645</v>
      </c>
      <c r="AD18" s="568">
        <v>5.6457394329613342</v>
      </c>
      <c r="AE18" s="568">
        <v>5.899797707444594</v>
      </c>
      <c r="AF18" s="568">
        <v>6.1652886042796009</v>
      </c>
      <c r="AG18" s="568">
        <v>6.4427265914721827</v>
      </c>
      <c r="AH18" s="550">
        <v>6.7326492880884308</v>
      </c>
    </row>
    <row r="19" spans="1:34" x14ac:dyDescent="0.25">
      <c r="A19" s="125" t="s">
        <v>1</v>
      </c>
      <c r="B19" s="128" t="s">
        <v>20</v>
      </c>
      <c r="C19" s="91" t="s">
        <v>24</v>
      </c>
      <c r="D19" s="81"/>
      <c r="E19" s="148">
        <v>1.17E-2</v>
      </c>
      <c r="F19" s="559">
        <v>63.14</v>
      </c>
      <c r="G19" s="467">
        <v>63.3</v>
      </c>
      <c r="H19" s="467">
        <v>40.79</v>
      </c>
      <c r="I19" s="467">
        <v>45.7</v>
      </c>
      <c r="J19" s="467">
        <v>48.12</v>
      </c>
      <c r="K19" s="467">
        <v>56.81</v>
      </c>
      <c r="L19" s="467">
        <v>54.2</v>
      </c>
      <c r="M19" s="467">
        <v>53.39</v>
      </c>
      <c r="N19" s="467">
        <v>57.88</v>
      </c>
      <c r="O19" s="467">
        <v>58.81</v>
      </c>
      <c r="P19" s="467">
        <v>62.24</v>
      </c>
      <c r="Q19" s="467">
        <v>57.84</v>
      </c>
      <c r="R19" s="467">
        <v>59.38</v>
      </c>
      <c r="S19" s="467">
        <v>60.5</v>
      </c>
      <c r="T19" s="467">
        <v>83.26</v>
      </c>
      <c r="U19" s="467">
        <v>85.28</v>
      </c>
      <c r="V19" s="467">
        <v>84.31</v>
      </c>
      <c r="W19" s="571">
        <v>88.103949999999998</v>
      </c>
      <c r="X19" s="572">
        <v>92.06862774999999</v>
      </c>
      <c r="Y19" s="572">
        <v>96.211715998749995</v>
      </c>
      <c r="Z19" s="572">
        <v>100.54124321869375</v>
      </c>
      <c r="AA19" s="572">
        <v>105.06559916353497</v>
      </c>
      <c r="AB19" s="572">
        <v>109.79355112589404</v>
      </c>
      <c r="AC19" s="572">
        <v>114.73426092655927</v>
      </c>
      <c r="AD19" s="572">
        <v>119.89730266825444</v>
      </c>
      <c r="AE19" s="572">
        <v>125.29268128832589</v>
      </c>
      <c r="AF19" s="572">
        <v>130.93085194630055</v>
      </c>
      <c r="AG19" s="572">
        <v>136.82274028388409</v>
      </c>
      <c r="AH19" s="573">
        <v>142.97976359665887</v>
      </c>
    </row>
    <row r="20" spans="1:34" x14ac:dyDescent="0.25">
      <c r="A20" s="125" t="s">
        <v>14</v>
      </c>
      <c r="B20" s="128" t="s">
        <v>50</v>
      </c>
      <c r="C20" s="91" t="s">
        <v>24</v>
      </c>
      <c r="D20" s="81"/>
      <c r="E20" s="148">
        <v>4.24E-2</v>
      </c>
      <c r="F20" s="558"/>
      <c r="G20" s="559"/>
      <c r="H20" s="438"/>
      <c r="I20" s="438"/>
      <c r="J20" s="438">
        <v>18.91</v>
      </c>
      <c r="K20" s="438">
        <v>22.12</v>
      </c>
      <c r="L20" s="438">
        <v>22.34</v>
      </c>
      <c r="M20" s="438">
        <v>25.63</v>
      </c>
      <c r="N20" s="438">
        <v>28.7</v>
      </c>
      <c r="O20" s="438">
        <v>35.520000000000003</v>
      </c>
      <c r="P20" s="438">
        <v>38.799999999999997</v>
      </c>
      <c r="Q20" s="438">
        <v>45.49</v>
      </c>
      <c r="R20" s="438">
        <v>45.59</v>
      </c>
      <c r="S20" s="438">
        <v>44.09</v>
      </c>
      <c r="T20" s="438">
        <v>46.88</v>
      </c>
      <c r="U20" s="438">
        <v>51.88</v>
      </c>
      <c r="V20" s="549">
        <v>54.84</v>
      </c>
      <c r="W20" s="569">
        <v>57.3078</v>
      </c>
      <c r="X20" s="568">
        <v>59.886651000000001</v>
      </c>
      <c r="Y20" s="568">
        <v>62.581550295</v>
      </c>
      <c r="Z20" s="568">
        <v>65.397720058274999</v>
      </c>
      <c r="AA20" s="568">
        <v>68.340617460897377</v>
      </c>
      <c r="AB20" s="568">
        <v>71.415945246637762</v>
      </c>
      <c r="AC20" s="568">
        <v>74.62966278273646</v>
      </c>
      <c r="AD20" s="568">
        <v>77.987997607959599</v>
      </c>
      <c r="AE20" s="568">
        <v>81.497457500317779</v>
      </c>
      <c r="AF20" s="568">
        <v>85.164843087832082</v>
      </c>
      <c r="AG20" s="568">
        <v>88.997261026784528</v>
      </c>
      <c r="AH20" s="550">
        <v>93.002137772989826</v>
      </c>
    </row>
    <row r="21" spans="1:34" x14ac:dyDescent="0.25">
      <c r="A21" s="125" t="s">
        <v>4</v>
      </c>
      <c r="B21" s="128" t="s">
        <v>49</v>
      </c>
      <c r="C21" s="91" t="s">
        <v>24</v>
      </c>
      <c r="D21" s="81"/>
      <c r="E21" s="148">
        <v>9.7999999999999997E-3</v>
      </c>
      <c r="F21" s="49">
        <v>105.26</v>
      </c>
      <c r="G21" s="438">
        <v>85.03</v>
      </c>
      <c r="H21" s="438">
        <v>72.78</v>
      </c>
      <c r="I21" s="438">
        <v>68.900000000000006</v>
      </c>
      <c r="J21" s="438">
        <v>98.12</v>
      </c>
      <c r="K21" s="438">
        <v>102.61</v>
      </c>
      <c r="L21" s="438">
        <v>97.13</v>
      </c>
      <c r="M21" s="438">
        <v>97.46</v>
      </c>
      <c r="N21" s="438">
        <v>97.8</v>
      </c>
      <c r="O21" s="438">
        <v>95.54</v>
      </c>
      <c r="P21" s="438">
        <v>99.4</v>
      </c>
      <c r="Q21" s="438">
        <v>99.64</v>
      </c>
      <c r="R21" s="438">
        <v>101.75</v>
      </c>
      <c r="S21" s="438">
        <v>107.84</v>
      </c>
      <c r="T21" s="438">
        <v>96.19</v>
      </c>
      <c r="U21" s="438">
        <v>99.02</v>
      </c>
      <c r="V21" s="549">
        <v>105.51</v>
      </c>
      <c r="W21" s="569">
        <v>110.25795000000001</v>
      </c>
      <c r="X21" s="568">
        <v>115.21955775000001</v>
      </c>
      <c r="Y21" s="568">
        <v>120.40443784875001</v>
      </c>
      <c r="Z21" s="568">
        <v>125.82263755194376</v>
      </c>
      <c r="AA21" s="568">
        <v>131.48465624178124</v>
      </c>
      <c r="AB21" s="568">
        <v>137.4014657726614</v>
      </c>
      <c r="AC21" s="568">
        <v>143.58453173243115</v>
      </c>
      <c r="AD21" s="568">
        <v>150.04583566039054</v>
      </c>
      <c r="AE21" s="568">
        <v>156.7978982651081</v>
      </c>
      <c r="AF21" s="568">
        <v>163.85380368703795</v>
      </c>
      <c r="AG21" s="568">
        <v>171.22722485295466</v>
      </c>
      <c r="AH21" s="550">
        <v>178.93244997133763</v>
      </c>
    </row>
    <row r="22" spans="1:34" x14ac:dyDescent="0.25">
      <c r="A22" s="125" t="s">
        <v>10</v>
      </c>
      <c r="B22" s="128" t="s">
        <v>20</v>
      </c>
      <c r="C22" s="91" t="s">
        <v>24</v>
      </c>
      <c r="D22" s="81"/>
      <c r="E22" s="148">
        <v>2.1100000000000001E-2</v>
      </c>
      <c r="F22" s="49">
        <v>42.46</v>
      </c>
      <c r="G22" s="438">
        <v>41.3</v>
      </c>
      <c r="H22" s="438">
        <v>48.22</v>
      </c>
      <c r="I22" s="438">
        <v>46.1</v>
      </c>
      <c r="J22" s="438">
        <v>57.8</v>
      </c>
      <c r="K22" s="438">
        <v>53.26</v>
      </c>
      <c r="L22" s="438">
        <v>52.9</v>
      </c>
      <c r="M22" s="438">
        <v>55.31</v>
      </c>
      <c r="N22" s="438">
        <v>56.48</v>
      </c>
      <c r="O22" s="438">
        <v>57.5</v>
      </c>
      <c r="P22" s="438">
        <v>61.15</v>
      </c>
      <c r="Q22" s="438">
        <v>62.83</v>
      </c>
      <c r="R22" s="438">
        <v>62.43</v>
      </c>
      <c r="S22" s="438">
        <v>63.87</v>
      </c>
      <c r="T22" s="438">
        <v>66.92</v>
      </c>
      <c r="U22" s="438">
        <v>68.77</v>
      </c>
      <c r="V22" s="549">
        <v>71.69</v>
      </c>
      <c r="W22" s="569">
        <v>74.916049999999998</v>
      </c>
      <c r="X22" s="568">
        <v>78.287272250000001</v>
      </c>
      <c r="Y22" s="568">
        <v>81.810199501249997</v>
      </c>
      <c r="Z22" s="568">
        <v>85.491658478806244</v>
      </c>
      <c r="AA22" s="568">
        <v>89.338783110352523</v>
      </c>
      <c r="AB22" s="568">
        <v>93.359028350318383</v>
      </c>
      <c r="AC22" s="568">
        <v>97.560184626082716</v>
      </c>
      <c r="AD22" s="568">
        <v>101.95039293425644</v>
      </c>
      <c r="AE22" s="568">
        <v>106.53816061629799</v>
      </c>
      <c r="AF22" s="568">
        <v>111.3323778440314</v>
      </c>
      <c r="AG22" s="568">
        <v>116.34233484701281</v>
      </c>
      <c r="AH22" s="550">
        <v>121.57773991512839</v>
      </c>
    </row>
    <row r="23" spans="1:34" x14ac:dyDescent="0.25">
      <c r="A23" s="125" t="s">
        <v>2</v>
      </c>
      <c r="B23" s="128" t="s">
        <v>51</v>
      </c>
      <c r="C23" s="91" t="s">
        <v>24</v>
      </c>
      <c r="D23" s="81"/>
      <c r="E23" s="148">
        <v>2.01E-2</v>
      </c>
      <c r="F23" s="556">
        <v>37.1</v>
      </c>
      <c r="G23" s="557">
        <v>29.38</v>
      </c>
      <c r="H23" s="557">
        <v>32.590000000000003</v>
      </c>
      <c r="I23" s="557">
        <v>35.299999999999997</v>
      </c>
      <c r="J23" s="557">
        <v>33.9</v>
      </c>
      <c r="K23" s="557">
        <v>36.630000000000003</v>
      </c>
      <c r="L23" s="557">
        <v>31.84</v>
      </c>
      <c r="M23" s="557">
        <v>34.04</v>
      </c>
      <c r="N23" s="438">
        <v>39.869999999999997</v>
      </c>
      <c r="O23" s="557">
        <v>39.93</v>
      </c>
      <c r="P23" s="557">
        <v>41.25</v>
      </c>
      <c r="Q23" s="557">
        <v>45.53</v>
      </c>
      <c r="R23" s="557">
        <v>45.26</v>
      </c>
      <c r="S23" s="557">
        <v>47.32</v>
      </c>
      <c r="T23" s="557">
        <v>50.76</v>
      </c>
      <c r="U23" s="557">
        <v>44.96</v>
      </c>
      <c r="V23" s="549">
        <v>46.15</v>
      </c>
      <c r="W23" s="54">
        <v>48.226749999999996</v>
      </c>
      <c r="X23" s="568">
        <v>50.396953749999994</v>
      </c>
      <c r="Y23" s="568">
        <v>52.664816668749992</v>
      </c>
      <c r="Z23" s="568">
        <v>55.034733418843743</v>
      </c>
      <c r="AA23" s="568">
        <v>57.511296422691714</v>
      </c>
      <c r="AB23" s="568">
        <v>60.099304761712844</v>
      </c>
      <c r="AC23" s="568">
        <v>62.803773475989921</v>
      </c>
      <c r="AD23" s="568">
        <v>65.629943282409471</v>
      </c>
      <c r="AE23" s="568">
        <v>68.583290730117895</v>
      </c>
      <c r="AF23" s="568">
        <v>71.669538812973201</v>
      </c>
      <c r="AG23" s="568">
        <v>74.894668059556992</v>
      </c>
      <c r="AH23" s="550">
        <v>78.264928122237052</v>
      </c>
    </row>
    <row r="24" spans="1:34" x14ac:dyDescent="0.25">
      <c r="A24" s="125" t="s">
        <v>5</v>
      </c>
      <c r="B24" s="128" t="s">
        <v>20</v>
      </c>
      <c r="C24" s="91" t="s">
        <v>24</v>
      </c>
      <c r="D24" s="81"/>
      <c r="E24" s="148">
        <v>1.7299999999999999E-2</v>
      </c>
      <c r="F24" s="556">
        <v>47.33</v>
      </c>
      <c r="G24" s="557">
        <v>46.8</v>
      </c>
      <c r="H24" s="557">
        <v>54.47</v>
      </c>
      <c r="I24" s="557">
        <v>55.3</v>
      </c>
      <c r="J24" s="557">
        <v>54.4</v>
      </c>
      <c r="K24" s="557">
        <v>57.89</v>
      </c>
      <c r="L24" s="557">
        <v>56.58</v>
      </c>
      <c r="M24" s="557">
        <v>55.15</v>
      </c>
      <c r="N24" s="438">
        <v>55.4</v>
      </c>
      <c r="O24" s="557">
        <v>56.64</v>
      </c>
      <c r="P24" s="557">
        <v>61.29</v>
      </c>
      <c r="Q24" s="557">
        <v>59.69</v>
      </c>
      <c r="R24" s="557">
        <v>59.2</v>
      </c>
      <c r="S24" s="557">
        <v>66.400000000000006</v>
      </c>
      <c r="T24" s="557">
        <v>71.08</v>
      </c>
      <c r="U24" s="557">
        <v>68.010000000000005</v>
      </c>
      <c r="V24" s="549">
        <v>73.099999999999994</v>
      </c>
      <c r="W24" s="54">
        <v>76.389499999999998</v>
      </c>
      <c r="X24" s="568">
        <v>79.8270275</v>
      </c>
      <c r="Y24" s="568">
        <v>83.419243737499997</v>
      </c>
      <c r="Z24" s="568">
        <v>87.173109705687494</v>
      </c>
      <c r="AA24" s="568">
        <v>91.095899642443428</v>
      </c>
      <c r="AB24" s="568">
        <v>95.195215126353375</v>
      </c>
      <c r="AC24" s="568">
        <v>99.478999807039273</v>
      </c>
      <c r="AD24" s="568">
        <v>103.95555479835605</v>
      </c>
      <c r="AE24" s="568">
        <v>108.63355476428207</v>
      </c>
      <c r="AF24" s="568">
        <v>113.52206472867476</v>
      </c>
      <c r="AG24" s="568">
        <v>118.63055764146513</v>
      </c>
      <c r="AH24" s="550">
        <v>123.96893273533107</v>
      </c>
    </row>
    <row r="25" spans="1:34" x14ac:dyDescent="0.25">
      <c r="A25" s="125" t="s">
        <v>32</v>
      </c>
      <c r="B25" s="128" t="s">
        <v>50</v>
      </c>
      <c r="C25" s="91" t="s">
        <v>24</v>
      </c>
      <c r="D25" s="81"/>
      <c r="E25" s="148"/>
      <c r="F25" s="558"/>
      <c r="G25" s="559"/>
      <c r="H25" s="438"/>
      <c r="I25" s="438"/>
      <c r="J25" s="438"/>
      <c r="K25" s="438"/>
      <c r="L25" s="438"/>
      <c r="M25" s="438"/>
      <c r="N25" s="438"/>
      <c r="O25" s="438"/>
      <c r="P25" s="438"/>
      <c r="Q25" s="438"/>
      <c r="R25" s="438"/>
      <c r="S25" s="438">
        <v>36.03</v>
      </c>
      <c r="T25" s="438">
        <v>35.24</v>
      </c>
      <c r="U25" s="438">
        <v>32.93</v>
      </c>
      <c r="V25" s="549">
        <v>33.86</v>
      </c>
      <c r="W25" s="54">
        <v>35.383699999999997</v>
      </c>
      <c r="X25" s="568">
        <v>36.975966499999998</v>
      </c>
      <c r="Y25" s="568">
        <v>38.639884992500001</v>
      </c>
      <c r="Z25" s="568">
        <v>40.378679817162499</v>
      </c>
      <c r="AA25" s="568">
        <v>42.195720408934811</v>
      </c>
      <c r="AB25" s="568">
        <v>44.094527827336876</v>
      </c>
      <c r="AC25" s="568">
        <v>46.078781579567035</v>
      </c>
      <c r="AD25" s="568">
        <v>48.152326750647553</v>
      </c>
      <c r="AE25" s="568">
        <v>50.31918145442669</v>
      </c>
      <c r="AF25" s="568">
        <v>52.583544619875894</v>
      </c>
      <c r="AG25" s="568">
        <v>54.949804127770307</v>
      </c>
      <c r="AH25" s="550">
        <v>57.422545313519969</v>
      </c>
    </row>
    <row r="26" spans="1:34" x14ac:dyDescent="0.25">
      <c r="A26" s="125" t="s">
        <v>6</v>
      </c>
      <c r="B26" s="128" t="s">
        <v>22</v>
      </c>
      <c r="C26" s="91" t="s">
        <v>24</v>
      </c>
      <c r="D26" s="81"/>
      <c r="E26" s="148">
        <v>6.4000000000000003E-3</v>
      </c>
      <c r="F26" s="49">
        <v>2.11</v>
      </c>
      <c r="G26" s="438">
        <v>2.25</v>
      </c>
      <c r="H26" s="438">
        <v>2.34</v>
      </c>
      <c r="I26" s="438">
        <v>2.9</v>
      </c>
      <c r="J26" s="438">
        <v>2.93</v>
      </c>
      <c r="K26" s="438">
        <v>2.67</v>
      </c>
      <c r="L26" s="438">
        <v>2.0699999999999998</v>
      </c>
      <c r="M26" s="438">
        <v>2.0299999999999998</v>
      </c>
      <c r="N26" s="438">
        <v>2.29</v>
      </c>
      <c r="O26" s="438">
        <v>2.36</v>
      </c>
      <c r="P26" s="438">
        <v>1.27</v>
      </c>
      <c r="Q26" s="438">
        <v>2.54</v>
      </c>
      <c r="R26" s="438">
        <v>2.52</v>
      </c>
      <c r="S26" s="438">
        <v>1.75</v>
      </c>
      <c r="T26" s="438">
        <v>3.59</v>
      </c>
      <c r="U26" s="438">
        <v>2.64</v>
      </c>
      <c r="V26" s="549">
        <v>2.81</v>
      </c>
      <c r="W26" s="54">
        <v>2.9364500000000002</v>
      </c>
      <c r="X26" s="568">
        <v>3.0685902500000002</v>
      </c>
      <c r="Y26" s="568">
        <v>3.2066768112500004</v>
      </c>
      <c r="Z26" s="568">
        <v>3.3509772677562504</v>
      </c>
      <c r="AA26" s="568">
        <v>3.5017712448052816</v>
      </c>
      <c r="AB26" s="568">
        <v>3.6593509508215192</v>
      </c>
      <c r="AC26" s="568">
        <v>3.8240217436084873</v>
      </c>
      <c r="AD26" s="568">
        <v>3.9961027220708694</v>
      </c>
      <c r="AE26" s="568">
        <v>4.1759273445640588</v>
      </c>
      <c r="AF26" s="568">
        <v>4.3638440750694416</v>
      </c>
      <c r="AG26" s="568">
        <v>4.5602170584475665</v>
      </c>
      <c r="AH26" s="550">
        <v>4.7654268260777073</v>
      </c>
    </row>
    <row r="27" spans="1:34" x14ac:dyDescent="0.25">
      <c r="A27" s="126" t="s">
        <v>17</v>
      </c>
      <c r="B27" s="129" t="s">
        <v>22</v>
      </c>
      <c r="C27" s="130" t="s">
        <v>24</v>
      </c>
      <c r="D27" s="82"/>
      <c r="E27" s="149">
        <v>2.6100000000000002E-2</v>
      </c>
      <c r="F27" s="560"/>
      <c r="G27" s="561"/>
      <c r="H27" s="562"/>
      <c r="I27" s="562"/>
      <c r="J27" s="562"/>
      <c r="K27" s="562"/>
      <c r="L27" s="562">
        <v>5.55</v>
      </c>
      <c r="M27" s="562">
        <v>5.96</v>
      </c>
      <c r="N27" s="562">
        <v>7.74</v>
      </c>
      <c r="O27" s="562">
        <v>7.02</v>
      </c>
      <c r="P27" s="562">
        <v>7.89</v>
      </c>
      <c r="Q27" s="562">
        <v>8.49</v>
      </c>
      <c r="R27" s="562">
        <v>7.96</v>
      </c>
      <c r="S27" s="562">
        <v>8.4700000000000006</v>
      </c>
      <c r="T27" s="562">
        <v>9.06</v>
      </c>
      <c r="U27" s="562">
        <v>7.99</v>
      </c>
      <c r="V27" s="563">
        <v>8.75</v>
      </c>
      <c r="W27" s="574">
        <v>9.1437500000000007</v>
      </c>
      <c r="X27" s="575">
        <v>9.5552187499999999</v>
      </c>
      <c r="Y27" s="575">
        <v>9.9852035937500006</v>
      </c>
      <c r="Z27" s="575">
        <v>10.434537755468751</v>
      </c>
      <c r="AA27" s="575">
        <v>10.904091954464844</v>
      </c>
      <c r="AB27" s="575">
        <v>11.394776092415762</v>
      </c>
      <c r="AC27" s="575">
        <v>11.907541016574472</v>
      </c>
      <c r="AD27" s="575">
        <v>12.443380362320323</v>
      </c>
      <c r="AE27" s="575">
        <v>13.003332478624737</v>
      </c>
      <c r="AF27" s="575">
        <v>13.588482440162849</v>
      </c>
      <c r="AG27" s="575">
        <v>14.199964149970178</v>
      </c>
      <c r="AH27" s="576">
        <v>14.838962536718835</v>
      </c>
    </row>
    <row r="28" spans="1:34" x14ac:dyDescent="0.25">
      <c r="A28" s="75"/>
      <c r="B28" s="121"/>
      <c r="C28" s="122"/>
      <c r="D28" s="75"/>
      <c r="E28" s="164">
        <f>AVERAGE(E10:E27)</f>
        <v>2.53E-2</v>
      </c>
      <c r="F28" s="75"/>
      <c r="G28" s="75"/>
      <c r="H28" s="75"/>
      <c r="I28" s="75"/>
      <c r="J28" s="75"/>
      <c r="K28" s="75"/>
      <c r="L28" s="75"/>
      <c r="M28" s="75"/>
      <c r="N28" s="123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</row>
    <row r="29" spans="1:34" x14ac:dyDescent="0.25">
      <c r="A29" s="75"/>
      <c r="B29" s="121"/>
      <c r="C29" s="122"/>
      <c r="D29" s="75"/>
      <c r="E29" s="164">
        <f>SUM(E10:E27)/17</f>
        <v>2.53E-2</v>
      </c>
      <c r="F29" s="75"/>
      <c r="G29" s="75"/>
      <c r="H29" s="75"/>
      <c r="I29" s="75"/>
      <c r="J29" s="75"/>
      <c r="K29" s="75"/>
      <c r="L29" s="75"/>
      <c r="M29" s="75"/>
      <c r="N29" s="123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</row>
    <row r="30" spans="1:34" x14ac:dyDescent="0.25">
      <c r="A30" s="75"/>
      <c r="B30" s="121"/>
      <c r="C30" s="122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123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</row>
    <row r="31" spans="1:34" x14ac:dyDescent="0.25">
      <c r="A31" s="124" t="s">
        <v>30</v>
      </c>
      <c r="B31" s="121"/>
      <c r="C31" s="122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123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</row>
    <row r="32" spans="1:34" x14ac:dyDescent="0.25">
      <c r="A32" s="124" t="s">
        <v>31</v>
      </c>
      <c r="B32" s="121"/>
      <c r="C32" s="122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123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</row>
    <row r="33" spans="1:11" x14ac:dyDescent="0.25">
      <c r="A33" s="75"/>
      <c r="B33" s="121"/>
      <c r="C33" s="122"/>
      <c r="D33" s="75"/>
      <c r="E33" s="75"/>
    </row>
    <row r="34" spans="1:11" x14ac:dyDescent="0.25">
      <c r="I34" s="9"/>
      <c r="K34" s="9"/>
    </row>
    <row r="35" spans="1:11" x14ac:dyDescent="0.25">
      <c r="I35" s="9"/>
      <c r="K35" s="9"/>
    </row>
    <row r="36" spans="1:11" x14ac:dyDescent="0.25">
      <c r="A36" s="1030" t="s">
        <v>88</v>
      </c>
      <c r="B36" s="1030" t="s">
        <v>87</v>
      </c>
      <c r="C36" s="1030" t="s">
        <v>18</v>
      </c>
      <c r="D36" s="1030" t="s">
        <v>19</v>
      </c>
      <c r="E36" s="1030" t="s">
        <v>100</v>
      </c>
      <c r="I36" s="9"/>
      <c r="K36" s="9"/>
    </row>
    <row r="37" spans="1:11" x14ac:dyDescent="0.25">
      <c r="A37" s="1031"/>
      <c r="B37" s="1031"/>
      <c r="C37" s="1031"/>
      <c r="D37" s="1031"/>
      <c r="E37" s="1031"/>
      <c r="I37" s="9"/>
      <c r="K37" s="9"/>
    </row>
    <row r="38" spans="1:11" x14ac:dyDescent="0.25">
      <c r="A38" s="1032"/>
      <c r="B38" s="1032"/>
      <c r="C38" s="1032"/>
      <c r="D38" s="1033"/>
      <c r="E38" s="1032"/>
      <c r="I38" s="9"/>
      <c r="K38" s="9"/>
    </row>
    <row r="39" spans="1:11" x14ac:dyDescent="0.25">
      <c r="A39" s="80"/>
      <c r="B39" s="127"/>
      <c r="C39" s="90"/>
      <c r="D39" s="85"/>
      <c r="E39" s="165"/>
      <c r="I39" s="9"/>
      <c r="K39" s="9"/>
    </row>
    <row r="40" spans="1:11" x14ac:dyDescent="0.25">
      <c r="A40" s="159" t="s">
        <v>13</v>
      </c>
      <c r="B40" s="160" t="s">
        <v>21</v>
      </c>
      <c r="C40" s="161" t="s">
        <v>24</v>
      </c>
      <c r="D40" s="162"/>
      <c r="E40" s="166">
        <v>4.7800000000000002E-2</v>
      </c>
      <c r="I40" s="9"/>
      <c r="K40" s="9"/>
    </row>
    <row r="41" spans="1:11" x14ac:dyDescent="0.25">
      <c r="A41" s="159" t="s">
        <v>16</v>
      </c>
      <c r="B41" s="160" t="s">
        <v>97</v>
      </c>
      <c r="C41" s="161" t="s">
        <v>25</v>
      </c>
      <c r="D41" s="163"/>
      <c r="E41" s="167">
        <v>4.3099999999999999E-2</v>
      </c>
      <c r="I41" s="9"/>
      <c r="K41" s="9"/>
    </row>
    <row r="42" spans="1:11" x14ac:dyDescent="0.25">
      <c r="A42" s="159" t="s">
        <v>14</v>
      </c>
      <c r="B42" s="160" t="s">
        <v>50</v>
      </c>
      <c r="C42" s="161" t="s">
        <v>24</v>
      </c>
      <c r="D42" s="162"/>
      <c r="E42" s="166">
        <v>4.24E-2</v>
      </c>
    </row>
    <row r="43" spans="1:11" x14ac:dyDescent="0.25">
      <c r="A43" s="159" t="s">
        <v>15</v>
      </c>
      <c r="B43" s="160" t="s">
        <v>21</v>
      </c>
      <c r="C43" s="161" t="s">
        <v>24</v>
      </c>
      <c r="D43" s="163"/>
      <c r="E43" s="167">
        <v>4.1599999999999998E-2</v>
      </c>
    </row>
    <row r="44" spans="1:11" x14ac:dyDescent="0.25">
      <c r="A44" s="150" t="s">
        <v>11</v>
      </c>
      <c r="B44" s="151" t="s">
        <v>23</v>
      </c>
      <c r="C44" s="92" t="s">
        <v>24</v>
      </c>
      <c r="D44" s="152"/>
      <c r="E44" s="168">
        <v>3.9800000000000002E-2</v>
      </c>
    </row>
    <row r="45" spans="1:11" x14ac:dyDescent="0.25">
      <c r="A45" s="150" t="s">
        <v>8</v>
      </c>
      <c r="B45" s="151" t="s">
        <v>20</v>
      </c>
      <c r="C45" s="92" t="s">
        <v>24</v>
      </c>
      <c r="D45" s="153"/>
      <c r="E45" s="169">
        <v>3.5000000000000003E-2</v>
      </c>
    </row>
    <row r="46" spans="1:11" x14ac:dyDescent="0.25">
      <c r="A46" s="154" t="s">
        <v>7</v>
      </c>
      <c r="B46" s="155" t="s">
        <v>20</v>
      </c>
      <c r="C46" s="156" t="s">
        <v>24</v>
      </c>
      <c r="D46" s="158"/>
      <c r="E46" s="170">
        <v>2.7900000000000001E-2</v>
      </c>
    </row>
    <row r="47" spans="1:11" x14ac:dyDescent="0.25">
      <c r="A47" s="154" t="s">
        <v>17</v>
      </c>
      <c r="B47" s="155" t="s">
        <v>22</v>
      </c>
      <c r="C47" s="156" t="s">
        <v>24</v>
      </c>
      <c r="D47" s="157"/>
      <c r="E47" s="171">
        <v>2.6100000000000002E-2</v>
      </c>
    </row>
    <row r="48" spans="1:11" x14ac:dyDescent="0.25">
      <c r="A48" s="154" t="s">
        <v>9</v>
      </c>
      <c r="B48" s="155" t="s">
        <v>22</v>
      </c>
      <c r="C48" s="156" t="s">
        <v>24</v>
      </c>
      <c r="D48" s="157"/>
      <c r="E48" s="171">
        <v>2.3699999999999999E-2</v>
      </c>
    </row>
    <row r="49" spans="1:5" x14ac:dyDescent="0.25">
      <c r="A49" s="154" t="s">
        <v>10</v>
      </c>
      <c r="B49" s="155" t="s">
        <v>20</v>
      </c>
      <c r="C49" s="156" t="s">
        <v>24</v>
      </c>
      <c r="D49" s="157"/>
      <c r="E49" s="171">
        <v>2.1100000000000001E-2</v>
      </c>
    </row>
    <row r="50" spans="1:5" x14ac:dyDescent="0.25">
      <c r="A50" s="154" t="s">
        <v>2</v>
      </c>
      <c r="B50" s="155" t="s">
        <v>51</v>
      </c>
      <c r="C50" s="156" t="s">
        <v>24</v>
      </c>
      <c r="D50" s="157"/>
      <c r="E50" s="171">
        <v>2.01E-2</v>
      </c>
    </row>
    <row r="51" spans="1:5" x14ac:dyDescent="0.25">
      <c r="A51" s="125" t="s">
        <v>5</v>
      </c>
      <c r="B51" s="128" t="s">
        <v>20</v>
      </c>
      <c r="C51" s="91" t="s">
        <v>24</v>
      </c>
      <c r="D51" s="81"/>
      <c r="E51" s="172">
        <v>1.7299999999999999E-2</v>
      </c>
    </row>
    <row r="52" spans="1:5" x14ac:dyDescent="0.25">
      <c r="A52" s="125" t="s">
        <v>3</v>
      </c>
      <c r="B52" s="128" t="s">
        <v>20</v>
      </c>
      <c r="C52" s="91" t="s">
        <v>24</v>
      </c>
      <c r="D52" s="81"/>
      <c r="E52" s="172">
        <v>1.6299999999999999E-2</v>
      </c>
    </row>
    <row r="53" spans="1:5" x14ac:dyDescent="0.25">
      <c r="A53" s="125" t="s">
        <v>1</v>
      </c>
      <c r="B53" s="128" t="s">
        <v>20</v>
      </c>
      <c r="C53" s="91" t="s">
        <v>24</v>
      </c>
      <c r="D53" s="81"/>
      <c r="E53" s="172">
        <v>1.17E-2</v>
      </c>
    </row>
    <row r="54" spans="1:5" x14ac:dyDescent="0.25">
      <c r="A54" s="125" t="s">
        <v>4</v>
      </c>
      <c r="B54" s="128" t="s">
        <v>49</v>
      </c>
      <c r="C54" s="91" t="s">
        <v>24</v>
      </c>
      <c r="D54" s="81"/>
      <c r="E54" s="172">
        <v>9.7999999999999997E-3</v>
      </c>
    </row>
    <row r="55" spans="1:5" x14ac:dyDescent="0.25">
      <c r="A55" s="125" t="s">
        <v>6</v>
      </c>
      <c r="B55" s="128" t="s">
        <v>22</v>
      </c>
      <c r="C55" s="91" t="s">
        <v>24</v>
      </c>
      <c r="D55" s="81"/>
      <c r="E55" s="172">
        <v>6.4000000000000003E-3</v>
      </c>
    </row>
    <row r="56" spans="1:5" x14ac:dyDescent="0.25">
      <c r="A56" s="125" t="s">
        <v>12</v>
      </c>
      <c r="B56" s="128" t="s">
        <v>50</v>
      </c>
      <c r="C56" s="91" t="s">
        <v>24</v>
      </c>
      <c r="D56" s="81"/>
      <c r="E56" s="172">
        <v>0</v>
      </c>
    </row>
    <row r="57" spans="1:5" x14ac:dyDescent="0.25">
      <c r="A57" s="126" t="s">
        <v>32</v>
      </c>
      <c r="B57" s="129" t="s">
        <v>50</v>
      </c>
      <c r="C57" s="130" t="s">
        <v>24</v>
      </c>
      <c r="D57" s="82"/>
      <c r="E57" s="173"/>
    </row>
  </sheetData>
  <sortState ref="A40:E57">
    <sortCondition descending="1" ref="E40:E57"/>
  </sortState>
  <mergeCells count="13">
    <mergeCell ref="W7:AH7"/>
    <mergeCell ref="F6:AH6"/>
    <mergeCell ref="A6:A8"/>
    <mergeCell ref="B6:B8"/>
    <mergeCell ref="C6:C8"/>
    <mergeCell ref="D6:D8"/>
    <mergeCell ref="F7:V7"/>
    <mergeCell ref="E6:E8"/>
    <mergeCell ref="A36:A38"/>
    <mergeCell ref="B36:B38"/>
    <mergeCell ref="C36:C38"/>
    <mergeCell ref="D36:D38"/>
    <mergeCell ref="E36:E38"/>
  </mergeCells>
  <printOptions horizontalCentered="1" verticalCentered="1" gridLines="1"/>
  <pageMargins left="0" right="0" top="0.39370078740157483" bottom="0.39370078740157483" header="0.11811023622047245" footer="0.70866141732283472"/>
  <pageSetup paperSize="9" scale="75" orientation="landscape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FF00"/>
  </sheetPr>
  <dimension ref="A2:X134"/>
  <sheetViews>
    <sheetView topLeftCell="A97" workbookViewId="0">
      <selection activeCell="J7" sqref="J7"/>
    </sheetView>
  </sheetViews>
  <sheetFormatPr baseColWidth="10" defaultRowHeight="15" x14ac:dyDescent="0.25"/>
  <cols>
    <col min="1" max="2" width="5.7109375" customWidth="1"/>
    <col min="3" max="3" width="7.7109375" customWidth="1"/>
    <col min="4" max="5" width="10.7109375" customWidth="1"/>
    <col min="6" max="6" width="11.7109375" customWidth="1"/>
    <col min="7" max="9" width="12.7109375" customWidth="1"/>
    <col min="10" max="11" width="10.7109375" customWidth="1"/>
    <col min="14" max="14" width="12.85546875" customWidth="1"/>
  </cols>
  <sheetData>
    <row r="2" spans="2:16" ht="15.75" thickBot="1" x14ac:dyDescent="0.3"/>
    <row r="3" spans="2:16" ht="15.95" customHeight="1" x14ac:dyDescent="0.25">
      <c r="B3" s="1112" t="s">
        <v>222</v>
      </c>
      <c r="C3" s="1113"/>
      <c r="D3" s="1113"/>
      <c r="E3" s="1113"/>
      <c r="F3" s="1113"/>
      <c r="G3" s="1113"/>
      <c r="H3" s="1113"/>
      <c r="I3" s="1113"/>
      <c r="J3" s="1113"/>
      <c r="K3" s="1114"/>
      <c r="L3" s="72"/>
    </row>
    <row r="4" spans="2:16" ht="15.95" customHeight="1" x14ac:dyDescent="0.25">
      <c r="B4" s="1295" t="s">
        <v>223</v>
      </c>
      <c r="C4" s="1296"/>
      <c r="D4" s="1296"/>
      <c r="E4" s="1296"/>
      <c r="F4" s="1296"/>
      <c r="G4" s="1296"/>
      <c r="H4" s="1296"/>
      <c r="I4" s="1296"/>
      <c r="J4" s="1296"/>
      <c r="K4" s="1297"/>
      <c r="L4" s="43"/>
    </row>
    <row r="5" spans="2:16" ht="15.95" customHeight="1" x14ac:dyDescent="0.25">
      <c r="B5" s="1194" t="s">
        <v>124</v>
      </c>
      <c r="C5" s="1195" t="s">
        <v>26</v>
      </c>
      <c r="D5" s="1034" t="s">
        <v>110</v>
      </c>
      <c r="E5" s="1035"/>
      <c r="F5" s="1036"/>
      <c r="G5" s="1197" t="s">
        <v>75</v>
      </c>
      <c r="H5" s="1198"/>
      <c r="I5" s="1199"/>
      <c r="J5" s="1030" t="s">
        <v>105</v>
      </c>
      <c r="K5" s="1200" t="s">
        <v>112</v>
      </c>
      <c r="L5" s="43"/>
    </row>
    <row r="6" spans="2:16" s="10" customFormat="1" ht="39.950000000000003" customHeight="1" x14ac:dyDescent="0.25">
      <c r="B6" s="1119"/>
      <c r="C6" s="1196"/>
      <c r="D6" s="307" t="s">
        <v>118</v>
      </c>
      <c r="E6" s="307" t="s">
        <v>116</v>
      </c>
      <c r="F6" s="307" t="s">
        <v>81</v>
      </c>
      <c r="G6" s="306" t="s">
        <v>242</v>
      </c>
      <c r="H6" s="38" t="s">
        <v>232</v>
      </c>
      <c r="I6" s="306" t="s">
        <v>130</v>
      </c>
      <c r="J6" s="1031"/>
      <c r="K6" s="1123"/>
      <c r="L6" s="200" t="s">
        <v>206</v>
      </c>
      <c r="N6" s="85" t="s">
        <v>73</v>
      </c>
      <c r="O6" s="38" t="s">
        <v>240</v>
      </c>
    </row>
    <row r="7" spans="2:16" x14ac:dyDescent="0.25">
      <c r="B7" s="329"/>
      <c r="C7" s="343">
        <v>1997</v>
      </c>
      <c r="D7" s="344">
        <v>2.9</v>
      </c>
      <c r="E7" s="99">
        <f>D7/L26</f>
        <v>2.9391357225830093</v>
      </c>
      <c r="F7" s="345"/>
      <c r="G7" s="88"/>
      <c r="H7" s="88"/>
      <c r="I7" s="88"/>
      <c r="J7" s="131">
        <v>20</v>
      </c>
      <c r="K7" s="178">
        <f>J7-10</f>
        <v>10</v>
      </c>
      <c r="L7" s="261"/>
      <c r="M7" s="75"/>
      <c r="N7" s="50"/>
      <c r="O7" s="50"/>
      <c r="P7" s="75"/>
    </row>
    <row r="8" spans="2:16" x14ac:dyDescent="0.25">
      <c r="B8" s="201"/>
      <c r="C8" s="41">
        <v>1998</v>
      </c>
      <c r="D8" s="118">
        <v>3.13</v>
      </c>
      <c r="E8" s="100">
        <f>D8/L26</f>
        <v>3.1722395902361442</v>
      </c>
      <c r="F8" s="346">
        <f>(E8-E7)/E7</f>
        <v>7.9310344827586116E-2</v>
      </c>
      <c r="G8" s="42"/>
      <c r="H8" s="42"/>
      <c r="I8" s="42"/>
      <c r="J8" s="119">
        <v>20</v>
      </c>
      <c r="K8" s="179">
        <f t="shared" ref="K8:K35" si="0">J8-10</f>
        <v>10</v>
      </c>
      <c r="L8" s="261"/>
      <c r="M8" s="75"/>
      <c r="N8" s="50"/>
      <c r="O8" s="50"/>
      <c r="P8" s="75"/>
    </row>
    <row r="9" spans="2:16" x14ac:dyDescent="0.25">
      <c r="B9" s="201"/>
      <c r="C9" s="41">
        <v>1999</v>
      </c>
      <c r="D9" s="118">
        <v>3.1</v>
      </c>
      <c r="E9" s="100">
        <f>D9/L26</f>
        <v>3.1418347379335616</v>
      </c>
      <c r="F9" s="346">
        <f t="shared" ref="F9:F25" si="1">(E9-E8)/E8</f>
        <v>-9.5846645367411373E-3</v>
      </c>
      <c r="G9" s="42"/>
      <c r="H9" s="42"/>
      <c r="I9" s="42"/>
      <c r="J9" s="119">
        <v>20</v>
      </c>
      <c r="K9" s="179">
        <f t="shared" si="0"/>
        <v>10</v>
      </c>
      <c r="L9" s="261"/>
      <c r="M9" s="75"/>
      <c r="N9" s="50"/>
      <c r="O9" s="50"/>
      <c r="P9" s="75"/>
    </row>
    <row r="10" spans="2:16" x14ac:dyDescent="0.25">
      <c r="B10" s="201"/>
      <c r="C10" s="41">
        <v>2000</v>
      </c>
      <c r="D10" s="118">
        <v>3.16</v>
      </c>
      <c r="E10" s="100">
        <f>D10/L26</f>
        <v>3.2026444425387273</v>
      </c>
      <c r="F10" s="346">
        <f t="shared" si="1"/>
        <v>1.9354838709677403E-2</v>
      </c>
      <c r="G10" s="42"/>
      <c r="H10" s="42"/>
      <c r="I10" s="42"/>
      <c r="J10" s="119">
        <v>20</v>
      </c>
      <c r="K10" s="179">
        <f t="shared" si="0"/>
        <v>10</v>
      </c>
      <c r="L10" s="261"/>
      <c r="M10" s="75"/>
      <c r="N10" s="50"/>
      <c r="O10" s="50"/>
      <c r="P10" s="75"/>
    </row>
    <row r="11" spans="2:16" x14ac:dyDescent="0.25">
      <c r="B11" s="201"/>
      <c r="C11" s="41">
        <v>2001</v>
      </c>
      <c r="D11" s="118">
        <v>12</v>
      </c>
      <c r="E11" s="100">
        <f>D11/L26</f>
        <v>12.161940921033141</v>
      </c>
      <c r="F11" s="346">
        <f t="shared" si="1"/>
        <v>2.7974683544303796</v>
      </c>
      <c r="G11" s="42"/>
      <c r="H11" s="42"/>
      <c r="I11" s="42"/>
      <c r="J11" s="119">
        <v>20</v>
      </c>
      <c r="K11" s="179">
        <f t="shared" si="0"/>
        <v>10</v>
      </c>
      <c r="L11" s="261"/>
      <c r="M11" s="75"/>
      <c r="N11" s="50"/>
      <c r="O11" s="50"/>
      <c r="P11" s="75"/>
    </row>
    <row r="12" spans="2:16" x14ac:dyDescent="0.25">
      <c r="B12" s="201"/>
      <c r="C12" s="41">
        <v>2002</v>
      </c>
      <c r="D12" s="118">
        <v>12.95</v>
      </c>
      <c r="E12" s="100">
        <f>D12/L26</f>
        <v>13.124761243948264</v>
      </c>
      <c r="F12" s="346">
        <f t="shared" si="1"/>
        <v>7.9166666666666607E-2</v>
      </c>
      <c r="G12" s="42"/>
      <c r="H12" s="42"/>
      <c r="I12" s="42"/>
      <c r="J12" s="119">
        <v>20</v>
      </c>
      <c r="K12" s="179">
        <f t="shared" si="0"/>
        <v>10</v>
      </c>
      <c r="L12" s="261"/>
      <c r="M12" s="75"/>
      <c r="N12" s="50"/>
      <c r="O12" s="50"/>
      <c r="P12" s="75"/>
    </row>
    <row r="13" spans="2:16" x14ac:dyDescent="0.25">
      <c r="B13" s="201">
        <v>5</v>
      </c>
      <c r="C13" s="41">
        <v>2003</v>
      </c>
      <c r="D13" s="118">
        <v>9.1300000000000008</v>
      </c>
      <c r="E13" s="100">
        <v>9.2200000000000006</v>
      </c>
      <c r="F13" s="346">
        <f t="shared" si="1"/>
        <v>-0.29751103059103046</v>
      </c>
      <c r="G13" s="42"/>
      <c r="H13" s="42"/>
      <c r="I13" s="42"/>
      <c r="J13" s="119">
        <v>20</v>
      </c>
      <c r="K13" s="179">
        <f t="shared" si="0"/>
        <v>10</v>
      </c>
      <c r="L13" s="261">
        <v>0.99</v>
      </c>
      <c r="M13" s="75"/>
      <c r="N13" s="50"/>
      <c r="O13" s="50"/>
      <c r="P13" s="75"/>
    </row>
    <row r="14" spans="2:16" x14ac:dyDescent="0.25">
      <c r="B14" s="201">
        <v>6</v>
      </c>
      <c r="C14" s="41">
        <v>2004</v>
      </c>
      <c r="D14" s="118">
        <v>9.75</v>
      </c>
      <c r="E14" s="100">
        <v>9.93</v>
      </c>
      <c r="F14" s="346">
        <f t="shared" si="1"/>
        <v>7.7006507592190784E-2</v>
      </c>
      <c r="G14" s="42"/>
      <c r="H14" s="42"/>
      <c r="I14" s="42"/>
      <c r="J14" s="119">
        <v>20</v>
      </c>
      <c r="K14" s="179">
        <f t="shared" si="0"/>
        <v>10</v>
      </c>
      <c r="L14" s="261">
        <v>0.98180000000000001</v>
      </c>
      <c r="M14" s="75"/>
      <c r="N14" s="50"/>
      <c r="O14" s="50"/>
      <c r="P14" s="75"/>
    </row>
    <row r="15" spans="2:16" x14ac:dyDescent="0.25">
      <c r="B15" s="201">
        <v>6</v>
      </c>
      <c r="C15" s="41">
        <v>2005</v>
      </c>
      <c r="D15" s="119">
        <v>17.68</v>
      </c>
      <c r="E15" s="62">
        <v>17.95</v>
      </c>
      <c r="F15" s="346">
        <f t="shared" si="1"/>
        <v>0.80765357502517621</v>
      </c>
      <c r="G15" s="42"/>
      <c r="H15" s="42"/>
      <c r="I15" s="42"/>
      <c r="J15" s="119">
        <v>20</v>
      </c>
      <c r="K15" s="179">
        <f t="shared" si="0"/>
        <v>10</v>
      </c>
      <c r="L15" s="261">
        <v>0.98180000000000001</v>
      </c>
      <c r="M15" s="75"/>
      <c r="N15" s="50"/>
      <c r="O15" s="50"/>
      <c r="P15" s="75"/>
    </row>
    <row r="16" spans="2:16" x14ac:dyDescent="0.25">
      <c r="B16" s="201">
        <v>7</v>
      </c>
      <c r="C16" s="41">
        <v>2006</v>
      </c>
      <c r="D16" s="118">
        <v>16.05</v>
      </c>
      <c r="E16" s="100">
        <v>16.329999999999998</v>
      </c>
      <c r="F16" s="346">
        <f t="shared" si="1"/>
        <v>-9.0250696378830139E-2</v>
      </c>
      <c r="G16" s="42"/>
      <c r="H16" s="42"/>
      <c r="I16" s="42"/>
      <c r="J16" s="119">
        <v>20</v>
      </c>
      <c r="K16" s="179">
        <f t="shared" si="0"/>
        <v>10</v>
      </c>
      <c r="L16" s="261">
        <v>0.98409999999999997</v>
      </c>
      <c r="M16" s="75"/>
      <c r="N16" s="50"/>
      <c r="O16" s="50"/>
      <c r="P16" s="75"/>
    </row>
    <row r="17" spans="2:16" x14ac:dyDescent="0.25">
      <c r="B17" s="201">
        <v>7</v>
      </c>
      <c r="C17" s="41">
        <v>2007</v>
      </c>
      <c r="D17" s="118">
        <v>15.9</v>
      </c>
      <c r="E17" s="100">
        <v>16.07</v>
      </c>
      <c r="F17" s="346">
        <f t="shared" si="1"/>
        <v>-1.5921616656460382E-2</v>
      </c>
      <c r="G17" s="42"/>
      <c r="H17" s="42"/>
      <c r="I17" s="42"/>
      <c r="J17" s="119">
        <v>20</v>
      </c>
      <c r="K17" s="179">
        <f t="shared" si="0"/>
        <v>10</v>
      </c>
      <c r="L17" s="261">
        <v>0.98909999999999998</v>
      </c>
      <c r="M17" s="75"/>
      <c r="N17" s="50"/>
      <c r="O17" s="50"/>
      <c r="P17" s="75"/>
    </row>
    <row r="18" spans="2:16" x14ac:dyDescent="0.25">
      <c r="B18" s="201">
        <v>6</v>
      </c>
      <c r="C18" s="41">
        <v>2008</v>
      </c>
      <c r="D18" s="118">
        <v>16.04</v>
      </c>
      <c r="E18" s="100">
        <v>16.239999999999998</v>
      </c>
      <c r="F18" s="346">
        <f t="shared" si="1"/>
        <v>1.0578718108276175E-2</v>
      </c>
      <c r="G18" s="42"/>
      <c r="H18" s="42"/>
      <c r="I18" s="42"/>
      <c r="J18" s="119">
        <v>20</v>
      </c>
      <c r="K18" s="179">
        <f t="shared" si="0"/>
        <v>10</v>
      </c>
      <c r="L18" s="261">
        <v>0.98729999999999996</v>
      </c>
      <c r="M18" s="75"/>
      <c r="N18" s="50"/>
      <c r="O18" s="50"/>
      <c r="P18" s="75"/>
    </row>
    <row r="19" spans="2:16" x14ac:dyDescent="0.25">
      <c r="B19" s="201">
        <v>7</v>
      </c>
      <c r="C19" s="41">
        <v>2009</v>
      </c>
      <c r="D19" s="118">
        <v>16.72</v>
      </c>
      <c r="E19" s="100">
        <v>17</v>
      </c>
      <c r="F19" s="346">
        <f t="shared" si="1"/>
        <v>4.6798029556650349E-2</v>
      </c>
      <c r="G19" s="42"/>
      <c r="H19" s="42"/>
      <c r="I19" s="42"/>
      <c r="J19" s="119">
        <v>20</v>
      </c>
      <c r="K19" s="179">
        <f t="shared" si="0"/>
        <v>10</v>
      </c>
      <c r="L19" s="261">
        <v>0.98319999999999996</v>
      </c>
      <c r="M19" s="132" t="s">
        <v>117</v>
      </c>
      <c r="N19" s="50"/>
      <c r="O19" s="50"/>
      <c r="P19" s="75"/>
    </row>
    <row r="20" spans="2:16" x14ac:dyDescent="0.25">
      <c r="B20" s="201">
        <v>8</v>
      </c>
      <c r="C20" s="41">
        <v>2010</v>
      </c>
      <c r="D20" s="118">
        <v>16.79</v>
      </c>
      <c r="E20" s="100">
        <v>17.28</v>
      </c>
      <c r="F20" s="346">
        <f t="shared" si="1"/>
        <v>1.6470588235294185E-2</v>
      </c>
      <c r="G20" s="42"/>
      <c r="H20" s="42"/>
      <c r="I20" s="42"/>
      <c r="J20" s="119">
        <v>20</v>
      </c>
      <c r="K20" s="179">
        <f t="shared" si="0"/>
        <v>10</v>
      </c>
      <c r="L20" s="261">
        <v>0.97189999999999999</v>
      </c>
      <c r="M20" s="241">
        <v>32.982802232942632</v>
      </c>
      <c r="N20" s="175"/>
      <c r="O20" s="50"/>
      <c r="P20" s="75"/>
    </row>
    <row r="21" spans="2:16" x14ac:dyDescent="0.25">
      <c r="B21" s="201">
        <v>7</v>
      </c>
      <c r="C21" s="41">
        <v>2011</v>
      </c>
      <c r="D21" s="118">
        <v>17.37</v>
      </c>
      <c r="E21" s="100">
        <v>17.760000000000002</v>
      </c>
      <c r="F21" s="346">
        <f t="shared" si="1"/>
        <v>2.7777777777777801E-2</v>
      </c>
      <c r="G21" s="42"/>
      <c r="H21" s="42"/>
      <c r="I21" s="42"/>
      <c r="J21" s="119">
        <v>20</v>
      </c>
      <c r="K21" s="179">
        <f t="shared" si="0"/>
        <v>10</v>
      </c>
      <c r="L21" s="261">
        <v>0.97840000000000005</v>
      </c>
      <c r="M21" s="301">
        <v>35.578085543431719</v>
      </c>
      <c r="N21" s="50"/>
      <c r="O21" s="50"/>
      <c r="P21" s="75"/>
    </row>
    <row r="22" spans="2:16" x14ac:dyDescent="0.25">
      <c r="B22" s="201">
        <v>7</v>
      </c>
      <c r="C22" s="41">
        <v>2012</v>
      </c>
      <c r="D22" s="118">
        <v>17.79</v>
      </c>
      <c r="E22" s="100">
        <v>18.170000000000002</v>
      </c>
      <c r="F22" s="346">
        <f t="shared" si="1"/>
        <v>2.3085585585585593E-2</v>
      </c>
      <c r="G22" s="42"/>
      <c r="H22" s="42"/>
      <c r="I22" s="42"/>
      <c r="J22" s="119">
        <v>20</v>
      </c>
      <c r="K22" s="179">
        <f t="shared" si="0"/>
        <v>10</v>
      </c>
      <c r="L22" s="261">
        <v>0.97929999999999995</v>
      </c>
      <c r="M22" s="241">
        <v>36.973417882149896</v>
      </c>
      <c r="N22" s="175"/>
      <c r="O22" s="50"/>
      <c r="P22" s="75"/>
    </row>
    <row r="23" spans="2:16" x14ac:dyDescent="0.25">
      <c r="B23" s="201">
        <v>7</v>
      </c>
      <c r="C23" s="41">
        <v>2013</v>
      </c>
      <c r="D23" s="119">
        <v>19.79</v>
      </c>
      <c r="E23" s="62">
        <v>20.260000000000002</v>
      </c>
      <c r="F23" s="346">
        <f t="shared" si="1"/>
        <v>0.11502476609796365</v>
      </c>
      <c r="G23" s="42"/>
      <c r="H23" s="42"/>
      <c r="I23" s="42"/>
      <c r="J23" s="119">
        <v>20</v>
      </c>
      <c r="K23" s="179">
        <f t="shared" si="0"/>
        <v>10</v>
      </c>
      <c r="L23" s="317">
        <v>1</v>
      </c>
      <c r="M23" s="432">
        <v>19.728417756547078</v>
      </c>
      <c r="N23" s="50"/>
      <c r="O23" s="50"/>
      <c r="P23" s="75"/>
    </row>
    <row r="24" spans="2:16" x14ac:dyDescent="0.25">
      <c r="B24" s="201">
        <v>7</v>
      </c>
      <c r="C24" s="41">
        <v>2014</v>
      </c>
      <c r="D24" s="119">
        <v>18.059999999999999</v>
      </c>
      <c r="E24" s="62">
        <v>18.64</v>
      </c>
      <c r="F24" s="311">
        <f t="shared" si="1"/>
        <v>-7.9960513326752261E-2</v>
      </c>
      <c r="G24" s="42"/>
      <c r="H24" s="42"/>
      <c r="I24" s="42"/>
      <c r="J24" s="119">
        <v>20</v>
      </c>
      <c r="K24" s="179">
        <f t="shared" si="0"/>
        <v>10</v>
      </c>
      <c r="L24" s="317">
        <v>1</v>
      </c>
      <c r="M24" s="433">
        <v>18.491987722325607</v>
      </c>
      <c r="N24" s="175"/>
      <c r="O24" s="390"/>
      <c r="P24" s="75"/>
    </row>
    <row r="25" spans="2:16" x14ac:dyDescent="0.25">
      <c r="B25" s="201">
        <v>6</v>
      </c>
      <c r="C25" s="41">
        <v>2015</v>
      </c>
      <c r="D25" s="119">
        <f>E25*L26</f>
        <v>19.950762923076923</v>
      </c>
      <c r="E25" s="62">
        <v>20.22</v>
      </c>
      <c r="F25" s="311">
        <f t="shared" si="1"/>
        <v>8.4763948497853986E-2</v>
      </c>
      <c r="G25" s="42"/>
      <c r="H25" s="42">
        <f>E25</f>
        <v>20.22</v>
      </c>
      <c r="I25" s="42">
        <f>E25</f>
        <v>20.22</v>
      </c>
      <c r="J25" s="119">
        <v>20</v>
      </c>
      <c r="K25" s="179">
        <f t="shared" si="0"/>
        <v>10</v>
      </c>
      <c r="L25" s="317">
        <v>1</v>
      </c>
      <c r="M25" s="434">
        <v>20.223389852437894</v>
      </c>
      <c r="N25" s="402"/>
      <c r="O25" s="390"/>
      <c r="P25" s="75"/>
    </row>
    <row r="26" spans="2:16" x14ac:dyDescent="0.25">
      <c r="B26" s="202"/>
      <c r="C26" s="44">
        <v>2016</v>
      </c>
      <c r="D26" s="310"/>
      <c r="E26" s="105"/>
      <c r="F26" s="314"/>
      <c r="G26" s="368">
        <f>0.9958*C26-1984.2</f>
        <v>23.332799999999907</v>
      </c>
      <c r="H26" s="372">
        <v>0</v>
      </c>
      <c r="I26" s="394">
        <f>1.045*I25</f>
        <v>21.129899999999996</v>
      </c>
      <c r="J26" s="119">
        <v>20</v>
      </c>
      <c r="K26" s="179">
        <f t="shared" si="0"/>
        <v>10</v>
      </c>
      <c r="L26" s="269">
        <f>AVERAGE(L13:L25)</f>
        <v>0.98668461538461538</v>
      </c>
      <c r="M26" s="301">
        <v>0</v>
      </c>
      <c r="N26" s="402"/>
      <c r="O26" s="390"/>
      <c r="P26" s="75"/>
    </row>
    <row r="27" spans="2:16" x14ac:dyDescent="0.25">
      <c r="B27" s="202"/>
      <c r="C27" s="44">
        <v>2017</v>
      </c>
      <c r="D27" s="310"/>
      <c r="E27" s="105"/>
      <c r="F27" s="314"/>
      <c r="G27" s="368">
        <f t="shared" ref="G27:G35" si="2">0.9958*C27-1984.2</f>
        <v>24.328600000000051</v>
      </c>
      <c r="H27" s="372">
        <v>0</v>
      </c>
      <c r="I27" s="394">
        <f t="shared" ref="I27:I35" si="3">1.045*I26</f>
        <v>22.080745499999995</v>
      </c>
      <c r="J27" s="119">
        <v>20</v>
      </c>
      <c r="K27" s="179">
        <f t="shared" si="0"/>
        <v>10</v>
      </c>
      <c r="L27" s="239"/>
      <c r="M27" s="123">
        <v>0</v>
      </c>
      <c r="N27" s="402">
        <f>(G27-G26)/G26</f>
        <v>4.2678118356997391E-2</v>
      </c>
      <c r="O27" s="390"/>
      <c r="P27" s="75"/>
    </row>
    <row r="28" spans="2:16" x14ac:dyDescent="0.25">
      <c r="B28" s="202"/>
      <c r="C28" s="44">
        <v>2018</v>
      </c>
      <c r="D28" s="310"/>
      <c r="E28" s="105"/>
      <c r="F28" s="314"/>
      <c r="G28" s="368">
        <f t="shared" si="2"/>
        <v>25.324399999999969</v>
      </c>
      <c r="H28" s="372">
        <v>0</v>
      </c>
      <c r="I28" s="394">
        <f t="shared" si="3"/>
        <v>23.074379047499995</v>
      </c>
      <c r="J28" s="119">
        <v>20</v>
      </c>
      <c r="K28" s="179">
        <f t="shared" si="0"/>
        <v>10</v>
      </c>
      <c r="L28" s="240"/>
      <c r="M28" s="301">
        <v>0</v>
      </c>
      <c r="N28" s="402">
        <f t="shared" ref="N28:N35" si="4">(G28-G27)/G27</f>
        <v>4.0931249640337515E-2</v>
      </c>
      <c r="O28" s="390"/>
      <c r="P28" s="75"/>
    </row>
    <row r="29" spans="2:16" x14ac:dyDescent="0.25">
      <c r="B29" s="202"/>
      <c r="C29" s="44">
        <v>2019</v>
      </c>
      <c r="D29" s="310"/>
      <c r="E29" s="105"/>
      <c r="F29" s="314"/>
      <c r="G29" s="368">
        <f t="shared" si="2"/>
        <v>26.320199999999886</v>
      </c>
      <c r="H29" s="372">
        <v>0</v>
      </c>
      <c r="I29" s="394">
        <f t="shared" si="3"/>
        <v>24.112726104637492</v>
      </c>
      <c r="J29" s="119">
        <v>20</v>
      </c>
      <c r="K29" s="179">
        <f t="shared" si="0"/>
        <v>10</v>
      </c>
      <c r="L29" s="73"/>
      <c r="M29" s="301">
        <v>0</v>
      </c>
      <c r="N29" s="402">
        <f t="shared" si="4"/>
        <v>3.932176083144788E-2</v>
      </c>
      <c r="O29" s="390"/>
      <c r="P29" s="75"/>
    </row>
    <row r="30" spans="2:16" x14ac:dyDescent="0.25">
      <c r="B30" s="202"/>
      <c r="C30" s="44">
        <v>2020</v>
      </c>
      <c r="D30" s="310"/>
      <c r="E30" s="105"/>
      <c r="F30" s="314"/>
      <c r="G30" s="368">
        <f t="shared" si="2"/>
        <v>27.316000000000031</v>
      </c>
      <c r="H30" s="372">
        <v>0</v>
      </c>
      <c r="I30" s="394">
        <f t="shared" si="3"/>
        <v>25.197798779346176</v>
      </c>
      <c r="J30" s="119">
        <v>20</v>
      </c>
      <c r="K30" s="179">
        <f t="shared" si="0"/>
        <v>10</v>
      </c>
      <c r="L30" s="73"/>
      <c r="M30" s="301">
        <v>0</v>
      </c>
      <c r="N30" s="402">
        <f t="shared" si="4"/>
        <v>3.7834059011715306E-2</v>
      </c>
      <c r="O30" s="390"/>
      <c r="P30" s="75"/>
    </row>
    <row r="31" spans="2:16" x14ac:dyDescent="0.25">
      <c r="B31" s="202"/>
      <c r="C31" s="44">
        <v>2021</v>
      </c>
      <c r="D31" s="312"/>
      <c r="E31" s="189"/>
      <c r="F31" s="315"/>
      <c r="G31" s="368">
        <f t="shared" si="2"/>
        <v>28.311799999999948</v>
      </c>
      <c r="H31" s="372"/>
      <c r="I31" s="394">
        <f t="shared" si="3"/>
        <v>26.331699724416751</v>
      </c>
      <c r="J31" s="119">
        <v>20</v>
      </c>
      <c r="K31" s="179">
        <f t="shared" si="0"/>
        <v>10</v>
      </c>
      <c r="L31" s="75"/>
      <c r="M31" s="75"/>
      <c r="N31" s="402">
        <f t="shared" si="4"/>
        <v>3.6454825010979512E-2</v>
      </c>
      <c r="O31" s="390"/>
      <c r="P31" s="75"/>
    </row>
    <row r="32" spans="2:16" x14ac:dyDescent="0.25">
      <c r="B32" s="202"/>
      <c r="C32" s="44">
        <v>2022</v>
      </c>
      <c r="D32" s="312"/>
      <c r="E32" s="189"/>
      <c r="F32" s="315"/>
      <c r="G32" s="368">
        <f t="shared" si="2"/>
        <v>29.307600000000093</v>
      </c>
      <c r="H32" s="372"/>
      <c r="I32" s="394">
        <f t="shared" si="3"/>
        <v>27.516626212015503</v>
      </c>
      <c r="J32" s="119">
        <v>20</v>
      </c>
      <c r="K32" s="179">
        <f t="shared" si="0"/>
        <v>10</v>
      </c>
      <c r="L32" s="75"/>
      <c r="M32" s="75"/>
      <c r="N32" s="402">
        <f t="shared" si="4"/>
        <v>3.5172613539236168E-2</v>
      </c>
      <c r="O32" s="390"/>
      <c r="P32" s="75"/>
    </row>
    <row r="33" spans="2:16" x14ac:dyDescent="0.25">
      <c r="B33" s="202"/>
      <c r="C33" s="44">
        <v>2023</v>
      </c>
      <c r="D33" s="312"/>
      <c r="E33" s="189"/>
      <c r="F33" s="315"/>
      <c r="G33" s="368">
        <f t="shared" si="2"/>
        <v>30.303400000000011</v>
      </c>
      <c r="H33" s="372"/>
      <c r="I33" s="394">
        <f t="shared" si="3"/>
        <v>28.754874391556196</v>
      </c>
      <c r="J33" s="119">
        <v>20</v>
      </c>
      <c r="K33" s="179">
        <f t="shared" si="0"/>
        <v>10</v>
      </c>
      <c r="L33" s="75"/>
      <c r="M33" s="75"/>
      <c r="N33" s="402">
        <f t="shared" si="4"/>
        <v>3.3977534837377137E-2</v>
      </c>
      <c r="O33" s="390"/>
      <c r="P33" s="75"/>
    </row>
    <row r="34" spans="2:16" x14ac:dyDescent="0.25">
      <c r="B34" s="202"/>
      <c r="C34" s="44">
        <v>2024</v>
      </c>
      <c r="D34" s="312"/>
      <c r="E34" s="189"/>
      <c r="F34" s="315"/>
      <c r="G34" s="368">
        <f t="shared" si="2"/>
        <v>31.299199999999928</v>
      </c>
      <c r="H34" s="372"/>
      <c r="I34" s="394">
        <f t="shared" si="3"/>
        <v>30.048843739176224</v>
      </c>
      <c r="J34" s="119">
        <v>20</v>
      </c>
      <c r="K34" s="179">
        <f t="shared" si="0"/>
        <v>10</v>
      </c>
      <c r="L34" s="75"/>
      <c r="M34" s="75"/>
      <c r="N34" s="402">
        <f t="shared" si="4"/>
        <v>3.2860999095808294E-2</v>
      </c>
      <c r="O34" s="397" t="e">
        <f>AVERAGE(O26:O28)</f>
        <v>#DIV/0!</v>
      </c>
      <c r="P34" s="75"/>
    </row>
    <row r="35" spans="2:16" ht="15.75" thickBot="1" x14ac:dyDescent="0.3">
      <c r="B35" s="203"/>
      <c r="C35" s="191">
        <v>2025</v>
      </c>
      <c r="D35" s="313"/>
      <c r="E35" s="192"/>
      <c r="F35" s="316"/>
      <c r="G35" s="369">
        <f t="shared" si="2"/>
        <v>32.295000000000073</v>
      </c>
      <c r="H35" s="373"/>
      <c r="I35" s="436">
        <f t="shared" si="3"/>
        <v>31.401041707439152</v>
      </c>
      <c r="J35" s="193">
        <v>20</v>
      </c>
      <c r="K35" s="181">
        <f t="shared" si="0"/>
        <v>10</v>
      </c>
      <c r="L35" s="75"/>
      <c r="M35" s="75"/>
      <c r="N35" s="402">
        <f t="shared" si="4"/>
        <v>3.1815509661593494E-2</v>
      </c>
      <c r="O35" s="431"/>
      <c r="P35" s="75"/>
    </row>
    <row r="36" spans="2:16" x14ac:dyDescent="0.25">
      <c r="H36" s="14"/>
      <c r="L36" s="75"/>
      <c r="M36" s="75"/>
      <c r="N36" s="435">
        <f>AVERAGE(N27:N35)</f>
        <v>3.6782963331721409E-2</v>
      </c>
      <c r="O36" s="431"/>
      <c r="P36" s="75"/>
    </row>
    <row r="37" spans="2:16" x14ac:dyDescent="0.25">
      <c r="L37" s="75"/>
      <c r="M37" s="75"/>
      <c r="N37" s="75"/>
      <c r="O37" s="431"/>
      <c r="P37" s="75"/>
    </row>
    <row r="58" spans="14:16" x14ac:dyDescent="0.25">
      <c r="O58">
        <v>2013</v>
      </c>
      <c r="P58">
        <v>0</v>
      </c>
    </row>
    <row r="59" spans="14:16" x14ac:dyDescent="0.25">
      <c r="N59" s="8"/>
      <c r="O59">
        <v>2013</v>
      </c>
      <c r="P59">
        <v>5</v>
      </c>
    </row>
    <row r="60" spans="14:16" x14ac:dyDescent="0.25">
      <c r="O60">
        <v>2013</v>
      </c>
      <c r="P60">
        <v>10</v>
      </c>
    </row>
    <row r="61" spans="14:16" x14ac:dyDescent="0.25">
      <c r="O61">
        <v>2013</v>
      </c>
      <c r="P61">
        <v>15</v>
      </c>
    </row>
    <row r="62" spans="14:16" x14ac:dyDescent="0.25">
      <c r="O62">
        <v>2013</v>
      </c>
      <c r="P62">
        <v>20</v>
      </c>
    </row>
    <row r="63" spans="14:16" x14ac:dyDescent="0.25">
      <c r="O63">
        <v>2013</v>
      </c>
      <c r="P63">
        <v>25</v>
      </c>
    </row>
    <row r="64" spans="14:16" x14ac:dyDescent="0.25">
      <c r="O64">
        <v>2013</v>
      </c>
      <c r="P64">
        <v>30</v>
      </c>
    </row>
    <row r="65" spans="1:24" x14ac:dyDescent="0.25">
      <c r="O65">
        <v>2013</v>
      </c>
      <c r="P65">
        <v>35</v>
      </c>
    </row>
    <row r="68" spans="1:24" ht="15.75" thickBot="1" x14ac:dyDescent="0.3"/>
    <row r="69" spans="1:24" ht="15.75" thickBot="1" x14ac:dyDescent="0.3">
      <c r="C69" s="1290" t="s">
        <v>119</v>
      </c>
      <c r="D69" s="1291"/>
      <c r="E69" s="1291"/>
      <c r="F69" s="1291"/>
      <c r="G69" s="1291"/>
      <c r="H69" s="1291"/>
      <c r="I69" s="1291"/>
      <c r="J69" s="1291"/>
      <c r="K69" s="1291"/>
      <c r="L69" s="1291"/>
      <c r="M69" s="1292"/>
    </row>
    <row r="71" spans="1:24" ht="15" customHeight="1" x14ac:dyDescent="0.25">
      <c r="C71" s="1293" t="s">
        <v>121</v>
      </c>
      <c r="D71" s="1293"/>
      <c r="E71" s="1293"/>
      <c r="F71" s="1293"/>
      <c r="G71" s="1293"/>
      <c r="H71" s="1293"/>
      <c r="I71" s="1293"/>
      <c r="J71" s="1293"/>
      <c r="K71" s="1293"/>
      <c r="L71" s="1293"/>
      <c r="M71" s="1293"/>
    </row>
    <row r="72" spans="1:24" ht="15" customHeight="1" x14ac:dyDescent="0.25">
      <c r="C72" s="1293"/>
      <c r="D72" s="1293"/>
      <c r="E72" s="1293"/>
      <c r="F72" s="1293"/>
      <c r="G72" s="1293"/>
      <c r="H72" s="1293"/>
      <c r="I72" s="1293"/>
      <c r="J72" s="1293"/>
      <c r="K72" s="1293"/>
      <c r="L72" s="1293"/>
      <c r="M72" s="1293"/>
    </row>
    <row r="73" spans="1:24" x14ac:dyDescent="0.25">
      <c r="C73" s="1293" t="s">
        <v>120</v>
      </c>
      <c r="D73" s="1293"/>
      <c r="E73" s="1293"/>
      <c r="F73" s="1293"/>
      <c r="G73" s="1293"/>
      <c r="H73" s="1293"/>
      <c r="I73" s="1293"/>
      <c r="J73" s="1293"/>
      <c r="K73" s="1293"/>
      <c r="L73" s="1293"/>
      <c r="M73" s="1293"/>
    </row>
    <row r="74" spans="1:24" x14ac:dyDescent="0.25">
      <c r="C74" s="1294"/>
      <c r="D74" s="1294"/>
      <c r="E74" s="1294"/>
      <c r="F74" s="1294"/>
      <c r="G74" s="1294"/>
      <c r="H74" s="1294"/>
      <c r="I74" s="1294"/>
      <c r="J74" s="1294"/>
      <c r="K74" s="1294"/>
      <c r="L74" s="1294"/>
      <c r="M74" s="1294"/>
    </row>
    <row r="75" spans="1:24" x14ac:dyDescent="0.25">
      <c r="A75" s="218" t="s">
        <v>11</v>
      </c>
      <c r="B75" s="25" t="s">
        <v>23</v>
      </c>
      <c r="C75" s="221" t="s">
        <v>25</v>
      </c>
      <c r="D75" s="234">
        <v>32.982802232942632</v>
      </c>
      <c r="E75" s="11">
        <v>35.578085543431719</v>
      </c>
      <c r="F75" s="234">
        <v>36.973417882149896</v>
      </c>
      <c r="G75" s="11">
        <v>19.728417756547078</v>
      </c>
      <c r="H75" s="235">
        <v>18.491987722325607</v>
      </c>
      <c r="I75" s="236">
        <v>20.223389852437894</v>
      </c>
      <c r="J75" s="190"/>
      <c r="K75" s="190"/>
      <c r="L75" s="190"/>
      <c r="M75" s="190"/>
    </row>
    <row r="76" spans="1:24" ht="15.75" thickBot="1" x14ac:dyDescent="0.3"/>
    <row r="77" spans="1:24" ht="16.5" thickBot="1" x14ac:dyDescent="0.3">
      <c r="A77" s="1271" t="s">
        <v>201</v>
      </c>
      <c r="B77" s="1272"/>
      <c r="C77" s="1272"/>
      <c r="D77" s="1272"/>
      <c r="E77" s="1272"/>
      <c r="F77" s="1272"/>
      <c r="G77" s="1272"/>
      <c r="H77" s="1272"/>
      <c r="I77" s="1272"/>
      <c r="J77" s="1272"/>
      <c r="K77" s="1272"/>
      <c r="L77" s="1272"/>
      <c r="M77" s="1272"/>
      <c r="N77" s="1272"/>
      <c r="O77" s="1272"/>
      <c r="P77" s="1272"/>
      <c r="Q77" s="1272"/>
      <c r="R77" s="1272"/>
      <c r="S77" s="1272"/>
      <c r="T77" s="1272"/>
      <c r="U77" s="1272"/>
      <c r="V77" s="1272"/>
      <c r="W77" s="1272"/>
      <c r="X77" s="1273"/>
    </row>
    <row r="78" spans="1:24" ht="15.75" thickBot="1" x14ac:dyDescent="0.3">
      <c r="A78" s="286"/>
      <c r="B78" s="286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  <c r="N78" s="286"/>
      <c r="O78" s="286"/>
      <c r="P78" s="286"/>
      <c r="Q78" s="286"/>
      <c r="R78" s="286"/>
      <c r="S78" s="286"/>
      <c r="T78" s="286"/>
      <c r="U78" s="286"/>
      <c r="V78" s="286"/>
      <c r="W78" s="286"/>
      <c r="X78" s="286"/>
    </row>
    <row r="79" spans="1:24" ht="15.75" thickBot="1" x14ac:dyDescent="0.3">
      <c r="A79" s="287"/>
      <c r="B79" s="287"/>
      <c r="C79" s="288"/>
      <c r="D79" s="1274" t="s">
        <v>202</v>
      </c>
      <c r="E79" s="1277">
        <v>2016</v>
      </c>
      <c r="F79" s="1278"/>
      <c r="G79" s="1278"/>
      <c r="H79" s="1279"/>
      <c r="I79" s="1277">
        <f>+E79+1</f>
        <v>2017</v>
      </c>
      <c r="J79" s="1278"/>
      <c r="K79" s="1278"/>
      <c r="L79" s="1279"/>
      <c r="M79" s="1277">
        <f>+I79+1</f>
        <v>2018</v>
      </c>
      <c r="N79" s="1278"/>
      <c r="O79" s="1278"/>
      <c r="P79" s="1279"/>
      <c r="Q79" s="1277">
        <f>+M79+1</f>
        <v>2019</v>
      </c>
      <c r="R79" s="1278"/>
      <c r="S79" s="1278"/>
      <c r="T79" s="1279"/>
      <c r="U79" s="1277">
        <f>+Q79+1</f>
        <v>2020</v>
      </c>
      <c r="V79" s="1278"/>
      <c r="W79" s="1278"/>
      <c r="X79" s="1279"/>
    </row>
    <row r="80" spans="1:24" x14ac:dyDescent="0.25">
      <c r="A80" s="1280" t="s">
        <v>203</v>
      </c>
      <c r="B80" s="1282" t="s">
        <v>204</v>
      </c>
      <c r="C80" s="1284" t="s">
        <v>88</v>
      </c>
      <c r="D80" s="1275"/>
      <c r="E80" s="1286" t="s">
        <v>197</v>
      </c>
      <c r="F80" s="1287"/>
      <c r="G80" s="1286" t="s">
        <v>198</v>
      </c>
      <c r="H80" s="1288"/>
      <c r="I80" s="1286" t="s">
        <v>197</v>
      </c>
      <c r="J80" s="1288"/>
      <c r="K80" s="1289" t="s">
        <v>198</v>
      </c>
      <c r="L80" s="1288"/>
      <c r="M80" s="1286" t="s">
        <v>197</v>
      </c>
      <c r="N80" s="1288"/>
      <c r="O80" s="1286" t="s">
        <v>198</v>
      </c>
      <c r="P80" s="1288"/>
      <c r="Q80" s="1267" t="s">
        <v>197</v>
      </c>
      <c r="R80" s="1268"/>
      <c r="S80" s="1267" t="s">
        <v>198</v>
      </c>
      <c r="T80" s="1268"/>
      <c r="U80" s="1267" t="s">
        <v>197</v>
      </c>
      <c r="V80" s="1269"/>
      <c r="W80" s="1267" t="s">
        <v>198</v>
      </c>
      <c r="X80" s="1268"/>
    </row>
    <row r="81" spans="1:24" ht="15.75" thickBot="1" x14ac:dyDescent="0.3">
      <c r="A81" s="1281"/>
      <c r="B81" s="1283"/>
      <c r="C81" s="1285"/>
      <c r="D81" s="1276"/>
      <c r="E81" s="274" t="s">
        <v>199</v>
      </c>
      <c r="F81" s="275" t="s">
        <v>200</v>
      </c>
      <c r="G81" s="274" t="s">
        <v>199</v>
      </c>
      <c r="H81" s="276" t="s">
        <v>200</v>
      </c>
      <c r="I81" s="274" t="s">
        <v>199</v>
      </c>
      <c r="J81" s="276" t="s">
        <v>200</v>
      </c>
      <c r="K81" s="277" t="s">
        <v>199</v>
      </c>
      <c r="L81" s="276" t="s">
        <v>200</v>
      </c>
      <c r="M81" s="274" t="s">
        <v>199</v>
      </c>
      <c r="N81" s="276" t="s">
        <v>200</v>
      </c>
      <c r="O81" s="274" t="s">
        <v>199</v>
      </c>
      <c r="P81" s="276" t="s">
        <v>200</v>
      </c>
      <c r="Q81" s="274" t="s">
        <v>199</v>
      </c>
      <c r="R81" s="276" t="s">
        <v>200</v>
      </c>
      <c r="S81" s="274" t="s">
        <v>199</v>
      </c>
      <c r="T81" s="276" t="s">
        <v>200</v>
      </c>
      <c r="U81" s="274" t="s">
        <v>199</v>
      </c>
      <c r="V81" s="275" t="s">
        <v>200</v>
      </c>
      <c r="W81" s="274" t="s">
        <v>199</v>
      </c>
      <c r="X81" s="276" t="s">
        <v>200</v>
      </c>
    </row>
    <row r="82" spans="1:24" x14ac:dyDescent="0.25">
      <c r="A82" s="289" t="s">
        <v>205</v>
      </c>
      <c r="B82" s="290"/>
      <c r="C82" s="291" t="s">
        <v>11</v>
      </c>
      <c r="D82" s="292" t="s">
        <v>25</v>
      </c>
      <c r="E82" s="293">
        <v>0</v>
      </c>
      <c r="F82" s="294">
        <v>0</v>
      </c>
      <c r="G82" s="293">
        <v>0</v>
      </c>
      <c r="H82" s="295">
        <v>0</v>
      </c>
      <c r="I82" s="293">
        <v>0</v>
      </c>
      <c r="J82" s="295">
        <v>0</v>
      </c>
      <c r="K82" s="296">
        <v>0</v>
      </c>
      <c r="L82" s="295">
        <v>0</v>
      </c>
      <c r="M82" s="293">
        <v>0</v>
      </c>
      <c r="N82" s="294">
        <v>0</v>
      </c>
      <c r="O82" s="293">
        <v>0</v>
      </c>
      <c r="P82" s="295">
        <v>0</v>
      </c>
      <c r="Q82" s="293">
        <v>0</v>
      </c>
      <c r="R82" s="295">
        <v>0</v>
      </c>
      <c r="S82" s="296">
        <v>0</v>
      </c>
      <c r="T82" s="295">
        <v>0</v>
      </c>
      <c r="U82" s="293">
        <v>0</v>
      </c>
      <c r="V82" s="294">
        <v>0</v>
      </c>
      <c r="W82" s="293">
        <v>0</v>
      </c>
      <c r="X82" s="295">
        <v>0</v>
      </c>
    </row>
    <row r="83" spans="1:24" x14ac:dyDescent="0.25">
      <c r="C83" s="5"/>
    </row>
    <row r="84" spans="1:24" ht="15.75" thickBot="1" x14ac:dyDescent="0.3">
      <c r="C84" s="5"/>
    </row>
    <row r="85" spans="1:24" x14ac:dyDescent="0.25">
      <c r="C85" s="41">
        <v>2010</v>
      </c>
      <c r="D85" s="318">
        <v>32.982802232942632</v>
      </c>
      <c r="E85" s="73"/>
      <c r="F85" s="73"/>
    </row>
    <row r="86" spans="1:24" x14ac:dyDescent="0.25">
      <c r="C86" s="41">
        <v>2011</v>
      </c>
      <c r="D86" s="319">
        <v>35.578085543431719</v>
      </c>
      <c r="E86" s="73"/>
      <c r="F86" s="1270" t="s">
        <v>209</v>
      </c>
      <c r="G86" s="1270"/>
      <c r="H86" s="1270"/>
      <c r="I86" s="1270"/>
      <c r="J86" s="1270"/>
      <c r="K86" s="1270"/>
      <c r="L86" s="1270"/>
      <c r="M86" s="1270"/>
      <c r="N86" s="1270"/>
    </row>
    <row r="87" spans="1:24" x14ac:dyDescent="0.25">
      <c r="C87" s="41">
        <v>2012</v>
      </c>
      <c r="D87" s="320">
        <v>36.973417882149896</v>
      </c>
      <c r="E87" s="73"/>
      <c r="F87" s="1270"/>
      <c r="G87" s="1270"/>
      <c r="H87" s="1270"/>
      <c r="I87" s="1270"/>
      <c r="J87" s="1270"/>
      <c r="K87" s="1270"/>
      <c r="L87" s="1270"/>
      <c r="M87" s="1270"/>
      <c r="N87" s="1270"/>
    </row>
    <row r="88" spans="1:24" x14ac:dyDescent="0.25">
      <c r="C88" s="41">
        <v>2013</v>
      </c>
      <c r="D88" s="319">
        <v>19.728417756547078</v>
      </c>
      <c r="E88" s="73"/>
      <c r="F88" s="1270"/>
      <c r="G88" s="1270"/>
      <c r="H88" s="1270"/>
      <c r="I88" s="1270"/>
      <c r="J88" s="1270"/>
      <c r="K88" s="1270"/>
      <c r="L88" s="1270"/>
      <c r="M88" s="1270"/>
      <c r="N88" s="1270"/>
    </row>
    <row r="89" spans="1:24" x14ac:dyDescent="0.25">
      <c r="C89" s="41">
        <v>2014</v>
      </c>
      <c r="D89" s="319">
        <v>18.491987722325607</v>
      </c>
      <c r="E89" s="73"/>
      <c r="F89" s="1270"/>
      <c r="G89" s="1270"/>
      <c r="H89" s="1270"/>
      <c r="I89" s="1270"/>
      <c r="J89" s="1270"/>
      <c r="K89" s="1270"/>
      <c r="L89" s="1270"/>
      <c r="M89" s="1270"/>
      <c r="N89" s="1270"/>
    </row>
    <row r="90" spans="1:24" ht="15.75" thickBot="1" x14ac:dyDescent="0.3">
      <c r="C90" s="41">
        <v>2015</v>
      </c>
      <c r="D90" s="321">
        <v>20.223389852437894</v>
      </c>
      <c r="E90" s="73"/>
      <c r="F90" s="73"/>
    </row>
    <row r="91" spans="1:24" x14ac:dyDescent="0.25">
      <c r="C91" s="44">
        <v>2016</v>
      </c>
      <c r="D91" s="45">
        <v>0</v>
      </c>
      <c r="E91" s="73"/>
      <c r="F91" s="73"/>
    </row>
    <row r="92" spans="1:24" x14ac:dyDescent="0.25">
      <c r="C92" s="44">
        <v>2017</v>
      </c>
      <c r="D92" s="45">
        <v>0</v>
      </c>
      <c r="E92" s="73"/>
      <c r="F92" s="73"/>
    </row>
    <row r="93" spans="1:24" x14ac:dyDescent="0.25">
      <c r="C93" s="44">
        <v>2018</v>
      </c>
      <c r="D93" s="45">
        <v>0</v>
      </c>
      <c r="E93" s="73"/>
      <c r="F93" s="73"/>
    </row>
    <row r="94" spans="1:24" x14ac:dyDescent="0.25">
      <c r="C94" s="44">
        <v>2019</v>
      </c>
      <c r="D94" s="45">
        <v>0</v>
      </c>
      <c r="E94" s="73"/>
      <c r="F94" s="73"/>
    </row>
    <row r="95" spans="1:24" x14ac:dyDescent="0.25">
      <c r="C95" s="44">
        <v>2020</v>
      </c>
      <c r="D95" s="45">
        <v>0</v>
      </c>
      <c r="E95" s="73"/>
      <c r="F95" s="73"/>
    </row>
    <row r="96" spans="1:24" x14ac:dyDescent="0.25">
      <c r="C96" s="73"/>
      <c r="D96" s="73"/>
      <c r="E96" s="73"/>
      <c r="F96" s="73"/>
    </row>
    <row r="111" spans="14:22" x14ac:dyDescent="0.25">
      <c r="N111" s="1270" t="s">
        <v>209</v>
      </c>
      <c r="O111" s="1270"/>
      <c r="P111" s="1270"/>
      <c r="Q111" s="1270"/>
      <c r="R111" s="1270"/>
      <c r="S111" s="1270"/>
      <c r="T111" s="1270"/>
      <c r="U111" s="1270"/>
      <c r="V111" s="1270"/>
    </row>
    <row r="112" spans="14:22" x14ac:dyDescent="0.25">
      <c r="N112" s="1270"/>
      <c r="O112" s="1270"/>
      <c r="P112" s="1270"/>
      <c r="Q112" s="1270"/>
      <c r="R112" s="1270"/>
      <c r="S112" s="1270"/>
      <c r="T112" s="1270"/>
      <c r="U112" s="1270"/>
      <c r="V112" s="1270"/>
    </row>
    <row r="113" spans="14:22" x14ac:dyDescent="0.25">
      <c r="N113" s="1270"/>
      <c r="O113" s="1270"/>
      <c r="P113" s="1270"/>
      <c r="Q113" s="1270"/>
      <c r="R113" s="1270"/>
      <c r="S113" s="1270"/>
      <c r="T113" s="1270"/>
      <c r="U113" s="1270"/>
      <c r="V113" s="1270"/>
    </row>
    <row r="114" spans="14:22" x14ac:dyDescent="0.25">
      <c r="N114" s="1270"/>
      <c r="O114" s="1270"/>
      <c r="P114" s="1270"/>
      <c r="Q114" s="1270"/>
      <c r="R114" s="1270"/>
      <c r="S114" s="1270"/>
      <c r="T114" s="1270"/>
      <c r="U114" s="1270"/>
      <c r="V114" s="1270"/>
    </row>
    <row r="129" spans="1:20" ht="18" x14ac:dyDescent="0.25">
      <c r="A129" s="1093" t="s">
        <v>247</v>
      </c>
      <c r="B129" s="1093"/>
      <c r="C129" s="1093"/>
      <c r="D129" s="1093"/>
      <c r="E129" s="1093"/>
      <c r="F129" s="1093"/>
      <c r="G129" s="1093"/>
      <c r="H129" s="1093"/>
      <c r="I129" s="1093"/>
      <c r="J129" s="1093"/>
      <c r="K129" s="1093"/>
      <c r="L129" s="1093"/>
      <c r="M129" s="1093"/>
      <c r="N129" s="1093"/>
      <c r="O129" s="1093"/>
      <c r="P129" s="1093"/>
      <c r="Q129" s="1093"/>
      <c r="R129" s="1093"/>
      <c r="S129" s="1093"/>
      <c r="T129" s="1093"/>
    </row>
    <row r="130" spans="1:20" ht="18" x14ac:dyDescent="0.25">
      <c r="A130" s="1094" t="s">
        <v>248</v>
      </c>
      <c r="B130" s="1094"/>
      <c r="C130" s="1094"/>
      <c r="D130" s="1094"/>
      <c r="E130" s="1094"/>
      <c r="F130" s="1094"/>
      <c r="G130" s="1094"/>
      <c r="H130" s="1094"/>
      <c r="I130" s="1094"/>
      <c r="J130" s="1094"/>
      <c r="K130" s="1094"/>
      <c r="L130" s="1094"/>
      <c r="M130" s="1094"/>
      <c r="N130" s="1094"/>
      <c r="O130" s="1094"/>
      <c r="P130" s="1094"/>
      <c r="Q130" s="1094"/>
      <c r="R130" s="1094"/>
      <c r="S130" s="1094"/>
      <c r="T130" s="1094"/>
    </row>
    <row r="131" spans="1:20" ht="15.75" thickBot="1" x14ac:dyDescent="0.3">
      <c r="A131" s="452"/>
      <c r="B131" s="452"/>
      <c r="C131" s="452"/>
      <c r="D131" s="452"/>
      <c r="E131" s="452"/>
      <c r="F131" s="452"/>
      <c r="G131" s="452"/>
      <c r="H131" s="453"/>
      <c r="I131" s="452"/>
      <c r="J131" s="454"/>
      <c r="K131" s="453"/>
      <c r="L131" s="452"/>
      <c r="M131" s="454"/>
      <c r="N131" s="453"/>
      <c r="O131" s="452"/>
      <c r="P131" s="454"/>
      <c r="Q131" s="453"/>
      <c r="R131" s="452"/>
      <c r="S131" s="449"/>
      <c r="T131" s="450"/>
    </row>
    <row r="132" spans="1:20" x14ac:dyDescent="0.25">
      <c r="A132" s="1095" t="s">
        <v>249</v>
      </c>
      <c r="B132" s="1098" t="s">
        <v>250</v>
      </c>
      <c r="C132" s="1101" t="s">
        <v>251</v>
      </c>
      <c r="D132" s="1063" t="s">
        <v>252</v>
      </c>
      <c r="E132" s="1065"/>
      <c r="F132" s="1066">
        <v>2016</v>
      </c>
      <c r="G132" s="1064"/>
      <c r="H132" s="1106"/>
      <c r="I132" s="1063">
        <f>+F132+1</f>
        <v>2017</v>
      </c>
      <c r="J132" s="1064"/>
      <c r="K132" s="1065"/>
      <c r="L132" s="1066">
        <f>+I132+1</f>
        <v>2018</v>
      </c>
      <c r="M132" s="1064"/>
      <c r="N132" s="1106"/>
      <c r="O132" s="1063">
        <f>+L132+1</f>
        <v>2019</v>
      </c>
      <c r="P132" s="1064"/>
      <c r="Q132" s="1065"/>
      <c r="R132" s="1066">
        <f>+O132+1</f>
        <v>2020</v>
      </c>
      <c r="S132" s="1064"/>
      <c r="T132" s="1065"/>
    </row>
    <row r="133" spans="1:20" x14ac:dyDescent="0.25">
      <c r="A133" s="1096"/>
      <c r="B133" s="1099"/>
      <c r="C133" s="1102"/>
      <c r="D133" s="1104"/>
      <c r="E133" s="1105"/>
      <c r="F133" s="455" t="s">
        <v>253</v>
      </c>
      <c r="G133" s="1067" t="s">
        <v>254</v>
      </c>
      <c r="H133" s="1068"/>
      <c r="I133" s="456" t="s">
        <v>253</v>
      </c>
      <c r="J133" s="1067" t="s">
        <v>254</v>
      </c>
      <c r="K133" s="1069"/>
      <c r="L133" s="455" t="s">
        <v>253</v>
      </c>
      <c r="M133" s="1067" t="s">
        <v>254</v>
      </c>
      <c r="N133" s="1068"/>
      <c r="O133" s="456" t="s">
        <v>253</v>
      </c>
      <c r="P133" s="1067" t="s">
        <v>254</v>
      </c>
      <c r="Q133" s="1069"/>
      <c r="R133" s="455" t="s">
        <v>253</v>
      </c>
      <c r="S133" s="1067" t="s">
        <v>254</v>
      </c>
      <c r="T133" s="1069"/>
    </row>
    <row r="134" spans="1:20" ht="15.75" thickBot="1" x14ac:dyDescent="0.3">
      <c r="A134" s="1097"/>
      <c r="B134" s="1100"/>
      <c r="C134" s="1103"/>
      <c r="D134" s="1091" t="s">
        <v>255</v>
      </c>
      <c r="E134" s="1092"/>
      <c r="F134" s="457" t="s">
        <v>255</v>
      </c>
      <c r="G134" s="458" t="s">
        <v>255</v>
      </c>
      <c r="H134" s="459" t="s">
        <v>256</v>
      </c>
      <c r="I134" s="460" t="s">
        <v>255</v>
      </c>
      <c r="J134" s="461" t="s">
        <v>255</v>
      </c>
      <c r="K134" s="462" t="s">
        <v>256</v>
      </c>
      <c r="L134" s="457" t="s">
        <v>255</v>
      </c>
      <c r="M134" s="461" t="s">
        <v>255</v>
      </c>
      <c r="N134" s="459" t="s">
        <v>256</v>
      </c>
      <c r="O134" s="460" t="s">
        <v>255</v>
      </c>
      <c r="P134" s="461" t="s">
        <v>255</v>
      </c>
      <c r="Q134" s="462" t="s">
        <v>256</v>
      </c>
      <c r="R134" s="457" t="s">
        <v>255</v>
      </c>
      <c r="S134" s="461" t="s">
        <v>255</v>
      </c>
      <c r="T134" s="462" t="s">
        <v>256</v>
      </c>
    </row>
  </sheetData>
  <mergeCells count="51">
    <mergeCell ref="C69:M69"/>
    <mergeCell ref="C71:M72"/>
    <mergeCell ref="C73:M73"/>
    <mergeCell ref="C74:M74"/>
    <mergeCell ref="B3:K3"/>
    <mergeCell ref="B4:K4"/>
    <mergeCell ref="J5:J6"/>
    <mergeCell ref="K5:K6"/>
    <mergeCell ref="C5:C6"/>
    <mergeCell ref="G5:I5"/>
    <mergeCell ref="D5:F5"/>
    <mergeCell ref="B5:B6"/>
    <mergeCell ref="A77:X77"/>
    <mergeCell ref="D79:D81"/>
    <mergeCell ref="E79:H79"/>
    <mergeCell ref="I79:L79"/>
    <mergeCell ref="M79:P79"/>
    <mergeCell ref="Q79:T79"/>
    <mergeCell ref="U79:X79"/>
    <mergeCell ref="A80:A81"/>
    <mergeCell ref="B80:B81"/>
    <mergeCell ref="C80:C81"/>
    <mergeCell ref="E80:F80"/>
    <mergeCell ref="G80:H80"/>
    <mergeCell ref="I80:J80"/>
    <mergeCell ref="K80:L80"/>
    <mergeCell ref="M80:N80"/>
    <mergeCell ref="O80:P80"/>
    <mergeCell ref="S133:T133"/>
    <mergeCell ref="Q80:R80"/>
    <mergeCell ref="S80:T80"/>
    <mergeCell ref="U80:V80"/>
    <mergeCell ref="W80:X80"/>
    <mergeCell ref="N111:V114"/>
    <mergeCell ref="F86:N89"/>
    <mergeCell ref="D134:E134"/>
    <mergeCell ref="A129:T129"/>
    <mergeCell ref="A130:T130"/>
    <mergeCell ref="A132:A134"/>
    <mergeCell ref="B132:B134"/>
    <mergeCell ref="C132:C134"/>
    <mergeCell ref="D132:E133"/>
    <mergeCell ref="F132:H132"/>
    <mergeCell ref="I132:K132"/>
    <mergeCell ref="L132:N132"/>
    <mergeCell ref="O132:Q132"/>
    <mergeCell ref="R132:T132"/>
    <mergeCell ref="G133:H133"/>
    <mergeCell ref="J133:K133"/>
    <mergeCell ref="M133:N133"/>
    <mergeCell ref="P133:Q133"/>
  </mergeCells>
  <printOptions horizontalCentered="1" verticalCentered="1" gridLines="1"/>
  <pageMargins left="0.31496062992125984" right="0.31496062992125984" top="0.15748031496062992" bottom="0.15748031496062992" header="0" footer="0"/>
  <pageSetup paperSize="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2:V110"/>
  <sheetViews>
    <sheetView topLeftCell="A58" workbookViewId="0">
      <selection activeCell="H56" sqref="H56"/>
    </sheetView>
  </sheetViews>
  <sheetFormatPr baseColWidth="10" defaultRowHeight="15" x14ac:dyDescent="0.25"/>
  <cols>
    <col min="1" max="1" width="5.7109375" customWidth="1"/>
    <col min="2" max="2" width="6.7109375" customWidth="1"/>
    <col min="3" max="3" width="14.7109375" customWidth="1"/>
    <col min="4" max="5" width="10.7109375" style="11" customWidth="1"/>
    <col min="6" max="6" width="11.7109375" customWidth="1"/>
    <col min="7" max="7" width="12.7109375" style="11" customWidth="1"/>
    <col min="8" max="8" width="12.7109375" customWidth="1"/>
    <col min="9" max="11" width="10.7109375" style="11" customWidth="1"/>
    <col min="12" max="12" width="11.42578125" style="7"/>
    <col min="15" max="15" width="15" customWidth="1"/>
  </cols>
  <sheetData>
    <row r="2" spans="2:16" ht="15.75" thickBot="1" x14ac:dyDescent="0.3"/>
    <row r="3" spans="2:16" ht="15.95" customHeight="1" x14ac:dyDescent="0.25">
      <c r="B3" s="1112" t="s">
        <v>218</v>
      </c>
      <c r="C3" s="1113"/>
      <c r="D3" s="1113"/>
      <c r="E3" s="1113"/>
      <c r="F3" s="1113"/>
      <c r="G3" s="1113"/>
      <c r="H3" s="1113"/>
      <c r="I3" s="1113"/>
      <c r="J3" s="1113"/>
      <c r="K3" s="1114"/>
    </row>
    <row r="4" spans="2:16" ht="15.95" customHeight="1" thickBot="1" x14ac:dyDescent="0.3">
      <c r="B4" s="1115" t="s">
        <v>262</v>
      </c>
      <c r="C4" s="1116"/>
      <c r="D4" s="1116"/>
      <c r="E4" s="1116"/>
      <c r="F4" s="1116"/>
      <c r="G4" s="1116"/>
      <c r="H4" s="1116"/>
      <c r="I4" s="1116"/>
      <c r="J4" s="1116"/>
      <c r="K4" s="1117"/>
    </row>
    <row r="5" spans="2:16" ht="15.95" customHeight="1" x14ac:dyDescent="0.25">
      <c r="B5" s="1166" t="s">
        <v>124</v>
      </c>
      <c r="C5" s="1181" t="s">
        <v>26</v>
      </c>
      <c r="D5" s="1169" t="s">
        <v>110</v>
      </c>
      <c r="E5" s="1167"/>
      <c r="F5" s="1168"/>
      <c r="G5" s="1169" t="s">
        <v>74</v>
      </c>
      <c r="H5" s="1167"/>
      <c r="I5" s="1168"/>
      <c r="J5" s="1298" t="s">
        <v>105</v>
      </c>
      <c r="K5" s="1264" t="s">
        <v>177</v>
      </c>
    </row>
    <row r="6" spans="2:16" ht="39.950000000000003" customHeight="1" x14ac:dyDescent="0.25">
      <c r="B6" s="1119"/>
      <c r="C6" s="1032"/>
      <c r="D6" s="257" t="s">
        <v>103</v>
      </c>
      <c r="E6" s="257" t="s">
        <v>102</v>
      </c>
      <c r="F6" s="38" t="s">
        <v>178</v>
      </c>
      <c r="G6" s="257" t="s">
        <v>243</v>
      </c>
      <c r="H6" s="38" t="s">
        <v>232</v>
      </c>
      <c r="I6" s="38" t="s">
        <v>238</v>
      </c>
      <c r="J6" s="1299"/>
      <c r="K6" s="1265"/>
      <c r="L6" s="6" t="s">
        <v>206</v>
      </c>
      <c r="M6" s="85" t="s">
        <v>73</v>
      </c>
      <c r="N6" s="38" t="s">
        <v>240</v>
      </c>
    </row>
    <row r="7" spans="2:16" ht="15" customHeight="1" x14ac:dyDescent="0.25">
      <c r="B7" s="359"/>
      <c r="C7" s="127">
        <v>2014</v>
      </c>
      <c r="D7" s="60"/>
      <c r="E7" s="51">
        <v>0</v>
      </c>
      <c r="F7" s="127"/>
      <c r="G7" s="60"/>
      <c r="H7" s="60"/>
      <c r="I7" s="60"/>
      <c r="J7" s="51"/>
      <c r="K7" s="360"/>
      <c r="L7" s="6"/>
      <c r="M7" s="175"/>
      <c r="N7" s="390"/>
    </row>
    <row r="8" spans="2:16" ht="15" customHeight="1" x14ac:dyDescent="0.25">
      <c r="B8" s="196">
        <v>11</v>
      </c>
      <c r="C8" s="101">
        <v>2015</v>
      </c>
      <c r="D8" s="40">
        <v>26</v>
      </c>
      <c r="E8" s="100">
        <v>26.29</v>
      </c>
      <c r="F8" s="175"/>
      <c r="G8" s="40"/>
      <c r="H8" s="40"/>
      <c r="I8" s="42"/>
      <c r="J8" s="62">
        <f>2*55</f>
        <v>110</v>
      </c>
      <c r="K8" s="204">
        <f>J8-55</f>
        <v>55</v>
      </c>
      <c r="L8" s="263"/>
      <c r="M8" s="50"/>
      <c r="N8" s="390"/>
      <c r="O8" s="73"/>
      <c r="P8" s="73"/>
    </row>
    <row r="9" spans="2:16" ht="15" customHeight="1" x14ac:dyDescent="0.25">
      <c r="B9" s="196">
        <v>7</v>
      </c>
      <c r="C9" s="101">
        <v>2016</v>
      </c>
      <c r="D9" s="40">
        <v>27.95</v>
      </c>
      <c r="E9" s="62">
        <v>28.49</v>
      </c>
      <c r="F9" s="175">
        <f>(E9-E8)/E8</f>
        <v>8.3682008368200819E-2</v>
      </c>
      <c r="G9" s="258"/>
      <c r="H9" s="258"/>
      <c r="I9" s="475"/>
      <c r="J9" s="62">
        <f t="shared" ref="J9:J20" si="0">2*55</f>
        <v>110</v>
      </c>
      <c r="K9" s="204">
        <f t="shared" ref="K9:K20" si="1">J9-55</f>
        <v>55</v>
      </c>
      <c r="L9" s="273"/>
      <c r="M9" s="175"/>
      <c r="N9" s="390" t="e">
        <f>(H9-H8)/H8</f>
        <v>#DIV/0!</v>
      </c>
      <c r="O9" s="73"/>
      <c r="P9" s="73"/>
    </row>
    <row r="10" spans="2:16" ht="15" customHeight="1" x14ac:dyDescent="0.25">
      <c r="B10" s="196"/>
      <c r="C10" s="101">
        <v>2017</v>
      </c>
      <c r="D10" s="40"/>
      <c r="E10" s="62">
        <v>100</v>
      </c>
      <c r="F10" s="175">
        <f>(E10-E9)/E9</f>
        <v>2.5100035100035103</v>
      </c>
      <c r="G10" s="258"/>
      <c r="H10" s="258">
        <f>E10</f>
        <v>100</v>
      </c>
      <c r="I10" s="475">
        <f>E10</f>
        <v>100</v>
      </c>
      <c r="J10" s="62">
        <f t="shared" si="0"/>
        <v>110</v>
      </c>
      <c r="K10" s="204">
        <f t="shared" si="1"/>
        <v>55</v>
      </c>
      <c r="L10" s="40"/>
      <c r="M10" s="50"/>
      <c r="N10" s="390" t="e">
        <f>(H10-H9)/H9</f>
        <v>#DIV/0!</v>
      </c>
      <c r="O10" s="73"/>
      <c r="P10" s="73"/>
    </row>
    <row r="11" spans="2:16" ht="15" customHeight="1" x14ac:dyDescent="0.25">
      <c r="B11" s="197"/>
      <c r="C11" s="107">
        <v>2018</v>
      </c>
      <c r="D11" s="55"/>
      <c r="E11" s="109"/>
      <c r="F11" s="187"/>
      <c r="G11" s="374"/>
      <c r="H11" s="375"/>
      <c r="I11" s="394">
        <f t="shared" ref="I11:I20" si="2">1.045*I10</f>
        <v>104.5</v>
      </c>
      <c r="J11" s="62">
        <f t="shared" si="0"/>
        <v>110</v>
      </c>
      <c r="K11" s="204">
        <f t="shared" si="1"/>
        <v>55</v>
      </c>
      <c r="L11" s="40"/>
      <c r="M11" s="175"/>
      <c r="N11" s="390">
        <f>(H11-H10)/H10</f>
        <v>-1</v>
      </c>
      <c r="O11" s="73"/>
      <c r="P11" s="73"/>
    </row>
    <row r="12" spans="2:16" ht="15" customHeight="1" x14ac:dyDescent="0.25">
      <c r="B12" s="197"/>
      <c r="C12" s="107">
        <v>2019</v>
      </c>
      <c r="D12" s="55"/>
      <c r="E12" s="109"/>
      <c r="F12" s="187"/>
      <c r="G12" s="374"/>
      <c r="H12" s="375"/>
      <c r="I12" s="394">
        <f t="shared" si="2"/>
        <v>109.20249999999999</v>
      </c>
      <c r="J12" s="62">
        <f t="shared" si="0"/>
        <v>110</v>
      </c>
      <c r="K12" s="204">
        <f t="shared" si="1"/>
        <v>55</v>
      </c>
      <c r="L12" s="40"/>
      <c r="M12" s="402"/>
      <c r="N12" s="390" t="e">
        <f>(H12-H11)/H11</f>
        <v>#DIV/0!</v>
      </c>
      <c r="O12" s="73"/>
      <c r="P12" s="73"/>
    </row>
    <row r="13" spans="2:16" ht="15" customHeight="1" x14ac:dyDescent="0.25">
      <c r="B13" s="197"/>
      <c r="C13" s="107">
        <v>2020</v>
      </c>
      <c r="D13" s="55"/>
      <c r="E13" s="109"/>
      <c r="F13" s="187"/>
      <c r="G13" s="374"/>
      <c r="H13" s="375"/>
      <c r="I13" s="394">
        <f t="shared" si="2"/>
        <v>114.11661249999997</v>
      </c>
      <c r="J13" s="62">
        <f t="shared" si="0"/>
        <v>110</v>
      </c>
      <c r="K13" s="204">
        <f t="shared" si="1"/>
        <v>55</v>
      </c>
      <c r="L13" s="40"/>
      <c r="M13" s="402"/>
      <c r="N13" s="390" t="e">
        <f>(H13-H12)/H12</f>
        <v>#DIV/0!</v>
      </c>
      <c r="O13" s="73"/>
      <c r="P13" s="73"/>
    </row>
    <row r="14" spans="2:16" ht="15" customHeight="1" x14ac:dyDescent="0.25">
      <c r="B14" s="197"/>
      <c r="C14" s="107">
        <v>2021</v>
      </c>
      <c r="D14" s="55"/>
      <c r="E14" s="109"/>
      <c r="F14" s="187"/>
      <c r="G14" s="374"/>
      <c r="H14" s="375"/>
      <c r="I14" s="394">
        <f t="shared" si="2"/>
        <v>119.25186006249996</v>
      </c>
      <c r="J14" s="62">
        <f t="shared" si="0"/>
        <v>110</v>
      </c>
      <c r="K14" s="204">
        <f t="shared" si="1"/>
        <v>55</v>
      </c>
      <c r="L14" s="40"/>
      <c r="M14" s="402" t="e">
        <f t="shared" ref="M14:M22" si="3">(E14-E13)/E13</f>
        <v>#DIV/0!</v>
      </c>
      <c r="N14" s="390"/>
      <c r="O14" s="73"/>
      <c r="P14" s="73"/>
    </row>
    <row r="15" spans="2:16" ht="15" customHeight="1" x14ac:dyDescent="0.25">
      <c r="B15" s="197"/>
      <c r="C15" s="107">
        <v>2022</v>
      </c>
      <c r="D15" s="55"/>
      <c r="E15" s="109"/>
      <c r="F15" s="187"/>
      <c r="G15" s="374"/>
      <c r="H15" s="375"/>
      <c r="I15" s="394">
        <f t="shared" si="2"/>
        <v>124.61819376531244</v>
      </c>
      <c r="J15" s="62">
        <f t="shared" si="0"/>
        <v>110</v>
      </c>
      <c r="K15" s="204">
        <f t="shared" si="1"/>
        <v>55</v>
      </c>
      <c r="L15" s="40"/>
      <c r="M15" s="402" t="e">
        <f t="shared" si="3"/>
        <v>#DIV/0!</v>
      </c>
      <c r="N15" s="390"/>
      <c r="O15" s="73"/>
      <c r="P15" s="73"/>
    </row>
    <row r="16" spans="2:16" ht="15" customHeight="1" x14ac:dyDescent="0.25">
      <c r="B16" s="197"/>
      <c r="C16" s="107">
        <v>2023</v>
      </c>
      <c r="D16" s="55"/>
      <c r="E16" s="109"/>
      <c r="F16" s="187"/>
      <c r="G16" s="374"/>
      <c r="H16" s="375"/>
      <c r="I16" s="394">
        <f t="shared" si="2"/>
        <v>130.22601248475149</v>
      </c>
      <c r="J16" s="62">
        <f t="shared" si="0"/>
        <v>110</v>
      </c>
      <c r="K16" s="204">
        <f t="shared" si="1"/>
        <v>55</v>
      </c>
      <c r="L16" s="258"/>
      <c r="M16" s="402" t="e">
        <f t="shared" si="3"/>
        <v>#DIV/0!</v>
      </c>
      <c r="N16" s="390"/>
      <c r="O16" s="73"/>
      <c r="P16" s="73"/>
    </row>
    <row r="17" spans="2:18" ht="15" customHeight="1" x14ac:dyDescent="0.25">
      <c r="B17" s="197"/>
      <c r="C17" s="107">
        <v>2024</v>
      </c>
      <c r="D17" s="55"/>
      <c r="E17" s="109"/>
      <c r="F17" s="187"/>
      <c r="G17" s="374"/>
      <c r="H17" s="375"/>
      <c r="I17" s="394">
        <f t="shared" si="2"/>
        <v>136.08618304656531</v>
      </c>
      <c r="J17" s="62">
        <f t="shared" si="0"/>
        <v>110</v>
      </c>
      <c r="K17" s="204">
        <f t="shared" si="1"/>
        <v>55</v>
      </c>
      <c r="L17" s="40"/>
      <c r="M17" s="402" t="e">
        <f t="shared" si="3"/>
        <v>#DIV/0!</v>
      </c>
      <c r="N17" s="390"/>
      <c r="O17" s="73"/>
      <c r="P17" s="73"/>
    </row>
    <row r="18" spans="2:18" ht="15" customHeight="1" x14ac:dyDescent="0.25">
      <c r="B18" s="197"/>
      <c r="C18" s="107">
        <v>2025</v>
      </c>
      <c r="D18" s="55"/>
      <c r="E18" s="109"/>
      <c r="F18" s="187"/>
      <c r="G18" s="374"/>
      <c r="H18" s="375"/>
      <c r="I18" s="394">
        <f t="shared" si="2"/>
        <v>142.21006128366074</v>
      </c>
      <c r="J18" s="62">
        <f t="shared" si="0"/>
        <v>110</v>
      </c>
      <c r="K18" s="204">
        <f t="shared" si="1"/>
        <v>55</v>
      </c>
      <c r="L18" s="40"/>
      <c r="M18" s="402" t="e">
        <f t="shared" si="3"/>
        <v>#DIV/0!</v>
      </c>
      <c r="N18" s="390"/>
      <c r="O18" s="73"/>
      <c r="P18" s="73"/>
    </row>
    <row r="19" spans="2:18" x14ac:dyDescent="0.25">
      <c r="B19" s="197"/>
      <c r="C19" s="107">
        <v>2026</v>
      </c>
      <c r="D19" s="55"/>
      <c r="E19" s="109"/>
      <c r="F19" s="187"/>
      <c r="G19" s="374"/>
      <c r="H19" s="375"/>
      <c r="I19" s="394">
        <f t="shared" si="2"/>
        <v>148.60951404142546</v>
      </c>
      <c r="J19" s="62">
        <f t="shared" si="0"/>
        <v>110</v>
      </c>
      <c r="K19" s="204">
        <f t="shared" si="1"/>
        <v>55</v>
      </c>
      <c r="L19" s="40"/>
      <c r="M19" s="402" t="e">
        <f t="shared" si="3"/>
        <v>#DIV/0!</v>
      </c>
      <c r="N19" s="397" t="e">
        <f>AVERAGE(N10:N13)</f>
        <v>#DIV/0!</v>
      </c>
      <c r="O19" s="73"/>
      <c r="P19" s="73"/>
    </row>
    <row r="20" spans="2:18" ht="15.75" thickBot="1" x14ac:dyDescent="0.3">
      <c r="B20" s="198"/>
      <c r="C20" s="207">
        <v>2027</v>
      </c>
      <c r="D20" s="208"/>
      <c r="E20" s="247"/>
      <c r="F20" s="253"/>
      <c r="G20" s="376"/>
      <c r="H20" s="377"/>
      <c r="I20" s="395">
        <f t="shared" si="2"/>
        <v>155.29694217328958</v>
      </c>
      <c r="J20" s="183">
        <f t="shared" si="0"/>
        <v>110</v>
      </c>
      <c r="K20" s="206">
        <f t="shared" si="1"/>
        <v>55</v>
      </c>
      <c r="L20" s="40"/>
      <c r="M20" s="402" t="e">
        <f t="shared" si="3"/>
        <v>#DIV/0!</v>
      </c>
      <c r="N20" s="50"/>
      <c r="O20" s="73"/>
      <c r="P20" s="73"/>
    </row>
    <row r="21" spans="2:18" x14ac:dyDescent="0.25">
      <c r="M21" s="402" t="e">
        <f t="shared" si="3"/>
        <v>#DIV/0!</v>
      </c>
      <c r="N21" s="75"/>
    </row>
    <row r="22" spans="2:18" x14ac:dyDescent="0.25">
      <c r="M22" s="402" t="e">
        <f t="shared" si="3"/>
        <v>#DIV/0!</v>
      </c>
      <c r="N22" s="250"/>
    </row>
    <row r="23" spans="2:18" ht="15.75" thickBot="1" x14ac:dyDescent="0.3">
      <c r="M23" s="430" t="e">
        <f>AVERAGE(M14:M22)</f>
        <v>#DIV/0!</v>
      </c>
      <c r="N23" s="50"/>
    </row>
    <row r="24" spans="2:18" ht="20.100000000000001" customHeight="1" thickBot="1" x14ac:dyDescent="0.3">
      <c r="C24" s="1037" t="s">
        <v>218</v>
      </c>
      <c r="D24" s="1038"/>
      <c r="E24" s="1038"/>
      <c r="F24" s="1038"/>
      <c r="G24" s="1038"/>
      <c r="H24" s="1038"/>
      <c r="I24" s="1038"/>
      <c r="J24" s="1038"/>
      <c r="K24" s="1039"/>
      <c r="M24" s="5"/>
      <c r="N24" s="5"/>
    </row>
    <row r="25" spans="2:18" ht="15.95" customHeight="1" thickBot="1" x14ac:dyDescent="0.3">
      <c r="C25" s="1201" t="s">
        <v>308</v>
      </c>
      <c r="D25" s="1202"/>
      <c r="E25" s="1202"/>
      <c r="F25" s="1202"/>
      <c r="G25" s="1202"/>
      <c r="H25" s="1202"/>
      <c r="I25" s="1202"/>
      <c r="J25" s="1202"/>
      <c r="K25" s="1203"/>
      <c r="M25" s="5"/>
      <c r="N25" s="5"/>
    </row>
    <row r="26" spans="2:18" ht="15.95" customHeight="1" thickBot="1" x14ac:dyDescent="0.3">
      <c r="B26" s="1051" t="s">
        <v>26</v>
      </c>
      <c r="C26" s="1043" t="s">
        <v>35</v>
      </c>
      <c r="D26" s="1045" t="s">
        <v>110</v>
      </c>
      <c r="E26" s="1046"/>
      <c r="F26" s="1047"/>
      <c r="G26" s="1045" t="s">
        <v>74</v>
      </c>
      <c r="H26" s="1047"/>
      <c r="I26" s="1043" t="s">
        <v>180</v>
      </c>
      <c r="J26" s="1043" t="s">
        <v>268</v>
      </c>
      <c r="K26" s="1049" t="s">
        <v>269</v>
      </c>
      <c r="M26" s="5"/>
      <c r="N26" s="5"/>
    </row>
    <row r="27" spans="2:18" ht="35.1" customHeight="1" thickBot="1" x14ac:dyDescent="0.3">
      <c r="B27" s="1051"/>
      <c r="C27" s="1044"/>
      <c r="D27" s="541" t="s">
        <v>174</v>
      </c>
      <c r="E27" s="541" t="s">
        <v>122</v>
      </c>
      <c r="F27" s="541" t="s">
        <v>81</v>
      </c>
      <c r="G27" s="537" t="s">
        <v>170</v>
      </c>
      <c r="H27" s="538" t="s">
        <v>270</v>
      </c>
      <c r="I27" s="1044"/>
      <c r="J27" s="1044"/>
      <c r="K27" s="1175"/>
      <c r="M27" s="5"/>
      <c r="N27" s="5"/>
    </row>
    <row r="28" spans="2:18" ht="15" customHeight="1" x14ac:dyDescent="0.25">
      <c r="B28" s="858">
        <v>1997</v>
      </c>
      <c r="C28" s="859">
        <v>1997</v>
      </c>
      <c r="D28" s="862">
        <v>2.9</v>
      </c>
      <c r="E28" s="863">
        <v>2.9391357225830093</v>
      </c>
      <c r="F28" s="886"/>
      <c r="G28" s="864"/>
      <c r="H28" s="864"/>
      <c r="I28" s="619">
        <f>2*10</f>
        <v>20</v>
      </c>
      <c r="J28" s="888">
        <f>I28-10</f>
        <v>10</v>
      </c>
      <c r="K28" s="889">
        <f>E28/I28</f>
        <v>0.14695678612915047</v>
      </c>
      <c r="M28" s="5"/>
      <c r="N28" s="5"/>
    </row>
    <row r="29" spans="2:18" ht="15" customHeight="1" x14ac:dyDescent="0.25">
      <c r="B29" s="858">
        <v>1998</v>
      </c>
      <c r="C29" s="359">
        <v>1998</v>
      </c>
      <c r="D29" s="865">
        <v>3.13</v>
      </c>
      <c r="E29" s="866">
        <v>3.1722395902361442</v>
      </c>
      <c r="F29" s="884">
        <f>(E29-E28)/E28</f>
        <v>7.9310344827586116E-2</v>
      </c>
      <c r="G29" s="867"/>
      <c r="H29" s="867"/>
      <c r="I29" s="621">
        <f t="shared" ref="I29:I45" si="4">2*10</f>
        <v>20</v>
      </c>
      <c r="J29" s="554">
        <f t="shared" ref="J29:J45" si="5">I29-10</f>
        <v>10</v>
      </c>
      <c r="K29" s="890">
        <f t="shared" ref="K29:K48" si="6">E29/I29</f>
        <v>0.15861197951180722</v>
      </c>
      <c r="M29" s="5"/>
      <c r="N29" s="5"/>
    </row>
    <row r="30" spans="2:18" ht="15" customHeight="1" x14ac:dyDescent="0.25">
      <c r="B30" s="858">
        <v>1999</v>
      </c>
      <c r="C30" s="359">
        <v>1999</v>
      </c>
      <c r="D30" s="865">
        <v>3.1</v>
      </c>
      <c r="E30" s="866">
        <v>3.1418347379335616</v>
      </c>
      <c r="F30" s="884">
        <f t="shared" ref="F30:F48" si="7">(E30-E29)/E29</f>
        <v>-9.5846645367411373E-3</v>
      </c>
      <c r="G30" s="867"/>
      <c r="H30" s="867"/>
      <c r="I30" s="621">
        <f t="shared" si="4"/>
        <v>20</v>
      </c>
      <c r="J30" s="554">
        <f t="shared" si="5"/>
        <v>10</v>
      </c>
      <c r="K30" s="890">
        <f t="shared" si="6"/>
        <v>0.15709173689667807</v>
      </c>
      <c r="M30" s="5"/>
      <c r="N30" s="43"/>
      <c r="O30" s="599"/>
      <c r="P30" s="42"/>
      <c r="R30" s="42"/>
    </row>
    <row r="31" spans="2:18" ht="15" customHeight="1" x14ac:dyDescent="0.25">
      <c r="B31" s="858">
        <v>2000</v>
      </c>
      <c r="C31" s="359">
        <v>2000</v>
      </c>
      <c r="D31" s="865">
        <v>3.16</v>
      </c>
      <c r="E31" s="866">
        <v>3.2026444425387273</v>
      </c>
      <c r="F31" s="884">
        <f t="shared" si="7"/>
        <v>1.9354838709677403E-2</v>
      </c>
      <c r="G31" s="867"/>
      <c r="H31" s="867"/>
      <c r="I31" s="621">
        <f t="shared" si="4"/>
        <v>20</v>
      </c>
      <c r="J31" s="554">
        <f t="shared" si="5"/>
        <v>10</v>
      </c>
      <c r="K31" s="890">
        <f t="shared" si="6"/>
        <v>0.16013222212693637</v>
      </c>
      <c r="M31" s="5"/>
      <c r="N31" s="43"/>
      <c r="O31" s="599"/>
      <c r="P31" s="42"/>
      <c r="R31" s="42"/>
    </row>
    <row r="32" spans="2:18" ht="15" customHeight="1" x14ac:dyDescent="0.25">
      <c r="B32" s="858">
        <v>2001</v>
      </c>
      <c r="C32" s="359">
        <v>2001</v>
      </c>
      <c r="D32" s="865">
        <v>12</v>
      </c>
      <c r="E32" s="866">
        <v>12.161940921033141</v>
      </c>
      <c r="F32" s="884">
        <f t="shared" si="7"/>
        <v>2.7974683544303796</v>
      </c>
      <c r="G32" s="867"/>
      <c r="H32" s="867"/>
      <c r="I32" s="621">
        <f t="shared" si="4"/>
        <v>20</v>
      </c>
      <c r="J32" s="554">
        <f t="shared" si="5"/>
        <v>10</v>
      </c>
      <c r="K32" s="890">
        <f t="shared" si="6"/>
        <v>0.60809704605165704</v>
      </c>
      <c r="M32" s="5"/>
      <c r="N32" s="43"/>
      <c r="O32" s="599"/>
      <c r="P32" s="40"/>
      <c r="R32" s="42"/>
    </row>
    <row r="33" spans="1:22" ht="15" customHeight="1" x14ac:dyDescent="0.25">
      <c r="B33" s="858">
        <v>2002</v>
      </c>
      <c r="C33" s="359">
        <v>2002</v>
      </c>
      <c r="D33" s="865">
        <v>12.95</v>
      </c>
      <c r="E33" s="866">
        <v>13.124761243948264</v>
      </c>
      <c r="F33" s="884">
        <f t="shared" si="7"/>
        <v>7.9166666666666607E-2</v>
      </c>
      <c r="G33" s="867"/>
      <c r="H33" s="867"/>
      <c r="I33" s="621">
        <f t="shared" si="4"/>
        <v>20</v>
      </c>
      <c r="J33" s="554">
        <f t="shared" si="5"/>
        <v>10</v>
      </c>
      <c r="K33" s="890">
        <f t="shared" si="6"/>
        <v>0.65623806219741321</v>
      </c>
      <c r="M33" s="5"/>
      <c r="N33" s="43"/>
      <c r="O33" s="599"/>
      <c r="P33" s="42"/>
      <c r="R33" s="42"/>
    </row>
    <row r="34" spans="1:22" ht="15" customHeight="1" x14ac:dyDescent="0.25">
      <c r="B34" s="858">
        <v>2003</v>
      </c>
      <c r="C34" s="860">
        <v>37766.8125</v>
      </c>
      <c r="D34" s="865">
        <v>9.1300000000000008</v>
      </c>
      <c r="E34" s="866">
        <v>9.2200000000000006</v>
      </c>
      <c r="F34" s="884">
        <f t="shared" si="7"/>
        <v>-0.29751103059103046</v>
      </c>
      <c r="G34" s="867"/>
      <c r="H34" s="867"/>
      <c r="I34" s="621">
        <f t="shared" si="4"/>
        <v>20</v>
      </c>
      <c r="J34" s="554">
        <f t="shared" si="5"/>
        <v>10</v>
      </c>
      <c r="K34" s="890">
        <f t="shared" si="6"/>
        <v>0.46100000000000002</v>
      </c>
      <c r="M34" s="5"/>
      <c r="N34" s="43"/>
      <c r="O34" s="599"/>
      <c r="P34" s="42"/>
      <c r="R34" s="42"/>
    </row>
    <row r="35" spans="1:22" ht="15" customHeight="1" x14ac:dyDescent="0.25">
      <c r="B35" s="858">
        <v>2004</v>
      </c>
      <c r="C35" s="860">
        <v>38162.302083333336</v>
      </c>
      <c r="D35" s="865">
        <v>9.75</v>
      </c>
      <c r="E35" s="866">
        <v>9.93</v>
      </c>
      <c r="F35" s="884">
        <f t="shared" si="7"/>
        <v>7.7006507592190784E-2</v>
      </c>
      <c r="G35" s="867"/>
      <c r="H35" s="867"/>
      <c r="I35" s="621">
        <f t="shared" si="4"/>
        <v>20</v>
      </c>
      <c r="J35" s="554">
        <f t="shared" si="5"/>
        <v>10</v>
      </c>
      <c r="K35" s="890">
        <f t="shared" si="6"/>
        <v>0.4965</v>
      </c>
      <c r="M35" s="5"/>
      <c r="N35" s="43"/>
      <c r="O35" s="599"/>
      <c r="P35" s="42"/>
      <c r="R35" s="42"/>
    </row>
    <row r="36" spans="1:22" ht="15" customHeight="1" x14ac:dyDescent="0.25">
      <c r="B36" s="858">
        <v>2005</v>
      </c>
      <c r="C36" s="860">
        <v>38525.84375</v>
      </c>
      <c r="D36" s="865">
        <v>17.68</v>
      </c>
      <c r="E36" s="866">
        <v>17.95</v>
      </c>
      <c r="F36" s="884">
        <f t="shared" si="7"/>
        <v>0.80765357502517621</v>
      </c>
      <c r="G36" s="867"/>
      <c r="H36" s="867"/>
      <c r="I36" s="621">
        <f t="shared" si="4"/>
        <v>20</v>
      </c>
      <c r="J36" s="554">
        <f t="shared" si="5"/>
        <v>10</v>
      </c>
      <c r="K36" s="891">
        <f t="shared" si="6"/>
        <v>0.89749999999999996</v>
      </c>
      <c r="M36" s="5"/>
      <c r="N36" s="43"/>
      <c r="O36" s="599"/>
      <c r="P36" s="42"/>
    </row>
    <row r="37" spans="1:22" ht="15" customHeight="1" x14ac:dyDescent="0.25">
      <c r="B37" s="858">
        <v>2006</v>
      </c>
      <c r="C37" s="860">
        <v>38929.833333333336</v>
      </c>
      <c r="D37" s="865">
        <v>16.05</v>
      </c>
      <c r="E37" s="866">
        <v>16.329999999999998</v>
      </c>
      <c r="F37" s="884">
        <f t="shared" si="7"/>
        <v>-9.0250696378830139E-2</v>
      </c>
      <c r="G37" s="867"/>
      <c r="H37" s="867"/>
      <c r="I37" s="621">
        <f t="shared" si="4"/>
        <v>20</v>
      </c>
      <c r="J37" s="554">
        <f t="shared" si="5"/>
        <v>10</v>
      </c>
      <c r="K37" s="890">
        <f t="shared" si="6"/>
        <v>0.81649999999999989</v>
      </c>
      <c r="M37" s="5"/>
      <c r="N37" s="43"/>
      <c r="O37" s="599"/>
      <c r="P37" s="42"/>
    </row>
    <row r="38" spans="1:22" ht="15" customHeight="1" x14ac:dyDescent="0.25">
      <c r="B38" s="858">
        <v>2007</v>
      </c>
      <c r="C38" s="860">
        <v>39273.854166666664</v>
      </c>
      <c r="D38" s="865">
        <v>15.9</v>
      </c>
      <c r="E38" s="866">
        <v>16.07</v>
      </c>
      <c r="F38" s="884">
        <f t="shared" si="7"/>
        <v>-1.5921616656460382E-2</v>
      </c>
      <c r="G38" s="867"/>
      <c r="H38" s="867"/>
      <c r="I38" s="621">
        <f t="shared" si="4"/>
        <v>20</v>
      </c>
      <c r="J38" s="554">
        <f t="shared" si="5"/>
        <v>10</v>
      </c>
      <c r="K38" s="890">
        <f t="shared" si="6"/>
        <v>0.80349999999999999</v>
      </c>
      <c r="M38" s="5"/>
      <c r="N38" s="43"/>
      <c r="O38" s="599"/>
      <c r="P38" s="42"/>
    </row>
    <row r="39" spans="1:22" ht="15" customHeight="1" x14ac:dyDescent="0.25">
      <c r="B39" s="858">
        <v>2008</v>
      </c>
      <c r="C39" s="860">
        <v>39622.895833333336</v>
      </c>
      <c r="D39" s="865">
        <v>16.04</v>
      </c>
      <c r="E39" s="866">
        <v>16.239999999999998</v>
      </c>
      <c r="F39" s="884">
        <f t="shared" si="7"/>
        <v>1.0578718108276175E-2</v>
      </c>
      <c r="G39" s="867"/>
      <c r="H39" s="867"/>
      <c r="I39" s="621">
        <f t="shared" si="4"/>
        <v>20</v>
      </c>
      <c r="J39" s="554">
        <f t="shared" si="5"/>
        <v>10</v>
      </c>
      <c r="K39" s="890">
        <f t="shared" si="6"/>
        <v>0.81199999999999994</v>
      </c>
      <c r="M39" s="5"/>
      <c r="N39" s="43"/>
      <c r="O39" s="599"/>
      <c r="P39" s="42"/>
    </row>
    <row r="40" spans="1:22" ht="15" customHeight="1" x14ac:dyDescent="0.25">
      <c r="B40" s="858">
        <v>2009</v>
      </c>
      <c r="C40" s="860">
        <v>40018.802083333336</v>
      </c>
      <c r="D40" s="865">
        <v>16.72</v>
      </c>
      <c r="E40" s="866">
        <v>17</v>
      </c>
      <c r="F40" s="884">
        <f t="shared" si="7"/>
        <v>4.6798029556650349E-2</v>
      </c>
      <c r="G40" s="867"/>
      <c r="H40" s="867"/>
      <c r="I40" s="621">
        <f t="shared" si="4"/>
        <v>20</v>
      </c>
      <c r="J40" s="554">
        <f t="shared" si="5"/>
        <v>10</v>
      </c>
      <c r="K40" s="890">
        <f t="shared" si="6"/>
        <v>0.85</v>
      </c>
      <c r="M40" s="5"/>
      <c r="N40" s="43"/>
      <c r="O40" s="599"/>
      <c r="P40" s="40"/>
    </row>
    <row r="41" spans="1:22" ht="15" customHeight="1" x14ac:dyDescent="0.25">
      <c r="B41" s="858">
        <v>2010</v>
      </c>
      <c r="C41" s="860">
        <v>40393.479166666664</v>
      </c>
      <c r="D41" s="865">
        <v>16.79</v>
      </c>
      <c r="E41" s="866">
        <v>17.28</v>
      </c>
      <c r="F41" s="884">
        <f t="shared" si="7"/>
        <v>1.6470588235294185E-2</v>
      </c>
      <c r="G41" s="867"/>
      <c r="H41" s="867"/>
      <c r="I41" s="621">
        <f t="shared" si="4"/>
        <v>20</v>
      </c>
      <c r="J41" s="554">
        <f t="shared" si="5"/>
        <v>10</v>
      </c>
      <c r="K41" s="890">
        <f t="shared" si="6"/>
        <v>0.8640000000000001</v>
      </c>
      <c r="M41" s="5"/>
      <c r="N41" s="5"/>
    </row>
    <row r="42" spans="1:22" ht="15" customHeight="1" x14ac:dyDescent="0.25">
      <c r="B42" s="858">
        <v>2011</v>
      </c>
      <c r="C42" s="860">
        <v>40745.364583333336</v>
      </c>
      <c r="D42" s="865">
        <v>17.37</v>
      </c>
      <c r="E42" s="866">
        <v>17.760000000000002</v>
      </c>
      <c r="F42" s="884">
        <f t="shared" si="7"/>
        <v>2.7777777777777801E-2</v>
      </c>
      <c r="G42" s="867"/>
      <c r="H42" s="867"/>
      <c r="I42" s="621">
        <f t="shared" si="4"/>
        <v>20</v>
      </c>
      <c r="J42" s="554">
        <f t="shared" si="5"/>
        <v>10</v>
      </c>
      <c r="K42" s="890">
        <f t="shared" si="6"/>
        <v>0.88800000000000012</v>
      </c>
      <c r="M42" s="5"/>
      <c r="N42" s="5"/>
    </row>
    <row r="43" spans="1:22" ht="15" customHeight="1" x14ac:dyDescent="0.25">
      <c r="B43" s="858">
        <v>2012</v>
      </c>
      <c r="C43" s="860">
        <v>41107.333333333336</v>
      </c>
      <c r="D43" s="865">
        <v>17.79</v>
      </c>
      <c r="E43" s="866">
        <v>18.170000000000002</v>
      </c>
      <c r="F43" s="884">
        <f t="shared" si="7"/>
        <v>2.3085585585585593E-2</v>
      </c>
      <c r="G43" s="867"/>
      <c r="H43" s="867"/>
      <c r="I43" s="621">
        <f t="shared" si="4"/>
        <v>20</v>
      </c>
      <c r="J43" s="554">
        <f t="shared" si="5"/>
        <v>10</v>
      </c>
      <c r="K43" s="891">
        <f t="shared" si="6"/>
        <v>0.90850000000000009</v>
      </c>
      <c r="M43" s="5"/>
      <c r="N43" s="5"/>
    </row>
    <row r="44" spans="1:22" ht="15" customHeight="1" x14ac:dyDescent="0.25">
      <c r="B44" s="858">
        <v>2013</v>
      </c>
      <c r="C44" s="860">
        <v>41478.479166666664</v>
      </c>
      <c r="D44" s="865">
        <v>19.79</v>
      </c>
      <c r="E44" s="866">
        <v>20.260000000000002</v>
      </c>
      <c r="F44" s="884">
        <f t="shared" si="7"/>
        <v>0.11502476609796365</v>
      </c>
      <c r="G44" s="867"/>
      <c r="H44" s="867"/>
      <c r="I44" s="621">
        <f t="shared" si="4"/>
        <v>20</v>
      </c>
      <c r="J44" s="554">
        <f t="shared" si="5"/>
        <v>10</v>
      </c>
      <c r="K44" s="891">
        <f t="shared" si="6"/>
        <v>1.0130000000000001</v>
      </c>
      <c r="M44" s="5"/>
      <c r="N44" s="5"/>
    </row>
    <row r="45" spans="1:22" ht="15" customHeight="1" x14ac:dyDescent="0.25">
      <c r="B45" s="858">
        <v>2014</v>
      </c>
      <c r="C45" s="861">
        <v>41844.354166666664</v>
      </c>
      <c r="D45" s="865">
        <v>18.059999999999999</v>
      </c>
      <c r="E45" s="866">
        <v>18.64</v>
      </c>
      <c r="F45" s="884">
        <f t="shared" si="7"/>
        <v>-7.9960513326752261E-2</v>
      </c>
      <c r="G45" s="867"/>
      <c r="H45" s="867"/>
      <c r="I45" s="621">
        <f t="shared" si="4"/>
        <v>20</v>
      </c>
      <c r="J45" s="554">
        <f t="shared" si="5"/>
        <v>10</v>
      </c>
      <c r="K45" s="891">
        <f t="shared" si="6"/>
        <v>0.93200000000000005</v>
      </c>
      <c r="M45" s="5"/>
      <c r="N45" s="5"/>
    </row>
    <row r="46" spans="1:22" ht="15" customHeight="1" x14ac:dyDescent="0.25">
      <c r="A46" s="342"/>
      <c r="B46" s="68">
        <v>2015</v>
      </c>
      <c r="C46" s="868">
        <v>42341.625</v>
      </c>
      <c r="D46" s="865">
        <v>26.22</v>
      </c>
      <c r="E46" s="866">
        <v>27.27</v>
      </c>
      <c r="F46" s="884">
        <f t="shared" si="7"/>
        <v>0.4629828326180257</v>
      </c>
      <c r="G46" s="869"/>
      <c r="H46" s="869"/>
      <c r="I46" s="870">
        <f t="shared" ref="I46:I58" si="8">2*55</f>
        <v>110</v>
      </c>
      <c r="J46" s="49">
        <f t="shared" ref="J46:J58" si="9">I46-55</f>
        <v>55</v>
      </c>
      <c r="K46" s="890">
        <f t="shared" si="6"/>
        <v>0.24790909090909091</v>
      </c>
      <c r="L46" s="882"/>
      <c r="M46" s="883" t="s">
        <v>347</v>
      </c>
      <c r="N46" s="824"/>
      <c r="O46" s="342"/>
      <c r="P46" s="342"/>
      <c r="Q46" s="342"/>
      <c r="R46" s="342"/>
      <c r="S46" s="342"/>
      <c r="T46" s="342"/>
      <c r="U46" s="342"/>
      <c r="V46" s="342"/>
    </row>
    <row r="47" spans="1:22" ht="15" customHeight="1" x14ac:dyDescent="0.25">
      <c r="B47" s="68">
        <v>2016</v>
      </c>
      <c r="C47" s="868">
        <v>42579.458333333336</v>
      </c>
      <c r="D47" s="865">
        <v>27.97</v>
      </c>
      <c r="E47" s="866">
        <v>28.5</v>
      </c>
      <c r="F47" s="884">
        <f t="shared" si="7"/>
        <v>4.5104510451045118E-2</v>
      </c>
      <c r="G47" s="869"/>
      <c r="H47" s="869"/>
      <c r="I47" s="870">
        <f t="shared" si="8"/>
        <v>110</v>
      </c>
      <c r="J47" s="49">
        <f t="shared" si="9"/>
        <v>55</v>
      </c>
      <c r="K47" s="890">
        <f t="shared" si="6"/>
        <v>0.25909090909090909</v>
      </c>
      <c r="M47" s="5"/>
      <c r="N47" s="5"/>
    </row>
    <row r="48" spans="1:22" ht="15" customHeight="1" x14ac:dyDescent="0.25">
      <c r="B48" s="68">
        <v>2017</v>
      </c>
      <c r="C48" s="868">
        <v>43054.46875</v>
      </c>
      <c r="D48" s="865">
        <v>30.9</v>
      </c>
      <c r="E48" s="866">
        <v>30.91</v>
      </c>
      <c r="F48" s="884">
        <f t="shared" si="7"/>
        <v>8.4561403508771935E-2</v>
      </c>
      <c r="G48" s="869"/>
      <c r="H48" s="869">
        <f>E48</f>
        <v>30.91</v>
      </c>
      <c r="I48" s="870">
        <f t="shared" si="8"/>
        <v>110</v>
      </c>
      <c r="J48" s="49">
        <f t="shared" si="9"/>
        <v>55</v>
      </c>
      <c r="K48" s="890">
        <f t="shared" si="6"/>
        <v>0.28100000000000003</v>
      </c>
      <c r="M48" s="5"/>
      <c r="N48" s="5"/>
    </row>
    <row r="49" spans="2:14" ht="15" customHeight="1" x14ac:dyDescent="0.25">
      <c r="B49" s="69">
        <v>2018</v>
      </c>
      <c r="C49" s="603">
        <v>2018</v>
      </c>
      <c r="D49" s="871"/>
      <c r="E49" s="872"/>
      <c r="F49" s="885"/>
      <c r="G49" s="873">
        <f>1.2166*B49-2426.5</f>
        <v>28.598799999999756</v>
      </c>
      <c r="H49" s="874">
        <f>1.22+H48</f>
        <v>32.130000000000003</v>
      </c>
      <c r="I49" s="875">
        <f t="shared" si="8"/>
        <v>110</v>
      </c>
      <c r="J49" s="54">
        <f t="shared" si="9"/>
        <v>55</v>
      </c>
      <c r="K49" s="892">
        <f>H49/I49</f>
        <v>0.29209090909090912</v>
      </c>
      <c r="M49" s="5"/>
      <c r="N49" s="5"/>
    </row>
    <row r="50" spans="2:14" ht="15" customHeight="1" x14ac:dyDescent="0.25">
      <c r="B50" s="69">
        <v>2019</v>
      </c>
      <c r="C50" s="603">
        <v>2019</v>
      </c>
      <c r="D50" s="871"/>
      <c r="E50" s="872"/>
      <c r="F50" s="885"/>
      <c r="G50" s="873">
        <f t="shared" ref="G50:G58" si="10">1.2166*B50-2426.5</f>
        <v>29.815399999999954</v>
      </c>
      <c r="H50" s="874">
        <f t="shared" ref="H50:H58" si="11">1.22+H49</f>
        <v>33.35</v>
      </c>
      <c r="I50" s="875">
        <f t="shared" si="8"/>
        <v>110</v>
      </c>
      <c r="J50" s="54">
        <f t="shared" si="9"/>
        <v>55</v>
      </c>
      <c r="K50" s="892">
        <f>H50/I50</f>
        <v>0.30318181818181822</v>
      </c>
      <c r="M50" s="5"/>
      <c r="N50" s="5"/>
    </row>
    <row r="51" spans="2:14" ht="15" customHeight="1" x14ac:dyDescent="0.25">
      <c r="B51" s="69">
        <v>2020</v>
      </c>
      <c r="C51" s="603">
        <v>2020</v>
      </c>
      <c r="D51" s="871"/>
      <c r="E51" s="872"/>
      <c r="F51" s="885"/>
      <c r="G51" s="873">
        <f t="shared" si="10"/>
        <v>31.031999999999698</v>
      </c>
      <c r="H51" s="874">
        <f t="shared" si="11"/>
        <v>34.57</v>
      </c>
      <c r="I51" s="875">
        <f t="shared" si="8"/>
        <v>110</v>
      </c>
      <c r="J51" s="54">
        <f t="shared" si="9"/>
        <v>55</v>
      </c>
      <c r="K51" s="892">
        <f t="shared" ref="K51:K58" si="12">H51/I51</f>
        <v>0.31427272727272726</v>
      </c>
      <c r="M51" s="5"/>
      <c r="N51" s="5"/>
    </row>
    <row r="52" spans="2:14" ht="15" customHeight="1" x14ac:dyDescent="0.25">
      <c r="B52" s="69">
        <v>2021</v>
      </c>
      <c r="C52" s="603">
        <v>2021</v>
      </c>
      <c r="D52" s="871"/>
      <c r="E52" s="872"/>
      <c r="F52" s="885"/>
      <c r="G52" s="873">
        <f t="shared" si="10"/>
        <v>32.248599999999897</v>
      </c>
      <c r="H52" s="874">
        <f t="shared" si="11"/>
        <v>35.79</v>
      </c>
      <c r="I52" s="875">
        <f t="shared" si="8"/>
        <v>110</v>
      </c>
      <c r="J52" s="54">
        <f t="shared" si="9"/>
        <v>55</v>
      </c>
      <c r="K52" s="892">
        <f>H52/I52</f>
        <v>0.32536363636363635</v>
      </c>
      <c r="M52" s="5"/>
      <c r="N52" s="5"/>
    </row>
    <row r="53" spans="2:14" ht="15" customHeight="1" x14ac:dyDescent="0.25">
      <c r="B53" s="69">
        <v>2022</v>
      </c>
      <c r="C53" s="603">
        <v>2022</v>
      </c>
      <c r="D53" s="871"/>
      <c r="E53" s="872"/>
      <c r="F53" s="885"/>
      <c r="G53" s="873">
        <f t="shared" si="10"/>
        <v>33.465199999999641</v>
      </c>
      <c r="H53" s="874">
        <f t="shared" si="11"/>
        <v>37.01</v>
      </c>
      <c r="I53" s="875">
        <f t="shared" si="8"/>
        <v>110</v>
      </c>
      <c r="J53" s="54">
        <f t="shared" si="9"/>
        <v>55</v>
      </c>
      <c r="K53" s="892">
        <f t="shared" si="12"/>
        <v>0.33645454545454545</v>
      </c>
      <c r="M53" s="5"/>
      <c r="N53" s="5"/>
    </row>
    <row r="54" spans="2:14" ht="15" customHeight="1" x14ac:dyDescent="0.25">
      <c r="B54" s="69">
        <v>2023</v>
      </c>
      <c r="C54" s="603">
        <v>2023</v>
      </c>
      <c r="D54" s="871"/>
      <c r="E54" s="872"/>
      <c r="F54" s="885"/>
      <c r="G54" s="873">
        <f t="shared" si="10"/>
        <v>34.681799999999839</v>
      </c>
      <c r="H54" s="874">
        <f t="shared" si="11"/>
        <v>38.229999999999997</v>
      </c>
      <c r="I54" s="875">
        <f t="shared" si="8"/>
        <v>110</v>
      </c>
      <c r="J54" s="54">
        <f t="shared" si="9"/>
        <v>55</v>
      </c>
      <c r="K54" s="892">
        <f t="shared" si="12"/>
        <v>0.34754545454545449</v>
      </c>
      <c r="M54" s="5"/>
      <c r="N54" s="5"/>
    </row>
    <row r="55" spans="2:14" ht="15" customHeight="1" x14ac:dyDescent="0.25">
      <c r="B55" s="69">
        <v>2024</v>
      </c>
      <c r="C55" s="603">
        <v>2024</v>
      </c>
      <c r="D55" s="871"/>
      <c r="E55" s="872"/>
      <c r="F55" s="885"/>
      <c r="G55" s="873">
        <f t="shared" si="10"/>
        <v>35.898399999999583</v>
      </c>
      <c r="H55" s="874">
        <f t="shared" si="11"/>
        <v>39.449999999999996</v>
      </c>
      <c r="I55" s="875">
        <f t="shared" si="8"/>
        <v>110</v>
      </c>
      <c r="J55" s="54">
        <f t="shared" si="9"/>
        <v>55</v>
      </c>
      <c r="K55" s="892">
        <f t="shared" si="12"/>
        <v>0.35863636363636359</v>
      </c>
      <c r="M55" s="5"/>
      <c r="N55" s="5"/>
    </row>
    <row r="56" spans="2:14" ht="15" customHeight="1" x14ac:dyDescent="0.25">
      <c r="B56" s="69">
        <v>2025</v>
      </c>
      <c r="C56" s="603">
        <v>2025</v>
      </c>
      <c r="D56" s="871"/>
      <c r="E56" s="872"/>
      <c r="F56" s="885"/>
      <c r="G56" s="873">
        <f t="shared" si="10"/>
        <v>37.114999999999782</v>
      </c>
      <c r="H56" s="874">
        <f t="shared" si="11"/>
        <v>40.669999999999995</v>
      </c>
      <c r="I56" s="875">
        <f t="shared" si="8"/>
        <v>110</v>
      </c>
      <c r="J56" s="54">
        <f t="shared" si="9"/>
        <v>55</v>
      </c>
      <c r="K56" s="892">
        <f t="shared" si="12"/>
        <v>0.36972727272727268</v>
      </c>
      <c r="M56" s="5"/>
      <c r="N56" s="5"/>
    </row>
    <row r="57" spans="2:14" ht="15" customHeight="1" x14ac:dyDescent="0.25">
      <c r="B57" s="69">
        <v>2026</v>
      </c>
      <c r="C57" s="603">
        <v>2026</v>
      </c>
      <c r="D57" s="871"/>
      <c r="E57" s="872"/>
      <c r="F57" s="885"/>
      <c r="G57" s="873">
        <f t="shared" si="10"/>
        <v>38.33159999999998</v>
      </c>
      <c r="H57" s="874">
        <f t="shared" si="11"/>
        <v>41.889999999999993</v>
      </c>
      <c r="I57" s="875">
        <f t="shared" si="8"/>
        <v>110</v>
      </c>
      <c r="J57" s="54">
        <f t="shared" si="9"/>
        <v>55</v>
      </c>
      <c r="K57" s="892">
        <f t="shared" si="12"/>
        <v>0.38081818181818178</v>
      </c>
      <c r="M57" s="5"/>
      <c r="N57" s="5"/>
    </row>
    <row r="58" spans="2:14" ht="15" customHeight="1" thickBot="1" x14ac:dyDescent="0.3">
      <c r="B58" s="252">
        <v>2027</v>
      </c>
      <c r="C58" s="876">
        <v>2027</v>
      </c>
      <c r="D58" s="877"/>
      <c r="E58" s="878"/>
      <c r="F58" s="887"/>
      <c r="G58" s="879">
        <f t="shared" si="10"/>
        <v>39.548199999999724</v>
      </c>
      <c r="H58" s="880">
        <f t="shared" si="11"/>
        <v>43.109999999999992</v>
      </c>
      <c r="I58" s="881">
        <f t="shared" si="8"/>
        <v>110</v>
      </c>
      <c r="J58" s="209">
        <f t="shared" si="9"/>
        <v>55</v>
      </c>
      <c r="K58" s="893">
        <f t="shared" si="12"/>
        <v>0.39190909090909082</v>
      </c>
      <c r="M58" s="5"/>
      <c r="N58" s="5"/>
    </row>
    <row r="59" spans="2:14" ht="15" customHeight="1" x14ac:dyDescent="0.25">
      <c r="D59"/>
      <c r="F59" s="143"/>
      <c r="G59"/>
      <c r="H59">
        <f>0.043*H48</f>
        <v>1.3291299999999999</v>
      </c>
      <c r="I59"/>
      <c r="J59"/>
      <c r="K59"/>
      <c r="L59"/>
    </row>
    <row r="60" spans="2:14" ht="15" customHeight="1" x14ac:dyDescent="0.25">
      <c r="D60" t="s">
        <v>380</v>
      </c>
      <c r="E60" s="11">
        <f>E48-E38</f>
        <v>14.84</v>
      </c>
      <c r="G60"/>
      <c r="H60" s="11">
        <f>H58-H48</f>
        <v>12.199999999999992</v>
      </c>
      <c r="I60"/>
      <c r="J60"/>
      <c r="K60"/>
      <c r="L60"/>
    </row>
    <row r="61" spans="2:14" ht="15" customHeight="1" x14ac:dyDescent="0.25">
      <c r="H61">
        <f>(H60-E60)/E60</f>
        <v>-0.17789757412398974</v>
      </c>
    </row>
    <row r="62" spans="2:14" ht="15" customHeight="1" x14ac:dyDescent="0.25"/>
    <row r="74" spans="15:16" x14ac:dyDescent="0.25">
      <c r="O74" s="438">
        <v>2014</v>
      </c>
      <c r="P74" s="40">
        <v>0</v>
      </c>
    </row>
    <row r="75" spans="15:16" x14ac:dyDescent="0.25">
      <c r="O75" s="438">
        <v>2015</v>
      </c>
      <c r="P75" s="40">
        <v>0</v>
      </c>
    </row>
    <row r="76" spans="15:16" x14ac:dyDescent="0.25">
      <c r="O76" s="438">
        <v>2015</v>
      </c>
      <c r="P76" s="40">
        <v>0</v>
      </c>
    </row>
    <row r="77" spans="15:16" x14ac:dyDescent="0.25">
      <c r="O77" s="438">
        <v>2015</v>
      </c>
      <c r="P77" s="40">
        <v>26.29</v>
      </c>
    </row>
    <row r="78" spans="15:16" x14ac:dyDescent="0.25">
      <c r="O78" s="73"/>
      <c r="P78" s="40"/>
    </row>
    <row r="79" spans="15:16" x14ac:dyDescent="0.25">
      <c r="O79" s="73"/>
      <c r="P79" s="40"/>
    </row>
    <row r="97" spans="1:20" ht="18" x14ac:dyDescent="0.25">
      <c r="A97" s="1093" t="s">
        <v>247</v>
      </c>
      <c r="B97" s="1093"/>
      <c r="C97" s="1093"/>
      <c r="D97" s="1093"/>
      <c r="E97" s="1093"/>
      <c r="F97" s="1093"/>
      <c r="G97" s="1093"/>
      <c r="H97" s="1093"/>
      <c r="I97" s="1093"/>
      <c r="J97" s="1093"/>
      <c r="K97" s="1093"/>
      <c r="L97" s="1093"/>
      <c r="M97" s="1093"/>
      <c r="N97" s="1093"/>
      <c r="O97" s="1093"/>
      <c r="P97" s="1093"/>
      <c r="Q97" s="1093"/>
      <c r="R97" s="1093"/>
      <c r="S97" s="1093"/>
      <c r="T97" s="1093"/>
    </row>
    <row r="98" spans="1:20" ht="18" x14ac:dyDescent="0.25">
      <c r="A98" s="1094" t="s">
        <v>248</v>
      </c>
      <c r="B98" s="1094"/>
      <c r="C98" s="1094"/>
      <c r="D98" s="1094"/>
      <c r="E98" s="1094"/>
      <c r="F98" s="1094"/>
      <c r="G98" s="1094"/>
      <c r="H98" s="1094"/>
      <c r="I98" s="1094"/>
      <c r="J98" s="1094"/>
      <c r="K98" s="1094"/>
      <c r="L98" s="1094"/>
      <c r="M98" s="1094"/>
      <c r="N98" s="1094"/>
      <c r="O98" s="1094"/>
      <c r="P98" s="1094"/>
      <c r="Q98" s="1094"/>
      <c r="R98" s="1094"/>
      <c r="S98" s="1094"/>
      <c r="T98" s="1094"/>
    </row>
    <row r="99" spans="1:20" ht="15.75" thickBot="1" x14ac:dyDescent="0.3">
      <c r="A99" s="452"/>
      <c r="B99" s="452"/>
      <c r="C99" s="452"/>
      <c r="D99" s="452"/>
      <c r="E99" s="452"/>
      <c r="F99" s="452"/>
      <c r="G99" s="452"/>
      <c r="H99" s="453"/>
      <c r="I99" s="452"/>
      <c r="J99" s="454"/>
      <c r="K99" s="453"/>
      <c r="L99" s="452"/>
      <c r="M99" s="454"/>
      <c r="N99" s="453"/>
      <c r="O99" s="452"/>
      <c r="P99" s="454"/>
      <c r="Q99" s="453"/>
      <c r="R99" s="452"/>
      <c r="S99" s="449"/>
      <c r="T99" s="450"/>
    </row>
    <row r="100" spans="1:20" x14ac:dyDescent="0.25">
      <c r="A100" s="1095" t="s">
        <v>249</v>
      </c>
      <c r="B100" s="1098" t="s">
        <v>250</v>
      </c>
      <c r="C100" s="1101" t="s">
        <v>251</v>
      </c>
      <c r="D100" s="1063" t="s">
        <v>252</v>
      </c>
      <c r="E100" s="1065"/>
      <c r="F100" s="1066">
        <v>2017</v>
      </c>
      <c r="G100" s="1064"/>
      <c r="H100" s="1106"/>
      <c r="I100" s="1063">
        <f>+F100+1</f>
        <v>2018</v>
      </c>
      <c r="J100" s="1064"/>
      <c r="K100" s="1065"/>
      <c r="L100" s="1066">
        <f>+I100+1</f>
        <v>2019</v>
      </c>
      <c r="M100" s="1064"/>
      <c r="N100" s="1106"/>
      <c r="O100" s="1063">
        <f>+L100+1</f>
        <v>2020</v>
      </c>
      <c r="P100" s="1064"/>
      <c r="Q100" s="1065"/>
      <c r="R100" s="1066">
        <f>+O100+1</f>
        <v>2021</v>
      </c>
      <c r="S100" s="1064"/>
      <c r="T100" s="1065"/>
    </row>
    <row r="101" spans="1:20" x14ac:dyDescent="0.25">
      <c r="A101" s="1096"/>
      <c r="B101" s="1099"/>
      <c r="C101" s="1102"/>
      <c r="D101" s="1104"/>
      <c r="E101" s="1105"/>
      <c r="F101" s="455" t="s">
        <v>253</v>
      </c>
      <c r="G101" s="1067" t="s">
        <v>254</v>
      </c>
      <c r="H101" s="1068"/>
      <c r="I101" s="456" t="s">
        <v>253</v>
      </c>
      <c r="J101" s="1067" t="s">
        <v>254</v>
      </c>
      <c r="K101" s="1069"/>
      <c r="L101" s="455" t="s">
        <v>253</v>
      </c>
      <c r="M101" s="1067" t="s">
        <v>254</v>
      </c>
      <c r="N101" s="1068"/>
      <c r="O101" s="456" t="s">
        <v>253</v>
      </c>
      <c r="P101" s="1067" t="s">
        <v>254</v>
      </c>
      <c r="Q101" s="1069"/>
      <c r="R101" s="455" t="s">
        <v>253</v>
      </c>
      <c r="S101" s="1067" t="s">
        <v>254</v>
      </c>
      <c r="T101" s="1069"/>
    </row>
    <row r="102" spans="1:20" ht="15.75" thickBot="1" x14ac:dyDescent="0.3">
      <c r="A102" s="1097"/>
      <c r="B102" s="1100"/>
      <c r="C102" s="1103"/>
      <c r="D102" s="1091" t="s">
        <v>255</v>
      </c>
      <c r="E102" s="1092"/>
      <c r="F102" s="457" t="s">
        <v>255</v>
      </c>
      <c r="G102" s="458" t="s">
        <v>255</v>
      </c>
      <c r="H102" s="459" t="s">
        <v>256</v>
      </c>
      <c r="I102" s="460" t="s">
        <v>255</v>
      </c>
      <c r="J102" s="461" t="s">
        <v>255</v>
      </c>
      <c r="K102" s="462" t="s">
        <v>256</v>
      </c>
      <c r="L102" s="457" t="s">
        <v>255</v>
      </c>
      <c r="M102" s="461" t="s">
        <v>255</v>
      </c>
      <c r="N102" s="459" t="s">
        <v>256</v>
      </c>
      <c r="O102" s="460" t="s">
        <v>255</v>
      </c>
      <c r="P102" s="461" t="s">
        <v>255</v>
      </c>
      <c r="Q102" s="462" t="s">
        <v>256</v>
      </c>
      <c r="R102" s="457" t="s">
        <v>255</v>
      </c>
      <c r="S102" s="461" t="s">
        <v>255</v>
      </c>
      <c r="T102" s="462" t="s">
        <v>256</v>
      </c>
    </row>
    <row r="103" spans="1:20" ht="24" customHeight="1" x14ac:dyDescent="0.25">
      <c r="B103" s="1190" t="s">
        <v>261</v>
      </c>
      <c r="C103" s="638" t="s">
        <v>24</v>
      </c>
      <c r="D103" s="639">
        <v>55</v>
      </c>
      <c r="E103" s="1138">
        <v>110</v>
      </c>
      <c r="F103" s="1186">
        <v>110</v>
      </c>
      <c r="G103" s="1184">
        <v>38.190073557428299</v>
      </c>
      <c r="H103" s="1185">
        <v>0.34718248688571179</v>
      </c>
      <c r="I103" s="1186">
        <v>110</v>
      </c>
      <c r="J103" s="1184">
        <v>39.832246720397713</v>
      </c>
      <c r="K103" s="1185">
        <v>0.36211133382179739</v>
      </c>
      <c r="L103" s="1139">
        <v>110</v>
      </c>
      <c r="M103" s="1170">
        <v>41.54503332937481</v>
      </c>
      <c r="N103" s="1185">
        <v>0.37768212117613464</v>
      </c>
      <c r="O103" s="1139">
        <v>110</v>
      </c>
      <c r="P103" s="1170">
        <v>43.331469762537921</v>
      </c>
      <c r="Q103" s="1185">
        <v>0.39392245238670837</v>
      </c>
      <c r="R103" s="1187">
        <v>110</v>
      </c>
      <c r="S103" s="1184">
        <v>45.194722962327049</v>
      </c>
      <c r="T103" s="1185">
        <v>0.41086111783933682</v>
      </c>
    </row>
    <row r="104" spans="1:20" ht="24" customHeight="1" x14ac:dyDescent="0.25">
      <c r="B104" s="1148"/>
      <c r="C104" s="640" t="s">
        <v>24</v>
      </c>
      <c r="D104" s="641">
        <v>55</v>
      </c>
      <c r="E104" s="1138"/>
      <c r="F104" s="1186"/>
      <c r="G104" s="1184"/>
      <c r="H104" s="1185"/>
      <c r="I104" s="1186"/>
      <c r="J104" s="1184"/>
      <c r="K104" s="1185"/>
      <c r="L104" s="1141"/>
      <c r="M104" s="1172"/>
      <c r="N104" s="1185"/>
      <c r="O104" s="1141"/>
      <c r="P104" s="1172"/>
      <c r="Q104" s="1185"/>
      <c r="R104" s="1187"/>
      <c r="S104" s="1184"/>
      <c r="T104" s="1185"/>
    </row>
    <row r="105" spans="1:20" x14ac:dyDescent="0.25">
      <c r="J105" s="11">
        <f>1.043*G103</f>
        <v>39.832246720397713</v>
      </c>
      <c r="M105">
        <f>1.043*J105</f>
        <v>41.54503332937481</v>
      </c>
      <c r="P105">
        <f>1.043*M105</f>
        <v>43.331469762537921</v>
      </c>
      <c r="S105">
        <f>1.043*P105</f>
        <v>45.194722962327049</v>
      </c>
    </row>
    <row r="106" spans="1:20" x14ac:dyDescent="0.25">
      <c r="I106" s="39">
        <v>2016</v>
      </c>
      <c r="J106" s="258"/>
    </row>
    <row r="107" spans="1:20" x14ac:dyDescent="0.25">
      <c r="I107" s="39">
        <v>2017</v>
      </c>
      <c r="J107" s="258"/>
    </row>
    <row r="108" spans="1:20" x14ac:dyDescent="0.25">
      <c r="I108" s="39">
        <v>2018</v>
      </c>
      <c r="J108" s="258"/>
    </row>
    <row r="109" spans="1:20" x14ac:dyDescent="0.25">
      <c r="I109" s="39">
        <v>2019</v>
      </c>
      <c r="J109" s="258"/>
    </row>
    <row r="110" spans="1:20" x14ac:dyDescent="0.25">
      <c r="I110" s="39">
        <v>2020</v>
      </c>
      <c r="J110" s="258"/>
    </row>
  </sheetData>
  <mergeCells count="51">
    <mergeCell ref="S101:T101"/>
    <mergeCell ref="S103:S104"/>
    <mergeCell ref="T103:T104"/>
    <mergeCell ref="N103:N104"/>
    <mergeCell ref="O103:O104"/>
    <mergeCell ref="P103:P104"/>
    <mergeCell ref="Q103:Q104"/>
    <mergeCell ref="R103:R104"/>
    <mergeCell ref="I103:I104"/>
    <mergeCell ref="J103:J104"/>
    <mergeCell ref="K103:K104"/>
    <mergeCell ref="L103:L104"/>
    <mergeCell ref="M103:M104"/>
    <mergeCell ref="B103:B104"/>
    <mergeCell ref="E103:E104"/>
    <mergeCell ref="F103:F104"/>
    <mergeCell ref="G103:G104"/>
    <mergeCell ref="H103:H104"/>
    <mergeCell ref="B3:K3"/>
    <mergeCell ref="B4:K4"/>
    <mergeCell ref="B5:B6"/>
    <mergeCell ref="C5:C6"/>
    <mergeCell ref="D5:F5"/>
    <mergeCell ref="G5:I5"/>
    <mergeCell ref="J5:J6"/>
    <mergeCell ref="K5:K6"/>
    <mergeCell ref="C24:K24"/>
    <mergeCell ref="C25:K25"/>
    <mergeCell ref="B26:B27"/>
    <mergeCell ref="C26:C27"/>
    <mergeCell ref="D26:F26"/>
    <mergeCell ref="G26:H26"/>
    <mergeCell ref="I26:I27"/>
    <mergeCell ref="J26:J27"/>
    <mergeCell ref="K26:K27"/>
    <mergeCell ref="D102:E102"/>
    <mergeCell ref="A97:T97"/>
    <mergeCell ref="A98:T98"/>
    <mergeCell ref="A100:A102"/>
    <mergeCell ref="B100:B102"/>
    <mergeCell ref="C100:C102"/>
    <mergeCell ref="D100:E101"/>
    <mergeCell ref="F100:H100"/>
    <mergeCell ref="I100:K100"/>
    <mergeCell ref="L100:N100"/>
    <mergeCell ref="O100:Q100"/>
    <mergeCell ref="R100:T100"/>
    <mergeCell ref="G101:H101"/>
    <mergeCell ref="J101:K101"/>
    <mergeCell ref="M101:N101"/>
    <mergeCell ref="P101:Q101"/>
  </mergeCells>
  <conditionalFormatting sqref="T103:T104 Q103:Q104 N103:N104 K103:K104 H103:H104">
    <cfRule type="cellIs" dxfId="5" priority="1" operator="greaterThan">
      <formula>1</formula>
    </cfRule>
  </conditionalFormatting>
  <printOptions gridLines="1"/>
  <pageMargins left="0.11811023622047245" right="0.11811023622047245" top="0.55118110236220474" bottom="0.15748031496062992" header="0" footer="0"/>
  <pageSetup paperSize="9" scale="12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FF00"/>
  </sheetPr>
  <dimension ref="A2:X123"/>
  <sheetViews>
    <sheetView topLeftCell="A88" workbookViewId="0">
      <selection activeCell="N52" sqref="N52"/>
    </sheetView>
  </sheetViews>
  <sheetFormatPr baseColWidth="10" defaultRowHeight="15" x14ac:dyDescent="0.25"/>
  <cols>
    <col min="1" max="2" width="5.7109375" customWidth="1"/>
    <col min="3" max="3" width="7.7109375" customWidth="1"/>
    <col min="4" max="5" width="10.7109375" customWidth="1"/>
    <col min="6" max="6" width="11.7109375" customWidth="1"/>
    <col min="7" max="9" width="12.7109375" customWidth="1"/>
    <col min="10" max="11" width="10.7109375" customWidth="1"/>
    <col min="12" max="12" width="11.42578125" style="10"/>
  </cols>
  <sheetData>
    <row r="2" spans="2:15" ht="15.75" thickBot="1" x14ac:dyDescent="0.3"/>
    <row r="3" spans="2:15" ht="15.95" customHeight="1" x14ac:dyDescent="0.25">
      <c r="B3" s="1301" t="s">
        <v>84</v>
      </c>
      <c r="C3" s="1302"/>
      <c r="D3" s="1302"/>
      <c r="E3" s="1302"/>
      <c r="F3" s="1302"/>
      <c r="G3" s="1302"/>
      <c r="H3" s="1302"/>
      <c r="I3" s="1302"/>
      <c r="J3" s="1302"/>
      <c r="K3" s="1303"/>
    </row>
    <row r="4" spans="2:15" ht="15.95" customHeight="1" thickBot="1" x14ac:dyDescent="0.3">
      <c r="B4" s="1304" t="s">
        <v>47</v>
      </c>
      <c r="C4" s="1305"/>
      <c r="D4" s="1305"/>
      <c r="E4" s="1305"/>
      <c r="F4" s="1305"/>
      <c r="G4" s="1305"/>
      <c r="H4" s="1305"/>
      <c r="I4" s="1305"/>
      <c r="J4" s="1305"/>
      <c r="K4" s="1306"/>
    </row>
    <row r="5" spans="2:15" ht="15.95" customHeight="1" x14ac:dyDescent="0.25">
      <c r="B5" s="1166" t="s">
        <v>124</v>
      </c>
      <c r="C5" s="1181" t="s">
        <v>26</v>
      </c>
      <c r="D5" s="1169" t="s">
        <v>110</v>
      </c>
      <c r="E5" s="1167"/>
      <c r="F5" s="1168"/>
      <c r="G5" s="1169" t="s">
        <v>74</v>
      </c>
      <c r="H5" s="1167"/>
      <c r="I5" s="1168"/>
      <c r="J5" s="1181" t="s">
        <v>105</v>
      </c>
      <c r="K5" s="1183" t="s">
        <v>112</v>
      </c>
    </row>
    <row r="6" spans="2:15" ht="39.950000000000003" customHeight="1" x14ac:dyDescent="0.25">
      <c r="B6" s="1119"/>
      <c r="C6" s="1032"/>
      <c r="D6" s="330" t="s">
        <v>79</v>
      </c>
      <c r="E6" s="330" t="s">
        <v>116</v>
      </c>
      <c r="F6" s="330" t="s">
        <v>82</v>
      </c>
      <c r="G6" s="38" t="s">
        <v>243</v>
      </c>
      <c r="H6" s="38" t="s">
        <v>232</v>
      </c>
      <c r="I6" s="38" t="s">
        <v>130</v>
      </c>
      <c r="J6" s="1032"/>
      <c r="K6" s="1124"/>
      <c r="L6" s="259" t="s">
        <v>206</v>
      </c>
      <c r="M6" s="85" t="s">
        <v>73</v>
      </c>
      <c r="N6" s="38" t="s">
        <v>240</v>
      </c>
    </row>
    <row r="7" spans="2:15" ht="15" customHeight="1" x14ac:dyDescent="0.25">
      <c r="B7" s="201">
        <v>11</v>
      </c>
      <c r="C7" s="68">
        <v>2003</v>
      </c>
      <c r="D7" s="62">
        <v>5.55</v>
      </c>
      <c r="E7" s="40">
        <v>6.05</v>
      </c>
      <c r="F7" s="175"/>
      <c r="G7" s="40"/>
      <c r="H7" s="40"/>
      <c r="I7" s="40"/>
      <c r="J7" s="62">
        <v>10</v>
      </c>
      <c r="K7" s="204">
        <f t="shared" ref="K7:K29" si="0">J7 - 10</f>
        <v>0</v>
      </c>
      <c r="L7" s="263">
        <v>0.91620000000000001</v>
      </c>
      <c r="M7" s="50"/>
      <c r="N7" s="50"/>
    </row>
    <row r="8" spans="2:15" ht="15" customHeight="1" x14ac:dyDescent="0.25">
      <c r="B8" s="201">
        <v>5</v>
      </c>
      <c r="C8" s="68">
        <v>2004</v>
      </c>
      <c r="D8" s="62">
        <v>5.96</v>
      </c>
      <c r="E8" s="40">
        <v>6.32</v>
      </c>
      <c r="F8" s="175">
        <f>(E8-E7)/E7</f>
        <v>4.4628099173553794E-2</v>
      </c>
      <c r="G8" s="40"/>
      <c r="H8" s="40"/>
      <c r="I8" s="40"/>
      <c r="J8" s="62">
        <v>10</v>
      </c>
      <c r="K8" s="204">
        <f t="shared" si="0"/>
        <v>0</v>
      </c>
      <c r="L8" s="263">
        <v>0.94379999999999997</v>
      </c>
      <c r="M8" s="50"/>
      <c r="N8" s="50"/>
    </row>
    <row r="9" spans="2:15" ht="15" customHeight="1" x14ac:dyDescent="0.25">
      <c r="B9" s="201">
        <v>8</v>
      </c>
      <c r="C9" s="68">
        <v>2005</v>
      </c>
      <c r="D9" s="62">
        <v>7.74</v>
      </c>
      <c r="E9" s="40">
        <v>8.18</v>
      </c>
      <c r="F9" s="175">
        <f t="shared" ref="F9:F21" si="1">(E9-E8)/E8</f>
        <v>0.29430379746835433</v>
      </c>
      <c r="G9" s="40"/>
      <c r="H9" s="40"/>
      <c r="I9" s="40"/>
      <c r="J9" s="62">
        <v>10</v>
      </c>
      <c r="K9" s="204">
        <f t="shared" si="0"/>
        <v>0</v>
      </c>
      <c r="L9" s="263">
        <v>0.94599999999999995</v>
      </c>
      <c r="M9" s="50"/>
      <c r="N9" s="50"/>
    </row>
    <row r="10" spans="2:15" ht="15" customHeight="1" x14ac:dyDescent="0.25">
      <c r="B10" s="201">
        <v>11</v>
      </c>
      <c r="C10" s="68">
        <v>2006</v>
      </c>
      <c r="D10" s="62">
        <v>7.02</v>
      </c>
      <c r="E10" s="40">
        <v>7.64</v>
      </c>
      <c r="F10" s="175">
        <f t="shared" si="1"/>
        <v>-6.6014669926650379E-2</v>
      </c>
      <c r="G10" s="40"/>
      <c r="H10" s="40"/>
      <c r="I10" s="40"/>
      <c r="J10" s="62">
        <v>10</v>
      </c>
      <c r="K10" s="204">
        <f t="shared" si="0"/>
        <v>0</v>
      </c>
      <c r="L10" s="263">
        <v>0.91910000000000003</v>
      </c>
      <c r="M10" s="50"/>
      <c r="N10" s="50"/>
    </row>
    <row r="11" spans="2:15" ht="15" customHeight="1" x14ac:dyDescent="0.25">
      <c r="B11" s="201">
        <v>5</v>
      </c>
      <c r="C11" s="68">
        <v>2007</v>
      </c>
      <c r="D11" s="62">
        <v>7.89</v>
      </c>
      <c r="E11" s="40">
        <v>8.31</v>
      </c>
      <c r="F11" s="175">
        <f t="shared" si="1"/>
        <v>8.7696335078534138E-2</v>
      </c>
      <c r="G11" s="40"/>
      <c r="H11" s="40"/>
      <c r="I11" s="40"/>
      <c r="J11" s="62">
        <v>10</v>
      </c>
      <c r="K11" s="204">
        <f t="shared" si="0"/>
        <v>0</v>
      </c>
      <c r="L11" s="263">
        <v>0.94920000000000004</v>
      </c>
      <c r="M11" s="50"/>
      <c r="N11" s="50"/>
    </row>
    <row r="12" spans="2:15" ht="15" customHeight="1" x14ac:dyDescent="0.25">
      <c r="B12" s="201">
        <v>6</v>
      </c>
      <c r="C12" s="68">
        <v>2008</v>
      </c>
      <c r="D12" s="62">
        <v>8.49</v>
      </c>
      <c r="E12" s="40">
        <v>8.9700000000000006</v>
      </c>
      <c r="F12" s="175">
        <f t="shared" si="1"/>
        <v>7.9422382671480163E-2</v>
      </c>
      <c r="G12" s="40"/>
      <c r="H12" s="40"/>
      <c r="I12" s="40"/>
      <c r="J12" s="62">
        <v>10</v>
      </c>
      <c r="K12" s="204">
        <f t="shared" si="0"/>
        <v>0</v>
      </c>
      <c r="L12" s="263">
        <v>0.94640000000000002</v>
      </c>
      <c r="M12" s="50"/>
      <c r="N12" s="50"/>
    </row>
    <row r="13" spans="2:15" ht="15" customHeight="1" x14ac:dyDescent="0.25">
      <c r="B13" s="201">
        <v>10</v>
      </c>
      <c r="C13" s="68">
        <v>2009</v>
      </c>
      <c r="D13" s="62">
        <v>7.96</v>
      </c>
      <c r="E13" s="40">
        <v>8.64</v>
      </c>
      <c r="F13" s="175">
        <f t="shared" si="1"/>
        <v>-3.678929765886288E-2</v>
      </c>
      <c r="G13" s="40"/>
      <c r="H13" s="40"/>
      <c r="I13" s="40"/>
      <c r="J13" s="62">
        <v>10</v>
      </c>
      <c r="K13" s="204">
        <f t="shared" si="0"/>
        <v>0</v>
      </c>
      <c r="L13" s="263">
        <v>0.92110000000000003</v>
      </c>
      <c r="M13" s="50"/>
      <c r="N13" s="50"/>
    </row>
    <row r="14" spans="2:15" ht="15" customHeight="1" x14ac:dyDescent="0.25">
      <c r="B14" s="201">
        <v>12</v>
      </c>
      <c r="C14" s="68">
        <v>2010</v>
      </c>
      <c r="D14" s="62">
        <v>8.4700000000000006</v>
      </c>
      <c r="E14" s="40">
        <f>D14/L14</f>
        <v>9.0632547616863857</v>
      </c>
      <c r="F14" s="175">
        <f t="shared" si="1"/>
        <v>4.8987819639627901E-2</v>
      </c>
      <c r="G14" s="40"/>
      <c r="H14" s="40"/>
      <c r="I14" s="40"/>
      <c r="J14" s="62">
        <v>10</v>
      </c>
      <c r="K14" s="204">
        <f t="shared" si="0"/>
        <v>0</v>
      </c>
      <c r="L14" s="273">
        <f>AVERAGE(L7:L13)</f>
        <v>0.93454285714285723</v>
      </c>
      <c r="M14" s="175"/>
      <c r="N14" s="50"/>
      <c r="O14" s="7">
        <v>13.865586897062814</v>
      </c>
    </row>
    <row r="15" spans="2:15" ht="15" customHeight="1" x14ac:dyDescent="0.25">
      <c r="B15" s="201">
        <v>7</v>
      </c>
      <c r="C15" s="68">
        <v>2011</v>
      </c>
      <c r="D15" s="62">
        <v>9.06</v>
      </c>
      <c r="E15" s="40">
        <f>D15/L14</f>
        <v>9.6945794735393918</v>
      </c>
      <c r="F15" s="175">
        <f t="shared" si="1"/>
        <v>6.9657615112160495E-2</v>
      </c>
      <c r="G15" s="40"/>
      <c r="H15" s="40"/>
      <c r="I15" s="40"/>
      <c r="J15" s="62">
        <v>10</v>
      </c>
      <c r="K15" s="204">
        <f t="shared" si="0"/>
        <v>0</v>
      </c>
      <c r="L15" s="40"/>
      <c r="M15" s="50"/>
      <c r="N15" s="50"/>
      <c r="O15" s="7">
        <v>13.929224457930529</v>
      </c>
    </row>
    <row r="16" spans="2:15" ht="15" customHeight="1" x14ac:dyDescent="0.25">
      <c r="B16" s="201">
        <v>11</v>
      </c>
      <c r="C16" s="68">
        <v>2012</v>
      </c>
      <c r="D16" s="62">
        <v>7.99</v>
      </c>
      <c r="E16" s="40">
        <f>D16/L14</f>
        <v>8.5496346571280064</v>
      </c>
      <c r="F16" s="175">
        <f t="shared" si="1"/>
        <v>-0.11810154525386315</v>
      </c>
      <c r="G16" s="40"/>
      <c r="H16" s="40"/>
      <c r="I16" s="40"/>
      <c r="J16" s="62">
        <v>10</v>
      </c>
      <c r="K16" s="204">
        <f t="shared" si="0"/>
        <v>0</v>
      </c>
      <c r="L16" s="40"/>
      <c r="M16" s="175"/>
      <c r="N16" s="50"/>
      <c r="O16" s="7">
        <v>14.467425256022096</v>
      </c>
    </row>
    <row r="17" spans="2:15" ht="15" customHeight="1" x14ac:dyDescent="0.25">
      <c r="B17" s="201">
        <v>12</v>
      </c>
      <c r="C17" s="68">
        <v>2013</v>
      </c>
      <c r="D17" s="62">
        <v>8.75</v>
      </c>
      <c r="E17" s="40">
        <f>D17/L14</f>
        <v>9.3628664893454392</v>
      </c>
      <c r="F17" s="175">
        <f t="shared" si="1"/>
        <v>9.5118898623279144E-2</v>
      </c>
      <c r="G17" s="40"/>
      <c r="H17" s="40"/>
      <c r="I17" s="40"/>
      <c r="J17" s="62">
        <v>10</v>
      </c>
      <c r="K17" s="204">
        <f t="shared" si="0"/>
        <v>0</v>
      </c>
      <c r="L17" s="40"/>
      <c r="M17" s="50"/>
      <c r="N17" s="50"/>
      <c r="O17" s="7">
        <v>14.670161927800148</v>
      </c>
    </row>
    <row r="18" spans="2:15" ht="15" customHeight="1" x14ac:dyDescent="0.25">
      <c r="B18" s="201">
        <v>9</v>
      </c>
      <c r="C18" s="68">
        <v>2014</v>
      </c>
      <c r="D18" s="62">
        <f>L14*E18</f>
        <v>9.3173922857142877</v>
      </c>
      <c r="E18" s="40">
        <v>9.9700000000000006</v>
      </c>
      <c r="F18" s="175">
        <f t="shared" si="1"/>
        <v>6.4844832653061402E-2</v>
      </c>
      <c r="G18" s="40"/>
      <c r="H18" s="40"/>
      <c r="I18" s="40"/>
      <c r="J18" s="62">
        <v>10</v>
      </c>
      <c r="K18" s="204">
        <f t="shared" si="0"/>
        <v>0</v>
      </c>
      <c r="L18" s="39"/>
      <c r="M18" s="175"/>
      <c r="N18" s="390"/>
      <c r="O18" s="7">
        <v>9.9727499382451175</v>
      </c>
    </row>
    <row r="19" spans="2:15" ht="15" customHeight="1" x14ac:dyDescent="0.25">
      <c r="B19" s="201">
        <v>7</v>
      </c>
      <c r="C19" s="68">
        <v>2015</v>
      </c>
      <c r="D19" s="62">
        <v>8.44</v>
      </c>
      <c r="E19" s="40">
        <v>8.69</v>
      </c>
      <c r="F19" s="175">
        <f t="shared" si="1"/>
        <v>-0.12838515546639931</v>
      </c>
      <c r="G19" s="40"/>
      <c r="H19" s="40"/>
      <c r="I19" s="40"/>
      <c r="J19" s="62">
        <v>10</v>
      </c>
      <c r="K19" s="204">
        <f t="shared" si="0"/>
        <v>0</v>
      </c>
      <c r="L19" s="39"/>
      <c r="M19" s="402"/>
      <c r="N19" s="390"/>
      <c r="O19" s="7">
        <v>8.69</v>
      </c>
    </row>
    <row r="20" spans="2:15" ht="15" customHeight="1" x14ac:dyDescent="0.25">
      <c r="B20" s="201">
        <v>1</v>
      </c>
      <c r="C20" s="68">
        <v>2016</v>
      </c>
      <c r="D20" s="62">
        <v>8.99</v>
      </c>
      <c r="E20" s="40">
        <v>9.23</v>
      </c>
      <c r="F20" s="175">
        <f t="shared" si="1"/>
        <v>6.2140391254315412E-2</v>
      </c>
      <c r="G20" s="258"/>
      <c r="H20" s="258"/>
      <c r="I20" s="258"/>
      <c r="J20" s="62">
        <v>10</v>
      </c>
      <c r="K20" s="204">
        <f t="shared" si="0"/>
        <v>0</v>
      </c>
      <c r="L20" s="40"/>
      <c r="M20" s="402"/>
      <c r="N20" s="390" t="e">
        <f>(H20-H19)/H19</f>
        <v>#DIV/0!</v>
      </c>
      <c r="O20" s="7">
        <v>9.8132383899665285</v>
      </c>
    </row>
    <row r="21" spans="2:15" ht="15" customHeight="1" x14ac:dyDescent="0.25">
      <c r="B21" s="201"/>
      <c r="C21" s="68">
        <v>2017</v>
      </c>
      <c r="D21" s="62"/>
      <c r="E21" s="40">
        <v>10</v>
      </c>
      <c r="F21" s="175">
        <f t="shared" si="1"/>
        <v>8.342361863488619E-2</v>
      </c>
      <c r="G21" s="258"/>
      <c r="H21" s="258">
        <f>E21</f>
        <v>10</v>
      </c>
      <c r="I21" s="258">
        <f>E21</f>
        <v>10</v>
      </c>
      <c r="J21" s="62">
        <v>10</v>
      </c>
      <c r="K21" s="204">
        <f t="shared" si="0"/>
        <v>0</v>
      </c>
      <c r="L21" s="40"/>
      <c r="M21" s="402" t="e">
        <f>(G21-G20)/G20</f>
        <v>#DIV/0!</v>
      </c>
      <c r="N21" s="390"/>
    </row>
    <row r="22" spans="2:15" ht="15" customHeight="1" x14ac:dyDescent="0.25">
      <c r="B22" s="202"/>
      <c r="C22" s="69">
        <v>2018</v>
      </c>
      <c r="D22" s="109"/>
      <c r="E22" s="55"/>
      <c r="F22" s="187"/>
      <c r="G22" s="374"/>
      <c r="H22" s="375">
        <v>0</v>
      </c>
      <c r="I22" s="393">
        <f t="shared" ref="I22:I31" si="2">1.045*I21</f>
        <v>10.45</v>
      </c>
      <c r="J22" s="62">
        <v>10</v>
      </c>
      <c r="K22" s="204">
        <f t="shared" si="0"/>
        <v>0</v>
      </c>
      <c r="L22" s="40"/>
      <c r="M22" s="402" t="e">
        <f t="shared" ref="M22:M29" si="3">(G22-G21)/G21</f>
        <v>#DIV/0!</v>
      </c>
      <c r="N22" s="390"/>
    </row>
    <row r="23" spans="2:15" ht="15" customHeight="1" x14ac:dyDescent="0.25">
      <c r="B23" s="202"/>
      <c r="C23" s="69">
        <v>2019</v>
      </c>
      <c r="D23" s="109"/>
      <c r="E23" s="55"/>
      <c r="F23" s="187"/>
      <c r="G23" s="374"/>
      <c r="H23" s="375">
        <v>0</v>
      </c>
      <c r="I23" s="393">
        <f t="shared" si="2"/>
        <v>10.920249999999999</v>
      </c>
      <c r="J23" s="62">
        <v>10</v>
      </c>
      <c r="K23" s="204">
        <f t="shared" si="0"/>
        <v>0</v>
      </c>
      <c r="L23" s="40"/>
      <c r="M23" s="402" t="e">
        <f t="shared" si="3"/>
        <v>#DIV/0!</v>
      </c>
      <c r="N23" s="390"/>
    </row>
    <row r="24" spans="2:15" ht="15" customHeight="1" x14ac:dyDescent="0.25">
      <c r="B24" s="202"/>
      <c r="C24" s="69">
        <v>2020</v>
      </c>
      <c r="D24" s="109"/>
      <c r="E24" s="55"/>
      <c r="F24" s="187"/>
      <c r="G24" s="374"/>
      <c r="H24" s="375">
        <v>0</v>
      </c>
      <c r="I24" s="393">
        <f t="shared" si="2"/>
        <v>11.411661249999998</v>
      </c>
      <c r="J24" s="62">
        <v>10</v>
      </c>
      <c r="K24" s="204">
        <f t="shared" si="0"/>
        <v>0</v>
      </c>
      <c r="L24" s="40"/>
      <c r="M24" s="402" t="e">
        <f t="shared" si="3"/>
        <v>#DIV/0!</v>
      </c>
      <c r="N24" s="390"/>
    </row>
    <row r="25" spans="2:15" ht="15" customHeight="1" x14ac:dyDescent="0.25">
      <c r="B25" s="202"/>
      <c r="C25" s="69">
        <v>2021</v>
      </c>
      <c r="D25" s="109"/>
      <c r="E25" s="55"/>
      <c r="F25" s="187"/>
      <c r="G25" s="374"/>
      <c r="H25" s="375">
        <v>0</v>
      </c>
      <c r="I25" s="393">
        <f t="shared" si="2"/>
        <v>11.925186006249998</v>
      </c>
      <c r="J25" s="62">
        <v>10</v>
      </c>
      <c r="K25" s="204">
        <f t="shared" si="0"/>
        <v>0</v>
      </c>
      <c r="L25" s="40"/>
      <c r="M25" s="402" t="e">
        <f t="shared" si="3"/>
        <v>#DIV/0!</v>
      </c>
      <c r="N25" s="390"/>
    </row>
    <row r="26" spans="2:15" ht="15" customHeight="1" x14ac:dyDescent="0.25">
      <c r="B26" s="202"/>
      <c r="C26" s="69">
        <v>2022</v>
      </c>
      <c r="D26" s="109"/>
      <c r="E26" s="55"/>
      <c r="F26" s="187"/>
      <c r="G26" s="374"/>
      <c r="H26" s="375">
        <v>0</v>
      </c>
      <c r="I26" s="393">
        <f t="shared" si="2"/>
        <v>12.461819376531247</v>
      </c>
      <c r="J26" s="62">
        <v>10</v>
      </c>
      <c r="K26" s="204">
        <f t="shared" si="0"/>
        <v>0</v>
      </c>
      <c r="L26" s="40"/>
      <c r="M26" s="402" t="e">
        <f t="shared" si="3"/>
        <v>#DIV/0!</v>
      </c>
      <c r="N26" s="390"/>
    </row>
    <row r="27" spans="2:15" ht="15" customHeight="1" x14ac:dyDescent="0.25">
      <c r="B27" s="202"/>
      <c r="C27" s="69">
        <v>2023</v>
      </c>
      <c r="D27" s="109"/>
      <c r="E27" s="55"/>
      <c r="F27" s="187"/>
      <c r="G27" s="374"/>
      <c r="H27" s="375"/>
      <c r="I27" s="393">
        <f t="shared" si="2"/>
        <v>13.022601248475153</v>
      </c>
      <c r="J27" s="62">
        <v>10</v>
      </c>
      <c r="K27" s="204">
        <f t="shared" si="0"/>
        <v>0</v>
      </c>
      <c r="L27" s="40"/>
      <c r="M27" s="402" t="e">
        <f t="shared" si="3"/>
        <v>#DIV/0!</v>
      </c>
      <c r="N27" s="390"/>
    </row>
    <row r="28" spans="2:15" ht="15" customHeight="1" x14ac:dyDescent="0.25">
      <c r="B28" s="202"/>
      <c r="C28" s="69">
        <v>2024</v>
      </c>
      <c r="D28" s="109"/>
      <c r="E28" s="55"/>
      <c r="F28" s="187"/>
      <c r="G28" s="374"/>
      <c r="H28" s="375"/>
      <c r="I28" s="393">
        <f t="shared" si="2"/>
        <v>13.608618304656535</v>
      </c>
      <c r="J28" s="62">
        <v>10</v>
      </c>
      <c r="K28" s="204">
        <f t="shared" si="0"/>
        <v>0</v>
      </c>
      <c r="L28" s="40"/>
      <c r="M28" s="402" t="e">
        <f t="shared" si="3"/>
        <v>#DIV/0!</v>
      </c>
      <c r="N28" s="397"/>
    </row>
    <row r="29" spans="2:15" ht="15" customHeight="1" x14ac:dyDescent="0.25">
      <c r="B29" s="202"/>
      <c r="C29" s="69">
        <v>2025</v>
      </c>
      <c r="D29" s="109"/>
      <c r="E29" s="55"/>
      <c r="F29" s="187"/>
      <c r="G29" s="374"/>
      <c r="H29" s="375"/>
      <c r="I29" s="393">
        <f t="shared" si="2"/>
        <v>14.221006128366078</v>
      </c>
      <c r="J29" s="62">
        <v>10</v>
      </c>
      <c r="K29" s="179">
        <f t="shared" si="0"/>
        <v>0</v>
      </c>
      <c r="L29" s="40"/>
      <c r="M29" s="402" t="e">
        <f t="shared" si="3"/>
        <v>#DIV/0!</v>
      </c>
    </row>
    <row r="30" spans="2:15" x14ac:dyDescent="0.25">
      <c r="B30" s="202"/>
      <c r="C30" s="69">
        <v>2026</v>
      </c>
      <c r="D30" s="109"/>
      <c r="E30" s="55"/>
      <c r="F30" s="187"/>
      <c r="G30" s="374"/>
      <c r="H30" s="375"/>
      <c r="I30" s="393">
        <f t="shared" si="2"/>
        <v>14.860951404142551</v>
      </c>
      <c r="J30" s="62">
        <v>10</v>
      </c>
      <c r="K30" s="179">
        <f>J30 - 10</f>
        <v>0</v>
      </c>
      <c r="M30" s="408" t="e">
        <f>AVERAGE(M21:M29)</f>
        <v>#DIV/0!</v>
      </c>
    </row>
    <row r="31" spans="2:15" ht="15.75" thickBot="1" x14ac:dyDescent="0.3">
      <c r="B31" s="203"/>
      <c r="C31" s="252">
        <v>2027</v>
      </c>
      <c r="D31" s="247"/>
      <c r="E31" s="208"/>
      <c r="F31" s="253"/>
      <c r="G31" s="376"/>
      <c r="H31" s="377"/>
      <c r="I31" s="396">
        <f t="shared" si="2"/>
        <v>15.529694217328965</v>
      </c>
      <c r="J31" s="183">
        <v>10</v>
      </c>
      <c r="K31" s="181">
        <f>J31 - 10</f>
        <v>0</v>
      </c>
    </row>
    <row r="32" spans="2:15" x14ac:dyDescent="0.25">
      <c r="F32" s="398">
        <f>AVERAGE(F8:F21)</f>
        <v>4.1495223000248375E-2</v>
      </c>
    </row>
    <row r="34" spans="3:7" x14ac:dyDescent="0.25">
      <c r="C34" s="76"/>
      <c r="D34" s="76"/>
      <c r="E34" s="76"/>
      <c r="F34" s="76"/>
      <c r="G34" s="76"/>
    </row>
    <row r="35" spans="3:7" x14ac:dyDescent="0.25">
      <c r="C35" s="76"/>
      <c r="D35" s="76"/>
      <c r="E35" s="76"/>
      <c r="F35" s="76"/>
      <c r="G35" s="76"/>
    </row>
    <row r="36" spans="3:7" x14ac:dyDescent="0.25">
      <c r="C36" s="76"/>
      <c r="D36" s="76"/>
      <c r="E36" s="76"/>
      <c r="F36" s="76"/>
      <c r="G36" s="76"/>
    </row>
    <row r="37" spans="3:7" x14ac:dyDescent="0.25">
      <c r="C37" s="76"/>
      <c r="D37" s="76"/>
      <c r="E37" s="76"/>
      <c r="F37" s="76"/>
      <c r="G37" s="76"/>
    </row>
    <row r="50" spans="1:24" x14ac:dyDescent="0.25">
      <c r="O50">
        <v>2016</v>
      </c>
      <c r="P50">
        <v>0</v>
      </c>
    </row>
    <row r="51" spans="1:24" x14ac:dyDescent="0.25">
      <c r="O51">
        <v>2016</v>
      </c>
      <c r="P51">
        <v>5</v>
      </c>
    </row>
    <row r="52" spans="1:24" x14ac:dyDescent="0.25">
      <c r="O52">
        <v>2016</v>
      </c>
      <c r="P52">
        <v>10</v>
      </c>
    </row>
    <row r="53" spans="1:24" x14ac:dyDescent="0.25">
      <c r="O53">
        <v>2016</v>
      </c>
      <c r="P53">
        <v>15</v>
      </c>
    </row>
    <row r="54" spans="1:24" x14ac:dyDescent="0.25">
      <c r="O54">
        <v>2016</v>
      </c>
      <c r="P54">
        <v>20</v>
      </c>
    </row>
    <row r="55" spans="1:24" x14ac:dyDescent="0.25">
      <c r="O55">
        <v>2016</v>
      </c>
      <c r="P55">
        <v>25</v>
      </c>
    </row>
    <row r="63" spans="1:24" ht="15.75" thickBot="1" x14ac:dyDescent="0.3">
      <c r="A63" s="218" t="s">
        <v>17</v>
      </c>
      <c r="B63" s="25" t="s">
        <v>22</v>
      </c>
      <c r="C63" s="221" t="s">
        <v>24</v>
      </c>
      <c r="D63" s="234">
        <v>13.865586897062814</v>
      </c>
      <c r="E63" s="11">
        <v>13.929224457930529</v>
      </c>
      <c r="F63" s="234">
        <v>14.467425256022096</v>
      </c>
      <c r="G63" s="11">
        <v>14.670161927800148</v>
      </c>
      <c r="H63" s="235">
        <v>9.9727499382451175</v>
      </c>
      <c r="I63" s="236">
        <v>8.615973446647395</v>
      </c>
    </row>
    <row r="64" spans="1:24" ht="16.5" thickBot="1" x14ac:dyDescent="0.3">
      <c r="A64" s="1271" t="s">
        <v>201</v>
      </c>
      <c r="B64" s="1272"/>
      <c r="C64" s="1272"/>
      <c r="D64" s="1272"/>
      <c r="E64" s="1272"/>
      <c r="F64" s="1272"/>
      <c r="G64" s="1272"/>
      <c r="H64" s="1272"/>
      <c r="I64" s="1272"/>
      <c r="J64" s="1272"/>
      <c r="K64" s="1272"/>
      <c r="L64" s="1272"/>
      <c r="M64" s="1272"/>
      <c r="N64" s="1272"/>
      <c r="O64" s="1272"/>
      <c r="P64" s="1272"/>
      <c r="Q64" s="1272"/>
      <c r="R64" s="1272"/>
      <c r="S64" s="1272"/>
      <c r="T64" s="1272"/>
      <c r="U64" s="1272"/>
      <c r="V64" s="1272"/>
      <c r="W64" s="1272"/>
      <c r="X64" s="1273"/>
    </row>
    <row r="65" spans="1:24" ht="15.75" thickBot="1" x14ac:dyDescent="0.3">
      <c r="A65" s="286"/>
      <c r="B65" s="286"/>
      <c r="C65" s="286"/>
      <c r="D65" s="286"/>
      <c r="E65" s="286"/>
      <c r="F65" s="286"/>
      <c r="G65" s="286"/>
      <c r="H65" s="286"/>
      <c r="I65" s="286"/>
      <c r="J65" s="286"/>
      <c r="K65" s="286"/>
      <c r="L65" s="339"/>
      <c r="M65" s="286"/>
      <c r="N65" s="286"/>
      <c r="O65" s="286"/>
      <c r="P65" s="286"/>
      <c r="Q65" s="286"/>
      <c r="R65" s="286"/>
      <c r="S65" s="286"/>
      <c r="T65" s="286"/>
      <c r="U65" s="286"/>
      <c r="V65" s="286"/>
      <c r="W65" s="286"/>
      <c r="X65" s="286"/>
    </row>
    <row r="66" spans="1:24" ht="15.75" thickBot="1" x14ac:dyDescent="0.3">
      <c r="A66" s="287"/>
      <c r="B66" s="287"/>
      <c r="C66" s="288"/>
      <c r="D66" s="1274" t="s">
        <v>202</v>
      </c>
      <c r="E66" s="1277">
        <v>2016</v>
      </c>
      <c r="F66" s="1278"/>
      <c r="G66" s="1278"/>
      <c r="H66" s="1279"/>
      <c r="I66" s="1277">
        <f>+E66+1</f>
        <v>2017</v>
      </c>
      <c r="J66" s="1278"/>
      <c r="K66" s="1278"/>
      <c r="L66" s="1279"/>
      <c r="M66" s="1277">
        <f>+I66+1</f>
        <v>2018</v>
      </c>
      <c r="N66" s="1278"/>
      <c r="O66" s="1278"/>
      <c r="P66" s="1279"/>
      <c r="Q66" s="1277">
        <f>+M66+1</f>
        <v>2019</v>
      </c>
      <c r="R66" s="1278"/>
      <c r="S66" s="1278"/>
      <c r="T66" s="1279"/>
      <c r="U66" s="1277">
        <f>+Q66+1</f>
        <v>2020</v>
      </c>
      <c r="V66" s="1278"/>
      <c r="W66" s="1278"/>
      <c r="X66" s="1279"/>
    </row>
    <row r="67" spans="1:24" x14ac:dyDescent="0.25">
      <c r="A67" s="1280" t="s">
        <v>203</v>
      </c>
      <c r="B67" s="1282" t="s">
        <v>204</v>
      </c>
      <c r="C67" s="1284" t="s">
        <v>88</v>
      </c>
      <c r="D67" s="1275"/>
      <c r="E67" s="1286" t="s">
        <v>197</v>
      </c>
      <c r="F67" s="1287"/>
      <c r="G67" s="1286" t="s">
        <v>198</v>
      </c>
      <c r="H67" s="1288"/>
      <c r="I67" s="1286" t="s">
        <v>197</v>
      </c>
      <c r="J67" s="1288"/>
      <c r="K67" s="1289" t="s">
        <v>198</v>
      </c>
      <c r="L67" s="1288"/>
      <c r="M67" s="1286" t="s">
        <v>197</v>
      </c>
      <c r="N67" s="1288"/>
      <c r="O67" s="1286" t="s">
        <v>198</v>
      </c>
      <c r="P67" s="1288"/>
      <c r="Q67" s="1267" t="s">
        <v>197</v>
      </c>
      <c r="R67" s="1268"/>
      <c r="S67" s="1267" t="s">
        <v>198</v>
      </c>
      <c r="T67" s="1268"/>
      <c r="U67" s="1267" t="s">
        <v>197</v>
      </c>
      <c r="V67" s="1269"/>
      <c r="W67" s="1267" t="s">
        <v>198</v>
      </c>
      <c r="X67" s="1268"/>
    </row>
    <row r="68" spans="1:24" ht="15.75" thickBot="1" x14ac:dyDescent="0.3">
      <c r="A68" s="1281"/>
      <c r="B68" s="1283"/>
      <c r="C68" s="1285"/>
      <c r="D68" s="1276"/>
      <c r="E68" s="274" t="s">
        <v>199</v>
      </c>
      <c r="F68" s="275" t="s">
        <v>200</v>
      </c>
      <c r="G68" s="274" t="s">
        <v>199</v>
      </c>
      <c r="H68" s="276" t="s">
        <v>200</v>
      </c>
      <c r="I68" s="274" t="s">
        <v>199</v>
      </c>
      <c r="J68" s="276" t="s">
        <v>200</v>
      </c>
      <c r="K68" s="277" t="s">
        <v>199</v>
      </c>
      <c r="L68" s="340" t="s">
        <v>200</v>
      </c>
      <c r="M68" s="274" t="s">
        <v>199</v>
      </c>
      <c r="N68" s="276" t="s">
        <v>200</v>
      </c>
      <c r="O68" s="274" t="s">
        <v>199</v>
      </c>
      <c r="P68" s="276" t="s">
        <v>200</v>
      </c>
      <c r="Q68" s="274" t="s">
        <v>199</v>
      </c>
      <c r="R68" s="276" t="s">
        <v>200</v>
      </c>
      <c r="S68" s="274" t="s">
        <v>199</v>
      </c>
      <c r="T68" s="276" t="s">
        <v>200</v>
      </c>
      <c r="U68" s="274" t="s">
        <v>199</v>
      </c>
      <c r="V68" s="275" t="s">
        <v>200</v>
      </c>
      <c r="W68" s="274" t="s">
        <v>199</v>
      </c>
      <c r="X68" s="276" t="s">
        <v>200</v>
      </c>
    </row>
    <row r="69" spans="1:24" x14ac:dyDescent="0.25">
      <c r="A69" s="289" t="s">
        <v>205</v>
      </c>
      <c r="B69" s="290"/>
      <c r="C69" s="291" t="s">
        <v>17</v>
      </c>
      <c r="D69" s="292" t="s">
        <v>24</v>
      </c>
      <c r="E69" s="293">
        <v>9.2389780588913624</v>
      </c>
      <c r="F69" s="294">
        <v>3.3077079867541017</v>
      </c>
      <c r="G69" s="293">
        <v>2.0639937849005698</v>
      </c>
      <c r="H69" s="295">
        <v>0.54630282421844312</v>
      </c>
      <c r="I69" s="293">
        <v>0</v>
      </c>
      <c r="J69" s="295">
        <v>0</v>
      </c>
      <c r="K69" s="296">
        <v>0</v>
      </c>
      <c r="L69" s="341">
        <v>0</v>
      </c>
      <c r="M69" s="293">
        <v>0</v>
      </c>
      <c r="N69" s="294">
        <v>0</v>
      </c>
      <c r="O69" s="293">
        <v>0</v>
      </c>
      <c r="P69" s="295">
        <v>0</v>
      </c>
      <c r="Q69" s="293">
        <v>0</v>
      </c>
      <c r="R69" s="295">
        <v>0</v>
      </c>
      <c r="S69" s="296">
        <v>0</v>
      </c>
      <c r="T69" s="295">
        <v>0</v>
      </c>
      <c r="U69" s="293">
        <v>0</v>
      </c>
      <c r="V69" s="294">
        <v>0</v>
      </c>
      <c r="W69" s="293">
        <v>0</v>
      </c>
      <c r="X69" s="295">
        <v>0</v>
      </c>
    </row>
    <row r="70" spans="1:24" x14ac:dyDescent="0.25">
      <c r="E70">
        <f>SQRT(E69*E69+F69*F69)</f>
        <v>9.8132383899665285</v>
      </c>
    </row>
    <row r="71" spans="1:24" x14ac:dyDescent="0.25">
      <c r="E71" s="73"/>
      <c r="F71" s="73"/>
    </row>
    <row r="72" spans="1:24" x14ac:dyDescent="0.25">
      <c r="B72" s="322"/>
      <c r="C72" s="323">
        <v>2010</v>
      </c>
      <c r="D72" s="62">
        <v>13.865586897062814</v>
      </c>
      <c r="E72" s="40"/>
      <c r="F72" s="74"/>
      <c r="G72" t="s">
        <v>172</v>
      </c>
    </row>
    <row r="73" spans="1:24" x14ac:dyDescent="0.25">
      <c r="B73" s="322"/>
      <c r="C73" s="323">
        <v>2011</v>
      </c>
      <c r="D73" s="42">
        <v>13.929224457930529</v>
      </c>
      <c r="E73" s="40"/>
      <c r="F73" s="74"/>
      <c r="G73" s="1300" t="s">
        <v>176</v>
      </c>
      <c r="H73" s="1300"/>
      <c r="I73" s="1300"/>
      <c r="J73" s="1300"/>
    </row>
    <row r="74" spans="1:24" x14ac:dyDescent="0.25">
      <c r="B74" s="322"/>
      <c r="C74" s="323">
        <v>2012</v>
      </c>
      <c r="D74" s="62">
        <v>14.467425256022096</v>
      </c>
      <c r="E74" s="40"/>
      <c r="F74" s="74"/>
      <c r="G74" s="1300"/>
      <c r="H74" s="1300"/>
      <c r="I74" s="1300"/>
      <c r="J74" s="1300"/>
    </row>
    <row r="75" spans="1:24" x14ac:dyDescent="0.25">
      <c r="B75" s="322"/>
      <c r="C75" s="323">
        <v>2013</v>
      </c>
      <c r="D75" s="42">
        <v>14.670161927800148</v>
      </c>
      <c r="E75" s="40"/>
      <c r="F75" s="74"/>
      <c r="G75" s="322"/>
    </row>
    <row r="76" spans="1:24" x14ac:dyDescent="0.25">
      <c r="B76" s="322"/>
      <c r="C76" s="323">
        <v>2014</v>
      </c>
      <c r="D76" s="100">
        <v>9.9727499382451175</v>
      </c>
      <c r="E76" s="40"/>
      <c r="F76" s="74"/>
      <c r="G76" s="322"/>
    </row>
    <row r="77" spans="1:24" x14ac:dyDescent="0.25">
      <c r="B77" s="322"/>
      <c r="C77" s="323">
        <v>2015</v>
      </c>
      <c r="D77" s="138">
        <v>8.69</v>
      </c>
      <c r="E77" s="40"/>
      <c r="F77" s="74"/>
      <c r="G77" s="322"/>
    </row>
    <row r="78" spans="1:24" x14ac:dyDescent="0.25">
      <c r="B78" s="322"/>
      <c r="C78" s="324">
        <v>2016</v>
      </c>
      <c r="D78" s="45">
        <f>E70</f>
        <v>9.8132383899665285</v>
      </c>
      <c r="E78" s="42"/>
      <c r="F78" s="74"/>
      <c r="G78" s="322"/>
    </row>
    <row r="79" spans="1:24" x14ac:dyDescent="0.25">
      <c r="B79" s="322"/>
      <c r="C79" s="324">
        <v>2017</v>
      </c>
      <c r="D79" s="45">
        <v>0</v>
      </c>
      <c r="E79" s="42"/>
      <c r="F79" s="74"/>
      <c r="G79" s="322"/>
    </row>
    <row r="80" spans="1:24" x14ac:dyDescent="0.25">
      <c r="B80" s="322"/>
      <c r="C80" s="324">
        <v>2018</v>
      </c>
      <c r="D80" s="45">
        <v>0</v>
      </c>
      <c r="E80" s="42"/>
      <c r="F80" s="74"/>
      <c r="G80" s="322"/>
    </row>
    <row r="81" spans="2:7" x14ac:dyDescent="0.25">
      <c r="B81" s="322"/>
      <c r="C81" s="324">
        <v>2019</v>
      </c>
      <c r="D81" s="45">
        <v>0</v>
      </c>
      <c r="E81" s="42"/>
      <c r="F81" s="74"/>
      <c r="G81" s="322"/>
    </row>
    <row r="82" spans="2:7" x14ac:dyDescent="0.25">
      <c r="B82" s="322"/>
      <c r="C82" s="324">
        <v>2020</v>
      </c>
      <c r="D82" s="45">
        <v>0</v>
      </c>
      <c r="E82" s="42"/>
      <c r="F82" s="74"/>
      <c r="G82" s="322"/>
    </row>
    <row r="83" spans="2:7" x14ac:dyDescent="0.25">
      <c r="B83" s="322"/>
      <c r="C83" s="322"/>
      <c r="D83" s="322"/>
      <c r="E83" s="322"/>
      <c r="F83" s="322"/>
      <c r="G83" s="322"/>
    </row>
    <row r="97" spans="15:23" ht="15" customHeight="1" x14ac:dyDescent="0.25">
      <c r="O97" s="825"/>
      <c r="P97" s="825"/>
      <c r="Q97" s="825"/>
      <c r="R97" s="825"/>
      <c r="S97" s="825"/>
      <c r="T97" s="825"/>
      <c r="U97" s="825"/>
      <c r="V97" s="825"/>
      <c r="W97" s="825"/>
    </row>
    <row r="98" spans="15:23" ht="15" customHeight="1" x14ac:dyDescent="0.25">
      <c r="O98" s="825"/>
      <c r="P98" s="825"/>
      <c r="Q98" s="825"/>
      <c r="R98" s="825"/>
      <c r="S98" s="825"/>
      <c r="T98" s="825"/>
      <c r="U98" s="825"/>
      <c r="V98" s="825"/>
      <c r="W98" s="825"/>
    </row>
    <row r="99" spans="15:23" ht="15" customHeight="1" x14ac:dyDescent="0.25">
      <c r="O99" s="825"/>
      <c r="P99" s="825"/>
      <c r="Q99" s="825"/>
      <c r="R99" s="825"/>
      <c r="S99" s="825"/>
      <c r="T99" s="825"/>
      <c r="U99" s="825"/>
      <c r="V99" s="825"/>
      <c r="W99" s="825"/>
    </row>
    <row r="100" spans="15:23" ht="15" customHeight="1" x14ac:dyDescent="0.25">
      <c r="O100" s="825"/>
      <c r="P100" s="825"/>
      <c r="Q100" s="825"/>
      <c r="R100" s="825"/>
      <c r="S100" s="825"/>
      <c r="T100" s="825"/>
      <c r="U100" s="825"/>
      <c r="V100" s="825"/>
      <c r="W100" s="825"/>
    </row>
    <row r="118" spans="1:20" ht="18" x14ac:dyDescent="0.25">
      <c r="A118" s="1093" t="s">
        <v>247</v>
      </c>
      <c r="B118" s="1093"/>
      <c r="C118" s="1093"/>
      <c r="D118" s="1093"/>
      <c r="E118" s="1093"/>
      <c r="F118" s="1093"/>
      <c r="G118" s="1093"/>
      <c r="H118" s="1093"/>
      <c r="I118" s="1093"/>
      <c r="J118" s="1093"/>
      <c r="K118" s="1093"/>
      <c r="L118" s="1093"/>
      <c r="M118" s="1093"/>
      <c r="N118" s="1093"/>
      <c r="O118" s="1093"/>
      <c r="P118" s="1093"/>
      <c r="Q118" s="1093"/>
      <c r="R118" s="1093"/>
      <c r="S118" s="1093"/>
      <c r="T118" s="1093"/>
    </row>
    <row r="119" spans="1:20" ht="18" x14ac:dyDescent="0.25">
      <c r="A119" s="1094" t="s">
        <v>248</v>
      </c>
      <c r="B119" s="1094"/>
      <c r="C119" s="1094"/>
      <c r="D119" s="1094"/>
      <c r="E119" s="1094"/>
      <c r="F119" s="1094"/>
      <c r="G119" s="1094"/>
      <c r="H119" s="1094"/>
      <c r="I119" s="1094"/>
      <c r="J119" s="1094"/>
      <c r="K119" s="1094"/>
      <c r="L119" s="1094"/>
      <c r="M119" s="1094"/>
      <c r="N119" s="1094"/>
      <c r="O119" s="1094"/>
      <c r="P119" s="1094"/>
      <c r="Q119" s="1094"/>
      <c r="R119" s="1094"/>
      <c r="S119" s="1094"/>
      <c r="T119" s="1094"/>
    </row>
    <row r="120" spans="1:20" ht="15.75" thickBot="1" x14ac:dyDescent="0.3">
      <c r="A120" s="452"/>
      <c r="B120" s="452"/>
      <c r="C120" s="452"/>
      <c r="D120" s="452"/>
      <c r="E120" s="452"/>
      <c r="F120" s="452"/>
      <c r="G120" s="452"/>
      <c r="H120" s="453"/>
      <c r="I120" s="452"/>
      <c r="J120" s="454"/>
      <c r="K120" s="453"/>
      <c r="L120" s="452"/>
      <c r="M120" s="454"/>
      <c r="N120" s="453"/>
      <c r="O120" s="452"/>
      <c r="P120" s="454"/>
      <c r="Q120" s="453"/>
      <c r="R120" s="452"/>
      <c r="S120" s="449"/>
      <c r="T120" s="450"/>
    </row>
    <row r="121" spans="1:20" x14ac:dyDescent="0.25">
      <c r="A121" s="1095" t="s">
        <v>249</v>
      </c>
      <c r="B121" s="1098" t="s">
        <v>250</v>
      </c>
      <c r="C121" s="1101" t="s">
        <v>251</v>
      </c>
      <c r="D121" s="1063" t="s">
        <v>252</v>
      </c>
      <c r="E121" s="1065"/>
      <c r="F121" s="1066">
        <v>2016</v>
      </c>
      <c r="G121" s="1064"/>
      <c r="H121" s="1106"/>
      <c r="I121" s="1063">
        <f>+F121+1</f>
        <v>2017</v>
      </c>
      <c r="J121" s="1064"/>
      <c r="K121" s="1065"/>
      <c r="L121" s="1066">
        <f>+I121+1</f>
        <v>2018</v>
      </c>
      <c r="M121" s="1064"/>
      <c r="N121" s="1106"/>
      <c r="O121" s="1063">
        <f>+L121+1</f>
        <v>2019</v>
      </c>
      <c r="P121" s="1064"/>
      <c r="Q121" s="1065"/>
      <c r="R121" s="1066">
        <f>+O121+1</f>
        <v>2020</v>
      </c>
      <c r="S121" s="1064"/>
      <c r="T121" s="1065"/>
    </row>
    <row r="122" spans="1:20" x14ac:dyDescent="0.25">
      <c r="A122" s="1096"/>
      <c r="B122" s="1099"/>
      <c r="C122" s="1102"/>
      <c r="D122" s="1104"/>
      <c r="E122" s="1105"/>
      <c r="F122" s="455" t="s">
        <v>253</v>
      </c>
      <c r="G122" s="1067" t="s">
        <v>254</v>
      </c>
      <c r="H122" s="1068"/>
      <c r="I122" s="456" t="s">
        <v>253</v>
      </c>
      <c r="J122" s="1067" t="s">
        <v>254</v>
      </c>
      <c r="K122" s="1069"/>
      <c r="L122" s="455" t="s">
        <v>253</v>
      </c>
      <c r="M122" s="1067" t="s">
        <v>254</v>
      </c>
      <c r="N122" s="1068"/>
      <c r="O122" s="456" t="s">
        <v>253</v>
      </c>
      <c r="P122" s="1067" t="s">
        <v>254</v>
      </c>
      <c r="Q122" s="1069"/>
      <c r="R122" s="455" t="s">
        <v>253</v>
      </c>
      <c r="S122" s="1067" t="s">
        <v>254</v>
      </c>
      <c r="T122" s="1069"/>
    </row>
    <row r="123" spans="1:20" ht="15.75" thickBot="1" x14ac:dyDescent="0.3">
      <c r="A123" s="1097"/>
      <c r="B123" s="1100"/>
      <c r="C123" s="1103"/>
      <c r="D123" s="1091" t="s">
        <v>255</v>
      </c>
      <c r="E123" s="1092"/>
      <c r="F123" s="457" t="s">
        <v>255</v>
      </c>
      <c r="G123" s="458" t="s">
        <v>255</v>
      </c>
      <c r="H123" s="459" t="s">
        <v>256</v>
      </c>
      <c r="I123" s="460" t="s">
        <v>255</v>
      </c>
      <c r="J123" s="461" t="s">
        <v>255</v>
      </c>
      <c r="K123" s="462" t="s">
        <v>256</v>
      </c>
      <c r="L123" s="457" t="s">
        <v>255</v>
      </c>
      <c r="M123" s="461" t="s">
        <v>255</v>
      </c>
      <c r="N123" s="459" t="s">
        <v>256</v>
      </c>
      <c r="O123" s="460" t="s">
        <v>255</v>
      </c>
      <c r="P123" s="461" t="s">
        <v>255</v>
      </c>
      <c r="Q123" s="462" t="s">
        <v>256</v>
      </c>
      <c r="R123" s="457" t="s">
        <v>255</v>
      </c>
      <c r="S123" s="461" t="s">
        <v>255</v>
      </c>
      <c r="T123" s="462" t="s">
        <v>256</v>
      </c>
    </row>
  </sheetData>
  <mergeCells count="46">
    <mergeCell ref="A64:X64"/>
    <mergeCell ref="D66:D68"/>
    <mergeCell ref="E66:H66"/>
    <mergeCell ref="I66:L66"/>
    <mergeCell ref="B3:K3"/>
    <mergeCell ref="B4:K4"/>
    <mergeCell ref="B5:B6"/>
    <mergeCell ref="G5:I5"/>
    <mergeCell ref="D5:F5"/>
    <mergeCell ref="J5:J6"/>
    <mergeCell ref="K5:K6"/>
    <mergeCell ref="C5:C6"/>
    <mergeCell ref="M66:P66"/>
    <mergeCell ref="Q66:T66"/>
    <mergeCell ref="Q67:R67"/>
    <mergeCell ref="S67:T67"/>
    <mergeCell ref="J122:K122"/>
    <mergeCell ref="I67:J67"/>
    <mergeCell ref="K67:L67"/>
    <mergeCell ref="G73:J74"/>
    <mergeCell ref="U66:X66"/>
    <mergeCell ref="M67:N67"/>
    <mergeCell ref="O67:P67"/>
    <mergeCell ref="U67:V67"/>
    <mergeCell ref="W67:X67"/>
    <mergeCell ref="A67:A68"/>
    <mergeCell ref="B67:B68"/>
    <mergeCell ref="C67:C68"/>
    <mergeCell ref="E67:F67"/>
    <mergeCell ref="G67:H67"/>
    <mergeCell ref="D123:E123"/>
    <mergeCell ref="A118:T118"/>
    <mergeCell ref="A119:T119"/>
    <mergeCell ref="A121:A123"/>
    <mergeCell ref="B121:B123"/>
    <mergeCell ref="C121:C123"/>
    <mergeCell ref="D121:E122"/>
    <mergeCell ref="F121:H121"/>
    <mergeCell ref="I121:K121"/>
    <mergeCell ref="L121:N121"/>
    <mergeCell ref="O121:Q121"/>
    <mergeCell ref="R121:T121"/>
    <mergeCell ref="G122:H122"/>
    <mergeCell ref="S122:T122"/>
    <mergeCell ref="M122:N122"/>
    <mergeCell ref="P122:Q122"/>
  </mergeCells>
  <printOptions gridLines="1"/>
  <pageMargins left="0.31496062992125984" right="0.31496062992125984" top="0" bottom="0" header="0" footer="0"/>
  <pageSetup paperSize="9" scale="12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"/>
  <sheetViews>
    <sheetView topLeftCell="A55" workbookViewId="0">
      <selection activeCell="G58" sqref="G58"/>
    </sheetView>
  </sheetViews>
  <sheetFormatPr baseColWidth="10" defaultRowHeight="15" x14ac:dyDescent="0.25"/>
  <cols>
    <col min="1" max="1" width="5.7109375" customWidth="1"/>
    <col min="2" max="2" width="6.7109375" customWidth="1"/>
    <col min="3" max="3" width="14.7109375" customWidth="1"/>
    <col min="4" max="5" width="10.7109375" customWidth="1"/>
    <col min="6" max="6" width="11.7109375" customWidth="1"/>
    <col min="7" max="8" width="12.7109375" customWidth="1"/>
    <col min="9" max="11" width="10.7109375" customWidth="1"/>
    <col min="12" max="12" width="11.42578125" customWidth="1"/>
  </cols>
  <sheetData>
    <row r="1" spans="2:15" ht="15.75" thickBot="1" x14ac:dyDescent="0.3"/>
    <row r="2" spans="2:15" x14ac:dyDescent="0.25">
      <c r="B2" s="1301" t="s">
        <v>84</v>
      </c>
      <c r="C2" s="1302"/>
      <c r="D2" s="1302"/>
      <c r="E2" s="1302"/>
      <c r="F2" s="1302"/>
      <c r="G2" s="1302"/>
      <c r="H2" s="1302"/>
      <c r="I2" s="1302"/>
      <c r="J2" s="1302"/>
      <c r="K2" s="1303"/>
      <c r="L2" s="10"/>
    </row>
    <row r="3" spans="2:15" ht="15.75" thickBot="1" x14ac:dyDescent="0.3">
      <c r="B3" s="1304" t="s">
        <v>47</v>
      </c>
      <c r="C3" s="1305"/>
      <c r="D3" s="1305"/>
      <c r="E3" s="1305"/>
      <c r="F3" s="1305"/>
      <c r="G3" s="1305"/>
      <c r="H3" s="1305"/>
      <c r="I3" s="1305"/>
      <c r="J3" s="1305"/>
      <c r="K3" s="1306"/>
      <c r="L3" s="10"/>
    </row>
    <row r="4" spans="2:15" ht="15" customHeight="1" x14ac:dyDescent="0.25">
      <c r="B4" s="1166" t="s">
        <v>124</v>
      </c>
      <c r="C4" s="1181" t="s">
        <v>26</v>
      </c>
      <c r="D4" s="1169" t="s">
        <v>110</v>
      </c>
      <c r="E4" s="1167"/>
      <c r="F4" s="1168"/>
      <c r="G4" s="1169" t="s">
        <v>74</v>
      </c>
      <c r="H4" s="1167"/>
      <c r="I4" s="1168"/>
      <c r="J4" s="1181" t="s">
        <v>105</v>
      </c>
      <c r="K4" s="1183" t="s">
        <v>112</v>
      </c>
      <c r="L4" s="10"/>
    </row>
    <row r="5" spans="2:15" ht="33.75" x14ac:dyDescent="0.25">
      <c r="B5" s="1119"/>
      <c r="C5" s="1032"/>
      <c r="D5" s="330" t="s">
        <v>79</v>
      </c>
      <c r="E5" s="330" t="s">
        <v>116</v>
      </c>
      <c r="F5" s="330" t="s">
        <v>82</v>
      </c>
      <c r="G5" s="38" t="s">
        <v>243</v>
      </c>
      <c r="H5" s="38" t="s">
        <v>232</v>
      </c>
      <c r="I5" s="38" t="s">
        <v>130</v>
      </c>
      <c r="J5" s="1032"/>
      <c r="K5" s="1124"/>
      <c r="L5" s="259" t="s">
        <v>206</v>
      </c>
      <c r="M5" s="85" t="s">
        <v>73</v>
      </c>
      <c r="N5" s="38" t="s">
        <v>240</v>
      </c>
    </row>
    <row r="6" spans="2:15" x14ac:dyDescent="0.25">
      <c r="B6" s="201">
        <v>11</v>
      </c>
      <c r="C6" s="68">
        <v>2003</v>
      </c>
      <c r="D6" s="62">
        <v>5.55</v>
      </c>
      <c r="E6" s="40">
        <v>6.05</v>
      </c>
      <c r="F6" s="175"/>
      <c r="G6" s="40"/>
      <c r="H6" s="40"/>
      <c r="I6" s="40"/>
      <c r="J6" s="62">
        <v>10</v>
      </c>
      <c r="K6" s="204">
        <f t="shared" ref="K6:K30" si="0">J6 - 10</f>
        <v>0</v>
      </c>
      <c r="L6" s="263">
        <v>0.91620000000000001</v>
      </c>
      <c r="M6" s="50"/>
      <c r="N6" s="50"/>
    </row>
    <row r="7" spans="2:15" x14ac:dyDescent="0.25">
      <c r="B7" s="201">
        <v>5</v>
      </c>
      <c r="C7" s="68">
        <v>2004</v>
      </c>
      <c r="D7" s="62">
        <v>5.96</v>
      </c>
      <c r="E7" s="40">
        <v>6.32</v>
      </c>
      <c r="F7" s="175">
        <f>(E7-E6)/E6</f>
        <v>4.4628099173553794E-2</v>
      </c>
      <c r="G7" s="40"/>
      <c r="H7" s="40"/>
      <c r="I7" s="40"/>
      <c r="J7" s="62">
        <v>10</v>
      </c>
      <c r="K7" s="204">
        <f t="shared" si="0"/>
        <v>0</v>
      </c>
      <c r="L7" s="263">
        <v>0.94379999999999997</v>
      </c>
      <c r="M7" s="50"/>
      <c r="N7" s="50"/>
    </row>
    <row r="8" spans="2:15" x14ac:dyDescent="0.25">
      <c r="B8" s="201">
        <v>8</v>
      </c>
      <c r="C8" s="68">
        <v>2005</v>
      </c>
      <c r="D8" s="62">
        <v>7.74</v>
      </c>
      <c r="E8" s="40">
        <v>8.18</v>
      </c>
      <c r="F8" s="175">
        <f t="shared" ref="F8:F20" si="1">(E8-E7)/E7</f>
        <v>0.29430379746835433</v>
      </c>
      <c r="G8" s="40"/>
      <c r="H8" s="40"/>
      <c r="I8" s="40"/>
      <c r="J8" s="62">
        <v>10</v>
      </c>
      <c r="K8" s="204">
        <f t="shared" si="0"/>
        <v>0</v>
      </c>
      <c r="L8" s="263">
        <v>0.94599999999999995</v>
      </c>
      <c r="M8" s="50"/>
      <c r="N8" s="50"/>
    </row>
    <row r="9" spans="2:15" x14ac:dyDescent="0.25">
      <c r="B9" s="201">
        <v>11</v>
      </c>
      <c r="C9" s="68">
        <v>2006</v>
      </c>
      <c r="D9" s="62">
        <v>7.02</v>
      </c>
      <c r="E9" s="40">
        <v>7.64</v>
      </c>
      <c r="F9" s="175">
        <f t="shared" si="1"/>
        <v>-6.6014669926650379E-2</v>
      </c>
      <c r="G9" s="40"/>
      <c r="H9" s="40"/>
      <c r="I9" s="40"/>
      <c r="J9" s="62">
        <v>10</v>
      </c>
      <c r="K9" s="204">
        <f t="shared" si="0"/>
        <v>0</v>
      </c>
      <c r="L9" s="263">
        <v>0.91910000000000003</v>
      </c>
      <c r="M9" s="50"/>
      <c r="N9" s="50"/>
    </row>
    <row r="10" spans="2:15" x14ac:dyDescent="0.25">
      <c r="B10" s="201">
        <v>5</v>
      </c>
      <c r="C10" s="68">
        <v>2007</v>
      </c>
      <c r="D10" s="62">
        <v>7.89</v>
      </c>
      <c r="E10" s="40">
        <v>8.31</v>
      </c>
      <c r="F10" s="175">
        <f t="shared" si="1"/>
        <v>8.7696335078534138E-2</v>
      </c>
      <c r="G10" s="40"/>
      <c r="H10" s="40"/>
      <c r="I10" s="40"/>
      <c r="J10" s="62">
        <v>10</v>
      </c>
      <c r="K10" s="204">
        <f t="shared" si="0"/>
        <v>0</v>
      </c>
      <c r="L10" s="263">
        <v>0.94920000000000004</v>
      </c>
      <c r="M10" s="50"/>
      <c r="N10" s="50"/>
    </row>
    <row r="11" spans="2:15" x14ac:dyDescent="0.25">
      <c r="B11" s="201">
        <v>6</v>
      </c>
      <c r="C11" s="68">
        <v>2008</v>
      </c>
      <c r="D11" s="62">
        <v>8.49</v>
      </c>
      <c r="E11" s="40">
        <v>8.9700000000000006</v>
      </c>
      <c r="F11" s="175">
        <f t="shared" si="1"/>
        <v>7.9422382671480163E-2</v>
      </c>
      <c r="G11" s="40"/>
      <c r="H11" s="40"/>
      <c r="I11" s="40"/>
      <c r="J11" s="62">
        <v>10</v>
      </c>
      <c r="K11" s="204">
        <f t="shared" si="0"/>
        <v>0</v>
      </c>
      <c r="L11" s="263">
        <v>0.94640000000000002</v>
      </c>
      <c r="M11" s="50"/>
      <c r="N11" s="50"/>
    </row>
    <row r="12" spans="2:15" x14ac:dyDescent="0.25">
      <c r="B12" s="201">
        <v>10</v>
      </c>
      <c r="C12" s="68">
        <v>2009</v>
      </c>
      <c r="D12" s="62">
        <v>7.96</v>
      </c>
      <c r="E12" s="40">
        <v>8.64</v>
      </c>
      <c r="F12" s="175">
        <f t="shared" si="1"/>
        <v>-3.678929765886288E-2</v>
      </c>
      <c r="G12" s="40"/>
      <c r="H12" s="40"/>
      <c r="I12" s="40"/>
      <c r="J12" s="62">
        <v>10</v>
      </c>
      <c r="K12" s="204">
        <f t="shared" si="0"/>
        <v>0</v>
      </c>
      <c r="L12" s="263">
        <v>0.92110000000000003</v>
      </c>
      <c r="M12" s="50"/>
      <c r="N12" s="50"/>
    </row>
    <row r="13" spans="2:15" x14ac:dyDescent="0.25">
      <c r="B13" s="201">
        <v>12</v>
      </c>
      <c r="C13" s="68">
        <v>2010</v>
      </c>
      <c r="D13" s="62">
        <v>8.4700000000000006</v>
      </c>
      <c r="E13" s="40">
        <f>D13/L13</f>
        <v>9.0632547616863857</v>
      </c>
      <c r="F13" s="175">
        <f t="shared" si="1"/>
        <v>4.8987819639627901E-2</v>
      </c>
      <c r="G13" s="40"/>
      <c r="H13" s="40"/>
      <c r="I13" s="40"/>
      <c r="J13" s="62">
        <v>10</v>
      </c>
      <c r="K13" s="204">
        <f t="shared" si="0"/>
        <v>0</v>
      </c>
      <c r="L13" s="273">
        <f>AVERAGE(L6:L12)</f>
        <v>0.93454285714285723</v>
      </c>
      <c r="M13" s="175"/>
      <c r="N13" s="50"/>
      <c r="O13" s="7">
        <v>13.865586897062814</v>
      </c>
    </row>
    <row r="14" spans="2:15" x14ac:dyDescent="0.25">
      <c r="B14" s="201">
        <v>7</v>
      </c>
      <c r="C14" s="68">
        <v>2011</v>
      </c>
      <c r="D14" s="62">
        <v>9.06</v>
      </c>
      <c r="E14" s="40">
        <f>D14/L13</f>
        <v>9.6945794735393918</v>
      </c>
      <c r="F14" s="175">
        <f t="shared" si="1"/>
        <v>6.9657615112160495E-2</v>
      </c>
      <c r="G14" s="40"/>
      <c r="H14" s="40"/>
      <c r="I14" s="40"/>
      <c r="J14" s="62">
        <v>10</v>
      </c>
      <c r="K14" s="204">
        <f t="shared" si="0"/>
        <v>0</v>
      </c>
      <c r="L14" s="40"/>
      <c r="M14" s="50"/>
      <c r="N14" s="50"/>
      <c r="O14" s="7">
        <v>13.929224457930529</v>
      </c>
    </row>
    <row r="15" spans="2:15" x14ac:dyDescent="0.25">
      <c r="B15" s="201">
        <v>11</v>
      </c>
      <c r="C15" s="68">
        <v>2012</v>
      </c>
      <c r="D15" s="62">
        <v>7.99</v>
      </c>
      <c r="E15" s="40">
        <f>D15/L13</f>
        <v>8.5496346571280064</v>
      </c>
      <c r="F15" s="175">
        <f t="shared" si="1"/>
        <v>-0.11810154525386315</v>
      </c>
      <c r="G15" s="40"/>
      <c r="H15" s="40"/>
      <c r="I15" s="40"/>
      <c r="J15" s="62">
        <v>10</v>
      </c>
      <c r="K15" s="204">
        <f t="shared" si="0"/>
        <v>0</v>
      </c>
      <c r="L15" s="40"/>
      <c r="M15" s="175"/>
      <c r="N15" s="50"/>
      <c r="O15" s="7">
        <v>14.467425256022096</v>
      </c>
    </row>
    <row r="16" spans="2:15" x14ac:dyDescent="0.25">
      <c r="B16" s="201">
        <v>12</v>
      </c>
      <c r="C16" s="68">
        <v>2013</v>
      </c>
      <c r="D16" s="62">
        <v>8.75</v>
      </c>
      <c r="E16" s="40">
        <f>D16/L13</f>
        <v>9.3628664893454392</v>
      </c>
      <c r="F16" s="175">
        <f t="shared" si="1"/>
        <v>9.5118898623279144E-2</v>
      </c>
      <c r="G16" s="40"/>
      <c r="H16" s="40"/>
      <c r="I16" s="40"/>
      <c r="J16" s="62">
        <v>10</v>
      </c>
      <c r="K16" s="204">
        <f t="shared" si="0"/>
        <v>0</v>
      </c>
      <c r="L16" s="40"/>
      <c r="M16" s="50"/>
      <c r="N16" s="50"/>
      <c r="O16" s="7">
        <v>14.670161927800148</v>
      </c>
    </row>
    <row r="17" spans="2:15" x14ac:dyDescent="0.25">
      <c r="B17" s="201">
        <v>9</v>
      </c>
      <c r="C17" s="68">
        <v>2014</v>
      </c>
      <c r="D17" s="62">
        <f>L13*E17</f>
        <v>9.3173922857142877</v>
      </c>
      <c r="E17" s="40">
        <v>9.9700000000000006</v>
      </c>
      <c r="F17" s="175">
        <f t="shared" si="1"/>
        <v>6.4844832653061402E-2</v>
      </c>
      <c r="G17" s="40"/>
      <c r="H17" s="40"/>
      <c r="I17" s="40"/>
      <c r="J17" s="62">
        <v>10</v>
      </c>
      <c r="K17" s="204">
        <f t="shared" si="0"/>
        <v>0</v>
      </c>
      <c r="L17" s="39"/>
      <c r="M17" s="175"/>
      <c r="N17" s="390"/>
      <c r="O17" s="7">
        <v>9.9727499382451175</v>
      </c>
    </row>
    <row r="18" spans="2:15" x14ac:dyDescent="0.25">
      <c r="B18" s="201">
        <v>7</v>
      </c>
      <c r="C18" s="68">
        <v>2015</v>
      </c>
      <c r="D18" s="62">
        <v>8.44</v>
      </c>
      <c r="E18" s="40">
        <v>8.69</v>
      </c>
      <c r="F18" s="175">
        <f t="shared" si="1"/>
        <v>-0.12838515546639931</v>
      </c>
      <c r="G18" s="40"/>
      <c r="H18" s="40"/>
      <c r="I18" s="40"/>
      <c r="J18" s="62">
        <v>10</v>
      </c>
      <c r="K18" s="204">
        <f t="shared" si="0"/>
        <v>0</v>
      </c>
      <c r="L18" s="39"/>
      <c r="M18" s="402"/>
      <c r="N18" s="390"/>
      <c r="O18" s="7">
        <v>8.69</v>
      </c>
    </row>
    <row r="19" spans="2:15" x14ac:dyDescent="0.25">
      <c r="B19" s="201">
        <v>1</v>
      </c>
      <c r="C19" s="68">
        <v>2016</v>
      </c>
      <c r="D19" s="62">
        <v>8.99</v>
      </c>
      <c r="E19" s="40">
        <v>9.23</v>
      </c>
      <c r="F19" s="175">
        <f t="shared" si="1"/>
        <v>6.2140391254315412E-2</v>
      </c>
      <c r="G19" s="258"/>
      <c r="H19" s="258"/>
      <c r="I19" s="258"/>
      <c r="J19" s="62">
        <v>10</v>
      </c>
      <c r="K19" s="204">
        <f t="shared" si="0"/>
        <v>0</v>
      </c>
      <c r="L19" s="40"/>
      <c r="M19" s="402"/>
      <c r="N19" s="390" t="e">
        <f>(H19-H18)/H18</f>
        <v>#DIV/0!</v>
      </c>
      <c r="O19" s="7">
        <v>9.8132383899665285</v>
      </c>
    </row>
    <row r="20" spans="2:15" x14ac:dyDescent="0.25">
      <c r="B20" s="201"/>
      <c r="C20" s="68">
        <v>2017</v>
      </c>
      <c r="D20" s="62"/>
      <c r="E20" s="40">
        <v>10</v>
      </c>
      <c r="F20" s="175">
        <f t="shared" si="1"/>
        <v>8.342361863488619E-2</v>
      </c>
      <c r="G20" s="258"/>
      <c r="H20" s="258">
        <f>E20</f>
        <v>10</v>
      </c>
      <c r="I20" s="258">
        <f>E20</f>
        <v>10</v>
      </c>
      <c r="J20" s="62">
        <v>10</v>
      </c>
      <c r="K20" s="204">
        <f t="shared" si="0"/>
        <v>0</v>
      </c>
      <c r="L20" s="40"/>
      <c r="M20" s="402" t="e">
        <f>(G20-G19)/G19</f>
        <v>#DIV/0!</v>
      </c>
      <c r="N20" s="390"/>
    </row>
    <row r="21" spans="2:15" x14ac:dyDescent="0.25">
      <c r="B21" s="202"/>
      <c r="C21" s="69">
        <v>2018</v>
      </c>
      <c r="D21" s="109"/>
      <c r="E21" s="55"/>
      <c r="F21" s="187"/>
      <c r="G21" s="374"/>
      <c r="H21" s="375">
        <v>0</v>
      </c>
      <c r="I21" s="393">
        <f t="shared" ref="I21:I30" si="2">1.045*I20</f>
        <v>10.45</v>
      </c>
      <c r="J21" s="62">
        <v>10</v>
      </c>
      <c r="K21" s="204">
        <f t="shared" si="0"/>
        <v>0</v>
      </c>
      <c r="L21" s="40"/>
      <c r="M21" s="402" t="e">
        <f t="shared" ref="M21:M28" si="3">(G21-G20)/G20</f>
        <v>#DIV/0!</v>
      </c>
      <c r="N21" s="390"/>
    </row>
    <row r="22" spans="2:15" x14ac:dyDescent="0.25">
      <c r="B22" s="202"/>
      <c r="C22" s="69">
        <v>2019</v>
      </c>
      <c r="D22" s="109"/>
      <c r="E22" s="55"/>
      <c r="F22" s="187"/>
      <c r="G22" s="374"/>
      <c r="H22" s="375">
        <v>0</v>
      </c>
      <c r="I22" s="393">
        <f t="shared" si="2"/>
        <v>10.920249999999999</v>
      </c>
      <c r="J22" s="62">
        <v>10</v>
      </c>
      <c r="K22" s="204">
        <f t="shared" si="0"/>
        <v>0</v>
      </c>
      <c r="L22" s="40"/>
      <c r="M22" s="402" t="e">
        <f t="shared" si="3"/>
        <v>#DIV/0!</v>
      </c>
      <c r="N22" s="390"/>
    </row>
    <row r="23" spans="2:15" x14ac:dyDescent="0.25">
      <c r="B23" s="202"/>
      <c r="C23" s="69">
        <v>2020</v>
      </c>
      <c r="D23" s="109"/>
      <c r="E23" s="55"/>
      <c r="F23" s="187"/>
      <c r="G23" s="374"/>
      <c r="H23" s="375">
        <v>0</v>
      </c>
      <c r="I23" s="393">
        <f t="shared" si="2"/>
        <v>11.411661249999998</v>
      </c>
      <c r="J23" s="62">
        <v>10</v>
      </c>
      <c r="K23" s="204">
        <f t="shared" si="0"/>
        <v>0</v>
      </c>
      <c r="L23" s="40"/>
      <c r="M23" s="402" t="e">
        <f t="shared" si="3"/>
        <v>#DIV/0!</v>
      </c>
      <c r="N23" s="390"/>
    </row>
    <row r="24" spans="2:15" x14ac:dyDescent="0.25">
      <c r="B24" s="202"/>
      <c r="C24" s="69">
        <v>2021</v>
      </c>
      <c r="D24" s="109"/>
      <c r="E24" s="55"/>
      <c r="F24" s="187"/>
      <c r="G24" s="374"/>
      <c r="H24" s="375">
        <v>0</v>
      </c>
      <c r="I24" s="393">
        <f t="shared" si="2"/>
        <v>11.925186006249998</v>
      </c>
      <c r="J24" s="62">
        <v>10</v>
      </c>
      <c r="K24" s="204">
        <f t="shared" si="0"/>
        <v>0</v>
      </c>
      <c r="L24" s="40"/>
      <c r="M24" s="402" t="e">
        <f t="shared" si="3"/>
        <v>#DIV/0!</v>
      </c>
      <c r="N24" s="390"/>
    </row>
    <row r="25" spans="2:15" x14ac:dyDescent="0.25">
      <c r="B25" s="202"/>
      <c r="C25" s="69">
        <v>2022</v>
      </c>
      <c r="D25" s="109"/>
      <c r="E25" s="55"/>
      <c r="F25" s="187"/>
      <c r="G25" s="374"/>
      <c r="H25" s="375">
        <v>0</v>
      </c>
      <c r="I25" s="393">
        <f t="shared" si="2"/>
        <v>12.461819376531247</v>
      </c>
      <c r="J25" s="62">
        <v>10</v>
      </c>
      <c r="K25" s="204">
        <f t="shared" si="0"/>
        <v>0</v>
      </c>
      <c r="L25" s="40"/>
      <c r="M25" s="402" t="e">
        <f t="shared" si="3"/>
        <v>#DIV/0!</v>
      </c>
      <c r="N25" s="390"/>
    </row>
    <row r="26" spans="2:15" x14ac:dyDescent="0.25">
      <c r="B26" s="202"/>
      <c r="C26" s="69">
        <v>2023</v>
      </c>
      <c r="D26" s="109"/>
      <c r="E26" s="55"/>
      <c r="F26" s="187"/>
      <c r="G26" s="374"/>
      <c r="H26" s="375"/>
      <c r="I26" s="393">
        <f t="shared" si="2"/>
        <v>13.022601248475153</v>
      </c>
      <c r="J26" s="62">
        <v>10</v>
      </c>
      <c r="K26" s="204">
        <f t="shared" si="0"/>
        <v>0</v>
      </c>
      <c r="L26" s="40"/>
      <c r="M26" s="402" t="e">
        <f t="shared" si="3"/>
        <v>#DIV/0!</v>
      </c>
      <c r="N26" s="390"/>
    </row>
    <row r="27" spans="2:15" x14ac:dyDescent="0.25">
      <c r="B27" s="202"/>
      <c r="C27" s="69">
        <v>2024</v>
      </c>
      <c r="D27" s="109"/>
      <c r="E27" s="55"/>
      <c r="F27" s="187"/>
      <c r="G27" s="374"/>
      <c r="H27" s="375"/>
      <c r="I27" s="393">
        <f t="shared" si="2"/>
        <v>13.608618304656535</v>
      </c>
      <c r="J27" s="62">
        <v>10</v>
      </c>
      <c r="K27" s="204">
        <f t="shared" si="0"/>
        <v>0</v>
      </c>
      <c r="L27" s="40"/>
      <c r="M27" s="402" t="e">
        <f t="shared" si="3"/>
        <v>#DIV/0!</v>
      </c>
      <c r="N27" s="397"/>
    </row>
    <row r="28" spans="2:15" x14ac:dyDescent="0.25">
      <c r="B28" s="202"/>
      <c r="C28" s="69">
        <v>2025</v>
      </c>
      <c r="D28" s="109"/>
      <c r="E28" s="55"/>
      <c r="F28" s="187"/>
      <c r="G28" s="374"/>
      <c r="H28" s="375"/>
      <c r="I28" s="393">
        <f t="shared" si="2"/>
        <v>14.221006128366078</v>
      </c>
      <c r="J28" s="62">
        <v>10</v>
      </c>
      <c r="K28" s="179">
        <f t="shared" si="0"/>
        <v>0</v>
      </c>
      <c r="L28" s="40"/>
      <c r="M28" s="402" t="e">
        <f t="shared" si="3"/>
        <v>#DIV/0!</v>
      </c>
    </row>
    <row r="29" spans="2:15" x14ac:dyDescent="0.25">
      <c r="B29" s="202"/>
      <c r="C29" s="69">
        <v>2026</v>
      </c>
      <c r="D29" s="109"/>
      <c r="E29" s="55"/>
      <c r="F29" s="187"/>
      <c r="G29" s="374"/>
      <c r="H29" s="375"/>
      <c r="I29" s="393">
        <f t="shared" si="2"/>
        <v>14.860951404142551</v>
      </c>
      <c r="J29" s="62">
        <v>10</v>
      </c>
      <c r="K29" s="179">
        <f t="shared" si="0"/>
        <v>0</v>
      </c>
      <c r="L29" s="10"/>
      <c r="M29" s="408" t="e">
        <f>AVERAGE(M20:M28)</f>
        <v>#DIV/0!</v>
      </c>
    </row>
    <row r="30" spans="2:15" ht="15.75" thickBot="1" x14ac:dyDescent="0.3">
      <c r="B30" s="203"/>
      <c r="C30" s="252">
        <v>2027</v>
      </c>
      <c r="D30" s="247"/>
      <c r="E30" s="208"/>
      <c r="F30" s="253"/>
      <c r="G30" s="376"/>
      <c r="H30" s="377"/>
      <c r="I30" s="396">
        <f t="shared" si="2"/>
        <v>15.529694217328965</v>
      </c>
      <c r="J30" s="183">
        <v>10</v>
      </c>
      <c r="K30" s="181">
        <f t="shared" si="0"/>
        <v>0</v>
      </c>
      <c r="L30" s="10"/>
    </row>
    <row r="31" spans="2:15" x14ac:dyDescent="0.25">
      <c r="F31" s="398">
        <f>AVERAGE(F7:F20)</f>
        <v>4.1495223000248375E-2</v>
      </c>
      <c r="L31" s="10"/>
    </row>
    <row r="32" spans="2:15" ht="15.75" thickBot="1" x14ac:dyDescent="0.3"/>
    <row r="33" spans="2:14" ht="20.100000000000001" customHeight="1" thickBot="1" x14ac:dyDescent="0.3">
      <c r="C33" s="1037" t="s">
        <v>321</v>
      </c>
      <c r="D33" s="1038"/>
      <c r="E33" s="1038"/>
      <c r="F33" s="1038"/>
      <c r="G33" s="1038"/>
      <c r="H33" s="1038"/>
      <c r="I33" s="1038"/>
      <c r="J33" s="1038"/>
      <c r="K33" s="1039"/>
    </row>
    <row r="34" spans="2:14" ht="15.95" customHeight="1" thickBot="1" x14ac:dyDescent="0.3">
      <c r="C34" s="1201" t="s">
        <v>323</v>
      </c>
      <c r="D34" s="1202"/>
      <c r="E34" s="1202"/>
      <c r="F34" s="1202"/>
      <c r="G34" s="1202"/>
      <c r="H34" s="1202"/>
      <c r="I34" s="1202"/>
      <c r="J34" s="1202"/>
      <c r="K34" s="1203"/>
      <c r="M34" s="812" t="s">
        <v>317</v>
      </c>
      <c r="N34" s="439"/>
    </row>
    <row r="35" spans="2:14" ht="15.95" customHeight="1" thickBot="1" x14ac:dyDescent="0.3">
      <c r="B35" s="1051" t="s">
        <v>26</v>
      </c>
      <c r="C35" s="1043" t="s">
        <v>35</v>
      </c>
      <c r="D35" s="1045" t="s">
        <v>110</v>
      </c>
      <c r="E35" s="1046"/>
      <c r="F35" s="1047"/>
      <c r="G35" s="1045" t="s">
        <v>74</v>
      </c>
      <c r="H35" s="1047"/>
      <c r="I35" s="1043" t="s">
        <v>180</v>
      </c>
      <c r="J35" s="1043" t="s">
        <v>268</v>
      </c>
      <c r="K35" s="1049" t="s">
        <v>269</v>
      </c>
      <c r="M35" s="812" t="s">
        <v>322</v>
      </c>
      <c r="N35" s="439"/>
    </row>
    <row r="36" spans="2:14" ht="35.1" customHeight="1" thickBot="1" x14ac:dyDescent="0.3">
      <c r="B36" s="1051"/>
      <c r="C36" s="1044"/>
      <c r="D36" s="541" t="s">
        <v>174</v>
      </c>
      <c r="E36" s="541" t="s">
        <v>122</v>
      </c>
      <c r="F36" s="541" t="s">
        <v>81</v>
      </c>
      <c r="G36" s="537" t="s">
        <v>170</v>
      </c>
      <c r="H36" s="538" t="s">
        <v>270</v>
      </c>
      <c r="I36" s="1044"/>
      <c r="J36" s="1044"/>
      <c r="K36" s="1175"/>
    </row>
    <row r="37" spans="2:14" ht="15" customHeight="1" x14ac:dyDescent="0.25">
      <c r="B37" s="555">
        <v>2003</v>
      </c>
      <c r="C37" s="578">
        <v>37950.864583333336</v>
      </c>
      <c r="D37" s="959">
        <v>5.55</v>
      </c>
      <c r="E37" s="831">
        <v>6.05</v>
      </c>
      <c r="F37" s="731"/>
      <c r="G37" s="826"/>
      <c r="H37" s="826"/>
      <c r="I37" s="832">
        <f>1*10</f>
        <v>10</v>
      </c>
      <c r="J37" s="833">
        <f>I37-10</f>
        <v>0</v>
      </c>
      <c r="K37" s="591">
        <f>E37/I37</f>
        <v>0.60499999999999998</v>
      </c>
    </row>
    <row r="38" spans="2:14" ht="15" customHeight="1" x14ac:dyDescent="0.25">
      <c r="B38" s="555">
        <v>2004</v>
      </c>
      <c r="C38" s="580">
        <v>38133.8125</v>
      </c>
      <c r="D38" s="960">
        <v>5.96</v>
      </c>
      <c r="E38" s="829">
        <v>6.32</v>
      </c>
      <c r="F38" s="729">
        <f>(E38-E37)/E37</f>
        <v>4.4628099173553794E-2</v>
      </c>
      <c r="G38" s="827"/>
      <c r="H38" s="827"/>
      <c r="I38" s="828">
        <f t="shared" ref="I38:I50" si="4">1*10</f>
        <v>10</v>
      </c>
      <c r="J38" s="830">
        <f t="shared" ref="J38:J51" si="5">I38-10</f>
        <v>0</v>
      </c>
      <c r="K38" s="592">
        <f t="shared" ref="K38:K51" si="6">E38/I38</f>
        <v>0.63200000000000001</v>
      </c>
    </row>
    <row r="39" spans="2:14" ht="15" customHeight="1" x14ac:dyDescent="0.25">
      <c r="B39" s="555">
        <v>2005</v>
      </c>
      <c r="C39" s="580">
        <v>38582.8125</v>
      </c>
      <c r="D39" s="960">
        <v>7.74</v>
      </c>
      <c r="E39" s="829">
        <v>8.18</v>
      </c>
      <c r="F39" s="729">
        <f t="shared" ref="F39:F51" si="7">(E39-E38)/E38</f>
        <v>0.29430379746835433</v>
      </c>
      <c r="G39" s="827"/>
      <c r="H39" s="827"/>
      <c r="I39" s="828">
        <f t="shared" si="4"/>
        <v>10</v>
      </c>
      <c r="J39" s="830">
        <f t="shared" si="5"/>
        <v>0</v>
      </c>
      <c r="K39" s="592">
        <f t="shared" si="6"/>
        <v>0.81799999999999995</v>
      </c>
    </row>
    <row r="40" spans="2:14" ht="15" customHeight="1" x14ac:dyDescent="0.25">
      <c r="B40" s="555">
        <v>2006</v>
      </c>
      <c r="C40" s="580">
        <v>39036.864583333336</v>
      </c>
      <c r="D40" s="960">
        <v>7.02</v>
      </c>
      <c r="E40" s="829">
        <v>7.64</v>
      </c>
      <c r="F40" s="729">
        <f t="shared" si="7"/>
        <v>-6.6014669926650379E-2</v>
      </c>
      <c r="G40" s="827"/>
      <c r="H40" s="827"/>
      <c r="I40" s="828">
        <f t="shared" si="4"/>
        <v>10</v>
      </c>
      <c r="J40" s="830">
        <f t="shared" si="5"/>
        <v>0</v>
      </c>
      <c r="K40" s="592">
        <f t="shared" si="6"/>
        <v>0.76400000000000001</v>
      </c>
    </row>
    <row r="41" spans="2:14" ht="15" customHeight="1" x14ac:dyDescent="0.25">
      <c r="B41" s="49">
        <v>2007</v>
      </c>
      <c r="C41" s="580">
        <v>39231.8125</v>
      </c>
      <c r="D41" s="961">
        <v>7.89</v>
      </c>
      <c r="E41" s="650">
        <v>8.31</v>
      </c>
      <c r="F41" s="729">
        <f t="shared" si="7"/>
        <v>8.7696335078534138E-2</v>
      </c>
      <c r="G41" s="658"/>
      <c r="H41" s="658"/>
      <c r="I41" s="828">
        <f t="shared" si="4"/>
        <v>10</v>
      </c>
      <c r="J41" s="830">
        <f t="shared" si="5"/>
        <v>0</v>
      </c>
      <c r="K41" s="592">
        <f t="shared" si="6"/>
        <v>0.83100000000000007</v>
      </c>
      <c r="N41" s="14"/>
    </row>
    <row r="42" spans="2:14" ht="15" customHeight="1" x14ac:dyDescent="0.25">
      <c r="B42" s="49">
        <v>2008</v>
      </c>
      <c r="C42" s="580">
        <v>39624.854166666664</v>
      </c>
      <c r="D42" s="961">
        <v>8.49</v>
      </c>
      <c r="E42" s="650">
        <v>8.9700000000000006</v>
      </c>
      <c r="F42" s="729">
        <f t="shared" si="7"/>
        <v>7.9422382671480163E-2</v>
      </c>
      <c r="G42" s="658"/>
      <c r="H42" s="658"/>
      <c r="I42" s="828">
        <f t="shared" si="4"/>
        <v>10</v>
      </c>
      <c r="J42" s="830">
        <f t="shared" si="5"/>
        <v>0</v>
      </c>
      <c r="K42" s="834">
        <f t="shared" si="6"/>
        <v>0.89700000000000002</v>
      </c>
      <c r="N42" s="14"/>
    </row>
    <row r="43" spans="2:14" ht="15" customHeight="1" x14ac:dyDescent="0.25">
      <c r="B43" s="49">
        <v>2009</v>
      </c>
      <c r="C43" s="580">
        <v>40115.84375</v>
      </c>
      <c r="D43" s="961">
        <v>7.96</v>
      </c>
      <c r="E43" s="650">
        <v>8.64</v>
      </c>
      <c r="F43" s="729">
        <f t="shared" si="7"/>
        <v>-3.678929765886288E-2</v>
      </c>
      <c r="G43" s="658"/>
      <c r="H43" s="658"/>
      <c r="I43" s="828">
        <f t="shared" si="4"/>
        <v>10</v>
      </c>
      <c r="J43" s="830">
        <f t="shared" si="5"/>
        <v>0</v>
      </c>
      <c r="K43" s="592">
        <f t="shared" si="6"/>
        <v>0.8640000000000001</v>
      </c>
      <c r="N43" s="14"/>
    </row>
    <row r="44" spans="2:14" ht="15" customHeight="1" x14ac:dyDescent="0.25">
      <c r="B44" s="49">
        <v>2010</v>
      </c>
      <c r="C44" s="580">
        <v>40527.864583333336</v>
      </c>
      <c r="D44" s="961">
        <v>8.4700000000000006</v>
      </c>
      <c r="E44" s="650">
        <v>9.0632547616863857</v>
      </c>
      <c r="F44" s="729">
        <f t="shared" si="7"/>
        <v>4.8987819639627901E-2</v>
      </c>
      <c r="G44" s="658"/>
      <c r="H44" s="658"/>
      <c r="I44" s="828">
        <f t="shared" si="4"/>
        <v>10</v>
      </c>
      <c r="J44" s="830">
        <f t="shared" si="5"/>
        <v>0</v>
      </c>
      <c r="K44" s="834">
        <f t="shared" si="6"/>
        <v>0.90632547616863857</v>
      </c>
      <c r="N44" s="14"/>
    </row>
    <row r="45" spans="2:14" ht="15" customHeight="1" x14ac:dyDescent="0.25">
      <c r="B45" s="49">
        <v>2011</v>
      </c>
      <c r="C45" s="580">
        <v>40728.833333333336</v>
      </c>
      <c r="D45" s="961">
        <v>9.06</v>
      </c>
      <c r="E45" s="650">
        <v>9.6945794735393918</v>
      </c>
      <c r="F45" s="729">
        <f t="shared" si="7"/>
        <v>6.9657615112160495E-2</v>
      </c>
      <c r="G45" s="658"/>
      <c r="H45" s="658"/>
      <c r="I45" s="828">
        <f t="shared" si="4"/>
        <v>10</v>
      </c>
      <c r="J45" s="830">
        <f t="shared" si="5"/>
        <v>0</v>
      </c>
      <c r="K45" s="834">
        <f t="shared" si="6"/>
        <v>0.9694579473539392</v>
      </c>
      <c r="N45" s="14"/>
    </row>
    <row r="46" spans="2:14" ht="15" customHeight="1" x14ac:dyDescent="0.25">
      <c r="B46" s="49">
        <v>2012</v>
      </c>
      <c r="C46" s="580">
        <v>41234.854166666664</v>
      </c>
      <c r="D46" s="961">
        <v>7.99</v>
      </c>
      <c r="E46" s="650">
        <v>8.5496346571280064</v>
      </c>
      <c r="F46" s="729">
        <f t="shared" si="7"/>
        <v>-0.11810154525386315</v>
      </c>
      <c r="G46" s="658"/>
      <c r="H46" s="658"/>
      <c r="I46" s="828">
        <f t="shared" si="4"/>
        <v>10</v>
      </c>
      <c r="J46" s="830">
        <f t="shared" si="5"/>
        <v>0</v>
      </c>
      <c r="K46" s="592">
        <f t="shared" si="6"/>
        <v>0.85496346571280069</v>
      </c>
      <c r="N46" s="14"/>
    </row>
    <row r="47" spans="2:14" ht="15" customHeight="1" x14ac:dyDescent="0.25">
      <c r="B47" s="49">
        <v>2013</v>
      </c>
      <c r="C47" s="580">
        <v>41634.583333333336</v>
      </c>
      <c r="D47" s="961">
        <v>8.75</v>
      </c>
      <c r="E47" s="650">
        <v>9.3628664893454392</v>
      </c>
      <c r="F47" s="729">
        <f t="shared" si="7"/>
        <v>9.5118898623279144E-2</v>
      </c>
      <c r="G47" s="658"/>
      <c r="H47" s="658"/>
      <c r="I47" s="828">
        <f t="shared" si="4"/>
        <v>10</v>
      </c>
      <c r="J47" s="830">
        <f t="shared" si="5"/>
        <v>0</v>
      </c>
      <c r="K47" s="834">
        <f t="shared" si="6"/>
        <v>0.93628664893454394</v>
      </c>
      <c r="N47" s="14"/>
    </row>
    <row r="48" spans="2:14" ht="15" customHeight="1" x14ac:dyDescent="0.25">
      <c r="B48" s="49">
        <v>2014</v>
      </c>
      <c r="C48" s="580">
        <v>41907.447916666664</v>
      </c>
      <c r="D48" s="961">
        <v>9.56</v>
      </c>
      <c r="E48" s="650">
        <v>10</v>
      </c>
      <c r="F48" s="729">
        <f t="shared" si="7"/>
        <v>6.8048979591836839E-2</v>
      </c>
      <c r="G48" s="658"/>
      <c r="H48" s="658"/>
      <c r="I48" s="828">
        <f t="shared" si="4"/>
        <v>10</v>
      </c>
      <c r="J48" s="830">
        <f t="shared" si="5"/>
        <v>0</v>
      </c>
      <c r="K48" s="834">
        <f t="shared" si="6"/>
        <v>1</v>
      </c>
      <c r="N48" s="14"/>
    </row>
    <row r="49" spans="2:14" ht="15" customHeight="1" x14ac:dyDescent="0.25">
      <c r="B49" s="49">
        <v>2015</v>
      </c>
      <c r="C49" s="580">
        <v>42206.864583333336</v>
      </c>
      <c r="D49" s="961">
        <v>8.5500000000000007</v>
      </c>
      <c r="E49" s="650">
        <v>8.61</v>
      </c>
      <c r="F49" s="729">
        <f t="shared" si="7"/>
        <v>-0.13900000000000007</v>
      </c>
      <c r="G49" s="658"/>
      <c r="H49" s="658"/>
      <c r="I49" s="828">
        <f t="shared" si="4"/>
        <v>10</v>
      </c>
      <c r="J49" s="830">
        <f t="shared" si="5"/>
        <v>0</v>
      </c>
      <c r="K49" s="592">
        <f t="shared" si="6"/>
        <v>0.86099999999999999</v>
      </c>
      <c r="N49" s="14"/>
    </row>
    <row r="50" spans="2:14" ht="15" customHeight="1" x14ac:dyDescent="0.25">
      <c r="B50" s="49">
        <v>2016</v>
      </c>
      <c r="C50" s="580">
        <v>42725.635416666664</v>
      </c>
      <c r="D50" s="961">
        <v>8.84</v>
      </c>
      <c r="E50" s="650">
        <v>9.1199999999999992</v>
      </c>
      <c r="F50" s="729">
        <f t="shared" si="7"/>
        <v>5.9233449477351895E-2</v>
      </c>
      <c r="G50" s="658"/>
      <c r="H50" s="658"/>
      <c r="I50" s="828">
        <f t="shared" si="4"/>
        <v>10</v>
      </c>
      <c r="J50" s="830">
        <f t="shared" si="5"/>
        <v>0</v>
      </c>
      <c r="K50" s="834">
        <f t="shared" si="6"/>
        <v>0.91199999999999992</v>
      </c>
      <c r="N50" s="14"/>
    </row>
    <row r="51" spans="2:14" ht="15" customHeight="1" x14ac:dyDescent="0.25">
      <c r="B51" s="49">
        <v>2017</v>
      </c>
      <c r="C51" s="580">
        <v>43089.635416666664</v>
      </c>
      <c r="D51" s="961">
        <v>8.76</v>
      </c>
      <c r="E51" s="650">
        <v>9.2100000000000009</v>
      </c>
      <c r="F51" s="729">
        <f t="shared" si="7"/>
        <v>9.8684210526317588E-3</v>
      </c>
      <c r="G51" s="658"/>
      <c r="H51" s="658">
        <f>E51</f>
        <v>9.2100000000000009</v>
      </c>
      <c r="I51" s="581">
        <v>10</v>
      </c>
      <c r="J51" s="830">
        <f t="shared" si="5"/>
        <v>0</v>
      </c>
      <c r="K51" s="834">
        <f t="shared" si="6"/>
        <v>0.92100000000000004</v>
      </c>
      <c r="N51" s="14"/>
    </row>
    <row r="52" spans="2:14" ht="15" customHeight="1" x14ac:dyDescent="0.25">
      <c r="B52" s="54">
        <v>2018</v>
      </c>
      <c r="C52" s="720">
        <v>2018</v>
      </c>
      <c r="D52" s="962"/>
      <c r="E52" s="652"/>
      <c r="F52" s="730"/>
      <c r="G52" s="660">
        <f>0.1924*B52-378.28</f>
        <v>9.9832000000000107</v>
      </c>
      <c r="H52" s="661">
        <f>0.1925+H51</f>
        <v>9.4025000000000016</v>
      </c>
      <c r="I52" s="584">
        <f t="shared" ref="I52:I61" si="8">1*25</f>
        <v>25</v>
      </c>
      <c r="J52" s="736">
        <f t="shared" ref="J52:J61" si="9">I52-25</f>
        <v>0</v>
      </c>
      <c r="K52" s="687">
        <f>H52/I52</f>
        <v>0.37610000000000005</v>
      </c>
      <c r="N52" s="14"/>
    </row>
    <row r="53" spans="2:14" ht="15" customHeight="1" x14ac:dyDescent="0.25">
      <c r="B53" s="54">
        <v>2019</v>
      </c>
      <c r="C53" s="720">
        <v>2019</v>
      </c>
      <c r="D53" s="962"/>
      <c r="E53" s="652"/>
      <c r="F53" s="730"/>
      <c r="G53" s="660">
        <f t="shared" ref="G53:G61" si="10">0.1924*B53-378.28</f>
        <v>10.175599999999974</v>
      </c>
      <c r="H53" s="661">
        <f t="shared" ref="H53:H61" si="11">0.1925+H52</f>
        <v>9.5950000000000024</v>
      </c>
      <c r="I53" s="584">
        <f t="shared" si="8"/>
        <v>25</v>
      </c>
      <c r="J53" s="736">
        <f t="shared" si="9"/>
        <v>0</v>
      </c>
      <c r="K53" s="687">
        <f t="shared" ref="K53:K61" si="12">H53/I53</f>
        <v>0.38380000000000009</v>
      </c>
      <c r="L53" s="11">
        <f>G53-G52</f>
        <v>0.19239999999996371</v>
      </c>
      <c r="M53" s="11">
        <f>H52-H51</f>
        <v>0.19250000000000078</v>
      </c>
      <c r="N53" s="5" t="s">
        <v>345</v>
      </c>
    </row>
    <row r="54" spans="2:14" ht="15" customHeight="1" x14ac:dyDescent="0.25">
      <c r="B54" s="54">
        <v>2020</v>
      </c>
      <c r="C54" s="720">
        <v>2020</v>
      </c>
      <c r="D54" s="962"/>
      <c r="E54" s="652"/>
      <c r="F54" s="730"/>
      <c r="G54" s="660">
        <f t="shared" si="10"/>
        <v>10.367999999999995</v>
      </c>
      <c r="H54" s="661">
        <f t="shared" si="11"/>
        <v>9.7875000000000032</v>
      </c>
      <c r="I54" s="584">
        <f t="shared" si="8"/>
        <v>25</v>
      </c>
      <c r="J54" s="736">
        <f t="shared" si="9"/>
        <v>0</v>
      </c>
      <c r="K54" s="687">
        <f t="shared" si="12"/>
        <v>0.39150000000000013</v>
      </c>
      <c r="L54" s="11">
        <f t="shared" ref="L54:L61" si="13">G54-G53</f>
        <v>0.19240000000002055</v>
      </c>
      <c r="M54" s="11">
        <f t="shared" ref="M54:M61" si="14">H53-H52</f>
        <v>0.19250000000000078</v>
      </c>
    </row>
    <row r="55" spans="2:14" ht="15" customHeight="1" x14ac:dyDescent="0.25">
      <c r="B55" s="54">
        <v>2021</v>
      </c>
      <c r="C55" s="720">
        <v>2021</v>
      </c>
      <c r="D55" s="962"/>
      <c r="E55" s="652"/>
      <c r="F55" s="730"/>
      <c r="G55" s="660">
        <f t="shared" si="10"/>
        <v>10.560400000000016</v>
      </c>
      <c r="H55" s="661">
        <f t="shared" si="11"/>
        <v>9.980000000000004</v>
      </c>
      <c r="I55" s="584">
        <f t="shared" si="8"/>
        <v>25</v>
      </c>
      <c r="J55" s="736">
        <f t="shared" si="9"/>
        <v>0</v>
      </c>
      <c r="K55" s="687">
        <f t="shared" si="12"/>
        <v>0.39920000000000017</v>
      </c>
      <c r="L55" s="11">
        <f t="shared" si="13"/>
        <v>0.19240000000002055</v>
      </c>
      <c r="M55" s="11">
        <f t="shared" si="14"/>
        <v>0.19250000000000078</v>
      </c>
    </row>
    <row r="56" spans="2:14" ht="15" customHeight="1" x14ac:dyDescent="0.25">
      <c r="B56" s="54">
        <v>2022</v>
      </c>
      <c r="C56" s="720">
        <v>2022</v>
      </c>
      <c r="D56" s="962"/>
      <c r="E56" s="652"/>
      <c r="F56" s="730"/>
      <c r="G56" s="660">
        <f t="shared" si="10"/>
        <v>10.752799999999979</v>
      </c>
      <c r="H56" s="661">
        <f t="shared" si="11"/>
        <v>10.172500000000005</v>
      </c>
      <c r="I56" s="584">
        <f t="shared" si="8"/>
        <v>25</v>
      </c>
      <c r="J56" s="736">
        <f t="shared" si="9"/>
        <v>0</v>
      </c>
      <c r="K56" s="687">
        <f t="shared" si="12"/>
        <v>0.40690000000000021</v>
      </c>
      <c r="L56" s="11">
        <f t="shared" si="13"/>
        <v>0.19239999999996371</v>
      </c>
      <c r="M56" s="11">
        <f t="shared" si="14"/>
        <v>0.19250000000000078</v>
      </c>
    </row>
    <row r="57" spans="2:14" ht="15" customHeight="1" x14ac:dyDescent="0.25">
      <c r="B57" s="54">
        <v>2023</v>
      </c>
      <c r="C57" s="720">
        <v>2023</v>
      </c>
      <c r="D57" s="962"/>
      <c r="E57" s="652"/>
      <c r="F57" s="730"/>
      <c r="G57" s="660">
        <f t="shared" si="10"/>
        <v>10.9452</v>
      </c>
      <c r="H57" s="661">
        <f t="shared" si="11"/>
        <v>10.365000000000006</v>
      </c>
      <c r="I57" s="584">
        <f t="shared" si="8"/>
        <v>25</v>
      </c>
      <c r="J57" s="736">
        <f t="shared" si="9"/>
        <v>0</v>
      </c>
      <c r="K57" s="687">
        <f t="shared" si="12"/>
        <v>0.41460000000000025</v>
      </c>
      <c r="L57" s="11">
        <f t="shared" si="13"/>
        <v>0.19240000000002055</v>
      </c>
      <c r="M57" s="11">
        <f t="shared" si="14"/>
        <v>0.19250000000000078</v>
      </c>
    </row>
    <row r="58" spans="2:14" ht="15" customHeight="1" x14ac:dyDescent="0.25">
      <c r="B58" s="54">
        <v>2024</v>
      </c>
      <c r="C58" s="721">
        <v>2024</v>
      </c>
      <c r="D58" s="962"/>
      <c r="E58" s="652"/>
      <c r="F58" s="730"/>
      <c r="G58" s="660">
        <f t="shared" si="10"/>
        <v>11.13760000000002</v>
      </c>
      <c r="H58" s="661">
        <f t="shared" si="11"/>
        <v>10.557500000000006</v>
      </c>
      <c r="I58" s="584">
        <f t="shared" si="8"/>
        <v>25</v>
      </c>
      <c r="J58" s="736">
        <f t="shared" si="9"/>
        <v>0</v>
      </c>
      <c r="K58" s="687">
        <f t="shared" si="12"/>
        <v>0.42230000000000023</v>
      </c>
      <c r="L58" s="11">
        <f t="shared" si="13"/>
        <v>0.19240000000002055</v>
      </c>
      <c r="M58" s="11">
        <f t="shared" si="14"/>
        <v>0.19250000000000078</v>
      </c>
    </row>
    <row r="59" spans="2:14" ht="15" customHeight="1" x14ac:dyDescent="0.25">
      <c r="B59" s="54">
        <v>2025</v>
      </c>
      <c r="C59" s="721">
        <v>2025</v>
      </c>
      <c r="D59" s="962"/>
      <c r="E59" s="652"/>
      <c r="F59" s="730"/>
      <c r="G59" s="660">
        <f t="shared" si="10"/>
        <v>11.329999999999984</v>
      </c>
      <c r="H59" s="661">
        <f t="shared" si="11"/>
        <v>10.750000000000007</v>
      </c>
      <c r="I59" s="584">
        <f t="shared" si="8"/>
        <v>25</v>
      </c>
      <c r="J59" s="736">
        <f t="shared" si="9"/>
        <v>0</v>
      </c>
      <c r="K59" s="687">
        <f t="shared" si="12"/>
        <v>0.43000000000000027</v>
      </c>
      <c r="L59" s="11">
        <f t="shared" si="13"/>
        <v>0.19239999999996371</v>
      </c>
      <c r="M59" s="11">
        <f t="shared" si="14"/>
        <v>0.19250000000000078</v>
      </c>
    </row>
    <row r="60" spans="2:14" ht="15" customHeight="1" x14ac:dyDescent="0.25">
      <c r="B60" s="54">
        <v>2026</v>
      </c>
      <c r="C60" s="721">
        <v>2026</v>
      </c>
      <c r="D60" s="962"/>
      <c r="E60" s="652"/>
      <c r="F60" s="730"/>
      <c r="G60" s="660">
        <f t="shared" si="10"/>
        <v>11.522400000000005</v>
      </c>
      <c r="H60" s="661">
        <f t="shared" si="11"/>
        <v>10.942500000000008</v>
      </c>
      <c r="I60" s="584">
        <f t="shared" si="8"/>
        <v>25</v>
      </c>
      <c r="J60" s="736">
        <f t="shared" si="9"/>
        <v>0</v>
      </c>
      <c r="K60" s="687">
        <f t="shared" si="12"/>
        <v>0.43770000000000031</v>
      </c>
      <c r="L60" s="11">
        <f t="shared" si="13"/>
        <v>0.19240000000002055</v>
      </c>
      <c r="M60" s="11">
        <f t="shared" si="14"/>
        <v>0.19250000000000078</v>
      </c>
    </row>
    <row r="61" spans="2:14" ht="15" customHeight="1" thickBot="1" x14ac:dyDescent="0.3">
      <c r="B61" s="209">
        <v>2027</v>
      </c>
      <c r="C61" s="722">
        <v>2027</v>
      </c>
      <c r="D61" s="963"/>
      <c r="E61" s="656"/>
      <c r="F61" s="734"/>
      <c r="G61" s="662">
        <f t="shared" si="10"/>
        <v>11.714800000000025</v>
      </c>
      <c r="H61" s="663">
        <f t="shared" si="11"/>
        <v>11.135000000000009</v>
      </c>
      <c r="I61" s="586">
        <f t="shared" si="8"/>
        <v>25</v>
      </c>
      <c r="J61" s="741">
        <f t="shared" si="9"/>
        <v>0</v>
      </c>
      <c r="K61" s="735">
        <f t="shared" si="12"/>
        <v>0.44540000000000035</v>
      </c>
      <c r="L61" s="11">
        <f t="shared" si="13"/>
        <v>0.19240000000002055</v>
      </c>
      <c r="M61" s="11">
        <f t="shared" si="14"/>
        <v>0.19250000000000078</v>
      </c>
    </row>
    <row r="62" spans="2:14" ht="15" customHeight="1" x14ac:dyDescent="0.25">
      <c r="E62" s="11"/>
      <c r="H62">
        <f>0.043*H51</f>
        <v>0.39602999999999999</v>
      </c>
    </row>
    <row r="63" spans="2:14" ht="15" customHeight="1" x14ac:dyDescent="0.25">
      <c r="D63" t="s">
        <v>380</v>
      </c>
      <c r="E63" s="11">
        <f>E51-E41</f>
        <v>0.90000000000000036</v>
      </c>
      <c r="H63" s="11">
        <f>H61-H51</f>
        <v>1.9250000000000078</v>
      </c>
      <c r="I63" s="898">
        <f>(H63-E63)/E63</f>
        <v>1.1388888888888968</v>
      </c>
    </row>
    <row r="64" spans="2:1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101" spans="1:20" ht="18" x14ac:dyDescent="0.25">
      <c r="A101" s="1093" t="s">
        <v>247</v>
      </c>
      <c r="B101" s="1093"/>
      <c r="C101" s="1093"/>
      <c r="D101" s="1093"/>
      <c r="E101" s="1093"/>
      <c r="F101" s="1093"/>
      <c r="G101" s="1093"/>
      <c r="H101" s="1093"/>
      <c r="I101" s="1093"/>
      <c r="J101" s="1093"/>
      <c r="K101" s="1093"/>
      <c r="L101" s="1093"/>
      <c r="M101" s="1093"/>
      <c r="N101" s="1093"/>
      <c r="O101" s="1093"/>
      <c r="P101" s="1093"/>
      <c r="Q101" s="1093"/>
      <c r="R101" s="1093"/>
      <c r="S101" s="1093"/>
      <c r="T101" s="1093"/>
    </row>
    <row r="102" spans="1:20" ht="18" x14ac:dyDescent="0.25">
      <c r="A102" s="1094" t="s">
        <v>248</v>
      </c>
      <c r="B102" s="1094"/>
      <c r="C102" s="1094"/>
      <c r="D102" s="1094"/>
      <c r="E102" s="1094"/>
      <c r="F102" s="1094"/>
      <c r="G102" s="1094"/>
      <c r="H102" s="1094"/>
      <c r="I102" s="1094"/>
      <c r="J102" s="1094"/>
      <c r="K102" s="1094"/>
      <c r="L102" s="1094"/>
      <c r="M102" s="1094"/>
      <c r="N102" s="1094"/>
      <c r="O102" s="1094"/>
      <c r="P102" s="1094"/>
      <c r="Q102" s="1094"/>
      <c r="R102" s="1094"/>
      <c r="S102" s="1094"/>
      <c r="T102" s="1094"/>
    </row>
    <row r="103" spans="1:20" ht="15.75" thickBot="1" x14ac:dyDescent="0.3">
      <c r="A103" s="452"/>
      <c r="B103" s="452"/>
      <c r="C103" s="452"/>
      <c r="D103" s="452"/>
      <c r="E103" s="452"/>
      <c r="F103" s="452"/>
      <c r="G103" s="452"/>
      <c r="H103" s="453"/>
      <c r="I103" s="452"/>
      <c r="J103" s="454"/>
      <c r="K103" s="453"/>
      <c r="L103" s="452"/>
      <c r="M103" s="454"/>
      <c r="N103" s="453"/>
      <c r="O103" s="452"/>
      <c r="P103" s="454"/>
      <c r="Q103" s="453"/>
      <c r="R103" s="452"/>
      <c r="S103" s="449"/>
      <c r="T103" s="450"/>
    </row>
    <row r="104" spans="1:20" x14ac:dyDescent="0.25">
      <c r="A104" s="1095" t="s">
        <v>249</v>
      </c>
      <c r="B104" s="1098" t="s">
        <v>250</v>
      </c>
      <c r="C104" s="1101" t="s">
        <v>251</v>
      </c>
      <c r="D104" s="1063" t="s">
        <v>252</v>
      </c>
      <c r="E104" s="1065"/>
      <c r="F104" s="1066">
        <v>2016</v>
      </c>
      <c r="G104" s="1064"/>
      <c r="H104" s="1106"/>
      <c r="I104" s="1063">
        <f>+F104+1</f>
        <v>2017</v>
      </c>
      <c r="J104" s="1064"/>
      <c r="K104" s="1065"/>
      <c r="L104" s="1066">
        <f>+I104+1</f>
        <v>2018</v>
      </c>
      <c r="M104" s="1064"/>
      <c r="N104" s="1106"/>
      <c r="O104" s="1063">
        <f>+L104+1</f>
        <v>2019</v>
      </c>
      <c r="P104" s="1064"/>
      <c r="Q104" s="1065"/>
      <c r="R104" s="1066">
        <f>+O104+1</f>
        <v>2020</v>
      </c>
      <c r="S104" s="1064"/>
      <c r="T104" s="1065"/>
    </row>
    <row r="105" spans="1:20" x14ac:dyDescent="0.25">
      <c r="A105" s="1096"/>
      <c r="B105" s="1099"/>
      <c r="C105" s="1102"/>
      <c r="D105" s="1104"/>
      <c r="E105" s="1105"/>
      <c r="F105" s="455" t="s">
        <v>253</v>
      </c>
      <c r="G105" s="1067" t="s">
        <v>254</v>
      </c>
      <c r="H105" s="1068"/>
      <c r="I105" s="456" t="s">
        <v>253</v>
      </c>
      <c r="J105" s="1067" t="s">
        <v>254</v>
      </c>
      <c r="K105" s="1069"/>
      <c r="L105" s="455" t="s">
        <v>253</v>
      </c>
      <c r="M105" s="1067" t="s">
        <v>254</v>
      </c>
      <c r="N105" s="1068"/>
      <c r="O105" s="456" t="s">
        <v>253</v>
      </c>
      <c r="P105" s="1067" t="s">
        <v>254</v>
      </c>
      <c r="Q105" s="1069"/>
      <c r="R105" s="455" t="s">
        <v>253</v>
      </c>
      <c r="S105" s="1067" t="s">
        <v>254</v>
      </c>
      <c r="T105" s="1069"/>
    </row>
    <row r="106" spans="1:20" ht="15.75" thickBot="1" x14ac:dyDescent="0.3">
      <c r="A106" s="1097"/>
      <c r="B106" s="1100"/>
      <c r="C106" s="1103"/>
      <c r="D106" s="1091" t="s">
        <v>255</v>
      </c>
      <c r="E106" s="1092"/>
      <c r="F106" s="457" t="s">
        <v>255</v>
      </c>
      <c r="G106" s="458" t="s">
        <v>255</v>
      </c>
      <c r="H106" s="459" t="s">
        <v>256</v>
      </c>
      <c r="I106" s="460" t="s">
        <v>255</v>
      </c>
      <c r="J106" s="461" t="s">
        <v>255</v>
      </c>
      <c r="K106" s="462" t="s">
        <v>256</v>
      </c>
      <c r="L106" s="457" t="s">
        <v>255</v>
      </c>
      <c r="M106" s="461" t="s">
        <v>255</v>
      </c>
      <c r="N106" s="459" t="s">
        <v>256</v>
      </c>
      <c r="O106" s="460" t="s">
        <v>255</v>
      </c>
      <c r="P106" s="461" t="s">
        <v>255</v>
      </c>
      <c r="Q106" s="462" t="s">
        <v>256</v>
      </c>
      <c r="R106" s="457" t="s">
        <v>255</v>
      </c>
      <c r="S106" s="461" t="s">
        <v>255</v>
      </c>
      <c r="T106" s="462" t="s">
        <v>256</v>
      </c>
    </row>
    <row r="107" spans="1:20" x14ac:dyDescent="0.25">
      <c r="B107" s="441" t="s">
        <v>17</v>
      </c>
      <c r="C107" s="441" t="s">
        <v>260</v>
      </c>
      <c r="D107" s="442">
        <v>25</v>
      </c>
      <c r="E107" s="443">
        <v>25</v>
      </c>
      <c r="F107" s="465">
        <v>25</v>
      </c>
      <c r="G107" s="835">
        <v>23.2</v>
      </c>
      <c r="H107" s="466">
        <v>0.92799999999999994</v>
      </c>
      <c r="I107" s="465">
        <v>25</v>
      </c>
      <c r="J107" s="835">
        <v>24.197600000000001</v>
      </c>
      <c r="K107" s="466">
        <v>0.96790399999999988</v>
      </c>
      <c r="L107" s="465">
        <v>25</v>
      </c>
      <c r="M107" s="835">
        <v>25.238096800000001</v>
      </c>
      <c r="N107" s="466">
        <v>1.0095238719999999</v>
      </c>
      <c r="O107" s="465">
        <v>25</v>
      </c>
      <c r="P107" s="835">
        <v>26.323334962400001</v>
      </c>
      <c r="Q107" s="466">
        <v>1.0529333984959999</v>
      </c>
      <c r="R107" s="442">
        <v>25</v>
      </c>
      <c r="S107" s="835">
        <v>27.455238365783199</v>
      </c>
      <c r="T107" s="466">
        <v>1.0982095346313279</v>
      </c>
    </row>
    <row r="108" spans="1:20" x14ac:dyDescent="0.25">
      <c r="M108">
        <f>1.043*J107</f>
        <v>25.238096800000001</v>
      </c>
      <c r="P108">
        <f>1.043*M107</f>
        <v>26.323334962400001</v>
      </c>
      <c r="S108">
        <f>1.043*P107</f>
        <v>27.455238365783199</v>
      </c>
    </row>
    <row r="109" spans="1:20" x14ac:dyDescent="0.25">
      <c r="I109" s="39">
        <v>2016</v>
      </c>
      <c r="J109" s="258"/>
    </row>
    <row r="110" spans="1:20" x14ac:dyDescent="0.25">
      <c r="I110" s="39">
        <v>2017</v>
      </c>
      <c r="J110" s="258"/>
    </row>
    <row r="111" spans="1:20" x14ac:dyDescent="0.25">
      <c r="I111" s="39">
        <v>2018</v>
      </c>
      <c r="J111" s="258"/>
    </row>
    <row r="112" spans="1:20" x14ac:dyDescent="0.25">
      <c r="I112" s="39">
        <v>2019</v>
      </c>
      <c r="J112" s="258"/>
    </row>
    <row r="113" spans="9:10" x14ac:dyDescent="0.25">
      <c r="I113" s="39">
        <v>2020</v>
      </c>
      <c r="J113" s="258"/>
    </row>
    <row r="114" spans="9:10" x14ac:dyDescent="0.25">
      <c r="I114" s="39">
        <v>2021</v>
      </c>
    </row>
    <row r="149" spans="9:9" x14ac:dyDescent="0.25">
      <c r="I149" s="588"/>
    </row>
    <row r="150" spans="9:9" x14ac:dyDescent="0.25">
      <c r="I150" s="588"/>
    </row>
  </sheetData>
  <mergeCells count="34">
    <mergeCell ref="B2:K2"/>
    <mergeCell ref="B3:K3"/>
    <mergeCell ref="B4:B5"/>
    <mergeCell ref="C4:C5"/>
    <mergeCell ref="D4:F4"/>
    <mergeCell ref="G4:I4"/>
    <mergeCell ref="J4:J5"/>
    <mergeCell ref="K4:K5"/>
    <mergeCell ref="P105:Q105"/>
    <mergeCell ref="C33:K33"/>
    <mergeCell ref="C34:K34"/>
    <mergeCell ref="B35:B36"/>
    <mergeCell ref="C35:C36"/>
    <mergeCell ref="D35:F35"/>
    <mergeCell ref="G35:H35"/>
    <mergeCell ref="I35:I36"/>
    <mergeCell ref="J35:J36"/>
    <mergeCell ref="K35:K36"/>
    <mergeCell ref="S105:T105"/>
    <mergeCell ref="A101:T101"/>
    <mergeCell ref="A102:T102"/>
    <mergeCell ref="A104:A106"/>
    <mergeCell ref="B104:B106"/>
    <mergeCell ref="C104:C106"/>
    <mergeCell ref="D104:E105"/>
    <mergeCell ref="F104:H104"/>
    <mergeCell ref="I104:K104"/>
    <mergeCell ref="L104:N104"/>
    <mergeCell ref="O104:Q104"/>
    <mergeCell ref="D106:E106"/>
    <mergeCell ref="R104:T104"/>
    <mergeCell ref="G105:H105"/>
    <mergeCell ref="J105:K105"/>
    <mergeCell ref="M105:N105"/>
  </mergeCells>
  <conditionalFormatting sqref="H107 K107 N107 T107 Q107">
    <cfRule type="cellIs" dxfId="4" priority="1" operator="greaterThan">
      <formula>1</formula>
    </cfRule>
  </conditionalFormatting>
  <printOptions gridLines="1"/>
  <pageMargins left="0.31496062992125984" right="0.31496062992125984" top="0" bottom="0" header="0" footer="0"/>
  <pageSetup paperSize="9" scale="120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T110"/>
  <sheetViews>
    <sheetView topLeftCell="A46" zoomScaleNormal="100" workbookViewId="0">
      <selection activeCell="H60" sqref="H60"/>
    </sheetView>
  </sheetViews>
  <sheetFormatPr baseColWidth="10" defaultRowHeight="15" x14ac:dyDescent="0.25"/>
  <cols>
    <col min="1" max="1" width="5.7109375" customWidth="1"/>
    <col min="2" max="2" width="6.7109375" style="10" customWidth="1"/>
    <col min="3" max="3" width="14.7109375" customWidth="1"/>
    <col min="4" max="5" width="10.7109375" customWidth="1"/>
    <col min="6" max="6" width="11.7109375" style="185" customWidth="1"/>
    <col min="7" max="8" width="12.7109375" customWidth="1"/>
    <col min="9" max="9" width="10.7109375" style="4" customWidth="1"/>
    <col min="10" max="11" width="10.7109375" customWidth="1"/>
  </cols>
  <sheetData>
    <row r="2" spans="2:17" ht="15.75" thickBot="1" x14ac:dyDescent="0.3">
      <c r="B2" s="1014"/>
      <c r="C2" s="1014"/>
      <c r="D2" s="1014"/>
      <c r="E2" s="1014"/>
      <c r="F2" s="1014"/>
      <c r="G2" s="1014"/>
      <c r="H2" s="1014"/>
      <c r="I2" s="1014"/>
      <c r="J2" s="1014"/>
      <c r="K2" s="1014"/>
    </row>
    <row r="3" spans="2:17" ht="15.75" thickBot="1" x14ac:dyDescent="0.3">
      <c r="B3" s="1201" t="s">
        <v>33</v>
      </c>
      <c r="C3" s="1202"/>
      <c r="D3" s="1202"/>
      <c r="E3" s="1202"/>
      <c r="F3" s="1202"/>
      <c r="G3" s="1202"/>
      <c r="H3" s="1202"/>
      <c r="I3" s="1202"/>
      <c r="J3" s="1202"/>
      <c r="K3" s="1203"/>
    </row>
    <row r="4" spans="2:17" ht="15.75" thickBot="1" x14ac:dyDescent="0.3">
      <c r="B4" s="1307" t="s">
        <v>94</v>
      </c>
      <c r="C4" s="1308"/>
      <c r="D4" s="1308"/>
      <c r="E4" s="1308"/>
      <c r="F4" s="1308"/>
      <c r="G4" s="1308"/>
      <c r="H4" s="1308"/>
      <c r="I4" s="1308"/>
      <c r="J4" s="1308"/>
      <c r="K4" s="1309"/>
      <c r="L4" s="13"/>
      <c r="M4" s="13"/>
    </row>
    <row r="5" spans="2:17" ht="15" customHeight="1" x14ac:dyDescent="0.25">
      <c r="B5" s="1166" t="s">
        <v>124</v>
      </c>
      <c r="C5" s="1229" t="s">
        <v>26</v>
      </c>
      <c r="D5" s="1219" t="s">
        <v>110</v>
      </c>
      <c r="E5" s="1220"/>
      <c r="F5" s="1310"/>
      <c r="G5" s="1219" t="s">
        <v>74</v>
      </c>
      <c r="H5" s="1220"/>
      <c r="I5" s="1220"/>
      <c r="J5" s="1181" t="s">
        <v>105</v>
      </c>
      <c r="K5" s="1183" t="s">
        <v>125</v>
      </c>
    </row>
    <row r="6" spans="2:17" ht="35.25" customHeight="1" x14ac:dyDescent="0.25">
      <c r="B6" s="1119"/>
      <c r="C6" s="1121"/>
      <c r="D6" s="112" t="s">
        <v>127</v>
      </c>
      <c r="E6" s="330" t="s">
        <v>128</v>
      </c>
      <c r="F6" s="491" t="s">
        <v>89</v>
      </c>
      <c r="G6" s="38" t="s">
        <v>243</v>
      </c>
      <c r="H6" s="38" t="s">
        <v>232</v>
      </c>
      <c r="I6" s="489" t="s">
        <v>114</v>
      </c>
      <c r="J6" s="1032"/>
      <c r="K6" s="1124"/>
      <c r="L6" s="200" t="s">
        <v>185</v>
      </c>
      <c r="M6" s="85" t="s">
        <v>73</v>
      </c>
      <c r="N6" s="38" t="s">
        <v>240</v>
      </c>
      <c r="O6" s="73"/>
      <c r="P6" s="73"/>
      <c r="Q6" s="73"/>
    </row>
    <row r="7" spans="2:17" x14ac:dyDescent="0.25">
      <c r="B7" s="196">
        <v>2</v>
      </c>
      <c r="C7" s="91">
        <v>2003</v>
      </c>
      <c r="D7" s="77">
        <v>0.83</v>
      </c>
      <c r="E7" s="51">
        <v>0.86</v>
      </c>
      <c r="F7" s="305"/>
      <c r="G7" s="42"/>
      <c r="H7" s="42"/>
      <c r="I7" s="60"/>
      <c r="J7" s="77">
        <v>6.3</v>
      </c>
      <c r="K7" s="179">
        <f t="shared" ref="K7:K31" si="0">J7-6.3</f>
        <v>0</v>
      </c>
      <c r="L7" s="263">
        <v>0.96260000000000001</v>
      </c>
      <c r="M7" s="50"/>
      <c r="N7" s="50"/>
      <c r="O7" s="73"/>
      <c r="P7" s="73"/>
      <c r="Q7" s="73"/>
    </row>
    <row r="8" spans="2:17" x14ac:dyDescent="0.25">
      <c r="B8" s="196">
        <v>12</v>
      </c>
      <c r="C8" s="91">
        <v>2004</v>
      </c>
      <c r="D8" s="77">
        <v>0.95</v>
      </c>
      <c r="E8" s="53">
        <v>1</v>
      </c>
      <c r="F8" s="305">
        <f>(E8-E7)/E7</f>
        <v>0.16279069767441862</v>
      </c>
      <c r="G8" s="42"/>
      <c r="H8" s="42"/>
      <c r="I8" s="60"/>
      <c r="J8" s="77">
        <v>6.3</v>
      </c>
      <c r="K8" s="179">
        <f t="shared" si="0"/>
        <v>0</v>
      </c>
      <c r="L8" s="263">
        <v>0.95569999999999999</v>
      </c>
      <c r="M8" s="50"/>
      <c r="N8" s="50"/>
      <c r="O8" s="73"/>
      <c r="P8" s="73"/>
      <c r="Q8" s="73"/>
    </row>
    <row r="9" spans="2:17" x14ac:dyDescent="0.25">
      <c r="B9" s="196">
        <v>1</v>
      </c>
      <c r="C9" s="91">
        <v>2005</v>
      </c>
      <c r="D9" s="77">
        <v>1.04</v>
      </c>
      <c r="E9" s="53">
        <v>1.1000000000000001</v>
      </c>
      <c r="F9" s="305">
        <f t="shared" ref="F9:F21" si="1">(E9-E8)/E8</f>
        <v>0.10000000000000009</v>
      </c>
      <c r="G9" s="42"/>
      <c r="H9" s="42"/>
      <c r="I9" s="60"/>
      <c r="J9" s="77">
        <v>6.3</v>
      </c>
      <c r="K9" s="179">
        <f t="shared" si="0"/>
        <v>0</v>
      </c>
      <c r="L9" s="263">
        <v>0.94569999999999999</v>
      </c>
      <c r="M9" s="50"/>
      <c r="N9" s="50"/>
      <c r="O9" s="73"/>
      <c r="P9" s="73"/>
      <c r="Q9" s="73"/>
    </row>
    <row r="10" spans="2:17" x14ac:dyDescent="0.25">
      <c r="B10" s="196">
        <v>7</v>
      </c>
      <c r="C10" s="91">
        <v>2006</v>
      </c>
      <c r="D10" s="77">
        <v>1.1599999999999999</v>
      </c>
      <c r="E10" s="53">
        <v>1.19</v>
      </c>
      <c r="F10" s="305">
        <f t="shared" si="1"/>
        <v>8.1818181818181679E-2</v>
      </c>
      <c r="G10" s="42"/>
      <c r="H10" s="42"/>
      <c r="I10" s="60"/>
      <c r="J10" s="77">
        <v>6.3</v>
      </c>
      <c r="K10" s="179">
        <f t="shared" si="0"/>
        <v>0</v>
      </c>
      <c r="L10" s="263">
        <v>0.98029999999999995</v>
      </c>
      <c r="M10" s="50"/>
      <c r="N10" s="50"/>
      <c r="O10" s="73"/>
      <c r="P10" s="73"/>
      <c r="Q10" s="73"/>
    </row>
    <row r="11" spans="2:17" x14ac:dyDescent="0.25">
      <c r="B11" s="196">
        <v>12</v>
      </c>
      <c r="C11" s="91">
        <v>2007</v>
      </c>
      <c r="D11" s="77">
        <v>1.22</v>
      </c>
      <c r="E11" s="53">
        <v>1.27</v>
      </c>
      <c r="F11" s="305">
        <f t="shared" si="1"/>
        <v>6.7226890756302587E-2</v>
      </c>
      <c r="G11" s="42"/>
      <c r="H11" s="42"/>
      <c r="I11" s="60"/>
      <c r="J11" s="77">
        <v>6.3</v>
      </c>
      <c r="K11" s="179">
        <f t="shared" si="0"/>
        <v>0</v>
      </c>
      <c r="L11" s="263">
        <v>0.96250000000000002</v>
      </c>
      <c r="M11" s="50"/>
      <c r="N11" s="50"/>
      <c r="O11" s="73"/>
      <c r="P11" s="73"/>
      <c r="Q11" s="73"/>
    </row>
    <row r="12" spans="2:17" x14ac:dyDescent="0.25">
      <c r="B12" s="196">
        <v>8</v>
      </c>
      <c r="C12" s="91">
        <v>2008</v>
      </c>
      <c r="D12" s="77">
        <v>1.1000000000000001</v>
      </c>
      <c r="E12" s="53">
        <v>1.1200000000000001</v>
      </c>
      <c r="F12" s="305">
        <f t="shared" si="1"/>
        <v>-0.11811023622047237</v>
      </c>
      <c r="G12" s="89"/>
      <c r="H12" s="89"/>
      <c r="I12" s="60"/>
      <c r="J12" s="77">
        <v>6.3</v>
      </c>
      <c r="K12" s="179">
        <f t="shared" si="0"/>
        <v>0</v>
      </c>
      <c r="L12" s="263">
        <v>0.97799999999999998</v>
      </c>
      <c r="M12" s="50"/>
      <c r="N12" s="50"/>
      <c r="O12" s="73"/>
      <c r="P12" s="73"/>
      <c r="Q12" s="73"/>
    </row>
    <row r="13" spans="2:17" x14ac:dyDescent="0.25">
      <c r="B13" s="196">
        <v>7</v>
      </c>
      <c r="C13" s="91">
        <v>2009</v>
      </c>
      <c r="D13" s="77">
        <v>1.91</v>
      </c>
      <c r="E13" s="53">
        <v>1.96</v>
      </c>
      <c r="F13" s="305">
        <f t="shared" si="1"/>
        <v>0.74999999999999978</v>
      </c>
      <c r="G13" s="42"/>
      <c r="H13" s="42"/>
      <c r="I13" s="60"/>
      <c r="J13" s="77">
        <v>6.3</v>
      </c>
      <c r="K13" s="179">
        <f t="shared" si="0"/>
        <v>0</v>
      </c>
      <c r="L13" s="261">
        <v>0.9788</v>
      </c>
      <c r="M13" s="50"/>
      <c r="N13" s="50"/>
      <c r="O13" s="39" t="s">
        <v>117</v>
      </c>
      <c r="P13" s="73"/>
      <c r="Q13" s="73"/>
    </row>
    <row r="14" spans="2:17" x14ac:dyDescent="0.25">
      <c r="B14" s="196">
        <v>12</v>
      </c>
      <c r="C14" s="91">
        <v>2010</v>
      </c>
      <c r="D14" s="77">
        <f>E14*L30</f>
        <v>1.4175084737667087</v>
      </c>
      <c r="E14" s="62">
        <v>1.4670529475969842</v>
      </c>
      <c r="F14" s="305">
        <f t="shared" si="1"/>
        <v>-0.25150359816480394</v>
      </c>
      <c r="G14" s="42"/>
      <c r="H14" s="42"/>
      <c r="I14" s="60"/>
      <c r="J14" s="77">
        <v>6.3</v>
      </c>
      <c r="K14" s="179">
        <f t="shared" si="0"/>
        <v>0</v>
      </c>
      <c r="L14" s="261"/>
      <c r="M14" s="175"/>
      <c r="N14" s="50"/>
      <c r="O14" s="61">
        <v>1.4670529475969842</v>
      </c>
      <c r="P14" s="73"/>
      <c r="Q14" s="73"/>
    </row>
    <row r="15" spans="2:17" x14ac:dyDescent="0.25">
      <c r="B15" s="196">
        <v>10</v>
      </c>
      <c r="C15" s="91">
        <v>2011</v>
      </c>
      <c r="D15" s="77">
        <f>E15*L30</f>
        <v>1.2481526307694546</v>
      </c>
      <c r="E15" s="62">
        <v>1.2917778129082416</v>
      </c>
      <c r="F15" s="305">
        <f t="shared" si="1"/>
        <v>-0.11947430730147901</v>
      </c>
      <c r="G15" s="42"/>
      <c r="H15" s="42"/>
      <c r="I15" s="60"/>
      <c r="J15" s="77">
        <v>6.3</v>
      </c>
      <c r="K15" s="179">
        <f t="shared" si="0"/>
        <v>0</v>
      </c>
      <c r="L15" s="261"/>
      <c r="M15" s="50"/>
      <c r="N15" s="50"/>
      <c r="O15" s="62">
        <v>1.2917778129082416</v>
      </c>
      <c r="P15" s="73"/>
      <c r="Q15" s="73"/>
    </row>
    <row r="16" spans="2:17" x14ac:dyDescent="0.25">
      <c r="B16" s="196">
        <v>2</v>
      </c>
      <c r="C16" s="91">
        <v>2012</v>
      </c>
      <c r="D16" s="77">
        <f>E16*L30</f>
        <v>1.832116669760661</v>
      </c>
      <c r="E16" s="62">
        <v>1.8961524466740536</v>
      </c>
      <c r="F16" s="305">
        <f t="shared" si="1"/>
        <v>0.46786268329315422</v>
      </c>
      <c r="G16" s="42"/>
      <c r="H16" s="42"/>
      <c r="I16" s="60"/>
      <c r="J16" s="77">
        <v>6.3</v>
      </c>
      <c r="K16" s="179">
        <f t="shared" si="0"/>
        <v>0</v>
      </c>
      <c r="L16" s="261"/>
      <c r="M16" s="175"/>
      <c r="N16" s="50"/>
      <c r="O16" s="62">
        <v>1.8961524466740536</v>
      </c>
      <c r="P16" s="73"/>
      <c r="Q16" s="73"/>
    </row>
    <row r="17" spans="2:17" x14ac:dyDescent="0.25">
      <c r="B17" s="196">
        <v>12</v>
      </c>
      <c r="C17" s="91">
        <v>2013</v>
      </c>
      <c r="D17" s="77">
        <f>E17*L30</f>
        <v>1.7581216937176043</v>
      </c>
      <c r="E17" s="62">
        <v>1.8195712129669452</v>
      </c>
      <c r="F17" s="305">
        <f t="shared" si="1"/>
        <v>-4.0387698700827389E-2</v>
      </c>
      <c r="G17" s="42"/>
      <c r="H17" s="42"/>
      <c r="I17" s="60"/>
      <c r="J17" s="77">
        <v>6.3</v>
      </c>
      <c r="K17" s="179">
        <f t="shared" si="0"/>
        <v>0</v>
      </c>
      <c r="L17" s="261"/>
      <c r="M17" s="50"/>
      <c r="N17" s="50"/>
      <c r="O17" s="62">
        <v>1.8195712129669452</v>
      </c>
      <c r="P17" s="73"/>
      <c r="Q17" s="73"/>
    </row>
    <row r="18" spans="2:17" x14ac:dyDescent="0.25">
      <c r="B18" s="196">
        <v>12</v>
      </c>
      <c r="C18" s="91">
        <v>2014</v>
      </c>
      <c r="D18" s="77">
        <f>E18*L30</f>
        <v>1.2126590365351317</v>
      </c>
      <c r="E18" s="62">
        <v>1.2550436536379921</v>
      </c>
      <c r="F18" s="305">
        <f t="shared" si="1"/>
        <v>-0.31025307243042677</v>
      </c>
      <c r="G18" s="42"/>
      <c r="H18" s="42"/>
      <c r="I18" s="60"/>
      <c r="J18" s="77">
        <v>6.3</v>
      </c>
      <c r="K18" s="179">
        <f t="shared" si="0"/>
        <v>0</v>
      </c>
      <c r="L18" s="261"/>
      <c r="M18" s="175"/>
      <c r="N18" s="390"/>
      <c r="O18" s="62">
        <v>1.2550436536379921</v>
      </c>
      <c r="P18" s="73"/>
      <c r="Q18" s="73"/>
    </row>
    <row r="19" spans="2:17" x14ac:dyDescent="0.25">
      <c r="B19" s="196">
        <v>5</v>
      </c>
      <c r="C19" s="91">
        <v>2015</v>
      </c>
      <c r="D19" s="77">
        <f>E19*L30</f>
        <v>1.4952076199827129</v>
      </c>
      <c r="E19" s="62">
        <v>1.5474678188951136</v>
      </c>
      <c r="F19" s="305">
        <f t="shared" si="1"/>
        <v>0.23299919840196182</v>
      </c>
      <c r="G19" s="42"/>
      <c r="H19" s="42"/>
      <c r="I19" s="60"/>
      <c r="J19" s="77">
        <v>6.3</v>
      </c>
      <c r="K19" s="179">
        <f t="shared" si="0"/>
        <v>0</v>
      </c>
      <c r="L19" s="261"/>
      <c r="M19" s="402"/>
      <c r="N19" s="390"/>
      <c r="O19" s="63">
        <v>1.5474678188951136</v>
      </c>
      <c r="P19" s="73"/>
      <c r="Q19" s="73"/>
    </row>
    <row r="20" spans="2:17" x14ac:dyDescent="0.25">
      <c r="B20" s="196">
        <v>1</v>
      </c>
      <c r="C20" s="91">
        <v>2016</v>
      </c>
      <c r="D20" s="43">
        <v>1.5</v>
      </c>
      <c r="E20" s="62">
        <v>1.59</v>
      </c>
      <c r="F20" s="305">
        <f t="shared" si="1"/>
        <v>2.7485018160348082E-2</v>
      </c>
      <c r="G20" s="475"/>
      <c r="H20" s="258"/>
      <c r="I20" s="526"/>
      <c r="J20" s="77">
        <v>6.3</v>
      </c>
      <c r="K20" s="179">
        <f t="shared" si="0"/>
        <v>0</v>
      </c>
      <c r="L20" s="263"/>
      <c r="M20" s="402"/>
      <c r="N20" s="390" t="e">
        <f>(H20-H19)/H19</f>
        <v>#DIV/0!</v>
      </c>
      <c r="O20" s="73"/>
      <c r="P20" s="73"/>
      <c r="Q20" s="73"/>
    </row>
    <row r="21" spans="2:17" x14ac:dyDescent="0.25">
      <c r="B21" s="196"/>
      <c r="C21" s="91">
        <v>2017</v>
      </c>
      <c r="D21" s="43"/>
      <c r="E21" s="62">
        <v>10</v>
      </c>
      <c r="F21" s="305">
        <f t="shared" si="1"/>
        <v>5.2893081761006284</v>
      </c>
      <c r="G21" s="475"/>
      <c r="H21" s="258">
        <f>E21</f>
        <v>10</v>
      </c>
      <c r="I21" s="526">
        <f>E21</f>
        <v>10</v>
      </c>
      <c r="J21" s="77">
        <v>6.3</v>
      </c>
      <c r="K21" s="179">
        <f t="shared" si="0"/>
        <v>0</v>
      </c>
      <c r="L21" s="263"/>
      <c r="M21" s="402" t="e">
        <f>(G21-G20)/G20</f>
        <v>#DIV/0!</v>
      </c>
      <c r="N21" s="390" t="e">
        <f>(H21-H20)/H20</f>
        <v>#DIV/0!</v>
      </c>
      <c r="O21" s="73"/>
      <c r="P21" s="73"/>
      <c r="Q21" s="73"/>
    </row>
    <row r="22" spans="2:17" x14ac:dyDescent="0.25">
      <c r="B22" s="197"/>
      <c r="C22" s="92">
        <v>2018</v>
      </c>
      <c r="D22" s="199"/>
      <c r="E22" s="109"/>
      <c r="F22" s="410"/>
      <c r="G22" s="368"/>
      <c r="H22" s="375"/>
      <c r="I22" s="406">
        <f t="shared" ref="I22:I31" si="2">1.045*I21</f>
        <v>10.45</v>
      </c>
      <c r="J22" s="77">
        <v>6.3</v>
      </c>
      <c r="K22" s="179">
        <f t="shared" si="0"/>
        <v>0</v>
      </c>
      <c r="L22" s="263"/>
      <c r="M22" s="402" t="e">
        <f>(G22-G21)/G21</f>
        <v>#DIV/0!</v>
      </c>
      <c r="N22" s="390">
        <f>(H22-H21)/H21</f>
        <v>-1</v>
      </c>
      <c r="O22" s="73"/>
      <c r="P22" s="73"/>
      <c r="Q22" s="73"/>
    </row>
    <row r="23" spans="2:17" x14ac:dyDescent="0.25">
      <c r="B23" s="197"/>
      <c r="C23" s="92">
        <v>2019</v>
      </c>
      <c r="D23" s="199"/>
      <c r="E23" s="109"/>
      <c r="F23" s="410"/>
      <c r="G23" s="368"/>
      <c r="H23" s="375"/>
      <c r="I23" s="406">
        <f t="shared" si="2"/>
        <v>10.920249999999999</v>
      </c>
      <c r="J23" s="77">
        <v>6.3</v>
      </c>
      <c r="K23" s="179">
        <f t="shared" si="0"/>
        <v>0</v>
      </c>
      <c r="L23" s="263"/>
      <c r="M23" s="402" t="e">
        <f t="shared" ref="M23:M29" si="3">(G23-G22)/G22</f>
        <v>#DIV/0!</v>
      </c>
      <c r="N23" s="390" t="e">
        <f>(H23-H22)/H22</f>
        <v>#DIV/0!</v>
      </c>
      <c r="O23" s="73"/>
      <c r="P23" s="73"/>
      <c r="Q23" s="73"/>
    </row>
    <row r="24" spans="2:17" x14ac:dyDescent="0.25">
      <c r="B24" s="197"/>
      <c r="C24" s="92">
        <v>2020</v>
      </c>
      <c r="D24" s="199"/>
      <c r="E24" s="109"/>
      <c r="F24" s="410"/>
      <c r="G24" s="368"/>
      <c r="H24" s="375"/>
      <c r="I24" s="406">
        <f t="shared" si="2"/>
        <v>11.411661249999998</v>
      </c>
      <c r="J24" s="77">
        <v>6.3</v>
      </c>
      <c r="K24" s="179">
        <f t="shared" si="0"/>
        <v>0</v>
      </c>
      <c r="L24" s="263"/>
      <c r="M24" s="402" t="e">
        <f t="shared" si="3"/>
        <v>#DIV/0!</v>
      </c>
      <c r="N24" s="390" t="e">
        <f>(H24-H23)/H23</f>
        <v>#DIV/0!</v>
      </c>
      <c r="O24" s="73"/>
      <c r="P24" s="73"/>
      <c r="Q24" s="73"/>
    </row>
    <row r="25" spans="2:17" x14ac:dyDescent="0.25">
      <c r="B25" s="197"/>
      <c r="C25" s="92">
        <v>2021</v>
      </c>
      <c r="D25" s="199"/>
      <c r="E25" s="108"/>
      <c r="F25" s="411"/>
      <c r="G25" s="368"/>
      <c r="H25" s="372"/>
      <c r="I25" s="406">
        <f t="shared" si="2"/>
        <v>11.925186006249998</v>
      </c>
      <c r="J25" s="77">
        <v>6.3</v>
      </c>
      <c r="K25" s="179">
        <f t="shared" si="0"/>
        <v>0</v>
      </c>
      <c r="L25" s="261"/>
      <c r="M25" s="402" t="e">
        <f t="shared" si="3"/>
        <v>#DIV/0!</v>
      </c>
      <c r="N25" s="390"/>
      <c r="O25" s="73"/>
      <c r="P25" s="73"/>
      <c r="Q25" s="73"/>
    </row>
    <row r="26" spans="2:17" x14ac:dyDescent="0.25">
      <c r="B26" s="197"/>
      <c r="C26" s="92">
        <v>2022</v>
      </c>
      <c r="D26" s="199"/>
      <c r="E26" s="108"/>
      <c r="F26" s="411"/>
      <c r="G26" s="368"/>
      <c r="H26" s="372"/>
      <c r="I26" s="406">
        <f t="shared" si="2"/>
        <v>12.461819376531247</v>
      </c>
      <c r="J26" s="77">
        <v>6.3</v>
      </c>
      <c r="K26" s="179">
        <f t="shared" si="0"/>
        <v>0</v>
      </c>
      <c r="L26" s="261"/>
      <c r="M26" s="402" t="e">
        <f>(G26-G25)/G25</f>
        <v>#DIV/0!</v>
      </c>
      <c r="N26" s="390"/>
      <c r="O26" s="73"/>
      <c r="P26" s="73"/>
      <c r="Q26" s="73"/>
    </row>
    <row r="27" spans="2:17" x14ac:dyDescent="0.25">
      <c r="B27" s="197"/>
      <c r="C27" s="92">
        <v>2023</v>
      </c>
      <c r="D27" s="199"/>
      <c r="E27" s="108"/>
      <c r="F27" s="411"/>
      <c r="G27" s="368"/>
      <c r="H27" s="372"/>
      <c r="I27" s="406">
        <f t="shared" si="2"/>
        <v>13.022601248475153</v>
      </c>
      <c r="J27" s="77">
        <v>6.3</v>
      </c>
      <c r="K27" s="179">
        <f t="shared" si="0"/>
        <v>0</v>
      </c>
      <c r="L27" s="261"/>
      <c r="M27" s="402" t="e">
        <f t="shared" si="3"/>
        <v>#DIV/0!</v>
      </c>
      <c r="N27" s="390"/>
      <c r="O27" s="73"/>
      <c r="P27" s="73"/>
      <c r="Q27" s="73"/>
    </row>
    <row r="28" spans="2:17" x14ac:dyDescent="0.25">
      <c r="B28" s="197"/>
      <c r="C28" s="92">
        <v>2024</v>
      </c>
      <c r="D28" s="199"/>
      <c r="E28" s="108"/>
      <c r="F28" s="411"/>
      <c r="G28" s="368"/>
      <c r="H28" s="372"/>
      <c r="I28" s="406">
        <f t="shared" si="2"/>
        <v>13.608618304656535</v>
      </c>
      <c r="J28" s="77">
        <v>6.3</v>
      </c>
      <c r="K28" s="179">
        <f t="shared" si="0"/>
        <v>0</v>
      </c>
      <c r="L28" s="261"/>
      <c r="M28" s="402" t="e">
        <f t="shared" si="3"/>
        <v>#DIV/0!</v>
      </c>
      <c r="N28" s="390"/>
      <c r="O28" s="73"/>
      <c r="P28" s="73"/>
      <c r="Q28" s="73"/>
    </row>
    <row r="29" spans="2:17" x14ac:dyDescent="0.25">
      <c r="B29" s="197"/>
      <c r="C29" s="92">
        <v>2025</v>
      </c>
      <c r="D29" s="199"/>
      <c r="E29" s="108"/>
      <c r="F29" s="411"/>
      <c r="G29" s="368"/>
      <c r="H29" s="372"/>
      <c r="I29" s="406">
        <f t="shared" si="2"/>
        <v>14.221006128366078</v>
      </c>
      <c r="J29" s="77">
        <v>6.3</v>
      </c>
      <c r="K29" s="179">
        <f t="shared" si="0"/>
        <v>0</v>
      </c>
      <c r="L29" s="261"/>
      <c r="M29" s="402" t="e">
        <f t="shared" si="3"/>
        <v>#DIV/0!</v>
      </c>
      <c r="N29" s="390"/>
      <c r="O29" s="73"/>
      <c r="P29" s="73"/>
      <c r="Q29" s="73"/>
    </row>
    <row r="30" spans="2:17" x14ac:dyDescent="0.25">
      <c r="B30" s="197"/>
      <c r="C30" s="92">
        <v>2026</v>
      </c>
      <c r="D30" s="199"/>
      <c r="E30" s="108"/>
      <c r="F30" s="411"/>
      <c r="G30" s="368"/>
      <c r="H30" s="372"/>
      <c r="I30" s="406">
        <f t="shared" si="2"/>
        <v>14.860951404142551</v>
      </c>
      <c r="J30" s="77">
        <v>6.3</v>
      </c>
      <c r="K30" s="179">
        <f t="shared" si="0"/>
        <v>0</v>
      </c>
      <c r="L30" s="269">
        <f>AVERAGE(L7:L14)</f>
        <v>0.96622857142857133</v>
      </c>
      <c r="M30" s="385" t="e">
        <f>AVERAGE(M21:M29)</f>
        <v>#DIV/0!</v>
      </c>
      <c r="N30" s="397" t="e">
        <f>AVERAGE(N21:N24)</f>
        <v>#DIV/0!</v>
      </c>
      <c r="O30" s="73"/>
      <c r="P30" s="73"/>
      <c r="Q30" s="73"/>
    </row>
    <row r="31" spans="2:17" ht="15.75" thickBot="1" x14ac:dyDescent="0.3">
      <c r="B31" s="198"/>
      <c r="C31" s="195">
        <v>2027</v>
      </c>
      <c r="D31" s="205"/>
      <c r="E31" s="413"/>
      <c r="F31" s="412"/>
      <c r="G31" s="369"/>
      <c r="H31" s="373"/>
      <c r="I31" s="407">
        <f t="shared" si="2"/>
        <v>15.529694217328965</v>
      </c>
      <c r="J31" s="180">
        <v>6.3</v>
      </c>
      <c r="K31" s="181">
        <f t="shared" si="0"/>
        <v>0</v>
      </c>
    </row>
    <row r="32" spans="2:17" x14ac:dyDescent="0.25">
      <c r="F32" s="409">
        <f>AVERAGE(F7:F21)</f>
        <v>0.45284013809907042</v>
      </c>
    </row>
    <row r="34" spans="2:15" ht="15.75" thickBot="1" x14ac:dyDescent="0.3"/>
    <row r="35" spans="2:15" ht="20.100000000000001" customHeight="1" thickBot="1" x14ac:dyDescent="0.3">
      <c r="B35"/>
      <c r="C35" s="1037" t="s">
        <v>33</v>
      </c>
      <c r="D35" s="1038"/>
      <c r="E35" s="1038"/>
      <c r="F35" s="1038"/>
      <c r="G35" s="1038"/>
      <c r="H35" s="1038"/>
      <c r="I35" s="1038"/>
      <c r="J35" s="1038"/>
      <c r="K35" s="1039"/>
    </row>
    <row r="36" spans="2:15" ht="15.95" customHeight="1" thickBot="1" x14ac:dyDescent="0.3">
      <c r="B36"/>
      <c r="C36" s="1201" t="s">
        <v>314</v>
      </c>
      <c r="D36" s="1202"/>
      <c r="E36" s="1202"/>
      <c r="F36" s="1202"/>
      <c r="G36" s="1202"/>
      <c r="H36" s="1202"/>
      <c r="I36" s="1202"/>
      <c r="J36" s="1202"/>
      <c r="K36" s="1203"/>
    </row>
    <row r="37" spans="2:15" ht="15.95" customHeight="1" thickBot="1" x14ac:dyDescent="0.3">
      <c r="B37" s="1051" t="s">
        <v>26</v>
      </c>
      <c r="C37" s="1043" t="s">
        <v>35</v>
      </c>
      <c r="D37" s="1045" t="s">
        <v>110</v>
      </c>
      <c r="E37" s="1046"/>
      <c r="F37" s="1047"/>
      <c r="G37" s="1045" t="s">
        <v>74</v>
      </c>
      <c r="H37" s="1047"/>
      <c r="I37" s="1043" t="s">
        <v>180</v>
      </c>
      <c r="J37" s="1043" t="s">
        <v>268</v>
      </c>
      <c r="K37" s="1049" t="s">
        <v>269</v>
      </c>
    </row>
    <row r="38" spans="2:15" ht="35.1" customHeight="1" thickBot="1" x14ac:dyDescent="0.3">
      <c r="B38" s="1051"/>
      <c r="C38" s="1044"/>
      <c r="D38" s="541" t="s">
        <v>174</v>
      </c>
      <c r="E38" s="541" t="s">
        <v>122</v>
      </c>
      <c r="F38" s="541" t="s">
        <v>81</v>
      </c>
      <c r="G38" s="537" t="s">
        <v>170</v>
      </c>
      <c r="H38" s="538" t="s">
        <v>270</v>
      </c>
      <c r="I38" s="1044"/>
      <c r="J38" s="1044"/>
      <c r="K38" s="1175"/>
    </row>
    <row r="39" spans="2:15" ht="15" customHeight="1" x14ac:dyDescent="0.25">
      <c r="B39" s="41">
        <v>2003</v>
      </c>
      <c r="C39" s="798">
        <v>37678.96875</v>
      </c>
      <c r="D39" s="648">
        <v>0.83</v>
      </c>
      <c r="E39" s="657">
        <v>0.86</v>
      </c>
      <c r="F39" s="731"/>
      <c r="G39" s="657"/>
      <c r="H39" s="657"/>
      <c r="I39" s="579">
        <f>1*4</f>
        <v>4</v>
      </c>
      <c r="J39" s="579">
        <f>I39-4</f>
        <v>0</v>
      </c>
      <c r="K39" s="679">
        <f>E39/I39</f>
        <v>0.215</v>
      </c>
    </row>
    <row r="40" spans="2:15" ht="15" customHeight="1" x14ac:dyDescent="0.25">
      <c r="B40" s="41">
        <v>2004</v>
      </c>
      <c r="C40" s="732">
        <v>38352.895833333336</v>
      </c>
      <c r="D40" s="650">
        <v>0.95</v>
      </c>
      <c r="E40" s="658">
        <v>1</v>
      </c>
      <c r="F40" s="729">
        <f>(E40-E39)/E39</f>
        <v>0.16279069767441862</v>
      </c>
      <c r="G40" s="658"/>
      <c r="H40" s="658"/>
      <c r="I40" s="581">
        <f t="shared" ref="I40:I63" si="4">1*4</f>
        <v>4</v>
      </c>
      <c r="J40" s="581">
        <f t="shared" ref="J40:J63" si="5">I40-4</f>
        <v>0</v>
      </c>
      <c r="K40" s="680">
        <f t="shared" ref="K40:K53" si="6">E40/I40</f>
        <v>0.25</v>
      </c>
    </row>
    <row r="41" spans="2:15" ht="15" customHeight="1" x14ac:dyDescent="0.25">
      <c r="B41" s="41">
        <v>2005</v>
      </c>
      <c r="C41" s="732">
        <v>38356.895833333336</v>
      </c>
      <c r="D41" s="650">
        <v>1.04</v>
      </c>
      <c r="E41" s="658">
        <v>1.1000000000000001</v>
      </c>
      <c r="F41" s="729">
        <f t="shared" ref="F41:F53" si="7">(E41-E40)/E40</f>
        <v>0.10000000000000009</v>
      </c>
      <c r="G41" s="658"/>
      <c r="H41" s="658"/>
      <c r="I41" s="581">
        <f t="shared" si="4"/>
        <v>4</v>
      </c>
      <c r="J41" s="581">
        <f t="shared" si="5"/>
        <v>0</v>
      </c>
      <c r="K41" s="680">
        <f t="shared" si="6"/>
        <v>0.27500000000000002</v>
      </c>
    </row>
    <row r="42" spans="2:15" ht="15" customHeight="1" x14ac:dyDescent="0.25">
      <c r="B42" s="41">
        <v>2006</v>
      </c>
      <c r="C42" s="732">
        <v>38926.885416666664</v>
      </c>
      <c r="D42" s="650">
        <v>1.1599999999999999</v>
      </c>
      <c r="E42" s="658">
        <v>1.19</v>
      </c>
      <c r="F42" s="729">
        <f t="shared" si="7"/>
        <v>8.1818181818181679E-2</v>
      </c>
      <c r="G42" s="658"/>
      <c r="H42" s="658"/>
      <c r="I42" s="581">
        <f t="shared" si="4"/>
        <v>4</v>
      </c>
      <c r="J42" s="581">
        <f t="shared" si="5"/>
        <v>0</v>
      </c>
      <c r="K42" s="680">
        <f t="shared" si="6"/>
        <v>0.29749999999999999</v>
      </c>
    </row>
    <row r="43" spans="2:15" ht="15" customHeight="1" x14ac:dyDescent="0.25">
      <c r="B43" s="41">
        <v>2007</v>
      </c>
      <c r="C43" s="732">
        <v>39444.614583333336</v>
      </c>
      <c r="D43" s="650">
        <v>1.22</v>
      </c>
      <c r="E43" s="658">
        <v>1.27</v>
      </c>
      <c r="F43" s="729">
        <f t="shared" si="7"/>
        <v>6.7226890756302587E-2</v>
      </c>
      <c r="G43" s="658"/>
      <c r="H43" s="658"/>
      <c r="I43" s="581">
        <f t="shared" si="4"/>
        <v>4</v>
      </c>
      <c r="J43" s="581">
        <f t="shared" si="5"/>
        <v>0</v>
      </c>
      <c r="K43" s="680">
        <f t="shared" si="6"/>
        <v>0.3175</v>
      </c>
    </row>
    <row r="44" spans="2:15" ht="15" customHeight="1" x14ac:dyDescent="0.25">
      <c r="B44" s="41">
        <v>2008</v>
      </c>
      <c r="C44" s="732">
        <v>39662.885416666664</v>
      </c>
      <c r="D44" s="650">
        <v>1.1000000000000001</v>
      </c>
      <c r="E44" s="658">
        <v>1.1200000000000001</v>
      </c>
      <c r="F44" s="729">
        <f t="shared" si="7"/>
        <v>-0.11811023622047237</v>
      </c>
      <c r="G44" s="658"/>
      <c r="H44" s="658"/>
      <c r="I44" s="581">
        <f t="shared" si="4"/>
        <v>4</v>
      </c>
      <c r="J44" s="581">
        <f t="shared" si="5"/>
        <v>0</v>
      </c>
      <c r="K44" s="680">
        <f t="shared" si="6"/>
        <v>0.28000000000000003</v>
      </c>
    </row>
    <row r="45" spans="2:15" ht="15" customHeight="1" x14ac:dyDescent="0.25">
      <c r="B45" s="41">
        <v>2009</v>
      </c>
      <c r="C45" s="732">
        <v>39997.90625</v>
      </c>
      <c r="D45" s="650">
        <v>1.91</v>
      </c>
      <c r="E45" s="658">
        <v>1.96</v>
      </c>
      <c r="F45" s="729">
        <f t="shared" si="7"/>
        <v>0.74999999999999978</v>
      </c>
      <c r="G45" s="658"/>
      <c r="H45" s="658"/>
      <c r="I45" s="581">
        <f t="shared" si="4"/>
        <v>4</v>
      </c>
      <c r="J45" s="581">
        <f t="shared" si="5"/>
        <v>0</v>
      </c>
      <c r="K45" s="680">
        <f t="shared" si="6"/>
        <v>0.49</v>
      </c>
    </row>
    <row r="46" spans="2:15" ht="15" customHeight="1" x14ac:dyDescent="0.25">
      <c r="B46" s="41">
        <v>2010</v>
      </c>
      <c r="C46" s="732">
        <v>40543.895833333336</v>
      </c>
      <c r="D46" s="650">
        <v>1.4175084737667087</v>
      </c>
      <c r="E46" s="658">
        <v>1.4670529475969842</v>
      </c>
      <c r="F46" s="729">
        <f t="shared" si="7"/>
        <v>-0.25150359816480394</v>
      </c>
      <c r="G46" s="658"/>
      <c r="H46" s="658"/>
      <c r="I46" s="581">
        <f t="shared" si="4"/>
        <v>4</v>
      </c>
      <c r="J46" s="581">
        <f t="shared" si="5"/>
        <v>0</v>
      </c>
      <c r="K46" s="680">
        <f t="shared" si="6"/>
        <v>0.36676323689924606</v>
      </c>
    </row>
    <row r="47" spans="2:15" ht="15" customHeight="1" x14ac:dyDescent="0.25">
      <c r="B47" s="41">
        <v>2011</v>
      </c>
      <c r="C47" s="732">
        <v>40837.885416666664</v>
      </c>
      <c r="D47" s="650">
        <v>1.2481526307694546</v>
      </c>
      <c r="E47" s="658">
        <v>1.2917778129082416</v>
      </c>
      <c r="F47" s="729">
        <f t="shared" si="7"/>
        <v>-0.11947430730147901</v>
      </c>
      <c r="G47" s="658"/>
      <c r="H47" s="658"/>
      <c r="I47" s="581">
        <f t="shared" si="4"/>
        <v>4</v>
      </c>
      <c r="J47" s="581">
        <f t="shared" si="5"/>
        <v>0</v>
      </c>
      <c r="K47" s="680">
        <f t="shared" si="6"/>
        <v>0.32294445322706039</v>
      </c>
      <c r="O47" s="184"/>
    </row>
    <row r="48" spans="2:15" ht="15" customHeight="1" x14ac:dyDescent="0.25">
      <c r="B48" s="41">
        <v>2012</v>
      </c>
      <c r="C48" s="732">
        <v>40958.916666666664</v>
      </c>
      <c r="D48" s="650">
        <v>1.832116669760661</v>
      </c>
      <c r="E48" s="658">
        <v>1.8961524466740536</v>
      </c>
      <c r="F48" s="729">
        <f t="shared" si="7"/>
        <v>0.46786268329315422</v>
      </c>
      <c r="G48" s="658"/>
      <c r="H48" s="658"/>
      <c r="I48" s="581">
        <f t="shared" si="4"/>
        <v>4</v>
      </c>
      <c r="J48" s="581">
        <f t="shared" si="5"/>
        <v>0</v>
      </c>
      <c r="K48" s="680">
        <f t="shared" si="6"/>
        <v>0.4740381116685134</v>
      </c>
      <c r="N48" s="136"/>
      <c r="O48" s="11"/>
    </row>
    <row r="49" spans="2:15" ht="15" customHeight="1" x14ac:dyDescent="0.25">
      <c r="B49" s="41">
        <v>2013</v>
      </c>
      <c r="C49" s="732">
        <v>41633.958333333336</v>
      </c>
      <c r="D49" s="650">
        <v>1.7581216937176043</v>
      </c>
      <c r="E49" s="658">
        <v>1.8195712129669452</v>
      </c>
      <c r="F49" s="729">
        <f t="shared" si="7"/>
        <v>-4.0387698700827389E-2</v>
      </c>
      <c r="G49" s="658"/>
      <c r="H49" s="658"/>
      <c r="I49" s="581">
        <f t="shared" si="4"/>
        <v>4</v>
      </c>
      <c r="J49" s="581">
        <f t="shared" si="5"/>
        <v>0</v>
      </c>
      <c r="K49" s="680">
        <f t="shared" si="6"/>
        <v>0.45489280324173631</v>
      </c>
      <c r="N49" s="136"/>
      <c r="O49" s="11"/>
    </row>
    <row r="50" spans="2:15" ht="15" customHeight="1" x14ac:dyDescent="0.25">
      <c r="B50" s="41">
        <v>2014</v>
      </c>
      <c r="C50" s="580">
        <v>41982.864583333336</v>
      </c>
      <c r="D50" s="650">
        <v>1.2126590365351317</v>
      </c>
      <c r="E50" s="658">
        <v>1.2550436536379921</v>
      </c>
      <c r="F50" s="729">
        <f t="shared" si="7"/>
        <v>-0.31025307243042677</v>
      </c>
      <c r="G50" s="658"/>
      <c r="H50" s="658"/>
      <c r="I50" s="581">
        <f t="shared" si="4"/>
        <v>4</v>
      </c>
      <c r="J50" s="581">
        <f t="shared" si="5"/>
        <v>0</v>
      </c>
      <c r="K50" s="680">
        <f t="shared" si="6"/>
        <v>0.31376091340949802</v>
      </c>
      <c r="N50" s="136"/>
      <c r="O50" s="11"/>
    </row>
    <row r="51" spans="2:15" ht="15" customHeight="1" x14ac:dyDescent="0.25">
      <c r="B51" s="41">
        <v>2015</v>
      </c>
      <c r="C51" s="580">
        <v>42133.416666666664</v>
      </c>
      <c r="D51" s="650">
        <v>1.68</v>
      </c>
      <c r="E51" s="658">
        <v>1.78</v>
      </c>
      <c r="F51" s="729">
        <f t="shared" si="7"/>
        <v>0.41827736018609252</v>
      </c>
      <c r="G51" s="658"/>
      <c r="H51" s="658"/>
      <c r="I51" s="581">
        <f t="shared" si="4"/>
        <v>4</v>
      </c>
      <c r="J51" s="581">
        <f t="shared" si="5"/>
        <v>0</v>
      </c>
      <c r="K51" s="680">
        <f t="shared" si="6"/>
        <v>0.44500000000000001</v>
      </c>
      <c r="N51" s="136"/>
      <c r="O51" s="11"/>
    </row>
    <row r="52" spans="2:15" ht="15" customHeight="1" x14ac:dyDescent="0.25">
      <c r="B52" s="41">
        <v>2016</v>
      </c>
      <c r="C52" s="580">
        <v>42548.895833333336</v>
      </c>
      <c r="D52" s="650">
        <v>2.02</v>
      </c>
      <c r="E52" s="658">
        <v>2.04</v>
      </c>
      <c r="F52" s="729">
        <f t="shared" si="7"/>
        <v>0.14606741573033707</v>
      </c>
      <c r="G52" s="659"/>
      <c r="H52" s="658"/>
      <c r="I52" s="581">
        <f t="shared" si="4"/>
        <v>4</v>
      </c>
      <c r="J52" s="581">
        <f t="shared" si="5"/>
        <v>0</v>
      </c>
      <c r="K52" s="680">
        <f t="shared" si="6"/>
        <v>0.51</v>
      </c>
      <c r="N52" s="136"/>
      <c r="O52" s="11"/>
    </row>
    <row r="53" spans="2:15" ht="15" customHeight="1" x14ac:dyDescent="0.25">
      <c r="B53" s="41">
        <v>2017</v>
      </c>
      <c r="C53" s="580">
        <v>42927.875</v>
      </c>
      <c r="D53" s="650">
        <v>2</v>
      </c>
      <c r="E53" s="658">
        <v>2.02</v>
      </c>
      <c r="F53" s="729">
        <f t="shared" si="7"/>
        <v>-9.8039215686274595E-3</v>
      </c>
      <c r="G53" s="659"/>
      <c r="H53" s="658">
        <f>E53</f>
        <v>2.02</v>
      </c>
      <c r="I53" s="581">
        <f t="shared" si="4"/>
        <v>4</v>
      </c>
      <c r="J53" s="581">
        <f t="shared" si="5"/>
        <v>0</v>
      </c>
      <c r="K53" s="680">
        <f t="shared" si="6"/>
        <v>0.505</v>
      </c>
      <c r="N53" s="136"/>
      <c r="O53" s="11"/>
    </row>
    <row r="54" spans="2:15" ht="15" customHeight="1" x14ac:dyDescent="0.25">
      <c r="B54" s="44">
        <v>2018</v>
      </c>
      <c r="C54" s="721">
        <v>2018</v>
      </c>
      <c r="D54" s="652"/>
      <c r="E54" s="723"/>
      <c r="F54" s="766"/>
      <c r="G54" s="660">
        <f>0.0734*B54-146.07</f>
        <v>2.0512000000000228</v>
      </c>
      <c r="H54" s="661">
        <f>0.0734+H53</f>
        <v>2.0933999999999999</v>
      </c>
      <c r="I54" s="584">
        <f t="shared" si="4"/>
        <v>4</v>
      </c>
      <c r="J54" s="584">
        <f t="shared" si="5"/>
        <v>0</v>
      </c>
      <c r="K54" s="684">
        <f>H54/I54</f>
        <v>0.52334999999999998</v>
      </c>
      <c r="L54" t="s">
        <v>379</v>
      </c>
      <c r="N54" s="136"/>
      <c r="O54" s="11"/>
    </row>
    <row r="55" spans="2:15" ht="15" customHeight="1" x14ac:dyDescent="0.25">
      <c r="B55" s="44">
        <v>2019</v>
      </c>
      <c r="C55" s="721">
        <v>2019</v>
      </c>
      <c r="D55" s="652"/>
      <c r="E55" s="723"/>
      <c r="F55" s="766"/>
      <c r="G55" s="660">
        <f t="shared" ref="G55:G63" si="8">0.0734*B55-146.07</f>
        <v>2.1246000000000151</v>
      </c>
      <c r="H55" s="661">
        <f t="shared" ref="H55:H63" si="9">0.0734+H54</f>
        <v>2.1667999999999998</v>
      </c>
      <c r="I55" s="584">
        <f t="shared" si="4"/>
        <v>4</v>
      </c>
      <c r="J55" s="584">
        <f t="shared" si="5"/>
        <v>0</v>
      </c>
      <c r="K55" s="684">
        <f t="shared" ref="K55:K63" si="10">H55/I55</f>
        <v>0.54169999999999996</v>
      </c>
      <c r="N55" s="136"/>
      <c r="O55" s="11"/>
    </row>
    <row r="56" spans="2:15" ht="15" customHeight="1" x14ac:dyDescent="0.25">
      <c r="B56" s="44">
        <v>2020</v>
      </c>
      <c r="C56" s="721">
        <v>2020</v>
      </c>
      <c r="D56" s="652"/>
      <c r="E56" s="723"/>
      <c r="F56" s="766"/>
      <c r="G56" s="660">
        <f t="shared" si="8"/>
        <v>2.1980000000000075</v>
      </c>
      <c r="H56" s="661">
        <f t="shared" si="9"/>
        <v>2.2401999999999997</v>
      </c>
      <c r="I56" s="584">
        <f t="shared" si="4"/>
        <v>4</v>
      </c>
      <c r="J56" s="584">
        <f t="shared" si="5"/>
        <v>0</v>
      </c>
      <c r="K56" s="684">
        <f t="shared" si="10"/>
        <v>0.56004999999999994</v>
      </c>
    </row>
    <row r="57" spans="2:15" ht="15" customHeight="1" x14ac:dyDescent="0.25">
      <c r="B57" s="44">
        <v>2021</v>
      </c>
      <c r="C57" s="721">
        <v>2021</v>
      </c>
      <c r="D57" s="652"/>
      <c r="E57" s="723"/>
      <c r="F57" s="766"/>
      <c r="G57" s="660">
        <f t="shared" si="8"/>
        <v>2.2714000000000283</v>
      </c>
      <c r="H57" s="661">
        <f t="shared" si="9"/>
        <v>2.3135999999999997</v>
      </c>
      <c r="I57" s="584">
        <f t="shared" si="4"/>
        <v>4</v>
      </c>
      <c r="J57" s="584">
        <f t="shared" si="5"/>
        <v>0</v>
      </c>
      <c r="K57" s="684">
        <f t="shared" si="10"/>
        <v>0.57839999999999991</v>
      </c>
      <c r="M57" s="8"/>
      <c r="N57" s="8"/>
    </row>
    <row r="58" spans="2:15" ht="15" customHeight="1" x14ac:dyDescent="0.25">
      <c r="B58" s="44">
        <v>2022</v>
      </c>
      <c r="C58" s="721">
        <v>2022</v>
      </c>
      <c r="D58" s="652"/>
      <c r="E58" s="723"/>
      <c r="F58" s="730"/>
      <c r="G58" s="660">
        <f t="shared" si="8"/>
        <v>2.3448000000000206</v>
      </c>
      <c r="H58" s="661">
        <f t="shared" si="9"/>
        <v>2.3869999999999996</v>
      </c>
      <c r="I58" s="584">
        <f t="shared" si="4"/>
        <v>4</v>
      </c>
      <c r="J58" s="584">
        <f t="shared" si="5"/>
        <v>0</v>
      </c>
      <c r="K58" s="684">
        <f t="shared" si="10"/>
        <v>0.59674999999999989</v>
      </c>
    </row>
    <row r="59" spans="2:15" ht="15" customHeight="1" x14ac:dyDescent="0.25">
      <c r="B59" s="44">
        <v>2023</v>
      </c>
      <c r="C59" s="721">
        <v>2023</v>
      </c>
      <c r="D59" s="652"/>
      <c r="E59" s="723"/>
      <c r="F59" s="730"/>
      <c r="G59" s="660">
        <f t="shared" si="8"/>
        <v>2.418200000000013</v>
      </c>
      <c r="H59" s="661">
        <f t="shared" si="9"/>
        <v>2.4603999999999995</v>
      </c>
      <c r="I59" s="584">
        <f t="shared" si="4"/>
        <v>4</v>
      </c>
      <c r="J59" s="584">
        <f t="shared" si="5"/>
        <v>0</v>
      </c>
      <c r="K59" s="684">
        <f t="shared" si="10"/>
        <v>0.61509999999999987</v>
      </c>
    </row>
    <row r="60" spans="2:15" ht="15" customHeight="1" x14ac:dyDescent="0.25">
      <c r="B60" s="44">
        <v>2024</v>
      </c>
      <c r="C60" s="721">
        <v>2024</v>
      </c>
      <c r="D60" s="652"/>
      <c r="E60" s="723"/>
      <c r="F60" s="730"/>
      <c r="G60" s="660">
        <f t="shared" si="8"/>
        <v>2.4916000000000338</v>
      </c>
      <c r="H60" s="661">
        <f t="shared" si="9"/>
        <v>2.5337999999999994</v>
      </c>
      <c r="I60" s="584">
        <f t="shared" si="4"/>
        <v>4</v>
      </c>
      <c r="J60" s="584">
        <f t="shared" si="5"/>
        <v>0</v>
      </c>
      <c r="K60" s="684">
        <f t="shared" si="10"/>
        <v>0.63344999999999985</v>
      </c>
    </row>
    <row r="61" spans="2:15" ht="15" customHeight="1" x14ac:dyDescent="0.25">
      <c r="B61" s="44">
        <v>2025</v>
      </c>
      <c r="C61" s="721">
        <v>2025</v>
      </c>
      <c r="D61" s="652"/>
      <c r="E61" s="723"/>
      <c r="F61" s="730"/>
      <c r="G61" s="660">
        <f t="shared" si="8"/>
        <v>2.5650000000000261</v>
      </c>
      <c r="H61" s="661">
        <f t="shared" si="9"/>
        <v>2.6071999999999993</v>
      </c>
      <c r="I61" s="584">
        <f t="shared" si="4"/>
        <v>4</v>
      </c>
      <c r="J61" s="584">
        <f t="shared" si="5"/>
        <v>0</v>
      </c>
      <c r="K61" s="684">
        <f t="shared" si="10"/>
        <v>0.65179999999999982</v>
      </c>
    </row>
    <row r="62" spans="2:15" ht="15" customHeight="1" x14ac:dyDescent="0.25">
      <c r="B62" s="44">
        <v>2026</v>
      </c>
      <c r="C62" s="721">
        <v>2026</v>
      </c>
      <c r="D62" s="652"/>
      <c r="E62" s="723"/>
      <c r="F62" s="730"/>
      <c r="G62" s="660">
        <f t="shared" si="8"/>
        <v>2.6384000000000185</v>
      </c>
      <c r="H62" s="661">
        <f t="shared" si="9"/>
        <v>2.6805999999999992</v>
      </c>
      <c r="I62" s="584">
        <f t="shared" si="4"/>
        <v>4</v>
      </c>
      <c r="J62" s="584">
        <f t="shared" si="5"/>
        <v>0</v>
      </c>
      <c r="K62" s="684">
        <f t="shared" si="10"/>
        <v>0.6701499999999998</v>
      </c>
    </row>
    <row r="63" spans="2:15" ht="15" customHeight="1" thickBot="1" x14ac:dyDescent="0.3">
      <c r="B63" s="191">
        <v>2027</v>
      </c>
      <c r="C63" s="722">
        <v>2027</v>
      </c>
      <c r="D63" s="656"/>
      <c r="E63" s="733"/>
      <c r="F63" s="734"/>
      <c r="G63" s="662">
        <f t="shared" si="8"/>
        <v>2.7118000000000109</v>
      </c>
      <c r="H63" s="663">
        <f t="shared" si="9"/>
        <v>2.7539999999999991</v>
      </c>
      <c r="I63" s="586">
        <f t="shared" si="4"/>
        <v>4</v>
      </c>
      <c r="J63" s="586">
        <f t="shared" si="5"/>
        <v>0</v>
      </c>
      <c r="K63" s="686">
        <f t="shared" si="10"/>
        <v>0.68849999999999978</v>
      </c>
    </row>
    <row r="64" spans="2:15" ht="15" customHeight="1" x14ac:dyDescent="0.25">
      <c r="B64"/>
      <c r="F64" s="143">
        <f>AVERAGE(F39:F63)</f>
        <v>9.6036456790846408E-2</v>
      </c>
      <c r="I64"/>
    </row>
    <row r="65" spans="2:9" ht="15" customHeight="1" x14ac:dyDescent="0.25">
      <c r="B65"/>
      <c r="F65"/>
      <c r="I65"/>
    </row>
    <row r="68" spans="2:9" x14ac:dyDescent="0.25">
      <c r="C68" s="2"/>
      <c r="D68" s="2"/>
    </row>
    <row r="69" spans="2:9" x14ac:dyDescent="0.25">
      <c r="C69" s="2"/>
      <c r="D69" s="2"/>
    </row>
    <row r="70" spans="2:9" x14ac:dyDescent="0.25">
      <c r="C70" s="5"/>
      <c r="D70" s="5"/>
      <c r="E70" s="5"/>
      <c r="F70" s="186"/>
    </row>
    <row r="71" spans="2:9" x14ac:dyDescent="0.25">
      <c r="C71" s="5"/>
      <c r="D71" s="5"/>
      <c r="E71" s="5"/>
      <c r="F71" s="186"/>
    </row>
    <row r="72" spans="2:9" x14ac:dyDescent="0.25">
      <c r="C72" s="5"/>
      <c r="D72" s="5"/>
      <c r="E72" s="5"/>
      <c r="F72" s="186"/>
    </row>
    <row r="73" spans="2:9" x14ac:dyDescent="0.25">
      <c r="C73" s="5"/>
      <c r="D73" s="5"/>
      <c r="E73" s="5"/>
      <c r="F73" s="186"/>
    </row>
    <row r="74" spans="2:9" x14ac:dyDescent="0.25">
      <c r="C74" s="5"/>
      <c r="D74" s="5"/>
      <c r="E74" s="5"/>
      <c r="F74" s="186"/>
    </row>
    <row r="75" spans="2:9" x14ac:dyDescent="0.25">
      <c r="C75" s="5"/>
      <c r="D75" s="5"/>
      <c r="E75" s="5"/>
      <c r="F75" s="186"/>
    </row>
    <row r="76" spans="2:9" x14ac:dyDescent="0.25">
      <c r="C76" s="5"/>
      <c r="D76" s="5"/>
      <c r="E76" s="5"/>
      <c r="F76" s="186"/>
    </row>
    <row r="77" spans="2:9" x14ac:dyDescent="0.25">
      <c r="C77" s="5"/>
      <c r="D77" s="5"/>
      <c r="E77" s="5"/>
      <c r="F77" s="186"/>
    </row>
    <row r="78" spans="2:9" x14ac:dyDescent="0.25">
      <c r="C78" s="5"/>
      <c r="D78" s="5"/>
      <c r="E78" s="5"/>
      <c r="F78" s="186"/>
    </row>
    <row r="79" spans="2:9" x14ac:dyDescent="0.25">
      <c r="C79" s="5"/>
      <c r="D79" s="5"/>
      <c r="E79" s="5"/>
      <c r="F79" s="186"/>
    </row>
    <row r="98" spans="1:20" ht="18" x14ac:dyDescent="0.25">
      <c r="A98" s="1093" t="s">
        <v>247</v>
      </c>
      <c r="B98" s="1093"/>
      <c r="C98" s="1093"/>
      <c r="D98" s="1093"/>
      <c r="E98" s="1093"/>
      <c r="F98" s="1093"/>
      <c r="G98" s="1093"/>
      <c r="H98" s="1093"/>
      <c r="I98" s="1093"/>
      <c r="J98" s="1093"/>
      <c r="K98" s="1093"/>
      <c r="L98" s="1093"/>
      <c r="M98" s="1093"/>
      <c r="N98" s="1093"/>
      <c r="O98" s="1093"/>
      <c r="P98" s="1093"/>
      <c r="Q98" s="1093"/>
      <c r="R98" s="1093"/>
      <c r="S98" s="1093"/>
      <c r="T98" s="1093"/>
    </row>
    <row r="99" spans="1:20" ht="18" x14ac:dyDescent="0.25">
      <c r="A99" s="1094" t="s">
        <v>248</v>
      </c>
      <c r="B99" s="1094"/>
      <c r="C99" s="1094"/>
      <c r="D99" s="1094"/>
      <c r="E99" s="1094"/>
      <c r="F99" s="1094"/>
      <c r="G99" s="1094"/>
      <c r="H99" s="1094"/>
      <c r="I99" s="1094"/>
      <c r="J99" s="1094"/>
      <c r="K99" s="1094"/>
      <c r="L99" s="1094"/>
      <c r="M99" s="1094"/>
      <c r="N99" s="1094"/>
      <c r="O99" s="1094"/>
      <c r="P99" s="1094"/>
      <c r="Q99" s="1094"/>
      <c r="R99" s="1094"/>
      <c r="S99" s="1094"/>
      <c r="T99" s="1094"/>
    </row>
    <row r="100" spans="1:20" ht="15.75" thickBot="1" x14ac:dyDescent="0.3">
      <c r="A100" s="452"/>
      <c r="B100" s="452"/>
      <c r="C100" s="452"/>
      <c r="D100" s="452"/>
      <c r="E100" s="452"/>
      <c r="F100" s="452"/>
      <c r="G100" s="452"/>
      <c r="H100" s="453"/>
      <c r="I100" s="452"/>
      <c r="J100" s="454"/>
      <c r="K100" s="453"/>
      <c r="L100" s="452"/>
      <c r="M100" s="454"/>
      <c r="N100" s="453"/>
      <c r="O100" s="452"/>
      <c r="P100" s="454"/>
      <c r="Q100" s="453"/>
      <c r="R100" s="452"/>
      <c r="S100" s="449"/>
      <c r="T100" s="450"/>
    </row>
    <row r="101" spans="1:20" x14ac:dyDescent="0.25">
      <c r="A101" s="1095" t="s">
        <v>249</v>
      </c>
      <c r="B101" s="1098" t="s">
        <v>250</v>
      </c>
      <c r="C101" s="1101" t="s">
        <v>251</v>
      </c>
      <c r="D101" s="1063" t="s">
        <v>252</v>
      </c>
      <c r="E101" s="1065"/>
      <c r="F101" s="1066">
        <v>2017</v>
      </c>
      <c r="G101" s="1064"/>
      <c r="H101" s="1106"/>
      <c r="I101" s="1063">
        <f>+F101+1</f>
        <v>2018</v>
      </c>
      <c r="J101" s="1064"/>
      <c r="K101" s="1065"/>
      <c r="L101" s="1066">
        <f>+I101+1</f>
        <v>2019</v>
      </c>
      <c r="M101" s="1064"/>
      <c r="N101" s="1106"/>
      <c r="O101" s="1063">
        <f>+L101+1</f>
        <v>2020</v>
      </c>
      <c r="P101" s="1064"/>
      <c r="Q101" s="1065"/>
      <c r="R101" s="1066">
        <f>+O101+1</f>
        <v>2021</v>
      </c>
      <c r="S101" s="1064"/>
      <c r="T101" s="1065"/>
    </row>
    <row r="102" spans="1:20" x14ac:dyDescent="0.25">
      <c r="A102" s="1096"/>
      <c r="B102" s="1099"/>
      <c r="C102" s="1102"/>
      <c r="D102" s="1104"/>
      <c r="E102" s="1105"/>
      <c r="F102" s="455" t="s">
        <v>253</v>
      </c>
      <c r="G102" s="1067" t="s">
        <v>254</v>
      </c>
      <c r="H102" s="1068"/>
      <c r="I102" s="456" t="s">
        <v>253</v>
      </c>
      <c r="J102" s="1067" t="s">
        <v>254</v>
      </c>
      <c r="K102" s="1069"/>
      <c r="L102" s="455" t="s">
        <v>253</v>
      </c>
      <c r="M102" s="1067" t="s">
        <v>254</v>
      </c>
      <c r="N102" s="1068"/>
      <c r="O102" s="456" t="s">
        <v>253</v>
      </c>
      <c r="P102" s="1067" t="s">
        <v>254</v>
      </c>
      <c r="Q102" s="1069"/>
      <c r="R102" s="455" t="s">
        <v>253</v>
      </c>
      <c r="S102" s="1067" t="s">
        <v>254</v>
      </c>
      <c r="T102" s="1069"/>
    </row>
    <row r="103" spans="1:20" ht="15.75" thickBot="1" x14ac:dyDescent="0.3">
      <c r="A103" s="1097"/>
      <c r="B103" s="1100"/>
      <c r="C103" s="1103"/>
      <c r="D103" s="1091" t="s">
        <v>255</v>
      </c>
      <c r="E103" s="1092"/>
      <c r="F103" s="457" t="s">
        <v>255</v>
      </c>
      <c r="G103" s="458" t="s">
        <v>255</v>
      </c>
      <c r="H103" s="459" t="s">
        <v>256</v>
      </c>
      <c r="I103" s="460" t="s">
        <v>255</v>
      </c>
      <c r="J103" s="461" t="s">
        <v>255</v>
      </c>
      <c r="K103" s="462" t="s">
        <v>256</v>
      </c>
      <c r="L103" s="457" t="s">
        <v>255</v>
      </c>
      <c r="M103" s="461" t="s">
        <v>255</v>
      </c>
      <c r="N103" s="459" t="s">
        <v>256</v>
      </c>
      <c r="O103" s="460" t="s">
        <v>255</v>
      </c>
      <c r="P103" s="461" t="s">
        <v>255</v>
      </c>
      <c r="Q103" s="462" t="s">
        <v>256</v>
      </c>
      <c r="R103" s="457" t="s">
        <v>255</v>
      </c>
      <c r="S103" s="461" t="s">
        <v>255</v>
      </c>
      <c r="T103" s="462" t="s">
        <v>256</v>
      </c>
    </row>
    <row r="104" spans="1:20" x14ac:dyDescent="0.25">
      <c r="B104" s="796" t="s">
        <v>16</v>
      </c>
      <c r="C104" s="666" t="s">
        <v>263</v>
      </c>
      <c r="D104" s="641">
        <v>4</v>
      </c>
      <c r="E104" s="688">
        <v>4</v>
      </c>
      <c r="F104" s="689">
        <v>4</v>
      </c>
      <c r="G104" s="797">
        <v>2.1277200000000001</v>
      </c>
      <c r="H104" s="691">
        <v>0.53193000000000001</v>
      </c>
      <c r="I104" s="689">
        <v>4</v>
      </c>
      <c r="J104" s="797">
        <v>2.21921196</v>
      </c>
      <c r="K104" s="691">
        <v>0.55480299</v>
      </c>
      <c r="L104" s="689">
        <v>4</v>
      </c>
      <c r="M104" s="797">
        <v>2.3146380742799999</v>
      </c>
      <c r="N104" s="691">
        <v>0.57865951856999998</v>
      </c>
      <c r="O104" s="689">
        <v>4</v>
      </c>
      <c r="P104" s="797">
        <v>2.4141675114740395</v>
      </c>
      <c r="Q104" s="691">
        <v>0.60354187786850988</v>
      </c>
      <c r="R104" s="641">
        <v>4</v>
      </c>
      <c r="S104" s="797">
        <v>2.517976714467423</v>
      </c>
      <c r="T104" s="691">
        <v>0.62949417861685575</v>
      </c>
    </row>
    <row r="105" spans="1:20" x14ac:dyDescent="0.25">
      <c r="J105">
        <f>1.043*G104</f>
        <v>2.21921196</v>
      </c>
      <c r="M105">
        <f>1.043*J104</f>
        <v>2.3146380742799999</v>
      </c>
    </row>
    <row r="106" spans="1:20" x14ac:dyDescent="0.25">
      <c r="I106" s="39">
        <v>2016</v>
      </c>
      <c r="J106" s="258"/>
    </row>
    <row r="107" spans="1:20" x14ac:dyDescent="0.25">
      <c r="I107" s="39">
        <v>2017</v>
      </c>
      <c r="J107" s="258"/>
    </row>
    <row r="108" spans="1:20" x14ac:dyDescent="0.25">
      <c r="I108" s="39">
        <v>2018</v>
      </c>
      <c r="J108" s="258"/>
    </row>
    <row r="109" spans="1:20" x14ac:dyDescent="0.25">
      <c r="I109" s="39">
        <v>2019</v>
      </c>
      <c r="J109" s="258"/>
    </row>
    <row r="110" spans="1:20" x14ac:dyDescent="0.25">
      <c r="I110" s="39">
        <v>2020</v>
      </c>
      <c r="J110" s="258"/>
    </row>
  </sheetData>
  <mergeCells count="35">
    <mergeCell ref="I37:I38"/>
    <mergeCell ref="J37:J38"/>
    <mergeCell ref="K37:K38"/>
    <mergeCell ref="M102:N102"/>
    <mergeCell ref="B5:B6"/>
    <mergeCell ref="C35:K35"/>
    <mergeCell ref="C36:K36"/>
    <mergeCell ref="B37:B38"/>
    <mergeCell ref="C37:C38"/>
    <mergeCell ref="D37:F37"/>
    <mergeCell ref="G37:H37"/>
    <mergeCell ref="B2:K2"/>
    <mergeCell ref="B3:K3"/>
    <mergeCell ref="B4:K4"/>
    <mergeCell ref="D5:F5"/>
    <mergeCell ref="J5:J6"/>
    <mergeCell ref="K5:K6"/>
    <mergeCell ref="C5:C6"/>
    <mergeCell ref="G5:I5"/>
    <mergeCell ref="P102:Q102"/>
    <mergeCell ref="S102:T102"/>
    <mergeCell ref="D103:E103"/>
    <mergeCell ref="A98:T98"/>
    <mergeCell ref="A99:T99"/>
    <mergeCell ref="A101:A103"/>
    <mergeCell ref="B101:B103"/>
    <mergeCell ref="C101:C103"/>
    <mergeCell ref="D101:E102"/>
    <mergeCell ref="F101:H101"/>
    <mergeCell ref="I101:K101"/>
    <mergeCell ref="L101:N101"/>
    <mergeCell ref="O101:Q101"/>
    <mergeCell ref="R101:T101"/>
    <mergeCell ref="G102:H102"/>
    <mergeCell ref="J102:K102"/>
  </mergeCells>
  <conditionalFormatting sqref="Q104 N104 H104 T104 K104">
    <cfRule type="cellIs" dxfId="3" priority="1" operator="greaterThan">
      <formula>1</formula>
    </cfRule>
  </conditionalFormatting>
  <printOptions gridLines="1"/>
  <pageMargins left="0" right="0" top="0.74803149606299213" bottom="0.74803149606299213" header="0.31496062992125984" footer="0.31496062992125984"/>
  <pageSetup paperSize="9" scale="95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2:T130"/>
  <sheetViews>
    <sheetView topLeftCell="A86" workbookViewId="0">
      <selection activeCell="G80" sqref="G80"/>
    </sheetView>
  </sheetViews>
  <sheetFormatPr baseColWidth="10" defaultRowHeight="15" x14ac:dyDescent="0.25"/>
  <cols>
    <col min="1" max="1" width="5.7109375" customWidth="1"/>
    <col min="2" max="2" width="6.7109375" customWidth="1"/>
    <col min="3" max="3" width="14.7109375" customWidth="1"/>
    <col min="4" max="5" width="10.7109375" customWidth="1"/>
    <col min="6" max="6" width="11.7109375" customWidth="1"/>
    <col min="7" max="8" width="12.7109375" customWidth="1"/>
    <col min="9" max="11" width="10.7109375" customWidth="1"/>
  </cols>
  <sheetData>
    <row r="2" spans="2:17" ht="15.75" thickBot="1" x14ac:dyDescent="0.3"/>
    <row r="3" spans="2:17" ht="15.95" customHeight="1" x14ac:dyDescent="0.25">
      <c r="B3" s="1204" t="s">
        <v>225</v>
      </c>
      <c r="C3" s="1205"/>
      <c r="D3" s="1205"/>
      <c r="E3" s="1205"/>
      <c r="F3" s="1205"/>
      <c r="G3" s="1205"/>
      <c r="H3" s="1205"/>
      <c r="I3" s="1205"/>
      <c r="J3" s="1205"/>
      <c r="K3" s="1206"/>
    </row>
    <row r="4" spans="2:17" ht="15.95" customHeight="1" thickBot="1" x14ac:dyDescent="0.3">
      <c r="B4" s="1216" t="s">
        <v>47</v>
      </c>
      <c r="C4" s="1217"/>
      <c r="D4" s="1217"/>
      <c r="E4" s="1217"/>
      <c r="F4" s="1217"/>
      <c r="G4" s="1217"/>
      <c r="H4" s="1217"/>
      <c r="I4" s="1217"/>
      <c r="J4" s="1217"/>
      <c r="K4" s="1218"/>
    </row>
    <row r="5" spans="2:17" ht="15.95" customHeight="1" x14ac:dyDescent="0.25">
      <c r="B5" s="1166" t="s">
        <v>124</v>
      </c>
      <c r="C5" s="1181" t="s">
        <v>26</v>
      </c>
      <c r="D5" s="1169" t="s">
        <v>110</v>
      </c>
      <c r="E5" s="1167"/>
      <c r="F5" s="1168"/>
      <c r="G5" s="1169" t="s">
        <v>74</v>
      </c>
      <c r="H5" s="1167"/>
      <c r="I5" s="1168"/>
      <c r="J5" s="1182" t="s">
        <v>105</v>
      </c>
      <c r="K5" s="1183" t="s">
        <v>194</v>
      </c>
      <c r="L5" s="73"/>
      <c r="M5" s="73"/>
      <c r="N5" s="73"/>
      <c r="O5" s="73"/>
      <c r="P5" s="73"/>
      <c r="Q5" s="73"/>
    </row>
    <row r="6" spans="2:17" ht="39.950000000000003" customHeight="1" x14ac:dyDescent="0.25">
      <c r="B6" s="1119"/>
      <c r="C6" s="1032"/>
      <c r="D6" s="330" t="s">
        <v>115</v>
      </c>
      <c r="E6" s="330" t="s">
        <v>192</v>
      </c>
      <c r="F6" s="330" t="s">
        <v>81</v>
      </c>
      <c r="G6" s="38" t="s">
        <v>242</v>
      </c>
      <c r="H6" s="38" t="s">
        <v>232</v>
      </c>
      <c r="I6" s="38" t="s">
        <v>193</v>
      </c>
      <c r="J6" s="1033"/>
      <c r="K6" s="1124"/>
      <c r="L6" s="259" t="s">
        <v>191</v>
      </c>
      <c r="M6" s="85" t="s">
        <v>73</v>
      </c>
      <c r="N6" s="38" t="s">
        <v>240</v>
      </c>
      <c r="O6" s="73"/>
      <c r="P6" s="73"/>
      <c r="Q6" s="73"/>
    </row>
    <row r="7" spans="2:17" x14ac:dyDescent="0.25">
      <c r="B7" s="201"/>
      <c r="C7" s="68">
        <v>1997</v>
      </c>
      <c r="D7" s="62">
        <v>2.11</v>
      </c>
      <c r="E7" s="40">
        <f>D7/L26</f>
        <v>2.296685170765199</v>
      </c>
      <c r="F7" s="175"/>
      <c r="G7" s="40"/>
      <c r="H7" s="40"/>
      <c r="I7" s="40"/>
      <c r="J7" s="77">
        <v>10</v>
      </c>
      <c r="K7" s="244">
        <f t="shared" ref="K7:K37" si="0">J7 - 10</f>
        <v>0</v>
      </c>
      <c r="L7" s="263"/>
      <c r="M7" s="50"/>
      <c r="N7" s="50"/>
      <c r="O7" s="73"/>
      <c r="P7" s="73"/>
      <c r="Q7" s="73"/>
    </row>
    <row r="8" spans="2:17" x14ac:dyDescent="0.25">
      <c r="B8" s="201"/>
      <c r="C8" s="68">
        <v>1998</v>
      </c>
      <c r="D8" s="62">
        <v>2.25</v>
      </c>
      <c r="E8" s="40">
        <f>D8/L26</f>
        <v>2.4490718645600467</v>
      </c>
      <c r="F8" s="175">
        <f>(E8-E7)/E7</f>
        <v>6.6350710900474105E-2</v>
      </c>
      <c r="G8" s="40"/>
      <c r="H8" s="40"/>
      <c r="I8" s="40"/>
      <c r="J8" s="77">
        <v>10</v>
      </c>
      <c r="K8" s="244">
        <f t="shared" si="0"/>
        <v>0</v>
      </c>
      <c r="L8" s="263"/>
      <c r="M8" s="50"/>
      <c r="N8" s="50"/>
      <c r="O8" s="73"/>
      <c r="P8" s="73"/>
      <c r="Q8" s="73"/>
    </row>
    <row r="9" spans="2:17" x14ac:dyDescent="0.25">
      <c r="B9" s="201"/>
      <c r="C9" s="68">
        <v>1999</v>
      </c>
      <c r="D9" s="62">
        <v>2.34</v>
      </c>
      <c r="E9" s="40">
        <f>D9/L26</f>
        <v>2.5470347391424482</v>
      </c>
      <c r="F9" s="175">
        <f t="shared" ref="F9:F27" si="1">(E9-E8)/E8</f>
        <v>3.9999999999999848E-2</v>
      </c>
      <c r="G9" s="40"/>
      <c r="H9" s="40"/>
      <c r="I9" s="40"/>
      <c r="J9" s="77">
        <v>10</v>
      </c>
      <c r="K9" s="244">
        <f t="shared" si="0"/>
        <v>0</v>
      </c>
      <c r="L9" s="263"/>
      <c r="M9" s="50"/>
      <c r="N9" s="50"/>
      <c r="O9" s="73"/>
      <c r="P9" s="73"/>
      <c r="Q9" s="73"/>
    </row>
    <row r="10" spans="2:17" x14ac:dyDescent="0.25">
      <c r="B10" s="201"/>
      <c r="C10" s="68">
        <v>2000</v>
      </c>
      <c r="D10" s="62">
        <v>2.9</v>
      </c>
      <c r="E10" s="40">
        <f>D10/L26</f>
        <v>3.1565815143218376</v>
      </c>
      <c r="F10" s="175">
        <f t="shared" si="1"/>
        <v>0.23931623931623938</v>
      </c>
      <c r="G10" s="40"/>
      <c r="H10" s="40"/>
      <c r="I10" s="40"/>
      <c r="J10" s="77">
        <v>10</v>
      </c>
      <c r="K10" s="244">
        <f t="shared" si="0"/>
        <v>0</v>
      </c>
      <c r="L10" s="263"/>
      <c r="M10" s="50"/>
      <c r="N10" s="50"/>
      <c r="O10" s="73"/>
      <c r="P10" s="73"/>
      <c r="Q10" s="73"/>
    </row>
    <row r="11" spans="2:17" x14ac:dyDescent="0.25">
      <c r="B11" s="201"/>
      <c r="C11" s="68">
        <v>2001</v>
      </c>
      <c r="D11" s="62">
        <v>2.93</v>
      </c>
      <c r="E11" s="40">
        <f>D11/L26</f>
        <v>3.1892358058493051</v>
      </c>
      <c r="F11" s="175">
        <f t="shared" si="1"/>
        <v>1.0344827586206952E-2</v>
      </c>
      <c r="G11" s="40"/>
      <c r="H11" s="40"/>
      <c r="I11" s="40"/>
      <c r="J11" s="77">
        <v>10</v>
      </c>
      <c r="K11" s="244">
        <f t="shared" si="0"/>
        <v>0</v>
      </c>
      <c r="L11" s="263"/>
      <c r="M11" s="50"/>
      <c r="N11" s="50"/>
      <c r="O11" s="73"/>
      <c r="P11" s="73"/>
      <c r="Q11" s="73"/>
    </row>
    <row r="12" spans="2:17" x14ac:dyDescent="0.25">
      <c r="B12" s="201"/>
      <c r="C12" s="68">
        <v>2002</v>
      </c>
      <c r="D12" s="62">
        <v>2.67</v>
      </c>
      <c r="E12" s="40">
        <f>D12/L26</f>
        <v>2.9062319459445884</v>
      </c>
      <c r="F12" s="175">
        <f t="shared" si="1"/>
        <v>-8.8737201365187771E-2</v>
      </c>
      <c r="G12" s="40"/>
      <c r="H12" s="40"/>
      <c r="I12" s="40"/>
      <c r="J12" s="77">
        <v>10</v>
      </c>
      <c r="K12" s="244">
        <f t="shared" si="0"/>
        <v>0</v>
      </c>
      <c r="L12" s="263"/>
      <c r="M12" s="50"/>
      <c r="N12" s="50"/>
      <c r="O12" s="73"/>
      <c r="P12" s="73"/>
      <c r="Q12" s="73"/>
    </row>
    <row r="13" spans="2:17" x14ac:dyDescent="0.25">
      <c r="B13" s="201">
        <v>1</v>
      </c>
      <c r="C13" s="68">
        <v>2003</v>
      </c>
      <c r="D13" s="62">
        <v>2.0699999999999998</v>
      </c>
      <c r="E13" s="40">
        <v>2.33</v>
      </c>
      <c r="F13" s="175">
        <f t="shared" si="1"/>
        <v>-0.19827458945548837</v>
      </c>
      <c r="G13" s="40"/>
      <c r="H13" s="40"/>
      <c r="I13" s="40"/>
      <c r="J13" s="77">
        <v>10</v>
      </c>
      <c r="K13" s="244">
        <f t="shared" si="0"/>
        <v>0</v>
      </c>
      <c r="L13" s="263">
        <v>0.88729999999999998</v>
      </c>
      <c r="M13" s="50"/>
      <c r="N13" s="50"/>
      <c r="O13" s="73"/>
      <c r="P13" s="73"/>
      <c r="Q13" s="73"/>
    </row>
    <row r="14" spans="2:17" x14ac:dyDescent="0.25">
      <c r="B14" s="201">
        <v>12</v>
      </c>
      <c r="C14" s="68">
        <v>2004</v>
      </c>
      <c r="D14" s="62">
        <v>2.0299999999999998</v>
      </c>
      <c r="E14" s="40">
        <v>2.23</v>
      </c>
      <c r="F14" s="175">
        <f t="shared" si="1"/>
        <v>-4.2918454935622352E-2</v>
      </c>
      <c r="G14" s="40"/>
      <c r="H14" s="40"/>
      <c r="I14" s="40"/>
      <c r="J14" s="77">
        <v>10</v>
      </c>
      <c r="K14" s="244">
        <f t="shared" si="0"/>
        <v>0</v>
      </c>
      <c r="L14" s="263">
        <v>0.90949999999999998</v>
      </c>
      <c r="M14" s="50"/>
      <c r="N14" s="50"/>
      <c r="O14" s="73"/>
      <c r="P14" s="73"/>
      <c r="Q14" s="73"/>
    </row>
    <row r="15" spans="2:17" x14ac:dyDescent="0.25">
      <c r="B15" s="201">
        <v>9</v>
      </c>
      <c r="C15" s="68">
        <v>2005</v>
      </c>
      <c r="D15" s="62">
        <v>2.29</v>
      </c>
      <c r="E15" s="40">
        <v>2.36</v>
      </c>
      <c r="F15" s="175">
        <f t="shared" si="1"/>
        <v>5.8295964125560491E-2</v>
      </c>
      <c r="G15" s="40"/>
      <c r="H15" s="40"/>
      <c r="I15" s="40"/>
      <c r="J15" s="77">
        <v>10</v>
      </c>
      <c r="K15" s="244">
        <f t="shared" si="0"/>
        <v>0</v>
      </c>
      <c r="L15" s="263">
        <v>0.96789999999999998</v>
      </c>
      <c r="M15" s="50"/>
      <c r="N15" s="50"/>
      <c r="O15" s="73"/>
      <c r="P15" s="73"/>
      <c r="Q15" s="73"/>
    </row>
    <row r="16" spans="2:17" x14ac:dyDescent="0.25">
      <c r="B16" s="201">
        <v>8</v>
      </c>
      <c r="C16" s="68">
        <v>2006</v>
      </c>
      <c r="D16" s="62">
        <v>2.36</v>
      </c>
      <c r="E16" s="40">
        <v>2.44</v>
      </c>
      <c r="F16" s="175">
        <f t="shared" si="1"/>
        <v>3.3898305084745797E-2</v>
      </c>
      <c r="G16" s="40"/>
      <c r="H16" s="40"/>
      <c r="I16" s="40"/>
      <c r="J16" s="77">
        <v>10</v>
      </c>
      <c r="K16" s="244">
        <f t="shared" si="0"/>
        <v>0</v>
      </c>
      <c r="L16" s="263">
        <v>0.96630000000000005</v>
      </c>
      <c r="M16" s="50"/>
      <c r="N16" s="50"/>
      <c r="O16" s="73"/>
      <c r="P16" s="73"/>
      <c r="Q16" s="73"/>
    </row>
    <row r="17" spans="2:17" x14ac:dyDescent="0.25">
      <c r="B17" s="201">
        <v>6</v>
      </c>
      <c r="C17" s="68">
        <v>2007</v>
      </c>
      <c r="D17" s="62">
        <v>1.27</v>
      </c>
      <c r="E17" s="40">
        <v>1.27</v>
      </c>
      <c r="F17" s="175">
        <f t="shared" si="1"/>
        <v>-0.47950819672131145</v>
      </c>
      <c r="G17" s="40"/>
      <c r="H17" s="40"/>
      <c r="I17" s="40"/>
      <c r="J17" s="77">
        <v>10</v>
      </c>
      <c r="K17" s="244">
        <f t="shared" si="0"/>
        <v>0</v>
      </c>
      <c r="L17" s="263">
        <v>0.99670000000000003</v>
      </c>
      <c r="M17" s="50"/>
      <c r="N17" s="50"/>
      <c r="O17" s="73"/>
      <c r="P17" s="73"/>
      <c r="Q17" s="73"/>
    </row>
    <row r="18" spans="2:17" x14ac:dyDescent="0.25">
      <c r="B18" s="201">
        <v>11</v>
      </c>
      <c r="C18" s="68">
        <v>2008</v>
      </c>
      <c r="D18" s="62">
        <v>2.54</v>
      </c>
      <c r="E18" s="40">
        <v>2.72</v>
      </c>
      <c r="F18" s="175">
        <f t="shared" si="1"/>
        <v>1.1417322834645671</v>
      </c>
      <c r="G18" s="40"/>
      <c r="H18" s="40"/>
      <c r="I18" s="40"/>
      <c r="J18" s="77">
        <v>10</v>
      </c>
      <c r="K18" s="244">
        <f t="shared" si="0"/>
        <v>0</v>
      </c>
      <c r="L18" s="263">
        <v>0.93459999999999999</v>
      </c>
      <c r="M18" s="50"/>
      <c r="N18" s="50"/>
      <c r="O18" s="73"/>
      <c r="P18" s="73"/>
      <c r="Q18" s="73"/>
    </row>
    <row r="19" spans="2:17" x14ac:dyDescent="0.25">
      <c r="B19" s="201">
        <v>6</v>
      </c>
      <c r="C19" s="68">
        <v>2009</v>
      </c>
      <c r="D19" s="62">
        <v>2.52</v>
      </c>
      <c r="E19" s="40">
        <v>3.05</v>
      </c>
      <c r="F19" s="175">
        <f t="shared" si="1"/>
        <v>0.12132352941176457</v>
      </c>
      <c r="G19" s="40"/>
      <c r="H19" s="40"/>
      <c r="I19" s="40"/>
      <c r="J19" s="77">
        <v>10</v>
      </c>
      <c r="K19" s="244">
        <f t="shared" si="0"/>
        <v>0</v>
      </c>
      <c r="L19" s="263">
        <v>0.82699999999999996</v>
      </c>
      <c r="M19" s="175"/>
      <c r="N19" s="50"/>
      <c r="O19" s="73"/>
      <c r="P19" s="73"/>
      <c r="Q19" s="73"/>
    </row>
    <row r="20" spans="2:17" x14ac:dyDescent="0.25">
      <c r="B20" s="201">
        <v>7</v>
      </c>
      <c r="C20" s="68">
        <v>2010</v>
      </c>
      <c r="D20" s="62">
        <v>1.75</v>
      </c>
      <c r="E20" s="40">
        <v>2.4500000000000002</v>
      </c>
      <c r="F20" s="175">
        <f t="shared" si="1"/>
        <v>-0.19672131147540972</v>
      </c>
      <c r="G20" s="40"/>
      <c r="H20" s="40"/>
      <c r="I20" s="40"/>
      <c r="J20" s="77">
        <v>10</v>
      </c>
      <c r="K20" s="244">
        <f t="shared" si="0"/>
        <v>0</v>
      </c>
      <c r="L20" s="263">
        <v>0.71319999999999995</v>
      </c>
      <c r="M20" s="50"/>
      <c r="N20" s="50"/>
      <c r="O20" s="73"/>
      <c r="P20" s="73"/>
      <c r="Q20" s="73"/>
    </row>
    <row r="21" spans="2:17" x14ac:dyDescent="0.25">
      <c r="B21" s="201">
        <v>7</v>
      </c>
      <c r="C21" s="68">
        <v>2011</v>
      </c>
      <c r="D21" s="62">
        <v>3.59</v>
      </c>
      <c r="E21" s="40">
        <v>3.98</v>
      </c>
      <c r="F21" s="175">
        <f t="shared" si="1"/>
        <v>0.62448979591836717</v>
      </c>
      <c r="G21" s="40"/>
      <c r="H21" s="40"/>
      <c r="I21" s="40"/>
      <c r="J21" s="77">
        <v>10</v>
      </c>
      <c r="K21" s="244">
        <f t="shared" si="0"/>
        <v>0</v>
      </c>
      <c r="L21" s="263">
        <v>0.9022</v>
      </c>
      <c r="M21" s="175"/>
      <c r="N21" s="50"/>
      <c r="O21" s="73"/>
      <c r="P21" s="73"/>
      <c r="Q21" s="73"/>
    </row>
    <row r="22" spans="2:17" x14ac:dyDescent="0.25">
      <c r="B22" s="201">
        <v>9</v>
      </c>
      <c r="C22" s="68">
        <v>2012</v>
      </c>
      <c r="D22" s="62">
        <v>2.64</v>
      </c>
      <c r="E22" s="40">
        <v>3.15</v>
      </c>
      <c r="F22" s="175">
        <f t="shared" si="1"/>
        <v>-0.20854271356783921</v>
      </c>
      <c r="G22" s="40"/>
      <c r="H22" s="40"/>
      <c r="I22" s="40"/>
      <c r="J22" s="77">
        <v>10</v>
      </c>
      <c r="K22" s="244">
        <f t="shared" si="0"/>
        <v>0</v>
      </c>
      <c r="L22" s="263">
        <v>0.83860000000000001</v>
      </c>
      <c r="M22" s="50"/>
      <c r="N22" s="50"/>
      <c r="O22" s="73"/>
      <c r="P22" s="73"/>
      <c r="Q22" s="73"/>
    </row>
    <row r="23" spans="2:17" x14ac:dyDescent="0.25">
      <c r="B23" s="201">
        <v>3</v>
      </c>
      <c r="C23" s="68">
        <v>2013</v>
      </c>
      <c r="D23" s="62">
        <v>2.81</v>
      </c>
      <c r="E23" s="40">
        <v>3.29</v>
      </c>
      <c r="F23" s="175">
        <f t="shared" si="1"/>
        <v>4.4444444444444488E-2</v>
      </c>
      <c r="G23" s="40"/>
      <c r="H23" s="40"/>
      <c r="I23" s="40"/>
      <c r="J23" s="77">
        <v>10</v>
      </c>
      <c r="K23" s="244">
        <f t="shared" si="0"/>
        <v>0</v>
      </c>
      <c r="L23" s="263">
        <v>1</v>
      </c>
      <c r="M23" s="175"/>
      <c r="N23" s="390"/>
      <c r="O23" s="73"/>
      <c r="P23" s="73"/>
      <c r="Q23" s="73"/>
    </row>
    <row r="24" spans="2:17" x14ac:dyDescent="0.25">
      <c r="B24" s="201">
        <v>11</v>
      </c>
      <c r="C24" s="68">
        <v>2014</v>
      </c>
      <c r="D24" s="62">
        <v>3.09</v>
      </c>
      <c r="E24" s="40">
        <v>3.53</v>
      </c>
      <c r="F24" s="175">
        <f t="shared" si="1"/>
        <v>7.2948328267477131E-2</v>
      </c>
      <c r="G24" s="40"/>
      <c r="H24" s="40"/>
      <c r="I24" s="40"/>
      <c r="J24" s="77">
        <v>10</v>
      </c>
      <c r="K24" s="244">
        <f t="shared" si="0"/>
        <v>0</v>
      </c>
      <c r="L24" s="263">
        <v>1</v>
      </c>
      <c r="M24" s="402"/>
      <c r="N24" s="390"/>
      <c r="O24" s="73"/>
      <c r="P24" s="73"/>
      <c r="Q24" s="73"/>
    </row>
    <row r="25" spans="2:17" x14ac:dyDescent="0.25">
      <c r="B25" s="201">
        <v>7</v>
      </c>
      <c r="C25" s="68">
        <v>2015</v>
      </c>
      <c r="D25" s="62">
        <v>3.23</v>
      </c>
      <c r="E25" s="40">
        <v>3.65</v>
      </c>
      <c r="F25" s="175">
        <f t="shared" si="1"/>
        <v>3.3994334277620428E-2</v>
      </c>
      <c r="G25" s="40"/>
      <c r="H25" s="40"/>
      <c r="I25" s="40"/>
      <c r="J25" s="77">
        <v>10</v>
      </c>
      <c r="K25" s="244">
        <f t="shared" si="0"/>
        <v>0</v>
      </c>
      <c r="L25" s="263">
        <v>1</v>
      </c>
      <c r="M25" s="402"/>
      <c r="N25" s="390"/>
      <c r="O25" s="73"/>
      <c r="P25" s="73"/>
      <c r="Q25" s="73"/>
    </row>
    <row r="26" spans="2:17" x14ac:dyDescent="0.25">
      <c r="B26" s="201">
        <v>12</v>
      </c>
      <c r="C26" s="68">
        <v>2016</v>
      </c>
      <c r="D26" s="62">
        <v>4.13</v>
      </c>
      <c r="E26" s="40">
        <v>4.13</v>
      </c>
      <c r="F26" s="175">
        <f t="shared" si="1"/>
        <v>0.13150684931506848</v>
      </c>
      <c r="G26" s="258"/>
      <c r="H26" s="258"/>
      <c r="I26" s="258"/>
      <c r="J26" s="77">
        <v>10</v>
      </c>
      <c r="K26" s="244">
        <f t="shared" si="0"/>
        <v>0</v>
      </c>
      <c r="L26" s="273">
        <f>AVERAGE(L13:L25)</f>
        <v>0.91871538461538449</v>
      </c>
      <c r="M26" s="402"/>
      <c r="N26" s="390" t="e">
        <f>(H26-H25)/H25</f>
        <v>#DIV/0!</v>
      </c>
      <c r="O26" s="73"/>
      <c r="P26" s="73"/>
      <c r="Q26" s="73"/>
    </row>
    <row r="27" spans="2:17" x14ac:dyDescent="0.25">
      <c r="B27" s="201"/>
      <c r="C27" s="68">
        <v>2017</v>
      </c>
      <c r="D27" s="62"/>
      <c r="E27" s="40">
        <v>10</v>
      </c>
      <c r="F27" s="175">
        <f t="shared" si="1"/>
        <v>1.4213075060532687</v>
      </c>
      <c r="G27" s="258"/>
      <c r="H27" s="258">
        <f>E27</f>
        <v>10</v>
      </c>
      <c r="I27" s="258">
        <f>E27</f>
        <v>10</v>
      </c>
      <c r="J27" s="77">
        <v>10</v>
      </c>
      <c r="K27" s="244">
        <f t="shared" si="0"/>
        <v>0</v>
      </c>
      <c r="L27" s="263"/>
      <c r="M27" s="402" t="e">
        <f>(G27-G26)/G26</f>
        <v>#DIV/0!</v>
      </c>
      <c r="N27" s="390" t="e">
        <f>(H27-H26)/H26</f>
        <v>#DIV/0!</v>
      </c>
      <c r="O27" s="73"/>
      <c r="P27" s="73"/>
      <c r="Q27" s="73"/>
    </row>
    <row r="28" spans="2:17" x14ac:dyDescent="0.25">
      <c r="B28" s="202"/>
      <c r="C28" s="69">
        <v>2018</v>
      </c>
      <c r="D28" s="109"/>
      <c r="E28" s="55"/>
      <c r="F28" s="187"/>
      <c r="G28" s="374"/>
      <c r="H28" s="375"/>
      <c r="I28" s="393">
        <f t="shared" ref="I28:I37" si="2">1.045*I27</f>
        <v>10.45</v>
      </c>
      <c r="J28" s="77">
        <v>10</v>
      </c>
      <c r="K28" s="244">
        <f t="shared" si="0"/>
        <v>0</v>
      </c>
      <c r="L28" s="263"/>
      <c r="M28" s="402" t="e">
        <f t="shared" ref="M28:M35" si="3">(G28-G27)/G27</f>
        <v>#DIV/0!</v>
      </c>
      <c r="N28" s="390">
        <f>(H28-H27)/H27</f>
        <v>-1</v>
      </c>
      <c r="O28" s="73"/>
      <c r="P28" s="73"/>
      <c r="Q28" s="73"/>
    </row>
    <row r="29" spans="2:17" x14ac:dyDescent="0.25">
      <c r="B29" s="202"/>
      <c r="C29" s="69">
        <v>2019</v>
      </c>
      <c r="D29" s="109"/>
      <c r="E29" s="55"/>
      <c r="F29" s="187"/>
      <c r="G29" s="374"/>
      <c r="H29" s="375"/>
      <c r="I29" s="393">
        <f t="shared" si="2"/>
        <v>10.920249999999999</v>
      </c>
      <c r="J29" s="77">
        <v>10</v>
      </c>
      <c r="K29" s="244">
        <f t="shared" si="0"/>
        <v>0</v>
      </c>
      <c r="L29" s="263"/>
      <c r="M29" s="402" t="e">
        <f t="shared" si="3"/>
        <v>#DIV/0!</v>
      </c>
      <c r="N29" s="390" t="e">
        <f>(H29-H28)/H28</f>
        <v>#DIV/0!</v>
      </c>
      <c r="O29" s="73"/>
      <c r="P29" s="73"/>
      <c r="Q29" s="73"/>
    </row>
    <row r="30" spans="2:17" x14ac:dyDescent="0.25">
      <c r="B30" s="202"/>
      <c r="C30" s="69">
        <v>2020</v>
      </c>
      <c r="D30" s="109"/>
      <c r="E30" s="55"/>
      <c r="F30" s="187"/>
      <c r="G30" s="374"/>
      <c r="H30" s="375"/>
      <c r="I30" s="393">
        <f t="shared" si="2"/>
        <v>11.411661249999998</v>
      </c>
      <c r="J30" s="77">
        <v>10</v>
      </c>
      <c r="K30" s="244">
        <f t="shared" si="0"/>
        <v>0</v>
      </c>
      <c r="L30" s="263"/>
      <c r="M30" s="402" t="e">
        <f t="shared" si="3"/>
        <v>#DIV/0!</v>
      </c>
      <c r="N30" s="390" t="e">
        <f>(H30-H29)/H29</f>
        <v>#DIV/0!</v>
      </c>
      <c r="O30" s="73"/>
      <c r="P30" s="73"/>
      <c r="Q30" s="73"/>
    </row>
    <row r="31" spans="2:17" x14ac:dyDescent="0.25">
      <c r="B31" s="202"/>
      <c r="C31" s="69">
        <v>2021</v>
      </c>
      <c r="D31" s="109"/>
      <c r="E31" s="55"/>
      <c r="F31" s="187"/>
      <c r="G31" s="374"/>
      <c r="H31" s="375"/>
      <c r="I31" s="393">
        <f t="shared" si="2"/>
        <v>11.925186006249998</v>
      </c>
      <c r="J31" s="77">
        <v>10</v>
      </c>
      <c r="K31" s="244">
        <f t="shared" si="0"/>
        <v>0</v>
      </c>
      <c r="L31" s="263"/>
      <c r="M31" s="402" t="e">
        <f t="shared" si="3"/>
        <v>#DIV/0!</v>
      </c>
      <c r="N31" s="390"/>
      <c r="O31" s="73"/>
      <c r="P31" s="73"/>
      <c r="Q31" s="73"/>
    </row>
    <row r="32" spans="2:17" x14ac:dyDescent="0.25">
      <c r="B32" s="202"/>
      <c r="C32" s="69">
        <v>2022</v>
      </c>
      <c r="D32" s="109"/>
      <c r="E32" s="55"/>
      <c r="F32" s="187"/>
      <c r="G32" s="374"/>
      <c r="H32" s="375"/>
      <c r="I32" s="393">
        <f t="shared" si="2"/>
        <v>12.461819376531247</v>
      </c>
      <c r="J32" s="77">
        <v>10</v>
      </c>
      <c r="K32" s="244">
        <f t="shared" si="0"/>
        <v>0</v>
      </c>
      <c r="L32" s="262"/>
      <c r="M32" s="402" t="e">
        <f t="shared" si="3"/>
        <v>#DIV/0!</v>
      </c>
      <c r="N32" s="390"/>
      <c r="O32" s="73"/>
      <c r="P32" s="73"/>
      <c r="Q32" s="73"/>
    </row>
    <row r="33" spans="2:17" x14ac:dyDescent="0.25">
      <c r="B33" s="202"/>
      <c r="C33" s="69">
        <v>2023</v>
      </c>
      <c r="D33" s="109"/>
      <c r="E33" s="55"/>
      <c r="F33" s="187"/>
      <c r="G33" s="374"/>
      <c r="H33" s="375"/>
      <c r="I33" s="393">
        <f t="shared" si="2"/>
        <v>13.022601248475153</v>
      </c>
      <c r="J33" s="77">
        <v>10</v>
      </c>
      <c r="K33" s="244">
        <f t="shared" si="0"/>
        <v>0</v>
      </c>
      <c r="L33" s="263"/>
      <c r="M33" s="402" t="e">
        <f t="shared" si="3"/>
        <v>#DIV/0!</v>
      </c>
      <c r="N33" s="50"/>
      <c r="O33" s="73"/>
      <c r="P33" s="73"/>
      <c r="Q33" s="73"/>
    </row>
    <row r="34" spans="2:17" x14ac:dyDescent="0.25">
      <c r="B34" s="202"/>
      <c r="C34" s="69">
        <v>2024</v>
      </c>
      <c r="D34" s="109"/>
      <c r="E34" s="55"/>
      <c r="F34" s="187"/>
      <c r="G34" s="374"/>
      <c r="H34" s="375"/>
      <c r="I34" s="393">
        <f t="shared" si="2"/>
        <v>13.608618304656535</v>
      </c>
      <c r="J34" s="77">
        <v>10</v>
      </c>
      <c r="K34" s="244">
        <f t="shared" si="0"/>
        <v>0</v>
      </c>
      <c r="L34" s="263"/>
      <c r="M34" s="402" t="e">
        <f t="shared" si="3"/>
        <v>#DIV/0!</v>
      </c>
      <c r="N34" s="43"/>
      <c r="O34" s="73"/>
      <c r="P34" s="73"/>
      <c r="Q34" s="73"/>
    </row>
    <row r="35" spans="2:17" x14ac:dyDescent="0.25">
      <c r="B35" s="202"/>
      <c r="C35" s="69">
        <v>2025</v>
      </c>
      <c r="D35" s="109"/>
      <c r="E35" s="120"/>
      <c r="F35" s="187"/>
      <c r="G35" s="374"/>
      <c r="H35" s="375"/>
      <c r="I35" s="393">
        <f t="shared" si="2"/>
        <v>14.221006128366078</v>
      </c>
      <c r="J35" s="77">
        <v>10</v>
      </c>
      <c r="K35" s="244">
        <f t="shared" si="0"/>
        <v>0</v>
      </c>
      <c r="L35" s="263"/>
      <c r="M35" s="402" t="e">
        <f t="shared" si="3"/>
        <v>#DIV/0!</v>
      </c>
      <c r="N35" s="43"/>
      <c r="O35" s="73"/>
      <c r="P35" s="73"/>
      <c r="Q35" s="73"/>
    </row>
    <row r="36" spans="2:17" x14ac:dyDescent="0.25">
      <c r="B36" s="202"/>
      <c r="C36" s="69">
        <v>2026</v>
      </c>
      <c r="D36" s="109"/>
      <c r="E36" s="120"/>
      <c r="F36" s="187"/>
      <c r="G36" s="374"/>
      <c r="H36" s="375"/>
      <c r="I36" s="393">
        <f t="shared" si="2"/>
        <v>14.860951404142551</v>
      </c>
      <c r="J36" s="77">
        <v>10</v>
      </c>
      <c r="K36" s="244">
        <f t="shared" si="0"/>
        <v>0</v>
      </c>
      <c r="L36" s="132"/>
      <c r="M36" s="404" t="e">
        <f>AVERAGE(M27:M35)</f>
        <v>#DIV/0!</v>
      </c>
      <c r="N36" s="414" t="e">
        <f>AVERAGE(N27:N30)</f>
        <v>#DIV/0!</v>
      </c>
      <c r="O36" s="75"/>
      <c r="P36" s="75"/>
    </row>
    <row r="37" spans="2:17" ht="15.75" thickBot="1" x14ac:dyDescent="0.3">
      <c r="B37" s="203"/>
      <c r="C37" s="252">
        <v>2027</v>
      </c>
      <c r="D37" s="247"/>
      <c r="E37" s="256"/>
      <c r="F37" s="253"/>
      <c r="G37" s="376"/>
      <c r="H37" s="377"/>
      <c r="I37" s="396">
        <f t="shared" si="2"/>
        <v>15.529694217328965</v>
      </c>
      <c r="J37" s="180">
        <v>10</v>
      </c>
      <c r="K37" s="248">
        <f t="shared" si="0"/>
        <v>0</v>
      </c>
      <c r="L37" s="10"/>
      <c r="M37" s="5"/>
      <c r="N37" s="5"/>
    </row>
    <row r="38" spans="2:17" x14ac:dyDescent="0.25">
      <c r="F38" s="415">
        <f>AVERAGE(F8:F27)</f>
        <v>0.14126253253224727</v>
      </c>
      <c r="L38" s="10"/>
      <c r="M38" s="5"/>
      <c r="N38" s="5"/>
    </row>
    <row r="39" spans="2:17" x14ac:dyDescent="0.25">
      <c r="L39" s="10"/>
      <c r="M39" s="5"/>
      <c r="N39" s="5"/>
    </row>
    <row r="40" spans="2:17" x14ac:dyDescent="0.25">
      <c r="L40" s="10"/>
      <c r="M40" s="5"/>
      <c r="N40" s="5"/>
    </row>
    <row r="41" spans="2:17" x14ac:dyDescent="0.25">
      <c r="C41" s="1180" t="s">
        <v>215</v>
      </c>
      <c r="D41" s="1180"/>
      <c r="E41" s="1180"/>
      <c r="F41" s="1180"/>
      <c r="G41" s="1180"/>
      <c r="H41" s="1180"/>
      <c r="I41" s="1180"/>
      <c r="J41" s="1180"/>
      <c r="K41" s="1180"/>
      <c r="L41" s="1180"/>
      <c r="M41" s="5"/>
      <c r="N41" s="5"/>
    </row>
    <row r="42" spans="2:17" x14ac:dyDescent="0.25">
      <c r="C42" s="1180"/>
      <c r="D42" s="1180"/>
      <c r="E42" s="1180"/>
      <c r="F42" s="1180"/>
      <c r="G42" s="1180"/>
      <c r="H42" s="1180"/>
      <c r="I42" s="1180"/>
      <c r="J42" s="1180"/>
      <c r="K42" s="1180"/>
      <c r="L42" s="1180"/>
      <c r="M42" s="5"/>
      <c r="N42" s="5"/>
    </row>
    <row r="43" spans="2:17" x14ac:dyDescent="0.25">
      <c r="C43" s="1180"/>
      <c r="D43" s="1180"/>
      <c r="E43" s="1180"/>
      <c r="F43" s="1180"/>
      <c r="G43" s="1180"/>
      <c r="H43" s="1180"/>
      <c r="I43" s="1180"/>
      <c r="J43" s="1180"/>
      <c r="K43" s="1180"/>
      <c r="L43" s="1180"/>
      <c r="M43" s="5"/>
      <c r="N43" s="5"/>
    </row>
    <row r="44" spans="2:17" x14ac:dyDescent="0.25">
      <c r="L44" s="10"/>
      <c r="M44" s="5"/>
      <c r="N44" s="5"/>
    </row>
    <row r="45" spans="2:17" ht="15.75" thickBot="1" x14ac:dyDescent="0.3">
      <c r="L45" s="10"/>
      <c r="M45" s="5"/>
      <c r="N45" s="5"/>
    </row>
    <row r="46" spans="2:17" ht="20.100000000000001" customHeight="1" thickBot="1" x14ac:dyDescent="0.3">
      <c r="C46" s="1037" t="s">
        <v>225</v>
      </c>
      <c r="D46" s="1038"/>
      <c r="E46" s="1038"/>
      <c r="F46" s="1038"/>
      <c r="G46" s="1038"/>
      <c r="H46" s="1038"/>
      <c r="I46" s="1038"/>
      <c r="J46" s="1038"/>
      <c r="K46" s="1039"/>
      <c r="L46" s="10"/>
      <c r="M46" s="5"/>
      <c r="N46" s="5"/>
    </row>
    <row r="47" spans="2:17" ht="15.95" customHeight="1" thickBot="1" x14ac:dyDescent="0.3">
      <c r="C47" s="1201" t="s">
        <v>309</v>
      </c>
      <c r="D47" s="1202"/>
      <c r="E47" s="1202"/>
      <c r="F47" s="1202"/>
      <c r="G47" s="1202"/>
      <c r="H47" s="1202"/>
      <c r="I47" s="1202"/>
      <c r="J47" s="1202"/>
      <c r="K47" s="1203"/>
      <c r="L47" s="10"/>
      <c r="M47" s="5"/>
      <c r="N47" s="5"/>
    </row>
    <row r="48" spans="2:17" ht="15.95" customHeight="1" thickBot="1" x14ac:dyDescent="0.3">
      <c r="B48" s="1051" t="s">
        <v>26</v>
      </c>
      <c r="C48" s="1043" t="s">
        <v>35</v>
      </c>
      <c r="D48" s="1045" t="s">
        <v>110</v>
      </c>
      <c r="E48" s="1046"/>
      <c r="F48" s="1047"/>
      <c r="G48" s="1045" t="s">
        <v>74</v>
      </c>
      <c r="H48" s="1047"/>
      <c r="I48" s="1043" t="s">
        <v>180</v>
      </c>
      <c r="J48" s="1043" t="s">
        <v>268</v>
      </c>
      <c r="K48" s="1049" t="s">
        <v>269</v>
      </c>
      <c r="L48" s="10"/>
      <c r="M48" s="5"/>
      <c r="N48" s="5"/>
    </row>
    <row r="49" spans="2:14" ht="35.1" customHeight="1" thickBot="1" x14ac:dyDescent="0.3">
      <c r="B49" s="1051"/>
      <c r="C49" s="1044"/>
      <c r="D49" s="541" t="s">
        <v>174</v>
      </c>
      <c r="E49" s="541" t="s">
        <v>122</v>
      </c>
      <c r="F49" s="541" t="s">
        <v>81</v>
      </c>
      <c r="G49" s="537" t="s">
        <v>170</v>
      </c>
      <c r="H49" s="538" t="s">
        <v>270</v>
      </c>
      <c r="I49" s="1044"/>
      <c r="J49" s="1044"/>
      <c r="K49" s="1175"/>
      <c r="L49" s="10"/>
      <c r="M49" s="5"/>
      <c r="N49" s="5"/>
    </row>
    <row r="50" spans="2:14" ht="15" customHeight="1" x14ac:dyDescent="0.25">
      <c r="B50" s="68">
        <v>1997</v>
      </c>
      <c r="C50" s="781">
        <v>1997</v>
      </c>
      <c r="D50" s="648">
        <v>2.11</v>
      </c>
      <c r="E50" s="657">
        <v>2.296685170765199</v>
      </c>
      <c r="F50" s="731"/>
      <c r="G50" s="657"/>
      <c r="H50" s="657"/>
      <c r="I50" s="579">
        <f>1*10</f>
        <v>10</v>
      </c>
      <c r="J50" s="579">
        <f>I50-10</f>
        <v>0</v>
      </c>
      <c r="K50" s="679">
        <f>E50/I50</f>
        <v>0.22966851707651989</v>
      </c>
      <c r="L50" s="10"/>
      <c r="M50" s="5"/>
      <c r="N50" s="5"/>
    </row>
    <row r="51" spans="2:14" ht="15" customHeight="1" x14ac:dyDescent="0.25">
      <c r="B51" s="68">
        <v>1998</v>
      </c>
      <c r="C51" s="780">
        <v>1998</v>
      </c>
      <c r="D51" s="650">
        <v>2.25</v>
      </c>
      <c r="E51" s="658">
        <v>2.4490718645600467</v>
      </c>
      <c r="F51" s="729">
        <f>(E51-E50)/E50</f>
        <v>6.6350710900474105E-2</v>
      </c>
      <c r="G51" s="658"/>
      <c r="H51" s="658"/>
      <c r="I51" s="581">
        <f t="shared" ref="I51:I80" si="4">1*10</f>
        <v>10</v>
      </c>
      <c r="J51" s="581">
        <f t="shared" ref="J51:J80" si="5">I51-10</f>
        <v>0</v>
      </c>
      <c r="K51" s="680">
        <f t="shared" ref="K51:K67" si="6">E51/I51</f>
        <v>0.24490718645600468</v>
      </c>
      <c r="L51" s="10"/>
      <c r="M51" s="5"/>
      <c r="N51" s="5"/>
    </row>
    <row r="52" spans="2:14" ht="15" customHeight="1" x14ac:dyDescent="0.25">
      <c r="B52" s="68">
        <v>1999</v>
      </c>
      <c r="C52" s="780">
        <v>1999</v>
      </c>
      <c r="D52" s="650">
        <v>2.34</v>
      </c>
      <c r="E52" s="658">
        <v>2.5470347391424482</v>
      </c>
      <c r="F52" s="729">
        <f t="shared" ref="F52:F70" si="7">(E52-E51)/E51</f>
        <v>3.9999999999999848E-2</v>
      </c>
      <c r="G52" s="658"/>
      <c r="H52" s="658"/>
      <c r="I52" s="581">
        <f t="shared" si="4"/>
        <v>10</v>
      </c>
      <c r="J52" s="581">
        <f t="shared" si="5"/>
        <v>0</v>
      </c>
      <c r="K52" s="680">
        <f t="shared" si="6"/>
        <v>0.2547034739142448</v>
      </c>
      <c r="L52" s="10"/>
      <c r="M52" s="5"/>
      <c r="N52" s="5"/>
    </row>
    <row r="53" spans="2:14" ht="15" customHeight="1" x14ac:dyDescent="0.25">
      <c r="B53" s="68">
        <v>2000</v>
      </c>
      <c r="C53" s="780">
        <v>2000</v>
      </c>
      <c r="D53" s="650">
        <v>2.9</v>
      </c>
      <c r="E53" s="658">
        <v>3.1565815143218376</v>
      </c>
      <c r="F53" s="729">
        <f t="shared" si="7"/>
        <v>0.23931623931623938</v>
      </c>
      <c r="G53" s="658"/>
      <c r="H53" s="658"/>
      <c r="I53" s="581">
        <f t="shared" si="4"/>
        <v>10</v>
      </c>
      <c r="J53" s="581">
        <f t="shared" si="5"/>
        <v>0</v>
      </c>
      <c r="K53" s="680">
        <f t="shared" si="6"/>
        <v>0.31565815143218379</v>
      </c>
      <c r="L53" s="10"/>
      <c r="M53" s="5"/>
      <c r="N53" s="5"/>
    </row>
    <row r="54" spans="2:14" ht="15" customHeight="1" x14ac:dyDescent="0.25">
      <c r="B54" s="68">
        <v>2001</v>
      </c>
      <c r="C54" s="780">
        <v>2001</v>
      </c>
      <c r="D54" s="650">
        <v>2.93</v>
      </c>
      <c r="E54" s="658">
        <v>3.1892358058493051</v>
      </c>
      <c r="F54" s="729">
        <f t="shared" si="7"/>
        <v>1.0344827586206952E-2</v>
      </c>
      <c r="G54" s="658"/>
      <c r="H54" s="658"/>
      <c r="I54" s="581">
        <f t="shared" si="4"/>
        <v>10</v>
      </c>
      <c r="J54" s="581">
        <f t="shared" si="5"/>
        <v>0</v>
      </c>
      <c r="K54" s="680">
        <f t="shared" si="6"/>
        <v>0.31892358058493053</v>
      </c>
      <c r="L54" s="10"/>
      <c r="M54" s="5"/>
      <c r="N54" s="5"/>
    </row>
    <row r="55" spans="2:14" ht="15" customHeight="1" x14ac:dyDescent="0.25">
      <c r="B55" s="68">
        <v>2002</v>
      </c>
      <c r="C55" s="780">
        <v>2002</v>
      </c>
      <c r="D55" s="650">
        <v>2.67</v>
      </c>
      <c r="E55" s="658">
        <v>2.9062319459445884</v>
      </c>
      <c r="F55" s="729">
        <f t="shared" si="7"/>
        <v>-8.8737201365187771E-2</v>
      </c>
      <c r="G55" s="658"/>
      <c r="H55" s="658"/>
      <c r="I55" s="581">
        <f t="shared" si="4"/>
        <v>10</v>
      </c>
      <c r="J55" s="581">
        <f t="shared" si="5"/>
        <v>0</v>
      </c>
      <c r="K55" s="680">
        <f t="shared" si="6"/>
        <v>0.29062319459445884</v>
      </c>
      <c r="L55" s="10"/>
      <c r="M55" s="5"/>
      <c r="N55" s="5"/>
    </row>
    <row r="56" spans="2:14" ht="15" customHeight="1" x14ac:dyDescent="0.25">
      <c r="B56" s="68">
        <v>2003</v>
      </c>
      <c r="C56" s="580">
        <v>37652.90625</v>
      </c>
      <c r="D56" s="650">
        <v>2.0699999999999998</v>
      </c>
      <c r="E56" s="658">
        <v>2.33</v>
      </c>
      <c r="F56" s="729">
        <f t="shared" si="7"/>
        <v>-0.19827458945548837</v>
      </c>
      <c r="G56" s="658"/>
      <c r="H56" s="658"/>
      <c r="I56" s="581">
        <f t="shared" si="4"/>
        <v>10</v>
      </c>
      <c r="J56" s="581">
        <f t="shared" si="5"/>
        <v>0</v>
      </c>
      <c r="K56" s="680">
        <f t="shared" si="6"/>
        <v>0.23300000000000001</v>
      </c>
      <c r="L56" s="10"/>
      <c r="M56" s="5"/>
      <c r="N56" s="5"/>
    </row>
    <row r="57" spans="2:14" ht="15" customHeight="1" x14ac:dyDescent="0.25">
      <c r="B57" s="68">
        <v>2004</v>
      </c>
      <c r="C57" s="580">
        <v>38344.90625</v>
      </c>
      <c r="D57" s="650">
        <v>2.0299999999999998</v>
      </c>
      <c r="E57" s="658">
        <v>2.23</v>
      </c>
      <c r="F57" s="729">
        <f t="shared" si="7"/>
        <v>-4.2918454935622352E-2</v>
      </c>
      <c r="G57" s="658"/>
      <c r="H57" s="658"/>
      <c r="I57" s="581">
        <f t="shared" si="4"/>
        <v>10</v>
      </c>
      <c r="J57" s="581">
        <f t="shared" si="5"/>
        <v>0</v>
      </c>
      <c r="K57" s="680">
        <f t="shared" si="6"/>
        <v>0.223</v>
      </c>
      <c r="L57" s="10"/>
      <c r="M57" s="5"/>
      <c r="N57" s="5"/>
    </row>
    <row r="58" spans="2:14" ht="15" customHeight="1" x14ac:dyDescent="0.25">
      <c r="B58" s="68">
        <v>2005</v>
      </c>
      <c r="C58" s="580">
        <v>38609.885416666664</v>
      </c>
      <c r="D58" s="650">
        <v>2.29</v>
      </c>
      <c r="E58" s="658">
        <v>2.36</v>
      </c>
      <c r="F58" s="729">
        <f t="shared" si="7"/>
        <v>5.8295964125560491E-2</v>
      </c>
      <c r="G58" s="658"/>
      <c r="H58" s="658"/>
      <c r="I58" s="581">
        <f t="shared" si="4"/>
        <v>10</v>
      </c>
      <c r="J58" s="581">
        <f t="shared" si="5"/>
        <v>0</v>
      </c>
      <c r="K58" s="680">
        <f t="shared" si="6"/>
        <v>0.23599999999999999</v>
      </c>
    </row>
    <row r="59" spans="2:14" ht="15" customHeight="1" x14ac:dyDescent="0.25">
      <c r="B59" s="68">
        <v>2006</v>
      </c>
      <c r="C59" s="580">
        <v>38945.822916666664</v>
      </c>
      <c r="D59" s="650">
        <v>2.36</v>
      </c>
      <c r="E59" s="658">
        <v>2.44</v>
      </c>
      <c r="F59" s="729">
        <f t="shared" si="7"/>
        <v>3.3898305084745797E-2</v>
      </c>
      <c r="G59" s="658"/>
      <c r="H59" s="658"/>
      <c r="I59" s="581">
        <f t="shared" si="4"/>
        <v>10</v>
      </c>
      <c r="J59" s="581">
        <f t="shared" si="5"/>
        <v>0</v>
      </c>
      <c r="K59" s="680">
        <f t="shared" si="6"/>
        <v>0.24399999999999999</v>
      </c>
    </row>
    <row r="60" spans="2:14" ht="15" customHeight="1" x14ac:dyDescent="0.25">
      <c r="B60" s="68">
        <v>2007</v>
      </c>
      <c r="C60" s="580">
        <v>39252.9375</v>
      </c>
      <c r="D60" s="650">
        <v>1.27</v>
      </c>
      <c r="E60" s="658">
        <v>1.27</v>
      </c>
      <c r="F60" s="729">
        <f t="shared" si="7"/>
        <v>-0.47950819672131145</v>
      </c>
      <c r="G60" s="658"/>
      <c r="H60" s="658"/>
      <c r="I60" s="581">
        <f t="shared" si="4"/>
        <v>10</v>
      </c>
      <c r="J60" s="581">
        <f t="shared" si="5"/>
        <v>0</v>
      </c>
      <c r="K60" s="680">
        <f t="shared" si="6"/>
        <v>0.127</v>
      </c>
    </row>
    <row r="61" spans="2:14" ht="15" customHeight="1" x14ac:dyDescent="0.25">
      <c r="B61" s="68">
        <v>2008</v>
      </c>
      <c r="C61" s="580">
        <v>39772.9375</v>
      </c>
      <c r="D61" s="650">
        <v>2.54</v>
      </c>
      <c r="E61" s="658">
        <v>2.72</v>
      </c>
      <c r="F61" s="729">
        <f t="shared" si="7"/>
        <v>1.1417322834645671</v>
      </c>
      <c r="G61" s="658"/>
      <c r="H61" s="658"/>
      <c r="I61" s="581">
        <f t="shared" si="4"/>
        <v>10</v>
      </c>
      <c r="J61" s="581">
        <f t="shared" si="5"/>
        <v>0</v>
      </c>
      <c r="K61" s="680">
        <f t="shared" si="6"/>
        <v>0.27200000000000002</v>
      </c>
    </row>
    <row r="62" spans="2:14" ht="15" customHeight="1" x14ac:dyDescent="0.25">
      <c r="B62" s="68">
        <v>2009</v>
      </c>
      <c r="C62" s="580">
        <v>39975.875</v>
      </c>
      <c r="D62" s="650">
        <v>2.52</v>
      </c>
      <c r="E62" s="658">
        <v>3.05</v>
      </c>
      <c r="F62" s="729">
        <f t="shared" si="7"/>
        <v>0.12132352941176457</v>
      </c>
      <c r="G62" s="658"/>
      <c r="H62" s="658"/>
      <c r="I62" s="581">
        <f t="shared" si="4"/>
        <v>10</v>
      </c>
      <c r="J62" s="581">
        <f t="shared" si="5"/>
        <v>0</v>
      </c>
      <c r="K62" s="680">
        <f t="shared" si="6"/>
        <v>0.30499999999999999</v>
      </c>
    </row>
    <row r="63" spans="2:14" ht="15" customHeight="1" x14ac:dyDescent="0.25">
      <c r="B63" s="68">
        <v>2010</v>
      </c>
      <c r="C63" s="580">
        <v>40376.854166666664</v>
      </c>
      <c r="D63" s="650">
        <v>1.75</v>
      </c>
      <c r="E63" s="658">
        <v>2.4500000000000002</v>
      </c>
      <c r="F63" s="729">
        <f t="shared" si="7"/>
        <v>-0.19672131147540972</v>
      </c>
      <c r="G63" s="659"/>
      <c r="H63" s="658"/>
      <c r="I63" s="581">
        <f t="shared" si="4"/>
        <v>10</v>
      </c>
      <c r="J63" s="581">
        <f t="shared" si="5"/>
        <v>0</v>
      </c>
      <c r="K63" s="680">
        <f t="shared" si="6"/>
        <v>0.24500000000000002</v>
      </c>
    </row>
    <row r="64" spans="2:14" ht="15" customHeight="1" x14ac:dyDescent="0.25">
      <c r="B64" s="68">
        <v>2011</v>
      </c>
      <c r="C64" s="580">
        <v>40730.885416666664</v>
      </c>
      <c r="D64" s="650">
        <v>3.59</v>
      </c>
      <c r="E64" s="658">
        <v>3.98</v>
      </c>
      <c r="F64" s="729">
        <f t="shared" si="7"/>
        <v>0.62448979591836717</v>
      </c>
      <c r="G64" s="659"/>
      <c r="H64" s="658"/>
      <c r="I64" s="581">
        <f t="shared" si="4"/>
        <v>10</v>
      </c>
      <c r="J64" s="581">
        <f t="shared" si="5"/>
        <v>0</v>
      </c>
      <c r="K64" s="680">
        <f t="shared" si="6"/>
        <v>0.39800000000000002</v>
      </c>
    </row>
    <row r="65" spans="2:13" ht="15" customHeight="1" x14ac:dyDescent="0.25">
      <c r="B65" s="68">
        <v>2012</v>
      </c>
      <c r="C65" s="580">
        <v>41172.833333333336</v>
      </c>
      <c r="D65" s="650">
        <v>2.64</v>
      </c>
      <c r="E65" s="658">
        <v>3.15</v>
      </c>
      <c r="F65" s="729">
        <f t="shared" si="7"/>
        <v>-0.20854271356783921</v>
      </c>
      <c r="G65" s="658"/>
      <c r="H65" s="658"/>
      <c r="I65" s="581">
        <f t="shared" si="4"/>
        <v>10</v>
      </c>
      <c r="J65" s="581">
        <f t="shared" si="5"/>
        <v>0</v>
      </c>
      <c r="K65" s="680">
        <f t="shared" si="6"/>
        <v>0.315</v>
      </c>
    </row>
    <row r="66" spans="2:13" ht="15" customHeight="1" x14ac:dyDescent="0.25">
      <c r="B66" s="68">
        <v>2013</v>
      </c>
      <c r="C66" s="580">
        <v>41360.875</v>
      </c>
      <c r="D66" s="650">
        <v>2.81</v>
      </c>
      <c r="E66" s="658">
        <v>3.29</v>
      </c>
      <c r="F66" s="729">
        <f t="shared" si="7"/>
        <v>4.4444444444444488E-2</v>
      </c>
      <c r="G66" s="658"/>
      <c r="H66" s="658"/>
      <c r="I66" s="581">
        <f t="shared" si="4"/>
        <v>10</v>
      </c>
      <c r="J66" s="581">
        <f t="shared" si="5"/>
        <v>0</v>
      </c>
      <c r="K66" s="680">
        <f t="shared" si="6"/>
        <v>0.32900000000000001</v>
      </c>
    </row>
    <row r="67" spans="2:13" ht="15" customHeight="1" x14ac:dyDescent="0.25">
      <c r="B67" s="68">
        <v>2014</v>
      </c>
      <c r="C67" s="580">
        <v>41961.895833333336</v>
      </c>
      <c r="D67" s="650">
        <v>3.09</v>
      </c>
      <c r="E67" s="658">
        <v>3.53</v>
      </c>
      <c r="F67" s="729">
        <f t="shared" si="7"/>
        <v>7.2948328267477131E-2</v>
      </c>
      <c r="G67" s="658"/>
      <c r="H67" s="658"/>
      <c r="I67" s="581">
        <f t="shared" si="4"/>
        <v>10</v>
      </c>
      <c r="J67" s="581">
        <f t="shared" si="5"/>
        <v>0</v>
      </c>
      <c r="K67" s="680">
        <f t="shared" si="6"/>
        <v>0.35299999999999998</v>
      </c>
    </row>
    <row r="68" spans="2:13" ht="15" customHeight="1" x14ac:dyDescent="0.25">
      <c r="B68" s="68">
        <v>2015</v>
      </c>
      <c r="C68" s="580">
        <v>42201.854166666664</v>
      </c>
      <c r="D68" s="650">
        <v>3.23</v>
      </c>
      <c r="E68" s="658">
        <v>3.65</v>
      </c>
      <c r="F68" s="729">
        <f t="shared" si="7"/>
        <v>3.3994334277620428E-2</v>
      </c>
      <c r="G68" s="658"/>
      <c r="H68" s="658"/>
      <c r="I68" s="581">
        <f t="shared" si="4"/>
        <v>10</v>
      </c>
      <c r="J68" s="581">
        <f t="shared" si="5"/>
        <v>0</v>
      </c>
      <c r="K68" s="680">
        <f>E68/I68</f>
        <v>0.36499999999999999</v>
      </c>
    </row>
    <row r="69" spans="2:13" ht="15" customHeight="1" x14ac:dyDescent="0.25">
      <c r="B69" s="68">
        <v>2016</v>
      </c>
      <c r="C69" s="580">
        <v>42716.916666666664</v>
      </c>
      <c r="D69" s="650">
        <v>4.13</v>
      </c>
      <c r="E69" s="658">
        <v>4.13</v>
      </c>
      <c r="F69" s="729">
        <f t="shared" si="7"/>
        <v>0.13150684931506848</v>
      </c>
      <c r="G69" s="658"/>
      <c r="H69" s="658"/>
      <c r="I69" s="581">
        <f t="shared" si="4"/>
        <v>10</v>
      </c>
      <c r="J69" s="581">
        <f t="shared" si="5"/>
        <v>0</v>
      </c>
      <c r="K69" s="680">
        <f>E69/I69</f>
        <v>0.41299999999999998</v>
      </c>
    </row>
    <row r="70" spans="2:13" ht="15" customHeight="1" x14ac:dyDescent="0.25">
      <c r="B70" s="68">
        <v>2017</v>
      </c>
      <c r="C70" s="580">
        <v>42892.885416666664</v>
      </c>
      <c r="D70" s="650">
        <v>5.34</v>
      </c>
      <c r="E70" s="658">
        <v>5.81</v>
      </c>
      <c r="F70" s="729">
        <f t="shared" si="7"/>
        <v>0.40677966101694907</v>
      </c>
      <c r="G70" s="658"/>
      <c r="H70" s="658">
        <f>E70</f>
        <v>5.81</v>
      </c>
      <c r="I70" s="581">
        <f t="shared" si="4"/>
        <v>10</v>
      </c>
      <c r="J70" s="581">
        <f t="shared" si="5"/>
        <v>0</v>
      </c>
      <c r="K70" s="680">
        <f>E70/I70</f>
        <v>0.58099999999999996</v>
      </c>
    </row>
    <row r="71" spans="2:13" ht="15" customHeight="1" x14ac:dyDescent="0.25">
      <c r="B71" s="69">
        <v>2018</v>
      </c>
      <c r="C71" s="720">
        <v>2018</v>
      </c>
      <c r="D71" s="652"/>
      <c r="E71" s="723"/>
      <c r="F71" s="730"/>
      <c r="G71" s="660">
        <f>0.0941*B71-185.82</f>
        <v>4.0738000000000056</v>
      </c>
      <c r="H71" s="661">
        <f>0.0941+H70</f>
        <v>5.9040999999999997</v>
      </c>
      <c r="I71" s="584">
        <f t="shared" si="4"/>
        <v>10</v>
      </c>
      <c r="J71" s="584">
        <f t="shared" si="5"/>
        <v>0</v>
      </c>
      <c r="K71" s="684">
        <f t="shared" ref="K71:K80" si="8">H71/I71</f>
        <v>0.59040999999999999</v>
      </c>
      <c r="M71" t="s">
        <v>378</v>
      </c>
    </row>
    <row r="72" spans="2:13" ht="15" customHeight="1" x14ac:dyDescent="0.25">
      <c r="B72" s="69">
        <v>2019</v>
      </c>
      <c r="C72" s="720">
        <v>2019</v>
      </c>
      <c r="D72" s="652"/>
      <c r="E72" s="723"/>
      <c r="F72" s="730"/>
      <c r="G72" s="660">
        <f t="shared" ref="G72:G80" si="9">0.0941*B72-185.82</f>
        <v>4.167900000000003</v>
      </c>
      <c r="H72" s="661">
        <f t="shared" ref="H72:H79" si="10">0.0941+H71</f>
        <v>5.9981999999999998</v>
      </c>
      <c r="I72" s="584">
        <f t="shared" si="4"/>
        <v>10</v>
      </c>
      <c r="J72" s="584">
        <f t="shared" si="5"/>
        <v>0</v>
      </c>
      <c r="K72" s="684">
        <f t="shared" si="8"/>
        <v>0.59982000000000002</v>
      </c>
    </row>
    <row r="73" spans="2:13" ht="15" customHeight="1" x14ac:dyDescent="0.25">
      <c r="B73" s="69">
        <v>2020</v>
      </c>
      <c r="C73" s="720">
        <v>2020</v>
      </c>
      <c r="D73" s="652"/>
      <c r="E73" s="723"/>
      <c r="F73" s="730"/>
      <c r="G73" s="660">
        <f t="shared" si="9"/>
        <v>4.2620000000000005</v>
      </c>
      <c r="H73" s="661">
        <f t="shared" si="10"/>
        <v>6.0922999999999998</v>
      </c>
      <c r="I73" s="584">
        <f t="shared" si="4"/>
        <v>10</v>
      </c>
      <c r="J73" s="584">
        <f t="shared" si="5"/>
        <v>0</v>
      </c>
      <c r="K73" s="684">
        <f t="shared" si="8"/>
        <v>0.60922999999999994</v>
      </c>
    </row>
    <row r="74" spans="2:13" ht="15" customHeight="1" x14ac:dyDescent="0.25">
      <c r="B74" s="69">
        <v>2021</v>
      </c>
      <c r="C74" s="720">
        <v>2021</v>
      </c>
      <c r="D74" s="652"/>
      <c r="E74" s="723"/>
      <c r="F74" s="730"/>
      <c r="G74" s="660">
        <f t="shared" si="9"/>
        <v>4.3561000000000263</v>
      </c>
      <c r="H74" s="661">
        <f t="shared" si="10"/>
        <v>6.1863999999999999</v>
      </c>
      <c r="I74" s="584">
        <f t="shared" si="4"/>
        <v>10</v>
      </c>
      <c r="J74" s="584">
        <f t="shared" si="5"/>
        <v>0</v>
      </c>
      <c r="K74" s="684">
        <f t="shared" si="8"/>
        <v>0.61863999999999997</v>
      </c>
    </row>
    <row r="75" spans="2:13" ht="15" customHeight="1" x14ac:dyDescent="0.25">
      <c r="B75" s="69">
        <v>2022</v>
      </c>
      <c r="C75" s="720">
        <v>2022</v>
      </c>
      <c r="D75" s="770"/>
      <c r="E75" s="799"/>
      <c r="F75" s="807"/>
      <c r="G75" s="660">
        <f t="shared" si="9"/>
        <v>4.4502000000000237</v>
      </c>
      <c r="H75" s="661">
        <f t="shared" si="10"/>
        <v>6.2805</v>
      </c>
      <c r="I75" s="584">
        <f t="shared" si="4"/>
        <v>10</v>
      </c>
      <c r="J75" s="584">
        <f t="shared" si="5"/>
        <v>0</v>
      </c>
      <c r="K75" s="684">
        <f t="shared" si="8"/>
        <v>0.62805</v>
      </c>
    </row>
    <row r="76" spans="2:13" ht="15" customHeight="1" x14ac:dyDescent="0.25">
      <c r="B76" s="69">
        <v>2023</v>
      </c>
      <c r="C76" s="720">
        <v>2023</v>
      </c>
      <c r="D76" s="770"/>
      <c r="E76" s="799"/>
      <c r="F76" s="807"/>
      <c r="G76" s="660">
        <f t="shared" si="9"/>
        <v>4.5443000000000211</v>
      </c>
      <c r="H76" s="661">
        <f t="shared" si="10"/>
        <v>6.3746</v>
      </c>
      <c r="I76" s="584">
        <f t="shared" si="4"/>
        <v>10</v>
      </c>
      <c r="J76" s="584">
        <f t="shared" si="5"/>
        <v>0</v>
      </c>
      <c r="K76" s="684">
        <f t="shared" si="8"/>
        <v>0.63746000000000003</v>
      </c>
    </row>
    <row r="77" spans="2:13" ht="15" customHeight="1" x14ac:dyDescent="0.25">
      <c r="B77" s="69">
        <v>2024</v>
      </c>
      <c r="C77" s="720">
        <v>2024</v>
      </c>
      <c r="D77" s="770"/>
      <c r="E77" s="799"/>
      <c r="F77" s="807"/>
      <c r="G77" s="660">
        <f t="shared" si="9"/>
        <v>4.6384000000000185</v>
      </c>
      <c r="H77" s="661">
        <f t="shared" si="10"/>
        <v>6.4687000000000001</v>
      </c>
      <c r="I77" s="584">
        <f t="shared" si="4"/>
        <v>10</v>
      </c>
      <c r="J77" s="584">
        <f t="shared" si="5"/>
        <v>0</v>
      </c>
      <c r="K77" s="684">
        <f t="shared" si="8"/>
        <v>0.64687000000000006</v>
      </c>
    </row>
    <row r="78" spans="2:13" ht="15" customHeight="1" x14ac:dyDescent="0.25">
      <c r="B78" s="69">
        <v>2025</v>
      </c>
      <c r="C78" s="720">
        <v>2025</v>
      </c>
      <c r="D78" s="770"/>
      <c r="E78" s="799"/>
      <c r="F78" s="807"/>
      <c r="G78" s="660">
        <f t="shared" si="9"/>
        <v>4.7325000000000159</v>
      </c>
      <c r="H78" s="661">
        <f t="shared" si="10"/>
        <v>6.5628000000000002</v>
      </c>
      <c r="I78" s="584">
        <f t="shared" si="4"/>
        <v>10</v>
      </c>
      <c r="J78" s="584">
        <f t="shared" si="5"/>
        <v>0</v>
      </c>
      <c r="K78" s="684">
        <f t="shared" si="8"/>
        <v>0.65627999999999997</v>
      </c>
    </row>
    <row r="79" spans="2:13" ht="15" customHeight="1" x14ac:dyDescent="0.25">
      <c r="B79" s="69">
        <v>2026</v>
      </c>
      <c r="C79" s="720">
        <v>2026</v>
      </c>
      <c r="D79" s="806"/>
      <c r="E79" s="800"/>
      <c r="F79" s="806"/>
      <c r="G79" s="660">
        <f t="shared" si="9"/>
        <v>4.8266000000000133</v>
      </c>
      <c r="H79" s="661">
        <f t="shared" si="10"/>
        <v>6.6569000000000003</v>
      </c>
      <c r="I79" s="584">
        <f t="shared" si="4"/>
        <v>10</v>
      </c>
      <c r="J79" s="584">
        <f t="shared" si="5"/>
        <v>0</v>
      </c>
      <c r="K79" s="684">
        <f t="shared" si="8"/>
        <v>0.66569</v>
      </c>
    </row>
    <row r="80" spans="2:13" ht="15" customHeight="1" thickBot="1" x14ac:dyDescent="0.3">
      <c r="B80" s="252">
        <v>2027</v>
      </c>
      <c r="C80" s="793">
        <v>2027</v>
      </c>
      <c r="D80" s="808"/>
      <c r="E80" s="809"/>
      <c r="F80" s="808"/>
      <c r="G80" s="662">
        <f t="shared" si="9"/>
        <v>4.9207000000000107</v>
      </c>
      <c r="H80" s="663">
        <f>0.1+H79</f>
        <v>6.7568999999999999</v>
      </c>
      <c r="I80" s="586">
        <f t="shared" si="4"/>
        <v>10</v>
      </c>
      <c r="J80" s="586">
        <f t="shared" si="5"/>
        <v>0</v>
      </c>
      <c r="K80" s="686">
        <f t="shared" si="8"/>
        <v>0.67569000000000001</v>
      </c>
    </row>
    <row r="81" spans="6:6" ht="15" customHeight="1" x14ac:dyDescent="0.25">
      <c r="F81" s="143">
        <f>AVERAGE(F50:F80)</f>
        <v>9.0536140280431304E-2</v>
      </c>
    </row>
    <row r="82" spans="6:6" ht="15" customHeight="1" x14ac:dyDescent="0.25"/>
    <row r="83" spans="6:6" ht="15" customHeight="1" x14ac:dyDescent="0.25"/>
    <row r="118" spans="1:20" ht="18" x14ac:dyDescent="0.25">
      <c r="A118" s="1093" t="s">
        <v>247</v>
      </c>
      <c r="B118" s="1093"/>
      <c r="C118" s="1093"/>
      <c r="D118" s="1093"/>
      <c r="E118" s="1093"/>
      <c r="F118" s="1093"/>
      <c r="G118" s="1093"/>
      <c r="H118" s="1093"/>
      <c r="I118" s="1093"/>
      <c r="J118" s="1093"/>
      <c r="K118" s="1093"/>
      <c r="L118" s="1093"/>
      <c r="M118" s="1093"/>
      <c r="N118" s="1093"/>
      <c r="O118" s="1093"/>
      <c r="P118" s="1093"/>
      <c r="Q118" s="1093"/>
      <c r="R118" s="1093"/>
      <c r="S118" s="1093"/>
      <c r="T118" s="1093"/>
    </row>
    <row r="119" spans="1:20" ht="18" x14ac:dyDescent="0.25">
      <c r="A119" s="1094" t="s">
        <v>248</v>
      </c>
      <c r="B119" s="1094"/>
      <c r="C119" s="1094"/>
      <c r="D119" s="1094"/>
      <c r="E119" s="1094"/>
      <c r="F119" s="1094"/>
      <c r="G119" s="1094"/>
      <c r="H119" s="1094"/>
      <c r="I119" s="1094"/>
      <c r="J119" s="1094"/>
      <c r="K119" s="1094"/>
      <c r="L119" s="1094"/>
      <c r="M119" s="1094"/>
      <c r="N119" s="1094"/>
      <c r="O119" s="1094"/>
      <c r="P119" s="1094"/>
      <c r="Q119" s="1094"/>
      <c r="R119" s="1094"/>
      <c r="S119" s="1094"/>
      <c r="T119" s="1094"/>
    </row>
    <row r="120" spans="1:20" ht="15.75" thickBot="1" x14ac:dyDescent="0.3">
      <c r="A120" s="452"/>
      <c r="B120" s="452"/>
      <c r="C120" s="452"/>
      <c r="D120" s="452"/>
      <c r="E120" s="452"/>
      <c r="F120" s="452"/>
      <c r="G120" s="452"/>
      <c r="H120" s="453"/>
      <c r="I120" s="452"/>
      <c r="J120" s="454"/>
      <c r="K120" s="453"/>
      <c r="L120" s="452"/>
      <c r="M120" s="454"/>
      <c r="N120" s="453"/>
      <c r="O120" s="452"/>
      <c r="P120" s="454"/>
      <c r="Q120" s="453"/>
      <c r="R120" s="452"/>
      <c r="S120" s="449"/>
      <c r="T120" s="450"/>
    </row>
    <row r="121" spans="1:20" x14ac:dyDescent="0.25">
      <c r="A121" s="1095" t="s">
        <v>249</v>
      </c>
      <c r="B121" s="1098" t="s">
        <v>250</v>
      </c>
      <c r="C121" s="1101" t="s">
        <v>251</v>
      </c>
      <c r="D121" s="1063" t="s">
        <v>252</v>
      </c>
      <c r="E121" s="1065"/>
      <c r="F121" s="1066">
        <v>2017</v>
      </c>
      <c r="G121" s="1064"/>
      <c r="H121" s="1106"/>
      <c r="I121" s="1063">
        <f>+F121+1</f>
        <v>2018</v>
      </c>
      <c r="J121" s="1064"/>
      <c r="K121" s="1065"/>
      <c r="L121" s="1066">
        <f>+I121+1</f>
        <v>2019</v>
      </c>
      <c r="M121" s="1064"/>
      <c r="N121" s="1106"/>
      <c r="O121" s="1063">
        <f>+L121+1</f>
        <v>2020</v>
      </c>
      <c r="P121" s="1064"/>
      <c r="Q121" s="1065"/>
      <c r="R121" s="1066">
        <f>+O121+1</f>
        <v>2021</v>
      </c>
      <c r="S121" s="1064"/>
      <c r="T121" s="1065"/>
    </row>
    <row r="122" spans="1:20" x14ac:dyDescent="0.25">
      <c r="A122" s="1096"/>
      <c r="B122" s="1099"/>
      <c r="C122" s="1102"/>
      <c r="D122" s="1104"/>
      <c r="E122" s="1105"/>
      <c r="F122" s="455" t="s">
        <v>253</v>
      </c>
      <c r="G122" s="1067" t="s">
        <v>254</v>
      </c>
      <c r="H122" s="1068"/>
      <c r="I122" s="456" t="s">
        <v>253</v>
      </c>
      <c r="J122" s="1067" t="s">
        <v>254</v>
      </c>
      <c r="K122" s="1069"/>
      <c r="L122" s="455" t="s">
        <v>253</v>
      </c>
      <c r="M122" s="1067" t="s">
        <v>254</v>
      </c>
      <c r="N122" s="1068"/>
      <c r="O122" s="456" t="s">
        <v>253</v>
      </c>
      <c r="P122" s="1067" t="s">
        <v>254</v>
      </c>
      <c r="Q122" s="1069"/>
      <c r="R122" s="455" t="s">
        <v>253</v>
      </c>
      <c r="S122" s="1067" t="s">
        <v>254</v>
      </c>
      <c r="T122" s="1069"/>
    </row>
    <row r="123" spans="1:20" ht="15.75" thickBot="1" x14ac:dyDescent="0.3">
      <c r="A123" s="1097"/>
      <c r="B123" s="1100"/>
      <c r="C123" s="1103"/>
      <c r="D123" s="1091" t="s">
        <v>255</v>
      </c>
      <c r="E123" s="1092"/>
      <c r="F123" s="457" t="s">
        <v>255</v>
      </c>
      <c r="G123" s="458" t="s">
        <v>255</v>
      </c>
      <c r="H123" s="459" t="s">
        <v>256</v>
      </c>
      <c r="I123" s="460" t="s">
        <v>255</v>
      </c>
      <c r="J123" s="461" t="s">
        <v>255</v>
      </c>
      <c r="K123" s="462" t="s">
        <v>256</v>
      </c>
      <c r="L123" s="457" t="s">
        <v>255</v>
      </c>
      <c r="M123" s="461" t="s">
        <v>255</v>
      </c>
      <c r="N123" s="459" t="s">
        <v>256</v>
      </c>
      <c r="O123" s="460" t="s">
        <v>255</v>
      </c>
      <c r="P123" s="461" t="s">
        <v>255</v>
      </c>
      <c r="Q123" s="462" t="s">
        <v>256</v>
      </c>
      <c r="R123" s="457" t="s">
        <v>255</v>
      </c>
      <c r="S123" s="461" t="s">
        <v>255</v>
      </c>
      <c r="T123" s="462" t="s">
        <v>256</v>
      </c>
    </row>
    <row r="124" spans="1:20" ht="15.75" thickBot="1" x14ac:dyDescent="0.3">
      <c r="B124" s="801" t="s">
        <v>6</v>
      </c>
      <c r="C124" s="802" t="s">
        <v>24</v>
      </c>
      <c r="D124" s="632">
        <v>10</v>
      </c>
      <c r="E124" s="803">
        <v>10</v>
      </c>
      <c r="F124" s="635">
        <v>10</v>
      </c>
      <c r="G124" s="805">
        <v>4.4708403130649996</v>
      </c>
      <c r="H124" s="804">
        <v>0.44708403130649998</v>
      </c>
      <c r="I124" s="635">
        <v>10</v>
      </c>
      <c r="J124" s="805">
        <v>4.663086446526794</v>
      </c>
      <c r="K124" s="804">
        <v>0.4663086446526794</v>
      </c>
      <c r="L124" s="635">
        <v>10</v>
      </c>
      <c r="M124" s="805">
        <v>4.8635991637274456</v>
      </c>
      <c r="N124" s="804">
        <v>0.48635991637274456</v>
      </c>
      <c r="O124" s="635">
        <v>10</v>
      </c>
      <c r="P124" s="805">
        <v>5.0727339277677252</v>
      </c>
      <c r="Q124" s="804">
        <v>0.50727339277677252</v>
      </c>
      <c r="R124" s="632">
        <v>10</v>
      </c>
      <c r="S124" s="805">
        <v>5.2908614866617372</v>
      </c>
      <c r="T124" s="804">
        <v>0.52908614866617376</v>
      </c>
    </row>
    <row r="125" spans="1:20" x14ac:dyDescent="0.25">
      <c r="J125">
        <f>1.043*G124</f>
        <v>4.663086446526794</v>
      </c>
      <c r="M125">
        <f>1.043*J124</f>
        <v>4.8635991637274456</v>
      </c>
      <c r="P125">
        <f>1.043*M124</f>
        <v>5.0727339277677252</v>
      </c>
      <c r="S125">
        <f>1.043*P124</f>
        <v>5.2908614866617372</v>
      </c>
    </row>
    <row r="126" spans="1:20" x14ac:dyDescent="0.25">
      <c r="I126" s="39">
        <v>2016</v>
      </c>
      <c r="J126" s="258"/>
    </row>
    <row r="127" spans="1:20" x14ac:dyDescent="0.25">
      <c r="I127" s="39">
        <v>2017</v>
      </c>
      <c r="J127" s="258"/>
    </row>
    <row r="128" spans="1:20" x14ac:dyDescent="0.25">
      <c r="I128" s="39">
        <v>2018</v>
      </c>
      <c r="J128" s="258"/>
    </row>
    <row r="129" spans="9:10" x14ac:dyDescent="0.25">
      <c r="I129" s="39">
        <v>2019</v>
      </c>
      <c r="J129" s="258"/>
    </row>
    <row r="130" spans="9:10" x14ac:dyDescent="0.25">
      <c r="I130" s="39">
        <v>2020</v>
      </c>
      <c r="J130" s="258"/>
    </row>
  </sheetData>
  <mergeCells count="35">
    <mergeCell ref="M122:N122"/>
    <mergeCell ref="C46:K46"/>
    <mergeCell ref="I48:I49"/>
    <mergeCell ref="J48:J49"/>
    <mergeCell ref="K48:K49"/>
    <mergeCell ref="J122:K122"/>
    <mergeCell ref="C47:K47"/>
    <mergeCell ref="C48:C49"/>
    <mergeCell ref="D48:F48"/>
    <mergeCell ref="G48:H48"/>
    <mergeCell ref="B3:K3"/>
    <mergeCell ref="B4:K4"/>
    <mergeCell ref="G5:I5"/>
    <mergeCell ref="D5:F5"/>
    <mergeCell ref="C41:L43"/>
    <mergeCell ref="C5:C6"/>
    <mergeCell ref="J5:J6"/>
    <mergeCell ref="K5:K6"/>
    <mergeCell ref="B5:B6"/>
    <mergeCell ref="B48:B49"/>
    <mergeCell ref="D123:E123"/>
    <mergeCell ref="A118:T118"/>
    <mergeCell ref="A119:T119"/>
    <mergeCell ref="A121:A123"/>
    <mergeCell ref="B121:B123"/>
    <mergeCell ref="C121:C123"/>
    <mergeCell ref="D121:E122"/>
    <mergeCell ref="F121:H121"/>
    <mergeCell ref="I121:K121"/>
    <mergeCell ref="L121:N121"/>
    <mergeCell ref="O121:Q121"/>
    <mergeCell ref="R121:T121"/>
    <mergeCell ref="G122:H122"/>
    <mergeCell ref="S122:T122"/>
    <mergeCell ref="P122:Q122"/>
  </mergeCells>
  <conditionalFormatting sqref="H124 T124 Q124 N124 K124">
    <cfRule type="cellIs" dxfId="2" priority="1" operator="greaterThan">
      <formula>1</formula>
    </cfRule>
  </conditionalFormatting>
  <printOptions horizontalCentered="1" verticalCentered="1" gridLines="1"/>
  <pageMargins left="0.11811023622047245" right="0.11811023622047245" top="0.15748031496062992" bottom="0.15748031496062992" header="0" footer="0"/>
  <pageSetup paperSize="9" scale="13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2:T111"/>
  <sheetViews>
    <sheetView topLeftCell="A66" workbookViewId="0">
      <selection activeCell="G62" sqref="G62"/>
    </sheetView>
  </sheetViews>
  <sheetFormatPr baseColWidth="10" defaultRowHeight="15" x14ac:dyDescent="0.25"/>
  <cols>
    <col min="1" max="1" width="5.7109375" customWidth="1"/>
    <col min="2" max="2" width="6.7109375" customWidth="1"/>
    <col min="3" max="3" width="14.7109375" customWidth="1"/>
    <col min="4" max="5" width="10.7109375" customWidth="1"/>
    <col min="6" max="6" width="11.7109375" customWidth="1"/>
    <col min="7" max="8" width="12.7109375" customWidth="1"/>
    <col min="9" max="11" width="10.7109375" customWidth="1"/>
    <col min="13" max="13" width="11.42578125" style="10"/>
  </cols>
  <sheetData>
    <row r="2" spans="2:16" ht="15.75" thickBot="1" x14ac:dyDescent="0.3"/>
    <row r="3" spans="2:16" ht="15.95" customHeight="1" x14ac:dyDescent="0.25">
      <c r="B3" s="1311" t="s">
        <v>226</v>
      </c>
      <c r="C3" s="1312"/>
      <c r="D3" s="1312"/>
      <c r="E3" s="1312"/>
      <c r="F3" s="1312"/>
      <c r="G3" s="1312"/>
      <c r="H3" s="1312"/>
      <c r="I3" s="1312"/>
      <c r="J3" s="1312"/>
      <c r="K3" s="1313"/>
    </row>
    <row r="4" spans="2:16" ht="15.95" customHeight="1" thickBot="1" x14ac:dyDescent="0.3">
      <c r="B4" s="1115" t="s">
        <v>47</v>
      </c>
      <c r="C4" s="1116"/>
      <c r="D4" s="1116"/>
      <c r="E4" s="1116"/>
      <c r="F4" s="1116"/>
      <c r="G4" s="1116"/>
      <c r="H4" s="1116"/>
      <c r="I4" s="1116"/>
      <c r="J4" s="1116"/>
      <c r="K4" s="1117"/>
    </row>
    <row r="5" spans="2:16" ht="15.95" customHeight="1" x14ac:dyDescent="0.25">
      <c r="B5" s="1166" t="s">
        <v>124</v>
      </c>
      <c r="C5" s="1181" t="s">
        <v>26</v>
      </c>
      <c r="D5" s="1169" t="s">
        <v>110</v>
      </c>
      <c r="E5" s="1167"/>
      <c r="F5" s="1168"/>
      <c r="G5" s="1167" t="s">
        <v>74</v>
      </c>
      <c r="H5" s="1167"/>
      <c r="I5" s="1168"/>
      <c r="J5" s="1182" t="s">
        <v>105</v>
      </c>
      <c r="K5" s="1183" t="s">
        <v>168</v>
      </c>
    </row>
    <row r="6" spans="2:16" ht="39.950000000000003" customHeight="1" x14ac:dyDescent="0.25">
      <c r="B6" s="1119"/>
      <c r="C6" s="1032"/>
      <c r="D6" s="330" t="s">
        <v>79</v>
      </c>
      <c r="E6" s="330" t="s">
        <v>116</v>
      </c>
      <c r="F6" s="330" t="s">
        <v>167</v>
      </c>
      <c r="G6" s="38" t="s">
        <v>113</v>
      </c>
      <c r="H6" s="38" t="s">
        <v>232</v>
      </c>
      <c r="I6" s="38" t="s">
        <v>130</v>
      </c>
      <c r="J6" s="1033"/>
      <c r="K6" s="1124"/>
      <c r="N6" s="85" t="s">
        <v>73</v>
      </c>
      <c r="O6" s="38" t="s">
        <v>240</v>
      </c>
    </row>
    <row r="7" spans="2:16" x14ac:dyDescent="0.25">
      <c r="B7" s="201">
        <v>7</v>
      </c>
      <c r="C7" s="68">
        <v>2003</v>
      </c>
      <c r="D7" s="62">
        <v>2.95</v>
      </c>
      <c r="E7" s="62">
        <v>3.01</v>
      </c>
      <c r="F7" s="175"/>
      <c r="G7" s="40"/>
      <c r="H7" s="40"/>
      <c r="I7" s="52"/>
      <c r="J7" s="119">
        <v>10</v>
      </c>
      <c r="K7" s="179">
        <f t="shared" ref="K7:K31" si="0">J7-10</f>
        <v>0</v>
      </c>
      <c r="L7" s="73"/>
      <c r="M7" s="39"/>
      <c r="N7" s="50"/>
      <c r="O7" s="50"/>
      <c r="P7" s="73"/>
    </row>
    <row r="8" spans="2:16" x14ac:dyDescent="0.25">
      <c r="B8" s="201">
        <v>6</v>
      </c>
      <c r="C8" s="68">
        <v>2004</v>
      </c>
      <c r="D8" s="62">
        <v>3.09</v>
      </c>
      <c r="E8" s="62">
        <v>3.18</v>
      </c>
      <c r="F8" s="175">
        <f>(E8-E7)/E7</f>
        <v>5.6478405315614745E-2</v>
      </c>
      <c r="G8" s="40"/>
      <c r="H8" s="40"/>
      <c r="I8" s="52"/>
      <c r="J8" s="119">
        <v>10</v>
      </c>
      <c r="K8" s="179">
        <f t="shared" si="0"/>
        <v>0</v>
      </c>
      <c r="L8" s="73"/>
      <c r="M8" s="39"/>
      <c r="N8" s="50"/>
      <c r="O8" s="50"/>
      <c r="P8" s="73"/>
    </row>
    <row r="9" spans="2:16" x14ac:dyDescent="0.25">
      <c r="B9" s="201">
        <v>8</v>
      </c>
      <c r="C9" s="68">
        <v>2005</v>
      </c>
      <c r="D9" s="62">
        <v>3.28</v>
      </c>
      <c r="E9" s="62">
        <v>3.37</v>
      </c>
      <c r="F9" s="175">
        <f t="shared" ref="F9:F21" si="1">(E9-E8)/E8</f>
        <v>5.9748427672955955E-2</v>
      </c>
      <c r="G9" s="40"/>
      <c r="H9" s="40"/>
      <c r="I9" s="52"/>
      <c r="J9" s="119">
        <v>10</v>
      </c>
      <c r="K9" s="179">
        <f t="shared" si="0"/>
        <v>0</v>
      </c>
      <c r="L9" s="73"/>
      <c r="M9" s="39"/>
      <c r="N9" s="50"/>
      <c r="O9" s="50"/>
      <c r="P9" s="73"/>
    </row>
    <row r="10" spans="2:16" x14ac:dyDescent="0.25">
      <c r="B10" s="201">
        <v>4</v>
      </c>
      <c r="C10" s="68">
        <v>2006</v>
      </c>
      <c r="D10" s="62">
        <v>3.12</v>
      </c>
      <c r="E10" s="62">
        <v>3.33</v>
      </c>
      <c r="F10" s="175">
        <f t="shared" si="1"/>
        <v>-1.1869436201780426E-2</v>
      </c>
      <c r="G10" s="40"/>
      <c r="H10" s="40"/>
      <c r="I10" s="52"/>
      <c r="J10" s="119">
        <v>10</v>
      </c>
      <c r="K10" s="179">
        <f t="shared" si="0"/>
        <v>0</v>
      </c>
      <c r="L10" s="73"/>
      <c r="M10" s="39"/>
      <c r="N10" s="50"/>
      <c r="O10" s="50"/>
      <c r="P10" s="73"/>
    </row>
    <row r="11" spans="2:16" x14ac:dyDescent="0.25">
      <c r="B11" s="201">
        <v>8</v>
      </c>
      <c r="C11" s="68">
        <v>2007</v>
      </c>
      <c r="D11" s="62">
        <v>3.51</v>
      </c>
      <c r="E11" s="62">
        <v>3.59</v>
      </c>
      <c r="F11" s="175">
        <f t="shared" si="1"/>
        <v>7.8078078078078011E-2</v>
      </c>
      <c r="G11" s="40"/>
      <c r="H11" s="40"/>
      <c r="I11" s="52"/>
      <c r="J11" s="119">
        <v>10</v>
      </c>
      <c r="K11" s="179">
        <f t="shared" si="0"/>
        <v>0</v>
      </c>
      <c r="L11" s="73"/>
      <c r="M11" s="39"/>
      <c r="N11" s="50"/>
      <c r="O11" s="50"/>
      <c r="P11" s="73"/>
    </row>
    <row r="12" spans="2:16" x14ac:dyDescent="0.25">
      <c r="B12" s="201">
        <v>2</v>
      </c>
      <c r="C12" s="68">
        <v>2008</v>
      </c>
      <c r="D12" s="62">
        <v>2.94</v>
      </c>
      <c r="E12" s="62">
        <v>3.18</v>
      </c>
      <c r="F12" s="175">
        <f t="shared" si="1"/>
        <v>-0.11420612813370466</v>
      </c>
      <c r="G12" s="40"/>
      <c r="H12" s="40"/>
      <c r="I12" s="52"/>
      <c r="J12" s="119">
        <v>10</v>
      </c>
      <c r="K12" s="179">
        <f t="shared" si="0"/>
        <v>0</v>
      </c>
      <c r="L12" s="73"/>
      <c r="M12" s="39"/>
      <c r="N12" s="50"/>
      <c r="O12" s="50"/>
      <c r="P12" s="73"/>
    </row>
    <row r="13" spans="2:16" x14ac:dyDescent="0.25">
      <c r="B13" s="201">
        <v>4</v>
      </c>
      <c r="C13" s="68">
        <v>2009</v>
      </c>
      <c r="D13" s="62">
        <v>3.41</v>
      </c>
      <c r="E13" s="62">
        <v>3.7</v>
      </c>
      <c r="F13" s="175">
        <f t="shared" si="1"/>
        <v>0.16352201257861634</v>
      </c>
      <c r="G13" s="40"/>
      <c r="H13" s="40"/>
      <c r="I13" s="52"/>
      <c r="J13" s="119">
        <v>10</v>
      </c>
      <c r="K13" s="179">
        <f t="shared" si="0"/>
        <v>0</v>
      </c>
      <c r="L13" s="73"/>
      <c r="M13" s="39" t="s">
        <v>117</v>
      </c>
      <c r="N13" s="50"/>
      <c r="O13" s="50"/>
      <c r="P13" s="73"/>
    </row>
    <row r="14" spans="2:16" x14ac:dyDescent="0.25">
      <c r="B14" s="201">
        <v>8</v>
      </c>
      <c r="C14" s="68">
        <v>2010</v>
      </c>
      <c r="D14" s="62">
        <v>2.88</v>
      </c>
      <c r="E14" s="62">
        <v>2.9265344436722422</v>
      </c>
      <c r="F14" s="175">
        <f t="shared" si="1"/>
        <v>-0.20904474495344808</v>
      </c>
      <c r="G14" s="40"/>
      <c r="H14" s="40"/>
      <c r="I14" s="52"/>
      <c r="J14" s="119">
        <v>10</v>
      </c>
      <c r="K14" s="179">
        <f t="shared" si="0"/>
        <v>0</v>
      </c>
      <c r="L14" s="73"/>
      <c r="M14" s="62">
        <v>2.9265344436722422</v>
      </c>
      <c r="N14" s="175"/>
      <c r="O14" s="50"/>
      <c r="P14" s="73"/>
    </row>
    <row r="15" spans="2:16" x14ac:dyDescent="0.25">
      <c r="B15" s="201">
        <v>8</v>
      </c>
      <c r="C15" s="68">
        <v>2011</v>
      </c>
      <c r="D15" s="62">
        <v>4.67</v>
      </c>
      <c r="E15" s="62">
        <v>4.7722929792166999</v>
      </c>
      <c r="F15" s="175">
        <f t="shared" si="1"/>
        <v>0.63069769759086891</v>
      </c>
      <c r="G15" s="40"/>
      <c r="H15" s="40"/>
      <c r="I15" s="52"/>
      <c r="J15" s="119">
        <v>10</v>
      </c>
      <c r="K15" s="179">
        <f t="shared" si="0"/>
        <v>0</v>
      </c>
      <c r="L15" s="73"/>
      <c r="M15" s="40">
        <v>4.7722929792166999</v>
      </c>
      <c r="N15" s="50"/>
      <c r="O15" s="50"/>
      <c r="P15" s="73"/>
    </row>
    <row r="16" spans="2:16" x14ac:dyDescent="0.25">
      <c r="B16" s="201">
        <v>3</v>
      </c>
      <c r="C16" s="68">
        <v>2012</v>
      </c>
      <c r="D16" s="62">
        <v>3.85</v>
      </c>
      <c r="E16" s="62">
        <v>4.08289324234629</v>
      </c>
      <c r="F16" s="175">
        <f t="shared" si="1"/>
        <v>-0.14445880415824019</v>
      </c>
      <c r="G16" s="40"/>
      <c r="H16" s="40"/>
      <c r="I16" s="52"/>
      <c r="J16" s="119">
        <v>10</v>
      </c>
      <c r="K16" s="179">
        <f t="shared" si="0"/>
        <v>0</v>
      </c>
      <c r="L16" s="73"/>
      <c r="M16" s="62">
        <v>4.08289324234629</v>
      </c>
      <c r="N16" s="175"/>
      <c r="O16" s="50"/>
      <c r="P16" s="73"/>
    </row>
    <row r="17" spans="2:16" x14ac:dyDescent="0.25">
      <c r="B17" s="201">
        <v>11</v>
      </c>
      <c r="C17" s="68">
        <v>2013</v>
      </c>
      <c r="D17" s="62">
        <v>3.97</v>
      </c>
      <c r="E17" s="62">
        <v>4.1635504026031676</v>
      </c>
      <c r="F17" s="175">
        <f t="shared" si="1"/>
        <v>1.9754903072245599E-2</v>
      </c>
      <c r="G17" s="40"/>
      <c r="H17" s="40"/>
      <c r="I17" s="52"/>
      <c r="J17" s="119">
        <v>10</v>
      </c>
      <c r="K17" s="179">
        <f t="shared" si="0"/>
        <v>0</v>
      </c>
      <c r="L17" s="73"/>
      <c r="M17" s="40">
        <v>4.1635504026031676</v>
      </c>
      <c r="N17" s="50"/>
      <c r="O17" s="50"/>
      <c r="P17" s="73"/>
    </row>
    <row r="18" spans="2:16" x14ac:dyDescent="0.25">
      <c r="B18" s="201">
        <v>12</v>
      </c>
      <c r="C18" s="68">
        <v>2014</v>
      </c>
      <c r="D18" s="62">
        <v>4.26</v>
      </c>
      <c r="E18" s="62">
        <v>4.377732175186714</v>
      </c>
      <c r="F18" s="175">
        <f t="shared" si="1"/>
        <v>5.1442099139627086E-2</v>
      </c>
      <c r="G18" s="40"/>
      <c r="H18" s="40"/>
      <c r="I18" s="52"/>
      <c r="J18" s="119">
        <v>10</v>
      </c>
      <c r="K18" s="179">
        <f t="shared" si="0"/>
        <v>0</v>
      </c>
      <c r="L18" s="73"/>
      <c r="M18" s="62">
        <v>4.377732175186714</v>
      </c>
      <c r="N18" s="175"/>
      <c r="O18" s="390"/>
      <c r="P18" s="73"/>
    </row>
    <row r="19" spans="2:16" x14ac:dyDescent="0.25">
      <c r="B19" s="201">
        <v>5</v>
      </c>
      <c r="C19" s="68">
        <v>2015</v>
      </c>
      <c r="D19" s="62">
        <v>4.26</v>
      </c>
      <c r="E19" s="62">
        <v>4.3813690298793597</v>
      </c>
      <c r="F19" s="175">
        <f t="shared" si="1"/>
        <v>8.307622639090813E-4</v>
      </c>
      <c r="G19" s="40"/>
      <c r="H19" s="40"/>
      <c r="I19" s="52"/>
      <c r="J19" s="119">
        <v>10</v>
      </c>
      <c r="K19" s="179">
        <f t="shared" si="0"/>
        <v>0</v>
      </c>
      <c r="L19" s="73"/>
      <c r="M19" s="52">
        <v>4.3813690298793597</v>
      </c>
      <c r="N19" s="402"/>
      <c r="O19" s="390"/>
      <c r="P19" s="73"/>
    </row>
    <row r="20" spans="2:16" x14ac:dyDescent="0.25">
      <c r="B20" s="201">
        <v>6</v>
      </c>
      <c r="C20" s="68">
        <v>2016</v>
      </c>
      <c r="D20" s="62">
        <v>5.59</v>
      </c>
      <c r="E20" s="62">
        <v>5.65</v>
      </c>
      <c r="F20" s="175">
        <f t="shared" si="1"/>
        <v>0.28955127072589276</v>
      </c>
      <c r="G20" s="258"/>
      <c r="H20" s="258"/>
      <c r="I20" s="492"/>
      <c r="J20" s="119">
        <v>10</v>
      </c>
      <c r="K20" s="179">
        <f t="shared" si="0"/>
        <v>0</v>
      </c>
      <c r="L20" s="73"/>
      <c r="M20" s="40">
        <v>1.9823087481772217</v>
      </c>
      <c r="N20" s="402"/>
      <c r="O20" s="390" t="e">
        <f>(H20-H19)/H19</f>
        <v>#DIV/0!</v>
      </c>
      <c r="P20" s="73"/>
    </row>
    <row r="21" spans="2:16" x14ac:dyDescent="0.25">
      <c r="B21" s="201"/>
      <c r="C21" s="68">
        <v>2017</v>
      </c>
      <c r="D21" s="62"/>
      <c r="E21" s="62">
        <v>10</v>
      </c>
      <c r="F21" s="175">
        <f t="shared" si="1"/>
        <v>0.76991150442477863</v>
      </c>
      <c r="G21" s="258"/>
      <c r="H21" s="258">
        <f>E21</f>
        <v>10</v>
      </c>
      <c r="I21" s="492">
        <f>E21</f>
        <v>10</v>
      </c>
      <c r="J21" s="119">
        <v>10</v>
      </c>
      <c r="K21" s="179">
        <f t="shared" si="0"/>
        <v>0</v>
      </c>
      <c r="L21" s="73"/>
      <c r="M21" s="40">
        <v>2.0595965815900206</v>
      </c>
      <c r="N21" s="402" t="e">
        <f t="shared" ref="N21:N29" si="2">(G21-G20)/G20</f>
        <v>#DIV/0!</v>
      </c>
      <c r="O21" s="390" t="e">
        <f>(H21-H20)/H20</f>
        <v>#DIV/0!</v>
      </c>
      <c r="P21" s="73"/>
    </row>
    <row r="22" spans="2:16" x14ac:dyDescent="0.25">
      <c r="B22" s="202"/>
      <c r="C22" s="69">
        <v>2018</v>
      </c>
      <c r="D22" s="109"/>
      <c r="E22" s="109"/>
      <c r="F22" s="187"/>
      <c r="G22" s="374"/>
      <c r="H22" s="375"/>
      <c r="I22" s="391">
        <f t="shared" ref="I22:I31" si="3">1.045*I21</f>
        <v>10.45</v>
      </c>
      <c r="J22" s="119">
        <v>10</v>
      </c>
      <c r="K22" s="179">
        <f t="shared" si="0"/>
        <v>0</v>
      </c>
      <c r="L22" s="73"/>
      <c r="M22" s="40">
        <v>2.1417978227423928</v>
      </c>
      <c r="N22" s="402" t="e">
        <f t="shared" si="2"/>
        <v>#DIV/0!</v>
      </c>
      <c r="O22" s="390">
        <f>(H22-H21)/H21</f>
        <v>-1</v>
      </c>
      <c r="P22" s="73"/>
    </row>
    <row r="23" spans="2:16" x14ac:dyDescent="0.25">
      <c r="B23" s="202"/>
      <c r="C23" s="69">
        <v>2019</v>
      </c>
      <c r="D23" s="109"/>
      <c r="E23" s="109"/>
      <c r="F23" s="187"/>
      <c r="G23" s="374"/>
      <c r="H23" s="375"/>
      <c r="I23" s="391">
        <f t="shared" si="3"/>
        <v>10.920249999999999</v>
      </c>
      <c r="J23" s="119">
        <v>10</v>
      </c>
      <c r="K23" s="179">
        <f t="shared" si="0"/>
        <v>0</v>
      </c>
      <c r="L23" s="73"/>
      <c r="M23" s="40">
        <v>2.2269690287708093</v>
      </c>
      <c r="N23" s="402" t="e">
        <f t="shared" si="2"/>
        <v>#DIV/0!</v>
      </c>
      <c r="O23" s="390" t="e">
        <f>(H23-H22)/H22</f>
        <v>#DIV/0!</v>
      </c>
      <c r="P23" s="73"/>
    </row>
    <row r="24" spans="2:16" x14ac:dyDescent="0.25">
      <c r="B24" s="202"/>
      <c r="C24" s="69">
        <v>2020</v>
      </c>
      <c r="D24" s="109"/>
      <c r="E24" s="109"/>
      <c r="F24" s="187"/>
      <c r="G24" s="374"/>
      <c r="H24" s="375"/>
      <c r="I24" s="391">
        <f t="shared" si="3"/>
        <v>11.411661249999998</v>
      </c>
      <c r="J24" s="119">
        <v>10</v>
      </c>
      <c r="K24" s="179">
        <f t="shared" si="0"/>
        <v>0</v>
      </c>
      <c r="L24" s="73"/>
      <c r="M24" s="40">
        <v>2.3151863699314537</v>
      </c>
      <c r="N24" s="402" t="e">
        <f t="shared" si="2"/>
        <v>#DIV/0!</v>
      </c>
      <c r="O24" s="390" t="e">
        <f>(H24-H23)/H23</f>
        <v>#DIV/0!</v>
      </c>
      <c r="P24" s="73"/>
    </row>
    <row r="25" spans="2:16" x14ac:dyDescent="0.25">
      <c r="B25" s="202"/>
      <c r="C25" s="69">
        <v>2021</v>
      </c>
      <c r="D25" s="109"/>
      <c r="E25" s="109"/>
      <c r="F25" s="187"/>
      <c r="G25" s="374"/>
      <c r="H25" s="375"/>
      <c r="I25" s="391">
        <f t="shared" si="3"/>
        <v>11.925186006249998</v>
      </c>
      <c r="J25" s="119">
        <v>10</v>
      </c>
      <c r="K25" s="179">
        <f t="shared" si="0"/>
        <v>0</v>
      </c>
      <c r="L25" s="73"/>
      <c r="M25" s="40"/>
      <c r="N25" s="402" t="e">
        <f t="shared" si="2"/>
        <v>#DIV/0!</v>
      </c>
      <c r="O25" s="390"/>
      <c r="P25" s="73"/>
    </row>
    <row r="26" spans="2:16" x14ac:dyDescent="0.25">
      <c r="B26" s="202"/>
      <c r="C26" s="69">
        <v>2022</v>
      </c>
      <c r="D26" s="109"/>
      <c r="E26" s="109"/>
      <c r="F26" s="187"/>
      <c r="G26" s="374"/>
      <c r="H26" s="375"/>
      <c r="I26" s="391">
        <f t="shared" si="3"/>
        <v>12.461819376531247</v>
      </c>
      <c r="J26" s="119">
        <v>10</v>
      </c>
      <c r="K26" s="179">
        <f t="shared" si="0"/>
        <v>0</v>
      </c>
      <c r="L26" s="73"/>
      <c r="M26" s="40"/>
      <c r="N26" s="402" t="e">
        <f t="shared" si="2"/>
        <v>#DIV/0!</v>
      </c>
      <c r="O26" s="390"/>
      <c r="P26" s="73"/>
    </row>
    <row r="27" spans="2:16" x14ac:dyDescent="0.25">
      <c r="B27" s="202"/>
      <c r="C27" s="69">
        <v>2023</v>
      </c>
      <c r="D27" s="109"/>
      <c r="E27" s="109"/>
      <c r="F27" s="187"/>
      <c r="G27" s="374"/>
      <c r="H27" s="375"/>
      <c r="I27" s="391">
        <f t="shared" si="3"/>
        <v>13.022601248475153</v>
      </c>
      <c r="J27" s="119">
        <v>10</v>
      </c>
      <c r="K27" s="179">
        <f t="shared" si="0"/>
        <v>0</v>
      </c>
      <c r="L27" s="73"/>
      <c r="M27" s="40"/>
      <c r="N27" s="402" t="e">
        <f t="shared" si="2"/>
        <v>#DIV/0!</v>
      </c>
      <c r="O27" s="390"/>
      <c r="P27" s="73"/>
    </row>
    <row r="28" spans="2:16" x14ac:dyDescent="0.25">
      <c r="B28" s="202"/>
      <c r="C28" s="69">
        <v>2024</v>
      </c>
      <c r="D28" s="109"/>
      <c r="E28" s="109"/>
      <c r="F28" s="187"/>
      <c r="G28" s="374"/>
      <c r="H28" s="375"/>
      <c r="I28" s="391">
        <f t="shared" si="3"/>
        <v>13.608618304656535</v>
      </c>
      <c r="J28" s="119">
        <v>10</v>
      </c>
      <c r="K28" s="179">
        <f t="shared" si="0"/>
        <v>0</v>
      </c>
      <c r="L28" s="116"/>
      <c r="M28" s="258"/>
      <c r="N28" s="402" t="e">
        <f t="shared" si="2"/>
        <v>#DIV/0!</v>
      </c>
      <c r="P28" s="73"/>
    </row>
    <row r="29" spans="2:16" x14ac:dyDescent="0.25">
      <c r="B29" s="202"/>
      <c r="C29" s="69">
        <v>2025</v>
      </c>
      <c r="D29" s="109"/>
      <c r="E29" s="109"/>
      <c r="F29" s="187"/>
      <c r="G29" s="374"/>
      <c r="H29" s="375"/>
      <c r="I29" s="391">
        <f t="shared" si="3"/>
        <v>14.221006128366078</v>
      </c>
      <c r="J29" s="119">
        <v>10</v>
      </c>
      <c r="K29" s="179">
        <f t="shared" si="0"/>
        <v>0</v>
      </c>
      <c r="L29" s="5"/>
      <c r="M29" s="386"/>
      <c r="N29" s="402" t="e">
        <f t="shared" si="2"/>
        <v>#DIV/0!</v>
      </c>
    </row>
    <row r="30" spans="2:16" x14ac:dyDescent="0.25">
      <c r="B30" s="202"/>
      <c r="C30" s="69">
        <v>2026</v>
      </c>
      <c r="D30" s="109"/>
      <c r="E30" s="109"/>
      <c r="F30" s="187"/>
      <c r="G30" s="374"/>
      <c r="H30" s="375"/>
      <c r="I30" s="391">
        <f t="shared" si="3"/>
        <v>14.860951404142551</v>
      </c>
      <c r="J30" s="119">
        <v>10</v>
      </c>
      <c r="K30" s="179">
        <f t="shared" si="0"/>
        <v>0</v>
      </c>
      <c r="L30" s="5"/>
      <c r="M30" s="386"/>
      <c r="N30" s="389" t="e">
        <f>AVERAGE(N21:N29)</f>
        <v>#DIV/0!</v>
      </c>
      <c r="O30" s="397" t="e">
        <f>AVERAGE(O21:O24)</f>
        <v>#DIV/0!</v>
      </c>
    </row>
    <row r="31" spans="2:16" ht="15.75" thickBot="1" x14ac:dyDescent="0.3">
      <c r="B31" s="203"/>
      <c r="C31" s="252">
        <v>2027</v>
      </c>
      <c r="D31" s="247"/>
      <c r="E31" s="247"/>
      <c r="F31" s="253"/>
      <c r="G31" s="376"/>
      <c r="H31" s="377"/>
      <c r="I31" s="392">
        <f t="shared" si="3"/>
        <v>15.529694217328965</v>
      </c>
      <c r="J31" s="193">
        <v>10</v>
      </c>
      <c r="K31" s="181">
        <f t="shared" si="0"/>
        <v>0</v>
      </c>
      <c r="L31" s="5"/>
      <c r="M31" s="386"/>
    </row>
    <row r="32" spans="2:16" x14ac:dyDescent="0.25">
      <c r="F32" s="403">
        <f>AVERAGE(F7:F21)</f>
        <v>0.11717400338681527</v>
      </c>
      <c r="K32" s="10"/>
      <c r="L32" s="5"/>
      <c r="M32" s="386"/>
    </row>
    <row r="33" spans="2:12" x14ac:dyDescent="0.25">
      <c r="K33" s="10"/>
      <c r="L33" s="5"/>
    </row>
    <row r="34" spans="2:12" ht="15.75" thickBot="1" x14ac:dyDescent="0.3">
      <c r="K34" s="10"/>
      <c r="L34" s="5"/>
    </row>
    <row r="35" spans="2:12" ht="20.100000000000001" customHeight="1" thickBot="1" x14ac:dyDescent="0.3">
      <c r="C35" s="1037" t="s">
        <v>226</v>
      </c>
      <c r="D35" s="1038"/>
      <c r="E35" s="1038"/>
      <c r="F35" s="1038"/>
      <c r="G35" s="1038"/>
      <c r="H35" s="1038"/>
      <c r="I35" s="1038"/>
      <c r="J35" s="1038"/>
      <c r="K35" s="1039"/>
      <c r="L35" s="5"/>
    </row>
    <row r="36" spans="2:12" ht="15.95" customHeight="1" thickBot="1" x14ac:dyDescent="0.3">
      <c r="C36" s="1201" t="s">
        <v>309</v>
      </c>
      <c r="D36" s="1202"/>
      <c r="E36" s="1202"/>
      <c r="F36" s="1202"/>
      <c r="G36" s="1202"/>
      <c r="H36" s="1202"/>
      <c r="I36" s="1202"/>
      <c r="J36" s="1202"/>
      <c r="K36" s="1203"/>
      <c r="L36" s="5"/>
    </row>
    <row r="37" spans="2:12" ht="15.95" customHeight="1" thickBot="1" x14ac:dyDescent="0.3">
      <c r="B37" s="1051" t="s">
        <v>26</v>
      </c>
      <c r="C37" s="1043" t="s">
        <v>35</v>
      </c>
      <c r="D37" s="1045" t="s">
        <v>110</v>
      </c>
      <c r="E37" s="1046"/>
      <c r="F37" s="1047"/>
      <c r="G37" s="1045" t="s">
        <v>74</v>
      </c>
      <c r="H37" s="1047"/>
      <c r="I37" s="1043" t="s">
        <v>180</v>
      </c>
      <c r="J37" s="1043" t="s">
        <v>268</v>
      </c>
      <c r="K37" s="1049" t="s">
        <v>269</v>
      </c>
      <c r="L37" s="5"/>
    </row>
    <row r="38" spans="2:12" ht="35.1" customHeight="1" thickBot="1" x14ac:dyDescent="0.3">
      <c r="B38" s="1051"/>
      <c r="C38" s="1044"/>
      <c r="D38" s="541" t="s">
        <v>174</v>
      </c>
      <c r="E38" s="541" t="s">
        <v>122</v>
      </c>
      <c r="F38" s="541" t="s">
        <v>81</v>
      </c>
      <c r="G38" s="537" t="s">
        <v>170</v>
      </c>
      <c r="H38" s="538" t="s">
        <v>270</v>
      </c>
      <c r="I38" s="1044"/>
      <c r="J38" s="1044"/>
      <c r="K38" s="1175"/>
      <c r="L38" s="5"/>
    </row>
    <row r="39" spans="2:12" ht="15" customHeight="1" x14ac:dyDescent="0.25">
      <c r="B39" s="68">
        <v>2003</v>
      </c>
      <c r="C39" s="810">
        <v>37826.927083333336</v>
      </c>
      <c r="D39" s="648">
        <v>2.95</v>
      </c>
      <c r="E39" s="648">
        <v>3.01</v>
      </c>
      <c r="F39" s="643"/>
      <c r="G39" s="657"/>
      <c r="H39" s="657"/>
      <c r="I39" s="579">
        <f>1*10</f>
        <v>10</v>
      </c>
      <c r="J39" s="579">
        <f>I39-10</f>
        <v>0</v>
      </c>
      <c r="K39" s="679">
        <f>E39/I39</f>
        <v>0.30099999999999999</v>
      </c>
      <c r="L39" s="5"/>
    </row>
    <row r="40" spans="2:12" ht="15" customHeight="1" x14ac:dyDescent="0.25">
      <c r="B40" s="68">
        <v>2004</v>
      </c>
      <c r="C40" s="582">
        <v>38149.864583333336</v>
      </c>
      <c r="D40" s="650">
        <v>3.09</v>
      </c>
      <c r="E40" s="650">
        <v>3.18</v>
      </c>
      <c r="F40" s="644">
        <f>(E40-E39)/E39</f>
        <v>5.6478405315614745E-2</v>
      </c>
      <c r="G40" s="658"/>
      <c r="H40" s="658"/>
      <c r="I40" s="581">
        <f t="shared" ref="I40:I63" si="4">1*10</f>
        <v>10</v>
      </c>
      <c r="J40" s="581">
        <f t="shared" ref="J40:J63" si="5">I40-10</f>
        <v>0</v>
      </c>
      <c r="K40" s="680">
        <f t="shared" ref="K40:K53" si="6">E40/I40</f>
        <v>0.318</v>
      </c>
      <c r="L40" s="5"/>
    </row>
    <row r="41" spans="2:12" ht="15" customHeight="1" x14ac:dyDescent="0.25">
      <c r="B41" s="68">
        <v>2005</v>
      </c>
      <c r="C41" s="582">
        <v>38572.875</v>
      </c>
      <c r="D41" s="650">
        <v>3.28</v>
      </c>
      <c r="E41" s="650">
        <v>3.37</v>
      </c>
      <c r="F41" s="644">
        <f t="shared" ref="F41:F53" si="7">(E41-E40)/E40</f>
        <v>5.9748427672955955E-2</v>
      </c>
      <c r="G41" s="658"/>
      <c r="H41" s="658"/>
      <c r="I41" s="581">
        <f t="shared" si="4"/>
        <v>10</v>
      </c>
      <c r="J41" s="581">
        <f t="shared" si="5"/>
        <v>0</v>
      </c>
      <c r="K41" s="680">
        <f t="shared" si="6"/>
        <v>0.33700000000000002</v>
      </c>
      <c r="L41" s="5"/>
    </row>
    <row r="42" spans="2:12" ht="15" customHeight="1" x14ac:dyDescent="0.25">
      <c r="B42" s="68">
        <v>2006</v>
      </c>
      <c r="C42" s="582">
        <v>38832.8125</v>
      </c>
      <c r="D42" s="650">
        <v>3.12</v>
      </c>
      <c r="E42" s="650">
        <v>3.33</v>
      </c>
      <c r="F42" s="644">
        <f t="shared" si="7"/>
        <v>-1.1869436201780426E-2</v>
      </c>
      <c r="G42" s="658"/>
      <c r="H42" s="658"/>
      <c r="I42" s="581">
        <f t="shared" si="4"/>
        <v>10</v>
      </c>
      <c r="J42" s="581">
        <f t="shared" si="5"/>
        <v>0</v>
      </c>
      <c r="K42" s="680">
        <f t="shared" si="6"/>
        <v>0.33300000000000002</v>
      </c>
      <c r="L42" s="5"/>
    </row>
    <row r="43" spans="2:12" ht="15" customHeight="1" x14ac:dyDescent="0.25">
      <c r="B43" s="68">
        <v>2007</v>
      </c>
      <c r="C43" s="582">
        <v>39296.875</v>
      </c>
      <c r="D43" s="650">
        <v>3.51</v>
      </c>
      <c r="E43" s="650">
        <v>3.59</v>
      </c>
      <c r="F43" s="644">
        <f t="shared" si="7"/>
        <v>7.8078078078078011E-2</v>
      </c>
      <c r="G43" s="658"/>
      <c r="H43" s="658"/>
      <c r="I43" s="581">
        <f t="shared" si="4"/>
        <v>10</v>
      </c>
      <c r="J43" s="581">
        <f t="shared" si="5"/>
        <v>0</v>
      </c>
      <c r="K43" s="680">
        <f t="shared" si="6"/>
        <v>0.35899999999999999</v>
      </c>
      <c r="L43" s="5"/>
    </row>
    <row r="44" spans="2:12" ht="15" customHeight="1" x14ac:dyDescent="0.25">
      <c r="B44" s="68">
        <v>2008</v>
      </c>
      <c r="C44" s="582">
        <v>39507.895833333336</v>
      </c>
      <c r="D44" s="650">
        <v>2.94</v>
      </c>
      <c r="E44" s="650">
        <v>3.18</v>
      </c>
      <c r="F44" s="644">
        <f t="shared" si="7"/>
        <v>-0.11420612813370466</v>
      </c>
      <c r="G44" s="658"/>
      <c r="H44" s="658"/>
      <c r="I44" s="581">
        <f t="shared" si="4"/>
        <v>10</v>
      </c>
      <c r="J44" s="581">
        <f t="shared" si="5"/>
        <v>0</v>
      </c>
      <c r="K44" s="680">
        <f t="shared" si="6"/>
        <v>0.318</v>
      </c>
      <c r="L44" s="5"/>
    </row>
    <row r="45" spans="2:12" ht="15" customHeight="1" x14ac:dyDescent="0.25">
      <c r="B45" s="68">
        <v>2009</v>
      </c>
      <c r="C45" s="582">
        <v>39906.833333333336</v>
      </c>
      <c r="D45" s="650">
        <v>3.41</v>
      </c>
      <c r="E45" s="650">
        <v>3.7</v>
      </c>
      <c r="F45" s="644">
        <f t="shared" si="7"/>
        <v>0.16352201257861634</v>
      </c>
      <c r="G45" s="658"/>
      <c r="H45" s="658"/>
      <c r="I45" s="581">
        <f t="shared" si="4"/>
        <v>10</v>
      </c>
      <c r="J45" s="581">
        <f t="shared" si="5"/>
        <v>0</v>
      </c>
      <c r="K45" s="680">
        <f t="shared" si="6"/>
        <v>0.37</v>
      </c>
      <c r="L45" s="5"/>
    </row>
    <row r="46" spans="2:12" ht="15" customHeight="1" x14ac:dyDescent="0.25">
      <c r="B46" s="68">
        <v>2010</v>
      </c>
      <c r="C46" s="582">
        <v>40393.875</v>
      </c>
      <c r="D46" s="650">
        <v>2.88</v>
      </c>
      <c r="E46" s="650">
        <v>2.9265344436722422</v>
      </c>
      <c r="F46" s="644">
        <f t="shared" si="7"/>
        <v>-0.20904474495344808</v>
      </c>
      <c r="G46" s="658"/>
      <c r="H46" s="658"/>
      <c r="I46" s="581">
        <f t="shared" si="4"/>
        <v>10</v>
      </c>
      <c r="J46" s="581">
        <f t="shared" si="5"/>
        <v>0</v>
      </c>
      <c r="K46" s="680">
        <f t="shared" si="6"/>
        <v>0.29265344436722424</v>
      </c>
      <c r="L46" s="5"/>
    </row>
    <row r="47" spans="2:12" ht="15" customHeight="1" x14ac:dyDescent="0.25">
      <c r="B47" s="68">
        <v>2011</v>
      </c>
      <c r="C47" s="582">
        <v>40757.885416666664</v>
      </c>
      <c r="D47" s="650">
        <v>4.67</v>
      </c>
      <c r="E47" s="650">
        <v>4.7722929792166999</v>
      </c>
      <c r="F47" s="644">
        <f t="shared" si="7"/>
        <v>0.63069769759086891</v>
      </c>
      <c r="G47" s="658"/>
      <c r="H47" s="658"/>
      <c r="I47" s="581">
        <f t="shared" si="4"/>
        <v>10</v>
      </c>
      <c r="J47" s="581">
        <f t="shared" si="5"/>
        <v>0</v>
      </c>
      <c r="K47" s="680">
        <f t="shared" si="6"/>
        <v>0.47722929792167001</v>
      </c>
      <c r="L47" s="5"/>
    </row>
    <row r="48" spans="2:12" ht="15" customHeight="1" x14ac:dyDescent="0.25">
      <c r="B48" s="68">
        <v>2012</v>
      </c>
      <c r="C48" s="582">
        <v>40977.875</v>
      </c>
      <c r="D48" s="650">
        <v>3.85</v>
      </c>
      <c r="E48" s="650">
        <v>4.08289324234629</v>
      </c>
      <c r="F48" s="644">
        <f t="shared" si="7"/>
        <v>-0.14445880415824019</v>
      </c>
      <c r="G48" s="658"/>
      <c r="H48" s="658"/>
      <c r="I48" s="581">
        <f t="shared" si="4"/>
        <v>10</v>
      </c>
      <c r="J48" s="581">
        <f t="shared" si="5"/>
        <v>0</v>
      </c>
      <c r="K48" s="680">
        <f t="shared" si="6"/>
        <v>0.40828932423462899</v>
      </c>
    </row>
    <row r="49" spans="2:13" ht="15" customHeight="1" x14ac:dyDescent="0.25">
      <c r="B49" s="68">
        <v>2013</v>
      </c>
      <c r="C49" s="582">
        <v>41596.875</v>
      </c>
      <c r="D49" s="650">
        <v>3.97</v>
      </c>
      <c r="E49" s="650">
        <v>4.1635504026031676</v>
      </c>
      <c r="F49" s="644">
        <f t="shared" si="7"/>
        <v>1.9754903072245599E-2</v>
      </c>
      <c r="G49" s="658"/>
      <c r="H49" s="658"/>
      <c r="I49" s="581">
        <f t="shared" si="4"/>
        <v>10</v>
      </c>
      <c r="J49" s="581">
        <f t="shared" si="5"/>
        <v>0</v>
      </c>
      <c r="K49" s="680">
        <f t="shared" si="6"/>
        <v>0.41635504026031678</v>
      </c>
    </row>
    <row r="50" spans="2:13" ht="15" customHeight="1" x14ac:dyDescent="0.25">
      <c r="B50" s="68">
        <v>2014</v>
      </c>
      <c r="C50" s="582">
        <v>41670.958333333336</v>
      </c>
      <c r="D50" s="650">
        <v>4.0599999999999996</v>
      </c>
      <c r="E50" s="650">
        <v>4.25</v>
      </c>
      <c r="F50" s="644">
        <f t="shared" si="7"/>
        <v>2.0763432416425594E-2</v>
      </c>
      <c r="G50" s="658"/>
      <c r="H50" s="658"/>
      <c r="I50" s="581">
        <f t="shared" si="4"/>
        <v>10</v>
      </c>
      <c r="J50" s="581">
        <f t="shared" si="5"/>
        <v>0</v>
      </c>
      <c r="K50" s="680">
        <f t="shared" si="6"/>
        <v>0.42499999999999999</v>
      </c>
    </row>
    <row r="51" spans="2:13" ht="15" customHeight="1" x14ac:dyDescent="0.25">
      <c r="B51" s="68">
        <v>2015</v>
      </c>
      <c r="C51" s="582">
        <v>42131.84375</v>
      </c>
      <c r="D51" s="650">
        <v>4.26</v>
      </c>
      <c r="E51" s="650">
        <v>4.3813690298793597</v>
      </c>
      <c r="F51" s="644">
        <f t="shared" si="7"/>
        <v>3.0910359971614051E-2</v>
      </c>
      <c r="G51" s="658"/>
      <c r="H51" s="658"/>
      <c r="I51" s="581">
        <f t="shared" si="4"/>
        <v>10</v>
      </c>
      <c r="J51" s="581">
        <f t="shared" si="5"/>
        <v>0</v>
      </c>
      <c r="K51" s="680">
        <f t="shared" si="6"/>
        <v>0.43813690298793595</v>
      </c>
    </row>
    <row r="52" spans="2:13" ht="15" customHeight="1" x14ac:dyDescent="0.25">
      <c r="B52" s="68">
        <v>2016</v>
      </c>
      <c r="C52" s="582">
        <v>42543.864583333336</v>
      </c>
      <c r="D52" s="650">
        <v>5.59</v>
      </c>
      <c r="E52" s="650">
        <v>5.65</v>
      </c>
      <c r="F52" s="644">
        <f t="shared" si="7"/>
        <v>0.28955127072589276</v>
      </c>
      <c r="G52" s="659"/>
      <c r="H52" s="658"/>
      <c r="I52" s="581">
        <f t="shared" si="4"/>
        <v>10</v>
      </c>
      <c r="J52" s="581">
        <f t="shared" si="5"/>
        <v>0</v>
      </c>
      <c r="K52" s="680">
        <f t="shared" si="6"/>
        <v>0.56500000000000006</v>
      </c>
    </row>
    <row r="53" spans="2:13" ht="15" customHeight="1" x14ac:dyDescent="0.25">
      <c r="B53" s="68">
        <v>2017</v>
      </c>
      <c r="C53" s="582">
        <v>42885.84375</v>
      </c>
      <c r="D53" s="649">
        <v>5.09</v>
      </c>
      <c r="E53" s="650">
        <v>5.15</v>
      </c>
      <c r="F53" s="644">
        <f t="shared" si="7"/>
        <v>-8.8495575221238937E-2</v>
      </c>
      <c r="G53" s="659"/>
      <c r="H53" s="658">
        <f>E53</f>
        <v>5.15</v>
      </c>
      <c r="I53" s="581">
        <f t="shared" si="4"/>
        <v>10</v>
      </c>
      <c r="J53" s="581">
        <f t="shared" si="5"/>
        <v>0</v>
      </c>
      <c r="K53" s="680">
        <f t="shared" si="6"/>
        <v>0.51500000000000001</v>
      </c>
    </row>
    <row r="54" spans="2:13" ht="15" customHeight="1" x14ac:dyDescent="0.25">
      <c r="B54" s="69">
        <v>2018</v>
      </c>
      <c r="C54" s="720">
        <v>2018</v>
      </c>
      <c r="D54" s="651"/>
      <c r="E54" s="652"/>
      <c r="F54" s="794"/>
      <c r="G54" s="660">
        <f>0.1541*B54-305.74</f>
        <v>5.2337999999999738</v>
      </c>
      <c r="H54" s="661">
        <f>0.1541+H53</f>
        <v>5.3041</v>
      </c>
      <c r="I54" s="584">
        <f t="shared" si="4"/>
        <v>10</v>
      </c>
      <c r="J54" s="584">
        <f t="shared" si="5"/>
        <v>0</v>
      </c>
      <c r="K54" s="684">
        <f>H54/I54</f>
        <v>0.53041000000000005</v>
      </c>
    </row>
    <row r="55" spans="2:13" ht="15" customHeight="1" x14ac:dyDescent="0.25">
      <c r="B55" s="69">
        <v>2019</v>
      </c>
      <c r="C55" s="720">
        <v>2019</v>
      </c>
      <c r="D55" s="651"/>
      <c r="E55" s="652"/>
      <c r="F55" s="794"/>
      <c r="G55" s="660">
        <f t="shared" ref="G55:G63" si="8">0.1541*B55-305.74</f>
        <v>5.3878999999999451</v>
      </c>
      <c r="H55" s="661">
        <f t="shared" ref="H55:H63" si="9">0.1541+H54</f>
        <v>5.4581999999999997</v>
      </c>
      <c r="I55" s="584">
        <f t="shared" si="4"/>
        <v>10</v>
      </c>
      <c r="J55" s="584">
        <f t="shared" si="5"/>
        <v>0</v>
      </c>
      <c r="K55" s="684">
        <f t="shared" ref="K55:K62" si="10">H55/I55</f>
        <v>0.54581999999999997</v>
      </c>
    </row>
    <row r="56" spans="2:13" ht="15" customHeight="1" x14ac:dyDescent="0.25">
      <c r="B56" s="69">
        <v>2020</v>
      </c>
      <c r="C56" s="720">
        <v>2020</v>
      </c>
      <c r="D56" s="651"/>
      <c r="E56" s="652"/>
      <c r="F56" s="794"/>
      <c r="G56" s="660">
        <f t="shared" si="8"/>
        <v>5.5419999999999732</v>
      </c>
      <c r="H56" s="661">
        <f t="shared" si="9"/>
        <v>5.6122999999999994</v>
      </c>
      <c r="I56" s="584">
        <f t="shared" si="4"/>
        <v>10</v>
      </c>
      <c r="J56" s="584">
        <f t="shared" si="5"/>
        <v>0</v>
      </c>
      <c r="K56" s="684">
        <f>H56/I56</f>
        <v>0.5612299999999999</v>
      </c>
    </row>
    <row r="57" spans="2:13" ht="15" customHeight="1" x14ac:dyDescent="0.25">
      <c r="B57" s="69">
        <v>2021</v>
      </c>
      <c r="C57" s="720">
        <v>2021</v>
      </c>
      <c r="D57" s="651"/>
      <c r="E57" s="652"/>
      <c r="F57" s="794"/>
      <c r="G57" s="660">
        <f t="shared" si="8"/>
        <v>5.6960999999999444</v>
      </c>
      <c r="H57" s="661">
        <f t="shared" si="9"/>
        <v>5.7663999999999991</v>
      </c>
      <c r="I57" s="584">
        <f t="shared" si="4"/>
        <v>10</v>
      </c>
      <c r="J57" s="584">
        <f t="shared" si="5"/>
        <v>0</v>
      </c>
      <c r="K57" s="684">
        <f t="shared" si="10"/>
        <v>0.57663999999999993</v>
      </c>
    </row>
    <row r="58" spans="2:13" ht="15" customHeight="1" x14ac:dyDescent="0.25">
      <c r="B58" s="69">
        <v>2022</v>
      </c>
      <c r="C58" s="720">
        <v>2022</v>
      </c>
      <c r="D58" s="651"/>
      <c r="E58" s="652"/>
      <c r="F58" s="645"/>
      <c r="G58" s="660">
        <f t="shared" si="8"/>
        <v>5.8501999999999725</v>
      </c>
      <c r="H58" s="661">
        <f t="shared" si="9"/>
        <v>5.9204999999999988</v>
      </c>
      <c r="I58" s="584">
        <f t="shared" si="4"/>
        <v>10</v>
      </c>
      <c r="J58" s="584">
        <f t="shared" si="5"/>
        <v>0</v>
      </c>
      <c r="K58" s="684">
        <f t="shared" si="10"/>
        <v>0.59204999999999985</v>
      </c>
    </row>
    <row r="59" spans="2:13" ht="15" customHeight="1" x14ac:dyDescent="0.25">
      <c r="B59" s="69">
        <v>2023</v>
      </c>
      <c r="C59" s="720">
        <v>2023</v>
      </c>
      <c r="D59" s="651"/>
      <c r="E59" s="652"/>
      <c r="F59" s="645"/>
      <c r="G59" s="660">
        <f t="shared" si="8"/>
        <v>6.0042999999999438</v>
      </c>
      <c r="H59" s="661">
        <f t="shared" si="9"/>
        <v>6.0745999999999984</v>
      </c>
      <c r="I59" s="584">
        <f t="shared" si="4"/>
        <v>10</v>
      </c>
      <c r="J59" s="584">
        <f t="shared" si="5"/>
        <v>0</v>
      </c>
      <c r="K59" s="684">
        <f>H59/I59</f>
        <v>0.60745999999999989</v>
      </c>
    </row>
    <row r="60" spans="2:13" ht="15" customHeight="1" x14ac:dyDescent="0.25">
      <c r="B60" s="69">
        <v>2024</v>
      </c>
      <c r="C60" s="720">
        <v>2024</v>
      </c>
      <c r="D60" s="651"/>
      <c r="E60" s="652"/>
      <c r="F60" s="645"/>
      <c r="G60" s="660">
        <f t="shared" si="8"/>
        <v>6.1583999999999719</v>
      </c>
      <c r="H60" s="661">
        <f t="shared" si="9"/>
        <v>6.2286999999999981</v>
      </c>
      <c r="I60" s="584">
        <f t="shared" si="4"/>
        <v>10</v>
      </c>
      <c r="J60" s="584">
        <f t="shared" si="5"/>
        <v>0</v>
      </c>
      <c r="K60" s="684">
        <f t="shared" si="10"/>
        <v>0.62286999999999981</v>
      </c>
    </row>
    <row r="61" spans="2:13" ht="15" customHeight="1" x14ac:dyDescent="0.25">
      <c r="B61" s="69">
        <v>2025</v>
      </c>
      <c r="C61" s="720">
        <v>2025</v>
      </c>
      <c r="D61" s="651"/>
      <c r="E61" s="652"/>
      <c r="F61" s="645"/>
      <c r="G61" s="660">
        <f t="shared" si="8"/>
        <v>6.3124999999999432</v>
      </c>
      <c r="H61" s="661">
        <f t="shared" si="9"/>
        <v>6.3827999999999978</v>
      </c>
      <c r="I61" s="584">
        <f t="shared" si="4"/>
        <v>10</v>
      </c>
      <c r="J61" s="584">
        <f t="shared" si="5"/>
        <v>0</v>
      </c>
      <c r="K61" s="684">
        <f t="shared" si="10"/>
        <v>0.63827999999999974</v>
      </c>
    </row>
    <row r="62" spans="2:13" ht="15" customHeight="1" x14ac:dyDescent="0.25">
      <c r="B62" s="69">
        <v>2026</v>
      </c>
      <c r="C62" s="720">
        <v>2026</v>
      </c>
      <c r="D62" s="651"/>
      <c r="E62" s="652"/>
      <c r="F62" s="645"/>
      <c r="G62" s="660">
        <f t="shared" si="8"/>
        <v>6.4665999999999713</v>
      </c>
      <c r="H62" s="661">
        <f t="shared" si="9"/>
        <v>6.5368999999999975</v>
      </c>
      <c r="I62" s="584">
        <f t="shared" si="4"/>
        <v>10</v>
      </c>
      <c r="J62" s="584">
        <f t="shared" si="5"/>
        <v>0</v>
      </c>
      <c r="K62" s="684">
        <f t="shared" si="10"/>
        <v>0.65368999999999977</v>
      </c>
    </row>
    <row r="63" spans="2:13" ht="15" customHeight="1" thickBot="1" x14ac:dyDescent="0.3">
      <c r="B63" s="252">
        <v>2027</v>
      </c>
      <c r="C63" s="793">
        <v>2027</v>
      </c>
      <c r="D63" s="655"/>
      <c r="E63" s="656"/>
      <c r="F63" s="646"/>
      <c r="G63" s="662">
        <f t="shared" si="8"/>
        <v>6.6206999999999425</v>
      </c>
      <c r="H63" s="663">
        <f t="shared" si="9"/>
        <v>6.6909999999999972</v>
      </c>
      <c r="I63" s="586">
        <f t="shared" si="4"/>
        <v>10</v>
      </c>
      <c r="J63" s="586">
        <f t="shared" si="5"/>
        <v>0</v>
      </c>
      <c r="K63" s="686">
        <f>H63/I63</f>
        <v>0.66909999999999969</v>
      </c>
    </row>
    <row r="64" spans="2:13" ht="15" customHeight="1" x14ac:dyDescent="0.25">
      <c r="F64" s="143">
        <f>AVERAGE(F39:F63)</f>
        <v>5.5816421339564271E-2</v>
      </c>
      <c r="H64">
        <f>0.043*H53</f>
        <v>0.22145000000000001</v>
      </c>
      <c r="M64"/>
    </row>
    <row r="65" spans="3:13" x14ac:dyDescent="0.25">
      <c r="M65"/>
    </row>
    <row r="66" spans="3:13" x14ac:dyDescent="0.25">
      <c r="C66" s="122"/>
      <c r="D66" s="122"/>
      <c r="E66" s="122"/>
      <c r="F66" s="122"/>
      <c r="G66" s="75"/>
      <c r="H66" s="75"/>
    </row>
    <row r="67" spans="3:13" x14ac:dyDescent="0.25">
      <c r="C67" s="75"/>
      <c r="D67" s="75"/>
      <c r="E67" s="75"/>
      <c r="F67" s="75"/>
      <c r="G67" s="75"/>
      <c r="H67" s="75"/>
    </row>
    <row r="68" spans="3:13" x14ac:dyDescent="0.25">
      <c r="C68" s="75"/>
      <c r="D68" s="75"/>
      <c r="E68" s="75"/>
      <c r="F68" s="75"/>
      <c r="G68" s="75"/>
      <c r="H68" s="75"/>
    </row>
    <row r="99" spans="1:20" ht="18" x14ac:dyDescent="0.25">
      <c r="A99" s="1093" t="s">
        <v>247</v>
      </c>
      <c r="B99" s="1093"/>
      <c r="C99" s="1093"/>
      <c r="D99" s="1093"/>
      <c r="E99" s="1093"/>
      <c r="F99" s="1093"/>
      <c r="G99" s="1093"/>
      <c r="H99" s="1093"/>
      <c r="I99" s="1093"/>
      <c r="J99" s="1093"/>
      <c r="K99" s="1093"/>
      <c r="L99" s="1093"/>
      <c r="M99" s="1093"/>
      <c r="N99" s="1093"/>
      <c r="O99" s="1093"/>
      <c r="P99" s="1093"/>
      <c r="Q99" s="1093"/>
      <c r="R99" s="1093"/>
      <c r="S99" s="1093"/>
      <c r="T99" s="1093"/>
    </row>
    <row r="100" spans="1:20" ht="18" x14ac:dyDescent="0.25">
      <c r="A100" s="1094" t="s">
        <v>248</v>
      </c>
      <c r="B100" s="1094"/>
      <c r="C100" s="1094"/>
      <c r="D100" s="1094"/>
      <c r="E100" s="1094"/>
      <c r="F100" s="1094"/>
      <c r="G100" s="1094"/>
      <c r="H100" s="1094"/>
      <c r="I100" s="1094"/>
      <c r="J100" s="1094"/>
      <c r="K100" s="1094"/>
      <c r="L100" s="1094"/>
      <c r="M100" s="1094"/>
      <c r="N100" s="1094"/>
      <c r="O100" s="1094"/>
      <c r="P100" s="1094"/>
      <c r="Q100" s="1094"/>
      <c r="R100" s="1094"/>
      <c r="S100" s="1094"/>
      <c r="T100" s="1094"/>
    </row>
    <row r="101" spans="1:20" ht="15.75" thickBot="1" x14ac:dyDescent="0.3">
      <c r="A101" s="452"/>
      <c r="B101" s="452"/>
      <c r="C101" s="452"/>
      <c r="D101" s="452"/>
      <c r="E101" s="452"/>
      <c r="F101" s="452"/>
      <c r="G101" s="452"/>
      <c r="H101" s="453"/>
      <c r="I101" s="452"/>
      <c r="J101" s="454"/>
      <c r="K101" s="453"/>
      <c r="L101" s="452"/>
      <c r="M101" s="454"/>
      <c r="N101" s="453"/>
      <c r="O101" s="452"/>
      <c r="P101" s="454"/>
      <c r="Q101" s="453"/>
      <c r="R101" s="452"/>
      <c r="S101" s="449"/>
      <c r="T101" s="450"/>
    </row>
    <row r="102" spans="1:20" x14ac:dyDescent="0.25">
      <c r="A102" s="1095" t="s">
        <v>249</v>
      </c>
      <c r="B102" s="1098" t="s">
        <v>250</v>
      </c>
      <c r="C102" s="1101" t="s">
        <v>251</v>
      </c>
      <c r="D102" s="1063" t="s">
        <v>252</v>
      </c>
      <c r="E102" s="1065"/>
      <c r="F102" s="1066">
        <v>2017</v>
      </c>
      <c r="G102" s="1064"/>
      <c r="H102" s="1106"/>
      <c r="I102" s="1063">
        <f>+F102+1</f>
        <v>2018</v>
      </c>
      <c r="J102" s="1064"/>
      <c r="K102" s="1065"/>
      <c r="L102" s="1066">
        <f>+I102+1</f>
        <v>2019</v>
      </c>
      <c r="M102" s="1064"/>
      <c r="N102" s="1106"/>
      <c r="O102" s="1063">
        <f>+L102+1</f>
        <v>2020</v>
      </c>
      <c r="P102" s="1064"/>
      <c r="Q102" s="1065"/>
      <c r="R102" s="1066">
        <f>+O102+1</f>
        <v>2021</v>
      </c>
      <c r="S102" s="1064"/>
      <c r="T102" s="1065"/>
    </row>
    <row r="103" spans="1:20" x14ac:dyDescent="0.25">
      <c r="A103" s="1096"/>
      <c r="B103" s="1099"/>
      <c r="C103" s="1102"/>
      <c r="D103" s="1104"/>
      <c r="E103" s="1105"/>
      <c r="F103" s="455" t="s">
        <v>253</v>
      </c>
      <c r="G103" s="1067" t="s">
        <v>254</v>
      </c>
      <c r="H103" s="1068"/>
      <c r="I103" s="456" t="s">
        <v>253</v>
      </c>
      <c r="J103" s="1067" t="s">
        <v>254</v>
      </c>
      <c r="K103" s="1069"/>
      <c r="L103" s="455" t="s">
        <v>253</v>
      </c>
      <c r="M103" s="1067" t="s">
        <v>254</v>
      </c>
      <c r="N103" s="1068"/>
      <c r="O103" s="456" t="s">
        <v>253</v>
      </c>
      <c r="P103" s="1067" t="s">
        <v>254</v>
      </c>
      <c r="Q103" s="1069"/>
      <c r="R103" s="455" t="s">
        <v>253</v>
      </c>
      <c r="S103" s="1067" t="s">
        <v>254</v>
      </c>
      <c r="T103" s="1069"/>
    </row>
    <row r="104" spans="1:20" ht="15.75" thickBot="1" x14ac:dyDescent="0.3">
      <c r="A104" s="1097"/>
      <c r="B104" s="1100"/>
      <c r="C104" s="1103"/>
      <c r="D104" s="1091" t="s">
        <v>255</v>
      </c>
      <c r="E104" s="1092"/>
      <c r="F104" s="457" t="s">
        <v>255</v>
      </c>
      <c r="G104" s="458" t="s">
        <v>255</v>
      </c>
      <c r="H104" s="459" t="s">
        <v>256</v>
      </c>
      <c r="I104" s="460" t="s">
        <v>255</v>
      </c>
      <c r="J104" s="461" t="s">
        <v>255</v>
      </c>
      <c r="K104" s="462" t="s">
        <v>256</v>
      </c>
      <c r="L104" s="457" t="s">
        <v>255</v>
      </c>
      <c r="M104" s="461" t="s">
        <v>255</v>
      </c>
      <c r="N104" s="459" t="s">
        <v>256</v>
      </c>
      <c r="O104" s="460" t="s">
        <v>255</v>
      </c>
      <c r="P104" s="461" t="s">
        <v>255</v>
      </c>
      <c r="Q104" s="462" t="s">
        <v>256</v>
      </c>
      <c r="R104" s="457" t="s">
        <v>255</v>
      </c>
      <c r="S104" s="461" t="s">
        <v>255</v>
      </c>
      <c r="T104" s="462" t="s">
        <v>256</v>
      </c>
    </row>
    <row r="105" spans="1:20" x14ac:dyDescent="0.25">
      <c r="B105" s="796" t="s">
        <v>9</v>
      </c>
      <c r="C105" s="666" t="s">
        <v>24</v>
      </c>
      <c r="D105" s="641">
        <v>10</v>
      </c>
      <c r="E105" s="688">
        <v>10</v>
      </c>
      <c r="F105" s="689">
        <v>10</v>
      </c>
      <c r="G105" s="797">
        <v>5.8929499999999999</v>
      </c>
      <c r="H105" s="691">
        <v>0.58929500000000001</v>
      </c>
      <c r="I105" s="689">
        <v>10</v>
      </c>
      <c r="J105" s="797">
        <v>6.1463468499999996</v>
      </c>
      <c r="K105" s="691">
        <v>0.61463468499999996</v>
      </c>
      <c r="L105" s="689">
        <v>10</v>
      </c>
      <c r="M105" s="797">
        <v>6.4106397645499991</v>
      </c>
      <c r="N105" s="691">
        <v>0.64106397645499991</v>
      </c>
      <c r="O105" s="689">
        <v>10</v>
      </c>
      <c r="P105" s="797">
        <v>6.6862972744256481</v>
      </c>
      <c r="Q105" s="691">
        <v>0.66862972744256477</v>
      </c>
      <c r="R105" s="641">
        <v>10</v>
      </c>
      <c r="S105" s="797">
        <v>6.9738080572259502</v>
      </c>
      <c r="T105" s="691">
        <v>0.69738080572259498</v>
      </c>
    </row>
    <row r="106" spans="1:20" x14ac:dyDescent="0.25">
      <c r="J106">
        <f>1.043*G105</f>
        <v>6.1463468499999996</v>
      </c>
      <c r="M106">
        <f>1.043*J105</f>
        <v>6.4106397645499991</v>
      </c>
      <c r="P106">
        <f>1.043*M105</f>
        <v>6.6862972744256481</v>
      </c>
      <c r="S106">
        <f>1.043*P105</f>
        <v>6.9738080572259502</v>
      </c>
    </row>
    <row r="107" spans="1:20" x14ac:dyDescent="0.25">
      <c r="I107" s="39">
        <v>2016</v>
      </c>
      <c r="J107" s="258"/>
    </row>
    <row r="108" spans="1:20" x14ac:dyDescent="0.25">
      <c r="I108" s="39">
        <v>2017</v>
      </c>
      <c r="J108" s="258"/>
    </row>
    <row r="109" spans="1:20" x14ac:dyDescent="0.25">
      <c r="I109" s="39">
        <v>2018</v>
      </c>
      <c r="J109" s="258"/>
    </row>
    <row r="110" spans="1:20" x14ac:dyDescent="0.25">
      <c r="I110" s="39">
        <v>2019</v>
      </c>
      <c r="J110" s="258"/>
    </row>
    <row r="111" spans="1:20" x14ac:dyDescent="0.25">
      <c r="I111" s="39">
        <v>2020</v>
      </c>
      <c r="J111" s="258"/>
    </row>
  </sheetData>
  <mergeCells count="34">
    <mergeCell ref="C35:K35"/>
    <mergeCell ref="C36:K36"/>
    <mergeCell ref="B37:B38"/>
    <mergeCell ref="C37:C38"/>
    <mergeCell ref="D37:F37"/>
    <mergeCell ref="B3:K3"/>
    <mergeCell ref="B4:K4"/>
    <mergeCell ref="C5:C6"/>
    <mergeCell ref="J5:J6"/>
    <mergeCell ref="K5:K6"/>
    <mergeCell ref="B5:B6"/>
    <mergeCell ref="G5:I5"/>
    <mergeCell ref="D5:F5"/>
    <mergeCell ref="G103:H103"/>
    <mergeCell ref="J37:J38"/>
    <mergeCell ref="K37:K38"/>
    <mergeCell ref="D104:E104"/>
    <mergeCell ref="J103:K103"/>
    <mergeCell ref="S103:T103"/>
    <mergeCell ref="G37:H37"/>
    <mergeCell ref="I37:I38"/>
    <mergeCell ref="A99:T99"/>
    <mergeCell ref="A100:T100"/>
    <mergeCell ref="A102:A104"/>
    <mergeCell ref="B102:B104"/>
    <mergeCell ref="C102:C104"/>
    <mergeCell ref="D102:E103"/>
    <mergeCell ref="F102:H102"/>
    <mergeCell ref="I102:K102"/>
    <mergeCell ref="L102:N102"/>
    <mergeCell ref="O102:Q102"/>
    <mergeCell ref="R102:T102"/>
    <mergeCell ref="P103:Q103"/>
    <mergeCell ref="M103:N103"/>
  </mergeCells>
  <conditionalFormatting sqref="H105 T105 Q105 N105 K105">
    <cfRule type="cellIs" dxfId="1" priority="1" operator="greaterThan">
      <formula>1</formula>
    </cfRule>
  </conditionalFormatting>
  <printOptions gridLines="1"/>
  <pageMargins left="0.11811023622047245" right="0.11811023622047245" top="0.15748031496062992" bottom="0.15748031496062992" header="0" footer="0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tabColor rgb="FFFFFF00"/>
  </sheetPr>
  <dimension ref="A2:X192"/>
  <sheetViews>
    <sheetView topLeftCell="A28" workbookViewId="0">
      <selection activeCell="M30" sqref="M30"/>
    </sheetView>
  </sheetViews>
  <sheetFormatPr baseColWidth="10" defaultRowHeight="15" x14ac:dyDescent="0.25"/>
  <cols>
    <col min="1" max="2" width="5.7109375" customWidth="1"/>
    <col min="3" max="3" width="7.7109375" customWidth="1"/>
    <col min="4" max="5" width="10.7109375" customWidth="1"/>
    <col min="6" max="6" width="11.7109375" customWidth="1"/>
    <col min="7" max="9" width="12.7109375" customWidth="1"/>
    <col min="10" max="11" width="10.7109375" customWidth="1"/>
    <col min="14" max="14" width="10.7109375" style="11" customWidth="1"/>
    <col min="15" max="17" width="11.42578125" style="11"/>
  </cols>
  <sheetData>
    <row r="2" spans="2:17" ht="15.75" thickBot="1" x14ac:dyDescent="0.3"/>
    <row r="3" spans="2:17" ht="15.95" customHeight="1" x14ac:dyDescent="0.25">
      <c r="B3" s="1112" t="s">
        <v>233</v>
      </c>
      <c r="C3" s="1113"/>
      <c r="D3" s="1113"/>
      <c r="E3" s="1113"/>
      <c r="F3" s="1113"/>
      <c r="G3" s="1113"/>
      <c r="H3" s="1113"/>
      <c r="I3" s="1113"/>
      <c r="J3" s="1113"/>
      <c r="K3" s="1114"/>
      <c r="L3" s="72"/>
      <c r="M3" s="13"/>
      <c r="N3" s="351"/>
      <c r="O3" s="351"/>
    </row>
    <row r="4" spans="2:17" ht="15.95" customHeight="1" x14ac:dyDescent="0.25">
      <c r="B4" s="1295" t="s">
        <v>234</v>
      </c>
      <c r="C4" s="1296"/>
      <c r="D4" s="1296"/>
      <c r="E4" s="1296"/>
      <c r="F4" s="1296"/>
      <c r="G4" s="1296"/>
      <c r="H4" s="1296"/>
      <c r="I4" s="1296"/>
      <c r="J4" s="1296"/>
      <c r="K4" s="1297"/>
      <c r="L4" s="43"/>
      <c r="M4" s="13"/>
      <c r="N4" s="351"/>
      <c r="O4" s="351"/>
    </row>
    <row r="5" spans="2:17" ht="15.95" customHeight="1" x14ac:dyDescent="0.25">
      <c r="B5" s="1194" t="s">
        <v>124</v>
      </c>
      <c r="C5" s="1195" t="s">
        <v>26</v>
      </c>
      <c r="D5" s="1034" t="s">
        <v>110</v>
      </c>
      <c r="E5" s="1035"/>
      <c r="F5" s="1036"/>
      <c r="G5" s="1197" t="s">
        <v>75</v>
      </c>
      <c r="H5" s="1198"/>
      <c r="I5" s="1199"/>
      <c r="J5" s="1030" t="s">
        <v>105</v>
      </c>
      <c r="K5" s="1200" t="s">
        <v>112</v>
      </c>
      <c r="L5" s="43"/>
    </row>
    <row r="6" spans="2:17" s="10" customFormat="1" ht="39.950000000000003" customHeight="1" x14ac:dyDescent="0.25">
      <c r="B6" s="1119"/>
      <c r="C6" s="1316"/>
      <c r="D6" s="330" t="s">
        <v>118</v>
      </c>
      <c r="E6" s="330" t="s">
        <v>116</v>
      </c>
      <c r="F6" s="330" t="s">
        <v>81</v>
      </c>
      <c r="G6" s="38" t="s">
        <v>113</v>
      </c>
      <c r="H6" s="38" t="s">
        <v>232</v>
      </c>
      <c r="I6" s="38" t="s">
        <v>130</v>
      </c>
      <c r="J6" s="1032"/>
      <c r="K6" s="1124"/>
      <c r="L6" s="200" t="s">
        <v>206</v>
      </c>
      <c r="M6" s="306" t="s">
        <v>131</v>
      </c>
      <c r="N6" s="7"/>
      <c r="O6" s="7"/>
      <c r="P6" s="7"/>
      <c r="Q6" s="7"/>
    </row>
    <row r="7" spans="2:17" s="10" customFormat="1" ht="15" customHeight="1" x14ac:dyDescent="0.25">
      <c r="B7" s="348">
        <v>1</v>
      </c>
      <c r="C7" s="68">
        <v>2003</v>
      </c>
      <c r="D7" s="77">
        <v>5.53</v>
      </c>
      <c r="E7" s="53">
        <v>5.67</v>
      </c>
      <c r="F7" s="347"/>
      <c r="G7" s="60"/>
      <c r="H7" s="60"/>
      <c r="I7" s="60"/>
      <c r="J7" s="61">
        <f t="shared" ref="J7:J16" si="0">1*15+4*5</f>
        <v>35</v>
      </c>
      <c r="K7" s="179">
        <f t="shared" ref="K7:K16" si="1">J7-15</f>
        <v>20</v>
      </c>
      <c r="L7" s="39"/>
      <c r="M7" s="349"/>
      <c r="N7" s="7"/>
      <c r="O7" s="7"/>
      <c r="P7" s="7"/>
      <c r="Q7" s="7"/>
    </row>
    <row r="8" spans="2:17" s="10" customFormat="1" ht="15" customHeight="1" x14ac:dyDescent="0.25">
      <c r="B8" s="348">
        <v>11</v>
      </c>
      <c r="C8" s="68">
        <v>2004</v>
      </c>
      <c r="D8" s="77">
        <v>4.8</v>
      </c>
      <c r="E8" s="53">
        <v>5.14</v>
      </c>
      <c r="F8" s="311">
        <f t="shared" ref="F8:F17" si="2">(E8-E7)/E7</f>
        <v>-9.3474426807760191E-2</v>
      </c>
      <c r="G8" s="60"/>
      <c r="H8" s="60"/>
      <c r="I8" s="60"/>
      <c r="J8" s="62">
        <f t="shared" si="0"/>
        <v>35</v>
      </c>
      <c r="K8" s="179">
        <f t="shared" si="1"/>
        <v>20</v>
      </c>
      <c r="L8" s="39"/>
      <c r="M8" s="349"/>
      <c r="N8" s="7"/>
      <c r="O8" s="7"/>
      <c r="P8" s="7"/>
      <c r="Q8" s="7"/>
    </row>
    <row r="9" spans="2:17" s="10" customFormat="1" ht="15" customHeight="1" x14ac:dyDescent="0.25">
      <c r="B9" s="348">
        <v>12</v>
      </c>
      <c r="C9" s="68">
        <v>2005</v>
      </c>
      <c r="D9" s="77">
        <v>6.88</v>
      </c>
      <c r="E9" s="53">
        <v>7.21</v>
      </c>
      <c r="F9" s="311">
        <f t="shared" si="2"/>
        <v>0.40272373540856038</v>
      </c>
      <c r="G9" s="60"/>
      <c r="H9" s="60"/>
      <c r="I9" s="60"/>
      <c r="J9" s="62">
        <f t="shared" si="0"/>
        <v>35</v>
      </c>
      <c r="K9" s="179">
        <f t="shared" si="1"/>
        <v>20</v>
      </c>
      <c r="L9" s="39"/>
      <c r="M9" s="349"/>
      <c r="N9" s="7"/>
      <c r="O9" s="7"/>
      <c r="P9" s="7"/>
      <c r="Q9" s="7"/>
    </row>
    <row r="10" spans="2:17" s="10" customFormat="1" ht="15" customHeight="1" x14ac:dyDescent="0.25">
      <c r="B10" s="348">
        <v>2</v>
      </c>
      <c r="C10" s="68">
        <v>2006</v>
      </c>
      <c r="D10" s="77">
        <v>6.96</v>
      </c>
      <c r="E10" s="53">
        <v>8.3800000000000008</v>
      </c>
      <c r="F10" s="311">
        <f t="shared" si="2"/>
        <v>0.16227461858529832</v>
      </c>
      <c r="G10" s="60"/>
      <c r="H10" s="60"/>
      <c r="I10" s="60"/>
      <c r="J10" s="62">
        <f t="shared" si="0"/>
        <v>35</v>
      </c>
      <c r="K10" s="179">
        <f t="shared" si="1"/>
        <v>20</v>
      </c>
      <c r="L10" s="39"/>
      <c r="M10" s="349"/>
      <c r="N10" s="7"/>
      <c r="O10" s="7"/>
      <c r="P10" s="7"/>
      <c r="Q10" s="7"/>
    </row>
    <row r="11" spans="2:17" x14ac:dyDescent="0.25">
      <c r="B11" s="201">
        <v>11</v>
      </c>
      <c r="C11" s="41">
        <v>2007</v>
      </c>
      <c r="D11" s="118">
        <v>13.32</v>
      </c>
      <c r="E11" s="100">
        <v>13.81</v>
      </c>
      <c r="F11" s="311">
        <f t="shared" si="2"/>
        <v>0.64797136038186143</v>
      </c>
      <c r="G11" s="42"/>
      <c r="H11" s="42"/>
      <c r="I11" s="42"/>
      <c r="J11" s="62">
        <f t="shared" si="0"/>
        <v>35</v>
      </c>
      <c r="K11" s="179">
        <f t="shared" si="1"/>
        <v>20</v>
      </c>
      <c r="L11" s="261"/>
      <c r="M11" s="350"/>
      <c r="P11" s="234">
        <v>36.973417882149896</v>
      </c>
    </row>
    <row r="12" spans="2:17" x14ac:dyDescent="0.25">
      <c r="B12" s="201">
        <v>9</v>
      </c>
      <c r="C12" s="41">
        <v>2008</v>
      </c>
      <c r="D12" s="118">
        <v>16.920000000000002</v>
      </c>
      <c r="E12" s="100">
        <v>17.88</v>
      </c>
      <c r="F12" s="311">
        <f t="shared" si="2"/>
        <v>0.2947139753801592</v>
      </c>
      <c r="G12" s="42"/>
      <c r="H12" s="42"/>
      <c r="I12" s="42"/>
      <c r="J12" s="62">
        <f t="shared" si="0"/>
        <v>35</v>
      </c>
      <c r="K12" s="179">
        <f t="shared" si="1"/>
        <v>20</v>
      </c>
      <c r="L12" s="261"/>
      <c r="M12" s="350"/>
      <c r="P12" s="7"/>
    </row>
    <row r="13" spans="2:17" x14ac:dyDescent="0.25">
      <c r="B13" s="201">
        <v>11</v>
      </c>
      <c r="C13" s="41">
        <v>2009</v>
      </c>
      <c r="D13" s="118">
        <v>20.53</v>
      </c>
      <c r="E13" s="100">
        <v>21.43</v>
      </c>
      <c r="F13" s="311">
        <f t="shared" si="2"/>
        <v>0.19854586129753921</v>
      </c>
      <c r="G13" s="42"/>
      <c r="H13" s="42"/>
      <c r="I13" s="42"/>
      <c r="J13" s="62">
        <f t="shared" si="0"/>
        <v>35</v>
      </c>
      <c r="K13" s="179">
        <f t="shared" si="1"/>
        <v>20</v>
      </c>
      <c r="L13" s="261"/>
      <c r="M13" s="350"/>
      <c r="P13" s="7"/>
    </row>
    <row r="14" spans="2:17" x14ac:dyDescent="0.25">
      <c r="B14" s="201">
        <v>3</v>
      </c>
      <c r="C14" s="41">
        <v>2010</v>
      </c>
      <c r="D14" s="118">
        <v>20.2</v>
      </c>
      <c r="E14" s="100">
        <v>21.25</v>
      </c>
      <c r="F14" s="311">
        <f t="shared" si="2"/>
        <v>-8.3994400373308322E-3</v>
      </c>
      <c r="G14" s="42"/>
      <c r="H14" s="42"/>
      <c r="I14" s="42"/>
      <c r="J14" s="62">
        <f t="shared" si="0"/>
        <v>35</v>
      </c>
      <c r="K14" s="179">
        <f t="shared" si="1"/>
        <v>20</v>
      </c>
      <c r="L14" s="261"/>
      <c r="M14" s="350"/>
      <c r="P14" s="7"/>
    </row>
    <row r="15" spans="2:17" x14ac:dyDescent="0.25">
      <c r="B15" s="201">
        <v>11</v>
      </c>
      <c r="C15" s="41">
        <v>2011</v>
      </c>
      <c r="D15" s="118">
        <v>20.68</v>
      </c>
      <c r="E15" s="100">
        <v>21.63</v>
      </c>
      <c r="F15" s="311">
        <f t="shared" si="2"/>
        <v>1.7882352941176422E-2</v>
      </c>
      <c r="G15" s="42"/>
      <c r="H15" s="42"/>
      <c r="I15" s="42"/>
      <c r="J15" s="62">
        <f t="shared" si="0"/>
        <v>35</v>
      </c>
      <c r="K15" s="179">
        <f t="shared" si="1"/>
        <v>20</v>
      </c>
      <c r="L15" s="261"/>
      <c r="M15" s="175"/>
      <c r="N15" s="328"/>
      <c r="O15" s="328"/>
      <c r="P15" s="7"/>
    </row>
    <row r="16" spans="2:17" x14ac:dyDescent="0.25">
      <c r="B16" s="201">
        <v>2</v>
      </c>
      <c r="C16" s="41">
        <v>2012</v>
      </c>
      <c r="D16" s="118">
        <v>19.23</v>
      </c>
      <c r="E16" s="100">
        <v>21.09</v>
      </c>
      <c r="F16" s="311">
        <f t="shared" si="2"/>
        <v>-2.4965325936199684E-2</v>
      </c>
      <c r="G16" s="42"/>
      <c r="H16" s="42"/>
      <c r="I16" s="42"/>
      <c r="J16" s="62">
        <f t="shared" si="0"/>
        <v>35</v>
      </c>
      <c r="K16" s="179">
        <f t="shared" si="1"/>
        <v>20</v>
      </c>
      <c r="L16" s="261"/>
      <c r="M16" s="175"/>
      <c r="N16" s="328"/>
      <c r="O16" s="328"/>
      <c r="P16" s="7"/>
    </row>
    <row r="17" spans="2:16" x14ac:dyDescent="0.25">
      <c r="B17" s="201">
        <v>1</v>
      </c>
      <c r="C17" s="41">
        <v>2013</v>
      </c>
      <c r="D17" s="119">
        <f>E17*L21</f>
        <v>19.250216846153847</v>
      </c>
      <c r="E17" s="62">
        <v>19.510000000000002</v>
      </c>
      <c r="F17" s="311">
        <f t="shared" si="2"/>
        <v>-7.4917022285443252E-2</v>
      </c>
      <c r="G17" s="42"/>
      <c r="H17" s="42"/>
      <c r="I17" s="42"/>
      <c r="J17" s="62">
        <f t="shared" ref="J17:J29" si="3">1*15+4*5</f>
        <v>35</v>
      </c>
      <c r="K17" s="179">
        <f t="shared" ref="K17:K29" si="4">J17-15</f>
        <v>20</v>
      </c>
      <c r="L17" s="261"/>
      <c r="M17" s="175"/>
      <c r="N17" s="328"/>
      <c r="O17" s="328"/>
      <c r="P17" s="9">
        <v>19.728417756547078</v>
      </c>
    </row>
    <row r="18" spans="2:16" x14ac:dyDescent="0.25">
      <c r="B18" s="201">
        <v>2</v>
      </c>
      <c r="C18" s="41">
        <v>2014</v>
      </c>
      <c r="D18" s="119">
        <f>E18*L21</f>
        <v>18.857404802347492</v>
      </c>
      <c r="E18" s="62">
        <v>19.111886927513069</v>
      </c>
      <c r="F18" s="311">
        <f>(E18-E17)/E17</f>
        <v>-2.0405590593897096E-2</v>
      </c>
      <c r="G18" s="42"/>
      <c r="H18" s="42"/>
      <c r="I18" s="42"/>
      <c r="J18" s="62">
        <f t="shared" si="3"/>
        <v>35</v>
      </c>
      <c r="K18" s="179">
        <f t="shared" si="4"/>
        <v>20</v>
      </c>
      <c r="L18" s="261"/>
      <c r="M18" s="175"/>
      <c r="N18" s="328"/>
      <c r="O18" s="328"/>
      <c r="P18" s="284">
        <v>18.491987722325607</v>
      </c>
    </row>
    <row r="19" spans="2:16" x14ac:dyDescent="0.25">
      <c r="B19" s="201">
        <v>6</v>
      </c>
      <c r="C19" s="41">
        <v>2015</v>
      </c>
      <c r="D19" s="119">
        <f>E19*L21</f>
        <v>18.122926962429563</v>
      </c>
      <c r="E19" s="62">
        <v>18.367497252772246</v>
      </c>
      <c r="F19" s="311">
        <f>(E19-E18)/E18</f>
        <v>-3.8949041377448479E-2</v>
      </c>
      <c r="G19" s="42"/>
      <c r="H19" s="40">
        <v>18.367497252772246</v>
      </c>
      <c r="I19" s="42">
        <f>E19</f>
        <v>18.367497252772246</v>
      </c>
      <c r="J19" s="62">
        <f t="shared" si="3"/>
        <v>35</v>
      </c>
      <c r="K19" s="179">
        <f t="shared" si="4"/>
        <v>20</v>
      </c>
      <c r="L19" s="261"/>
      <c r="M19" s="175"/>
      <c r="N19" s="469"/>
      <c r="O19" s="469"/>
      <c r="P19" s="308">
        <v>20.223389852437894</v>
      </c>
    </row>
    <row r="20" spans="2:16" x14ac:dyDescent="0.25">
      <c r="B20" s="202"/>
      <c r="C20" s="44">
        <v>2016</v>
      </c>
      <c r="D20" s="310"/>
      <c r="E20" s="105"/>
      <c r="F20" s="314"/>
      <c r="G20" s="368">
        <f>1.3867*C20-2770.5</f>
        <v>25.087199999999939</v>
      </c>
      <c r="H20" s="372">
        <f>1.0396*H19</f>
        <v>19.094850143982029</v>
      </c>
      <c r="I20" s="370">
        <f>1.045*I19</f>
        <v>19.194034629146994</v>
      </c>
      <c r="J20" s="62">
        <f t="shared" si="3"/>
        <v>35</v>
      </c>
      <c r="K20" s="179">
        <f t="shared" si="4"/>
        <v>20</v>
      </c>
      <c r="L20" s="261"/>
      <c r="M20" s="175"/>
      <c r="N20" s="472">
        <f>(H20-H19)/H19</f>
        <v>3.9600000000000114E-2</v>
      </c>
      <c r="O20" s="471"/>
    </row>
    <row r="21" spans="2:16" x14ac:dyDescent="0.25">
      <c r="B21" s="202"/>
      <c r="C21" s="44">
        <v>2017</v>
      </c>
      <c r="D21" s="310"/>
      <c r="E21" s="105"/>
      <c r="F21" s="314"/>
      <c r="G21" s="368">
        <f t="shared" ref="G21:G29" si="5">1.3867*C21-2770.5</f>
        <v>26.473899999999958</v>
      </c>
      <c r="H21" s="372">
        <f>1.0396*H20</f>
        <v>19.851006209683717</v>
      </c>
      <c r="I21" s="370">
        <f t="shared" ref="I21:I29" si="6">1.045*I20</f>
        <v>20.057766187458608</v>
      </c>
      <c r="J21" s="62">
        <f t="shared" si="3"/>
        <v>35</v>
      </c>
      <c r="K21" s="179">
        <f t="shared" si="4"/>
        <v>20</v>
      </c>
      <c r="L21" s="269">
        <v>0.98668461538461538</v>
      </c>
      <c r="M21" s="468">
        <f>(G21-G20)/G20</f>
        <v>5.5275200102044959E-2</v>
      </c>
      <c r="N21" s="472">
        <f>(H21-H20)/H20</f>
        <v>3.9600000000000003E-2</v>
      </c>
      <c r="O21" s="471"/>
    </row>
    <row r="22" spans="2:16" x14ac:dyDescent="0.25">
      <c r="B22" s="202"/>
      <c r="C22" s="44">
        <v>2018</v>
      </c>
      <c r="D22" s="310"/>
      <c r="E22" s="105"/>
      <c r="F22" s="314"/>
      <c r="G22" s="368">
        <f t="shared" si="5"/>
        <v>27.860599999999977</v>
      </c>
      <c r="H22" s="372">
        <f>1.0396*H21</f>
        <v>20.637106055587193</v>
      </c>
      <c r="I22" s="370">
        <f t="shared" si="6"/>
        <v>20.960365665894244</v>
      </c>
      <c r="J22" s="62">
        <f t="shared" si="3"/>
        <v>35</v>
      </c>
      <c r="K22" s="179">
        <f t="shared" si="4"/>
        <v>20</v>
      </c>
      <c r="L22" s="261"/>
      <c r="M22" s="468">
        <f t="shared" ref="M22:M27" si="7">(G22-G21)/G21</f>
        <v>5.2379891138065078E-2</v>
      </c>
      <c r="N22" s="472">
        <f>(H22-H21)/H21</f>
        <v>3.960000000000001E-2</v>
      </c>
      <c r="O22" s="471"/>
    </row>
    <row r="23" spans="2:16" x14ac:dyDescent="0.25">
      <c r="B23" s="202"/>
      <c r="C23" s="44">
        <v>2019</v>
      </c>
      <c r="D23" s="310"/>
      <c r="E23" s="105"/>
      <c r="F23" s="314"/>
      <c r="G23" s="368">
        <f t="shared" si="5"/>
        <v>29.247299999999996</v>
      </c>
      <c r="H23" s="372">
        <f>1.0396*H22</f>
        <v>21.454335455388446</v>
      </c>
      <c r="I23" s="370">
        <f t="shared" si="6"/>
        <v>21.903582120859483</v>
      </c>
      <c r="J23" s="62">
        <f t="shared" si="3"/>
        <v>35</v>
      </c>
      <c r="K23" s="179">
        <f t="shared" si="4"/>
        <v>20</v>
      </c>
      <c r="L23" s="268"/>
      <c r="M23" s="468">
        <f t="shared" si="7"/>
        <v>4.977279742719181E-2</v>
      </c>
      <c r="N23" s="472">
        <f>(H23-H22)/H22</f>
        <v>3.9599999999999996E-2</v>
      </c>
      <c r="O23" s="471"/>
    </row>
    <row r="24" spans="2:16" x14ac:dyDescent="0.25">
      <c r="B24" s="202"/>
      <c r="C24" s="44">
        <v>2020</v>
      </c>
      <c r="D24" s="310"/>
      <c r="E24" s="105"/>
      <c r="F24" s="314"/>
      <c r="G24" s="368">
        <f t="shared" si="5"/>
        <v>30.634000000000015</v>
      </c>
      <c r="H24" s="372">
        <f>1.0396*H23</f>
        <v>22.30392713942183</v>
      </c>
      <c r="I24" s="370">
        <f t="shared" si="6"/>
        <v>22.889243316298156</v>
      </c>
      <c r="J24" s="62">
        <f t="shared" si="3"/>
        <v>35</v>
      </c>
      <c r="K24" s="179">
        <f t="shared" si="4"/>
        <v>20</v>
      </c>
      <c r="L24" s="268"/>
      <c r="M24" s="468">
        <f t="shared" si="7"/>
        <v>4.7412923586109455E-2</v>
      </c>
      <c r="N24" s="472">
        <f>(H24-H23)/H23</f>
        <v>3.9600000000000107E-2</v>
      </c>
      <c r="O24" s="471"/>
    </row>
    <row r="25" spans="2:16" x14ac:dyDescent="0.25">
      <c r="B25" s="202"/>
      <c r="C25" s="44">
        <v>2021</v>
      </c>
      <c r="D25" s="310"/>
      <c r="E25" s="105"/>
      <c r="F25" s="314"/>
      <c r="G25" s="368">
        <f t="shared" si="5"/>
        <v>32.020700000000033</v>
      </c>
      <c r="H25" s="372"/>
      <c r="I25" s="370">
        <f t="shared" si="6"/>
        <v>23.919259265531572</v>
      </c>
      <c r="J25" s="62">
        <f t="shared" si="3"/>
        <v>35</v>
      </c>
      <c r="K25" s="179">
        <f t="shared" si="4"/>
        <v>20</v>
      </c>
      <c r="L25" s="470"/>
      <c r="M25" s="468">
        <f t="shared" si="7"/>
        <v>4.5266697133904105E-2</v>
      </c>
      <c r="N25" s="472"/>
      <c r="O25" s="471"/>
    </row>
    <row r="26" spans="2:16" x14ac:dyDescent="0.25">
      <c r="B26" s="202"/>
      <c r="C26" s="44">
        <v>2022</v>
      </c>
      <c r="D26" s="310"/>
      <c r="E26" s="105"/>
      <c r="F26" s="314"/>
      <c r="G26" s="368">
        <f t="shared" si="5"/>
        <v>33.407400000000052</v>
      </c>
      <c r="H26" s="372"/>
      <c r="I26" s="370">
        <f t="shared" si="6"/>
        <v>24.99562593248049</v>
      </c>
      <c r="J26" s="62">
        <f t="shared" si="3"/>
        <v>35</v>
      </c>
      <c r="K26" s="179">
        <f t="shared" si="4"/>
        <v>20</v>
      </c>
      <c r="L26" s="470"/>
      <c r="M26" s="468">
        <f>(G26-G25)/G25</f>
        <v>4.3306361197600847E-2</v>
      </c>
      <c r="N26" s="472"/>
      <c r="O26" s="471"/>
    </row>
    <row r="27" spans="2:16" x14ac:dyDescent="0.25">
      <c r="B27" s="202"/>
      <c r="C27" s="44">
        <v>2023</v>
      </c>
      <c r="D27" s="310"/>
      <c r="E27" s="105"/>
      <c r="F27" s="314"/>
      <c r="G27" s="368">
        <f t="shared" si="5"/>
        <v>34.794100000000071</v>
      </c>
      <c r="H27" s="372"/>
      <c r="I27" s="370">
        <f t="shared" si="6"/>
        <v>26.120429099442109</v>
      </c>
      <c r="J27" s="62">
        <f t="shared" si="3"/>
        <v>35</v>
      </c>
      <c r="K27" s="179">
        <f t="shared" si="4"/>
        <v>20</v>
      </c>
      <c r="L27" s="75"/>
      <c r="M27" s="468">
        <f t="shared" si="7"/>
        <v>4.1508767518574227E-2</v>
      </c>
      <c r="N27" s="472"/>
      <c r="O27" s="471"/>
    </row>
    <row r="28" spans="2:16" x14ac:dyDescent="0.25">
      <c r="B28" s="202"/>
      <c r="C28" s="44">
        <v>2024</v>
      </c>
      <c r="D28" s="310"/>
      <c r="E28" s="105"/>
      <c r="F28" s="314"/>
      <c r="G28" s="368">
        <f t="shared" si="5"/>
        <v>36.18080000000009</v>
      </c>
      <c r="H28" s="372"/>
      <c r="I28" s="370">
        <f t="shared" si="6"/>
        <v>27.295848408917003</v>
      </c>
      <c r="J28" s="62">
        <f t="shared" si="3"/>
        <v>35</v>
      </c>
      <c r="K28" s="179">
        <f t="shared" si="4"/>
        <v>20</v>
      </c>
      <c r="L28" s="75"/>
      <c r="M28" s="468">
        <f>(G28-G27)/G27</f>
        <v>3.9854458083411155E-2</v>
      </c>
      <c r="N28" s="472"/>
      <c r="O28" s="471"/>
    </row>
    <row r="29" spans="2:16" ht="15.75" thickBot="1" x14ac:dyDescent="0.3">
      <c r="B29" s="203"/>
      <c r="C29" s="191">
        <v>2025</v>
      </c>
      <c r="D29" s="365"/>
      <c r="E29" s="366"/>
      <c r="F29" s="367"/>
      <c r="G29" s="369">
        <f t="shared" si="5"/>
        <v>37.567500000000109</v>
      </c>
      <c r="H29" s="373"/>
      <c r="I29" s="371">
        <f t="shared" si="6"/>
        <v>28.524161587318265</v>
      </c>
      <c r="J29" s="183">
        <f t="shared" si="3"/>
        <v>35</v>
      </c>
      <c r="K29" s="181">
        <f t="shared" si="4"/>
        <v>20</v>
      </c>
      <c r="L29" s="75"/>
      <c r="M29" s="468">
        <f>(G29-G28)/G28</f>
        <v>3.8326957944545603E-2</v>
      </c>
      <c r="N29" s="472"/>
      <c r="O29" s="471"/>
    </row>
    <row r="30" spans="2:16" x14ac:dyDescent="0.25">
      <c r="L30" s="75"/>
      <c r="M30" s="364">
        <f>AVERAGE(M21:M29)</f>
        <v>4.5900450459049696E-2</v>
      </c>
      <c r="N30" s="418">
        <f>AVERAGE(N21:N24)</f>
        <v>3.9600000000000031E-2</v>
      </c>
      <c r="O30" s="471"/>
    </row>
    <row r="52" spans="3:16" x14ac:dyDescent="0.25">
      <c r="O52" s="11">
        <v>2023</v>
      </c>
      <c r="P52" s="11">
        <v>0</v>
      </c>
    </row>
    <row r="53" spans="3:16" x14ac:dyDescent="0.25">
      <c r="N53" s="352"/>
      <c r="O53" s="11">
        <v>2023</v>
      </c>
      <c r="P53" s="11">
        <v>5</v>
      </c>
    </row>
    <row r="54" spans="3:16" x14ac:dyDescent="0.25">
      <c r="O54" s="11">
        <v>2023</v>
      </c>
      <c r="P54" s="11">
        <v>10</v>
      </c>
    </row>
    <row r="55" spans="3:16" x14ac:dyDescent="0.25">
      <c r="O55" s="11">
        <v>2023</v>
      </c>
      <c r="P55" s="11">
        <v>15</v>
      </c>
    </row>
    <row r="56" spans="3:16" x14ac:dyDescent="0.25">
      <c r="O56" s="11">
        <v>2023</v>
      </c>
      <c r="P56" s="11">
        <v>20</v>
      </c>
    </row>
    <row r="57" spans="3:16" x14ac:dyDescent="0.25">
      <c r="O57" s="11">
        <v>2023</v>
      </c>
      <c r="P57" s="11">
        <v>25</v>
      </c>
    </row>
    <row r="58" spans="3:16" x14ac:dyDescent="0.25">
      <c r="O58" s="11">
        <v>2023</v>
      </c>
      <c r="P58" s="11">
        <v>30</v>
      </c>
    </row>
    <row r="59" spans="3:16" x14ac:dyDescent="0.25">
      <c r="O59" s="11">
        <v>2023</v>
      </c>
      <c r="P59" s="11">
        <v>35</v>
      </c>
    </row>
    <row r="62" spans="3:16" ht="15.75" thickBot="1" x14ac:dyDescent="0.3"/>
    <row r="63" spans="3:16" ht="15.75" thickBot="1" x14ac:dyDescent="0.3">
      <c r="C63" s="1290" t="s">
        <v>119</v>
      </c>
      <c r="D63" s="1291"/>
      <c r="E63" s="1291"/>
      <c r="F63" s="1291"/>
      <c r="G63" s="1291"/>
      <c r="H63" s="1291"/>
      <c r="I63" s="1291"/>
      <c r="J63" s="1291"/>
      <c r="K63" s="1291"/>
      <c r="L63" s="1291"/>
      <c r="M63" s="1292"/>
    </row>
    <row r="65" spans="1:24" ht="15" customHeight="1" x14ac:dyDescent="0.25">
      <c r="C65" s="1293" t="s">
        <v>121</v>
      </c>
      <c r="D65" s="1293"/>
      <c r="E65" s="1293"/>
      <c r="F65" s="1293"/>
      <c r="G65" s="1293"/>
      <c r="H65" s="1293"/>
      <c r="I65" s="1293"/>
      <c r="J65" s="1293"/>
      <c r="K65" s="1293"/>
      <c r="L65" s="1293"/>
      <c r="M65" s="1293"/>
    </row>
    <row r="66" spans="1:24" ht="15" customHeight="1" x14ac:dyDescent="0.25">
      <c r="C66" s="1293"/>
      <c r="D66" s="1293"/>
      <c r="E66" s="1293"/>
      <c r="F66" s="1293"/>
      <c r="G66" s="1293"/>
      <c r="H66" s="1293"/>
      <c r="I66" s="1293"/>
      <c r="J66" s="1293"/>
      <c r="K66" s="1293"/>
      <c r="L66" s="1293"/>
      <c r="M66" s="1293"/>
    </row>
    <row r="67" spans="1:24" x14ac:dyDescent="0.25">
      <c r="C67" s="1293" t="s">
        <v>120</v>
      </c>
      <c r="D67" s="1293"/>
      <c r="E67" s="1293"/>
      <c r="F67" s="1293"/>
      <c r="G67" s="1293"/>
      <c r="H67" s="1293"/>
      <c r="I67" s="1293"/>
      <c r="J67" s="1293"/>
      <c r="K67" s="1293"/>
      <c r="L67" s="1293"/>
      <c r="M67" s="1293"/>
    </row>
    <row r="68" spans="1:24" x14ac:dyDescent="0.25">
      <c r="C68" s="190"/>
      <c r="D68" s="190"/>
      <c r="E68" s="190"/>
      <c r="F68" s="190"/>
      <c r="G68" s="4">
        <v>2013</v>
      </c>
      <c r="H68" s="4">
        <v>2014</v>
      </c>
      <c r="I68" s="4">
        <v>2015</v>
      </c>
      <c r="J68" s="190"/>
      <c r="K68" s="190"/>
      <c r="L68" s="190"/>
      <c r="M68" s="190"/>
    </row>
    <row r="69" spans="1:24" x14ac:dyDescent="0.25">
      <c r="A69" s="218" t="s">
        <v>161</v>
      </c>
      <c r="B69" s="25"/>
      <c r="C69" s="221">
        <v>66</v>
      </c>
      <c r="D69" s="235"/>
      <c r="E69" s="11"/>
      <c r="F69" s="234"/>
      <c r="G69" s="11">
        <v>19.510000000000002</v>
      </c>
      <c r="H69" s="234">
        <v>19.111886927513069</v>
      </c>
      <c r="I69" s="285">
        <v>18.367497252772246</v>
      </c>
      <c r="J69" s="190"/>
      <c r="K69" s="190"/>
      <c r="L69" s="190"/>
      <c r="M69" s="190"/>
    </row>
    <row r="70" spans="1:24" ht="15.75" thickBot="1" x14ac:dyDescent="0.3">
      <c r="C70" s="1294"/>
      <c r="D70" s="1294"/>
      <c r="E70" s="1294"/>
      <c r="F70" s="1294"/>
      <c r="G70" s="1294"/>
      <c r="H70" s="1294"/>
      <c r="I70" s="1294"/>
      <c r="J70" s="1294"/>
      <c r="K70" s="1294"/>
      <c r="L70" s="1294"/>
      <c r="M70" s="1294"/>
    </row>
    <row r="71" spans="1:24" ht="16.5" thickBot="1" x14ac:dyDescent="0.3">
      <c r="A71" s="1271" t="s">
        <v>201</v>
      </c>
      <c r="B71" s="1272"/>
      <c r="C71" s="1272"/>
      <c r="D71" s="1272"/>
      <c r="E71" s="1272"/>
      <c r="F71" s="1272"/>
      <c r="G71" s="1272"/>
      <c r="H71" s="1272"/>
      <c r="I71" s="1272"/>
      <c r="J71" s="1272"/>
      <c r="K71" s="1272"/>
      <c r="L71" s="1272"/>
      <c r="M71" s="1272"/>
      <c r="N71" s="1272"/>
      <c r="O71" s="1272"/>
      <c r="P71" s="1272"/>
      <c r="Q71" s="1272"/>
      <c r="R71" s="1272"/>
      <c r="S71" s="1272"/>
      <c r="T71" s="1272"/>
      <c r="U71" s="1272"/>
      <c r="V71" s="1272"/>
      <c r="W71" s="1272"/>
      <c r="X71" s="1273"/>
    </row>
    <row r="72" spans="1:24" ht="15.75" thickBot="1" x14ac:dyDescent="0.3">
      <c r="A72" s="286"/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353"/>
      <c r="O72" s="353"/>
      <c r="P72" s="353"/>
      <c r="Q72" s="353"/>
      <c r="R72" s="286"/>
      <c r="S72" s="286"/>
      <c r="T72" s="286"/>
      <c r="U72" s="286"/>
      <c r="V72" s="286"/>
      <c r="W72" s="286"/>
      <c r="X72" s="286"/>
    </row>
    <row r="73" spans="1:24" ht="15.75" thickBot="1" x14ac:dyDescent="0.3">
      <c r="A73" s="287"/>
      <c r="B73" s="287"/>
      <c r="C73" s="288"/>
      <c r="D73" s="1274" t="s">
        <v>202</v>
      </c>
      <c r="E73" s="1277">
        <v>2016</v>
      </c>
      <c r="F73" s="1278"/>
      <c r="G73" s="1278"/>
      <c r="H73" s="1279"/>
      <c r="I73" s="1277">
        <f>+E73+1</f>
        <v>2017</v>
      </c>
      <c r="J73" s="1278"/>
      <c r="K73" s="1278"/>
      <c r="L73" s="1279"/>
      <c r="M73" s="1277">
        <f>+I73+1</f>
        <v>2018</v>
      </c>
      <c r="N73" s="1278"/>
      <c r="O73" s="1278"/>
      <c r="P73" s="1279"/>
      <c r="Q73" s="1277">
        <f>+M73+1</f>
        <v>2019</v>
      </c>
      <c r="R73" s="1278"/>
      <c r="S73" s="1278"/>
      <c r="T73" s="1279"/>
      <c r="U73" s="1277">
        <f>+Q73+1</f>
        <v>2020</v>
      </c>
      <c r="V73" s="1278"/>
      <c r="W73" s="1278"/>
      <c r="X73" s="1279"/>
    </row>
    <row r="74" spans="1:24" x14ac:dyDescent="0.25">
      <c r="A74" s="1280" t="s">
        <v>203</v>
      </c>
      <c r="B74" s="1282" t="s">
        <v>204</v>
      </c>
      <c r="C74" s="1284" t="s">
        <v>88</v>
      </c>
      <c r="D74" s="1275"/>
      <c r="E74" s="1286" t="s">
        <v>197</v>
      </c>
      <c r="F74" s="1287"/>
      <c r="G74" s="1286" t="s">
        <v>198</v>
      </c>
      <c r="H74" s="1288"/>
      <c r="I74" s="1286" t="s">
        <v>197</v>
      </c>
      <c r="J74" s="1288"/>
      <c r="K74" s="1289" t="s">
        <v>198</v>
      </c>
      <c r="L74" s="1288"/>
      <c r="M74" s="1286" t="s">
        <v>197</v>
      </c>
      <c r="N74" s="1288"/>
      <c r="O74" s="1314" t="s">
        <v>198</v>
      </c>
      <c r="P74" s="1315"/>
      <c r="Q74" s="1267" t="s">
        <v>197</v>
      </c>
      <c r="R74" s="1268"/>
      <c r="S74" s="1267" t="s">
        <v>198</v>
      </c>
      <c r="T74" s="1268"/>
      <c r="U74" s="1267" t="s">
        <v>197</v>
      </c>
      <c r="V74" s="1269"/>
      <c r="W74" s="1267" t="s">
        <v>198</v>
      </c>
      <c r="X74" s="1268"/>
    </row>
    <row r="75" spans="1:24" ht="15.75" thickBot="1" x14ac:dyDescent="0.3">
      <c r="A75" s="1281"/>
      <c r="B75" s="1283"/>
      <c r="C75" s="1285"/>
      <c r="D75" s="1276"/>
      <c r="E75" s="274" t="s">
        <v>199</v>
      </c>
      <c r="F75" s="275" t="s">
        <v>200</v>
      </c>
      <c r="G75" s="274" t="s">
        <v>199</v>
      </c>
      <c r="H75" s="276" t="s">
        <v>200</v>
      </c>
      <c r="I75" s="274" t="s">
        <v>199</v>
      </c>
      <c r="J75" s="276" t="s">
        <v>200</v>
      </c>
      <c r="K75" s="277" t="s">
        <v>199</v>
      </c>
      <c r="L75" s="276" t="s">
        <v>200</v>
      </c>
      <c r="M75" s="274" t="s">
        <v>199</v>
      </c>
      <c r="N75" s="354" t="s">
        <v>200</v>
      </c>
      <c r="O75" s="355" t="s">
        <v>199</v>
      </c>
      <c r="P75" s="354" t="s">
        <v>200</v>
      </c>
      <c r="Q75" s="355" t="s">
        <v>199</v>
      </c>
      <c r="R75" s="276" t="s">
        <v>200</v>
      </c>
      <c r="S75" s="274" t="s">
        <v>199</v>
      </c>
      <c r="T75" s="276" t="s">
        <v>200</v>
      </c>
      <c r="U75" s="274" t="s">
        <v>199</v>
      </c>
      <c r="V75" s="275" t="s">
        <v>200</v>
      </c>
      <c r="W75" s="274" t="s">
        <v>199</v>
      </c>
      <c r="X75" s="276" t="s">
        <v>200</v>
      </c>
    </row>
    <row r="76" spans="1:24" x14ac:dyDescent="0.25">
      <c r="A76" s="289" t="s">
        <v>205</v>
      </c>
      <c r="B76" s="290"/>
      <c r="C76" s="289" t="s">
        <v>161</v>
      </c>
      <c r="D76" s="292">
        <v>66</v>
      </c>
      <c r="E76" s="293">
        <v>12.435897113250766</v>
      </c>
      <c r="F76" s="294">
        <v>3.466859524752715</v>
      </c>
      <c r="G76" s="293">
        <v>4.1307130170724857</v>
      </c>
      <c r="H76" s="295">
        <v>0.94914081354450297</v>
      </c>
      <c r="I76" s="293">
        <v>12.920757781555553</v>
      </c>
      <c r="J76" s="295">
        <v>3.6020282070586602</v>
      </c>
      <c r="K76" s="296">
        <v>4.2062855910427945</v>
      </c>
      <c r="L76" s="295">
        <v>0.96650561570901317</v>
      </c>
      <c r="M76" s="293">
        <v>13.436442423764994</v>
      </c>
      <c r="N76" s="356">
        <v>3.7457899475532437</v>
      </c>
      <c r="O76" s="357">
        <v>4.284765755459353</v>
      </c>
      <c r="P76" s="358">
        <v>0.98453851385361246</v>
      </c>
      <c r="Q76" s="357">
        <v>13.970758965602796</v>
      </c>
      <c r="R76" s="295">
        <v>3.8947458592525726</v>
      </c>
      <c r="S76" s="296">
        <v>4.362626031048471</v>
      </c>
      <c r="T76" s="295">
        <v>1.0024289761079546</v>
      </c>
      <c r="U76" s="293">
        <v>14.524185256682372</v>
      </c>
      <c r="V76" s="294">
        <v>4.049029156308273</v>
      </c>
      <c r="W76" s="293">
        <v>4.4396246224198448</v>
      </c>
      <c r="X76" s="295">
        <v>1.0201214435715502</v>
      </c>
    </row>
    <row r="77" spans="1:24" x14ac:dyDescent="0.25">
      <c r="C77" s="5"/>
      <c r="E77">
        <f>SQRT(E76*E76+F76*F76)</f>
        <v>12.910098836791581</v>
      </c>
      <c r="I77">
        <f>SQRT(I76*I76+J76*J76)</f>
        <v>13.413448059841832</v>
      </c>
      <c r="M77">
        <f>SQRT(M76*M76+N76*N76)</f>
        <v>13.948796626890173</v>
      </c>
      <c r="Q77" s="11">
        <f>SQRT(Q76*Q76+R76*R76)</f>
        <v>14.503487559312621</v>
      </c>
      <c r="U77">
        <f>SQRT(U76*U76+V76*V76)</f>
        <v>15.078016927933994</v>
      </c>
    </row>
    <row r="78" spans="1:24" x14ac:dyDescent="0.25">
      <c r="C78" s="5"/>
    </row>
    <row r="79" spans="1:24" x14ac:dyDescent="0.25">
      <c r="C79" s="41">
        <v>2010</v>
      </c>
      <c r="D79" s="40"/>
      <c r="E79" s="74"/>
      <c r="F79" s="74"/>
      <c r="G79" s="11"/>
      <c r="H79" s="11"/>
    </row>
    <row r="80" spans="1:24" x14ac:dyDescent="0.25">
      <c r="C80" s="41">
        <v>2011</v>
      </c>
      <c r="D80" s="42"/>
      <c r="E80" s="74"/>
      <c r="F80" s="309"/>
      <c r="G80" s="309"/>
      <c r="H80" s="309"/>
      <c r="I80" s="331"/>
      <c r="J80" s="331"/>
      <c r="K80" s="331"/>
      <c r="L80" s="331"/>
      <c r="M80" s="331"/>
      <c r="N80" s="309"/>
    </row>
    <row r="81" spans="3:14" x14ac:dyDescent="0.25">
      <c r="C81" s="41">
        <v>2012</v>
      </c>
      <c r="D81" s="40"/>
      <c r="E81" s="74"/>
      <c r="F81" s="309"/>
      <c r="G81" s="309"/>
      <c r="H81" s="309"/>
      <c r="I81" s="331"/>
      <c r="J81" s="331"/>
      <c r="K81" s="331"/>
      <c r="L81" s="331"/>
      <c r="M81" s="331"/>
      <c r="N81" s="309"/>
    </row>
    <row r="82" spans="3:14" x14ac:dyDescent="0.25">
      <c r="C82" s="41">
        <v>2013</v>
      </c>
      <c r="D82" s="42">
        <v>19.510000000000002</v>
      </c>
      <c r="E82" s="74"/>
      <c r="F82" s="309"/>
      <c r="G82" s="309"/>
      <c r="H82" s="309"/>
      <c r="I82" s="331"/>
      <c r="J82" s="331"/>
      <c r="K82" s="331"/>
      <c r="L82" s="331"/>
      <c r="M82" s="331"/>
      <c r="N82" s="309"/>
    </row>
    <row r="83" spans="3:14" x14ac:dyDescent="0.25">
      <c r="C83" s="41">
        <v>2014</v>
      </c>
      <c r="D83" s="123">
        <v>19.111886927513069</v>
      </c>
      <c r="E83" s="74"/>
      <c r="F83" s="309"/>
      <c r="G83" s="309"/>
      <c r="H83" s="309"/>
      <c r="I83" s="331"/>
      <c r="J83" s="331"/>
      <c r="K83" s="331"/>
      <c r="L83" s="331"/>
      <c r="M83" s="331"/>
      <c r="N83" s="309"/>
    </row>
    <row r="84" spans="3:14" x14ac:dyDescent="0.25">
      <c r="C84" s="41">
        <v>2015</v>
      </c>
      <c r="D84" s="123">
        <v>18.367497252772246</v>
      </c>
      <c r="E84" s="74"/>
      <c r="F84" s="74"/>
      <c r="G84" s="11"/>
      <c r="H84" s="11"/>
    </row>
    <row r="85" spans="3:14" x14ac:dyDescent="0.25">
      <c r="C85" s="44">
        <v>2016</v>
      </c>
      <c r="D85" s="45">
        <f>E77</f>
        <v>12.910098836791581</v>
      </c>
      <c r="E85" s="74"/>
      <c r="F85" s="74"/>
      <c r="G85" s="11"/>
      <c r="H85" s="11"/>
    </row>
    <row r="86" spans="3:14" x14ac:dyDescent="0.25">
      <c r="C86" s="44">
        <v>2017</v>
      </c>
      <c r="D86" s="45">
        <f>I77</f>
        <v>13.413448059841832</v>
      </c>
      <c r="E86" s="74"/>
      <c r="F86" s="74"/>
      <c r="G86" s="11"/>
      <c r="H86" s="11"/>
    </row>
    <row r="87" spans="3:14" x14ac:dyDescent="0.25">
      <c r="C87" s="44">
        <v>2018</v>
      </c>
      <c r="D87" s="45">
        <f>M77</f>
        <v>13.948796626890173</v>
      </c>
      <c r="E87" s="74"/>
      <c r="F87" s="74"/>
      <c r="G87" s="11"/>
      <c r="H87" s="11"/>
    </row>
    <row r="88" spans="3:14" x14ac:dyDescent="0.25">
      <c r="C88" s="44">
        <v>2019</v>
      </c>
      <c r="D88" s="45">
        <f>Q77</f>
        <v>14.503487559312621</v>
      </c>
      <c r="E88" s="74"/>
      <c r="F88" s="74"/>
      <c r="G88" s="11"/>
      <c r="H88" s="11"/>
    </row>
    <row r="89" spans="3:14" x14ac:dyDescent="0.25">
      <c r="C89" s="44">
        <v>2020</v>
      </c>
      <c r="D89" s="45">
        <f>U77</f>
        <v>15.078016927933994</v>
      </c>
      <c r="E89" s="74"/>
      <c r="F89" s="74"/>
      <c r="G89" s="11"/>
      <c r="H89" s="11"/>
    </row>
    <row r="90" spans="3:14" x14ac:dyDescent="0.25">
      <c r="C90" s="73"/>
      <c r="D90" s="74"/>
      <c r="E90" s="74"/>
      <c r="F90" s="74"/>
      <c r="G90" s="11"/>
      <c r="H90" s="11"/>
    </row>
    <row r="187" spans="1:20" ht="18" x14ac:dyDescent="0.25">
      <c r="A187" s="1093" t="s">
        <v>247</v>
      </c>
      <c r="B187" s="1093"/>
      <c r="C187" s="1093"/>
      <c r="D187" s="1093"/>
      <c r="E187" s="1093"/>
      <c r="F187" s="1093"/>
      <c r="G187" s="1093"/>
      <c r="H187" s="1093"/>
      <c r="I187" s="1093"/>
      <c r="J187" s="1093"/>
      <c r="K187" s="1093"/>
      <c r="L187" s="1093"/>
      <c r="M187" s="1093"/>
      <c r="N187" s="1093"/>
      <c r="O187" s="1093"/>
      <c r="P187" s="1093"/>
      <c r="Q187" s="1093"/>
      <c r="R187" s="1093"/>
      <c r="S187" s="1093"/>
      <c r="T187" s="1093"/>
    </row>
    <row r="188" spans="1:20" ht="18" x14ac:dyDescent="0.25">
      <c r="A188" s="1094" t="s">
        <v>248</v>
      </c>
      <c r="B188" s="1094"/>
      <c r="C188" s="1094"/>
      <c r="D188" s="1094"/>
      <c r="E188" s="1094"/>
      <c r="F188" s="1094"/>
      <c r="G188" s="1094"/>
      <c r="H188" s="1094"/>
      <c r="I188" s="1094"/>
      <c r="J188" s="1094"/>
      <c r="K188" s="1094"/>
      <c r="L188" s="1094"/>
      <c r="M188" s="1094"/>
      <c r="N188" s="1094"/>
      <c r="O188" s="1094"/>
      <c r="P188" s="1094"/>
      <c r="Q188" s="1094"/>
      <c r="R188" s="1094"/>
      <c r="S188" s="1094"/>
      <c r="T188" s="1094"/>
    </row>
    <row r="189" spans="1:20" ht="15.75" thickBot="1" x14ac:dyDescent="0.3">
      <c r="A189" s="452"/>
      <c r="B189" s="452"/>
      <c r="C189" s="452"/>
      <c r="D189" s="452"/>
      <c r="E189" s="452"/>
      <c r="F189" s="452"/>
      <c r="G189" s="452"/>
      <c r="H189" s="453"/>
      <c r="I189" s="452"/>
      <c r="J189" s="454"/>
      <c r="K189" s="453"/>
      <c r="L189" s="452"/>
      <c r="M189" s="454"/>
      <c r="N189" s="453"/>
      <c r="O189" s="452"/>
      <c r="P189" s="454"/>
      <c r="Q189" s="453"/>
      <c r="R189" s="452"/>
      <c r="S189" s="449"/>
      <c r="T189" s="450"/>
    </row>
    <row r="190" spans="1:20" x14ac:dyDescent="0.25">
      <c r="A190" s="1095" t="s">
        <v>249</v>
      </c>
      <c r="B190" s="1098" t="s">
        <v>250</v>
      </c>
      <c r="C190" s="1101" t="s">
        <v>251</v>
      </c>
      <c r="D190" s="1063" t="s">
        <v>252</v>
      </c>
      <c r="E190" s="1065"/>
      <c r="F190" s="1066">
        <v>2016</v>
      </c>
      <c r="G190" s="1064"/>
      <c r="H190" s="1106"/>
      <c r="I190" s="1063">
        <f>+F190+1</f>
        <v>2017</v>
      </c>
      <c r="J190" s="1064"/>
      <c r="K190" s="1065"/>
      <c r="L190" s="1066">
        <f>+I190+1</f>
        <v>2018</v>
      </c>
      <c r="M190" s="1064"/>
      <c r="N190" s="1106"/>
      <c r="O190" s="1063">
        <f>+L190+1</f>
        <v>2019</v>
      </c>
      <c r="P190" s="1064"/>
      <c r="Q190" s="1065"/>
      <c r="R190" s="1066">
        <f>+O190+1</f>
        <v>2020</v>
      </c>
      <c r="S190" s="1064"/>
      <c r="T190" s="1065"/>
    </row>
    <row r="191" spans="1:20" x14ac:dyDescent="0.25">
      <c r="A191" s="1096"/>
      <c r="B191" s="1099"/>
      <c r="C191" s="1102"/>
      <c r="D191" s="1104"/>
      <c r="E191" s="1105"/>
      <c r="F191" s="455" t="s">
        <v>253</v>
      </c>
      <c r="G191" s="1067" t="s">
        <v>254</v>
      </c>
      <c r="H191" s="1068"/>
      <c r="I191" s="456" t="s">
        <v>253</v>
      </c>
      <c r="J191" s="1067" t="s">
        <v>254</v>
      </c>
      <c r="K191" s="1069"/>
      <c r="L191" s="455" t="s">
        <v>253</v>
      </c>
      <c r="M191" s="1067" t="s">
        <v>254</v>
      </c>
      <c r="N191" s="1068"/>
      <c r="O191" s="456" t="s">
        <v>253</v>
      </c>
      <c r="P191" s="1067" t="s">
        <v>254</v>
      </c>
      <c r="Q191" s="1069"/>
      <c r="R191" s="455" t="s">
        <v>253</v>
      </c>
      <c r="S191" s="1067" t="s">
        <v>254</v>
      </c>
      <c r="T191" s="1069"/>
    </row>
    <row r="192" spans="1:20" ht="15.75" thickBot="1" x14ac:dyDescent="0.3">
      <c r="A192" s="1097"/>
      <c r="B192" s="1100"/>
      <c r="C192" s="1103"/>
      <c r="D192" s="1091" t="s">
        <v>255</v>
      </c>
      <c r="E192" s="1092"/>
      <c r="F192" s="457" t="s">
        <v>255</v>
      </c>
      <c r="G192" s="458" t="s">
        <v>255</v>
      </c>
      <c r="H192" s="459" t="s">
        <v>256</v>
      </c>
      <c r="I192" s="460" t="s">
        <v>255</v>
      </c>
      <c r="J192" s="461" t="s">
        <v>255</v>
      </c>
      <c r="K192" s="462" t="s">
        <v>256</v>
      </c>
      <c r="L192" s="457" t="s">
        <v>255</v>
      </c>
      <c r="M192" s="461" t="s">
        <v>255</v>
      </c>
      <c r="N192" s="459" t="s">
        <v>256</v>
      </c>
      <c r="O192" s="460" t="s">
        <v>255</v>
      </c>
      <c r="P192" s="461" t="s">
        <v>255</v>
      </c>
      <c r="Q192" s="462" t="s">
        <v>256</v>
      </c>
      <c r="R192" s="457" t="s">
        <v>255</v>
      </c>
      <c r="S192" s="461" t="s">
        <v>255</v>
      </c>
      <c r="T192" s="462" t="s">
        <v>256</v>
      </c>
    </row>
  </sheetData>
  <mergeCells count="49">
    <mergeCell ref="C70:M70"/>
    <mergeCell ref="C67:M67"/>
    <mergeCell ref="C63:M63"/>
    <mergeCell ref="C65:M66"/>
    <mergeCell ref="B3:K3"/>
    <mergeCell ref="B4:K4"/>
    <mergeCell ref="B5:B6"/>
    <mergeCell ref="C5:C6"/>
    <mergeCell ref="D5:F5"/>
    <mergeCell ref="G5:I5"/>
    <mergeCell ref="J5:J6"/>
    <mergeCell ref="K5:K6"/>
    <mergeCell ref="A71:X71"/>
    <mergeCell ref="D73:D75"/>
    <mergeCell ref="E73:H73"/>
    <mergeCell ref="I73:L73"/>
    <mergeCell ref="M73:P73"/>
    <mergeCell ref="Q73:T73"/>
    <mergeCell ref="U73:X73"/>
    <mergeCell ref="A74:A75"/>
    <mergeCell ref="B74:B75"/>
    <mergeCell ref="C74:C75"/>
    <mergeCell ref="E74:F74"/>
    <mergeCell ref="G74:H74"/>
    <mergeCell ref="I74:J74"/>
    <mergeCell ref="K74:L74"/>
    <mergeCell ref="O74:P74"/>
    <mergeCell ref="Q74:R74"/>
    <mergeCell ref="S191:T191"/>
    <mergeCell ref="S74:T74"/>
    <mergeCell ref="U74:V74"/>
    <mergeCell ref="W74:X74"/>
    <mergeCell ref="M74:N74"/>
    <mergeCell ref="D192:E192"/>
    <mergeCell ref="A187:T187"/>
    <mergeCell ref="A188:T188"/>
    <mergeCell ref="A190:A192"/>
    <mergeCell ref="B190:B192"/>
    <mergeCell ref="C190:C192"/>
    <mergeCell ref="D190:E191"/>
    <mergeCell ref="F190:H190"/>
    <mergeCell ref="I190:K190"/>
    <mergeCell ref="L190:N190"/>
    <mergeCell ref="O190:Q190"/>
    <mergeCell ref="R190:T190"/>
    <mergeCell ref="G191:H191"/>
    <mergeCell ref="J191:K191"/>
    <mergeCell ref="M191:N191"/>
    <mergeCell ref="P191:Q191"/>
  </mergeCells>
  <printOptions horizontalCentered="1" verticalCentered="1" gridLines="1"/>
  <pageMargins left="0.31496062992125984" right="0.11811023622047245" top="0" bottom="0" header="0" footer="0"/>
  <pageSetup paperSize="9" scale="92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rgb="FFFFFF00"/>
  </sheetPr>
  <dimension ref="A2:X130"/>
  <sheetViews>
    <sheetView workbookViewId="0">
      <selection activeCell="Q25" sqref="Q25"/>
    </sheetView>
  </sheetViews>
  <sheetFormatPr baseColWidth="10" defaultRowHeight="15" x14ac:dyDescent="0.25"/>
  <cols>
    <col min="1" max="2" width="5.7109375" customWidth="1"/>
    <col min="3" max="3" width="7.7109375" customWidth="1"/>
    <col min="4" max="5" width="10.7109375" customWidth="1"/>
    <col min="6" max="6" width="11.7109375" customWidth="1"/>
    <col min="7" max="9" width="12.7109375" customWidth="1"/>
    <col min="10" max="11" width="10.7109375" customWidth="1"/>
  </cols>
  <sheetData>
    <row r="2" spans="2:17" ht="15.75" thickBot="1" x14ac:dyDescent="0.3"/>
    <row r="3" spans="2:17" ht="15.95" customHeight="1" x14ac:dyDescent="0.25">
      <c r="B3" s="1204" t="s">
        <v>224</v>
      </c>
      <c r="C3" s="1205"/>
      <c r="D3" s="1205"/>
      <c r="E3" s="1205"/>
      <c r="F3" s="1205"/>
      <c r="G3" s="1205"/>
      <c r="H3" s="1205"/>
      <c r="I3" s="1205"/>
      <c r="J3" s="1205"/>
      <c r="K3" s="1206"/>
    </row>
    <row r="4" spans="2:17" ht="15.95" customHeight="1" x14ac:dyDescent="0.25">
      <c r="B4" s="1207" t="s">
        <v>229</v>
      </c>
      <c r="C4" s="1208"/>
      <c r="D4" s="1208"/>
      <c r="E4" s="1208"/>
      <c r="F4" s="1208"/>
      <c r="G4" s="1208"/>
      <c r="H4" s="1208"/>
      <c r="I4" s="1208"/>
      <c r="J4" s="1208"/>
      <c r="K4" s="1209"/>
    </row>
    <row r="5" spans="2:17" ht="15.95" customHeight="1" x14ac:dyDescent="0.25">
      <c r="B5" s="1194" t="s">
        <v>124</v>
      </c>
      <c r="C5" s="1031" t="s">
        <v>26</v>
      </c>
      <c r="D5" s="1034" t="s">
        <v>110</v>
      </c>
      <c r="E5" s="1035"/>
      <c r="F5" s="1036"/>
      <c r="G5" s="1034" t="s">
        <v>74</v>
      </c>
      <c r="H5" s="1035"/>
      <c r="I5" s="1036"/>
      <c r="J5" s="1030" t="s">
        <v>217</v>
      </c>
      <c r="K5" s="1200" t="s">
        <v>194</v>
      </c>
      <c r="L5" s="73"/>
      <c r="M5" s="73"/>
      <c r="N5" s="73"/>
      <c r="O5" s="73"/>
      <c r="P5" s="73"/>
      <c r="Q5" s="73"/>
    </row>
    <row r="6" spans="2:17" ht="39.950000000000003" customHeight="1" x14ac:dyDescent="0.25">
      <c r="B6" s="1119"/>
      <c r="C6" s="1032"/>
      <c r="D6" s="330" t="s">
        <v>115</v>
      </c>
      <c r="E6" s="330" t="s">
        <v>192</v>
      </c>
      <c r="F6" s="330" t="s">
        <v>81</v>
      </c>
      <c r="G6" s="38" t="s">
        <v>242</v>
      </c>
      <c r="H6" s="38" t="s">
        <v>232</v>
      </c>
      <c r="I6" s="38" t="s">
        <v>193</v>
      </c>
      <c r="J6" s="1032"/>
      <c r="K6" s="1124"/>
      <c r="L6" s="259" t="s">
        <v>191</v>
      </c>
      <c r="M6" s="85" t="s">
        <v>73</v>
      </c>
      <c r="N6" s="38" t="s">
        <v>240</v>
      </c>
      <c r="O6" s="73"/>
      <c r="P6" s="73"/>
      <c r="Q6" s="73"/>
    </row>
    <row r="7" spans="2:17" x14ac:dyDescent="0.25">
      <c r="B7" s="201">
        <v>6</v>
      </c>
      <c r="C7" s="68">
        <v>2003</v>
      </c>
      <c r="D7" s="62">
        <v>4.54</v>
      </c>
      <c r="E7" s="40">
        <v>4.62</v>
      </c>
      <c r="F7" s="175"/>
      <c r="G7" s="40"/>
      <c r="H7" s="40"/>
      <c r="I7" s="40"/>
      <c r="J7" s="53">
        <f t="shared" ref="J7:J29" si="0">2*10</f>
        <v>20</v>
      </c>
      <c r="K7" s="244">
        <f t="shared" ref="K7:K29" si="1">J7-10</f>
        <v>10</v>
      </c>
      <c r="L7" s="263">
        <v>0.98199999999999998</v>
      </c>
      <c r="M7" s="50"/>
      <c r="N7" s="50"/>
      <c r="O7" s="331"/>
      <c r="P7" s="331"/>
      <c r="Q7" s="73"/>
    </row>
    <row r="8" spans="2:17" x14ac:dyDescent="0.25">
      <c r="B8" s="201">
        <v>4</v>
      </c>
      <c r="C8" s="68">
        <v>2004</v>
      </c>
      <c r="D8" s="62">
        <v>10.91</v>
      </c>
      <c r="E8" s="40">
        <v>11</v>
      </c>
      <c r="F8" s="175">
        <f t="shared" ref="F8:F19" si="2">(E8-E7)/E7</f>
        <v>1.3809523809523809</v>
      </c>
      <c r="G8" s="40"/>
      <c r="H8" s="40"/>
      <c r="I8" s="40"/>
      <c r="J8" s="53">
        <f t="shared" si="0"/>
        <v>20</v>
      </c>
      <c r="K8" s="244">
        <f t="shared" si="1"/>
        <v>10</v>
      </c>
      <c r="L8" s="263">
        <v>0.99199999999999999</v>
      </c>
      <c r="M8" s="50"/>
      <c r="N8" s="50"/>
      <c r="O8" s="73"/>
      <c r="P8" s="73"/>
      <c r="Q8" s="73"/>
    </row>
    <row r="9" spans="2:17" x14ac:dyDescent="0.25">
      <c r="B9" s="201">
        <v>8</v>
      </c>
      <c r="C9" s="68">
        <v>2005</v>
      </c>
      <c r="D9" s="62">
        <v>11.44</v>
      </c>
      <c r="E9" s="40">
        <v>11.53</v>
      </c>
      <c r="F9" s="175">
        <f t="shared" si="2"/>
        <v>4.8181818181818124E-2</v>
      </c>
      <c r="G9" s="40"/>
      <c r="H9" s="40"/>
      <c r="I9" s="40"/>
      <c r="J9" s="53">
        <f t="shared" si="0"/>
        <v>20</v>
      </c>
      <c r="K9" s="244">
        <f t="shared" si="1"/>
        <v>10</v>
      </c>
      <c r="L9" s="263">
        <v>0.99199999999999999</v>
      </c>
      <c r="M9" s="50"/>
      <c r="N9" s="50"/>
      <c r="O9" s="73"/>
      <c r="P9" s="73"/>
      <c r="Q9" s="73"/>
    </row>
    <row r="10" spans="2:17" x14ac:dyDescent="0.25">
      <c r="B10" s="201">
        <v>7</v>
      </c>
      <c r="C10" s="68">
        <v>2006</v>
      </c>
      <c r="D10" s="62">
        <v>11.13</v>
      </c>
      <c r="E10" s="40">
        <v>11.18</v>
      </c>
      <c r="F10" s="175">
        <f t="shared" si="2"/>
        <v>-3.0355594102341687E-2</v>
      </c>
      <c r="G10" s="40"/>
      <c r="H10" s="40"/>
      <c r="I10" s="40"/>
      <c r="J10" s="53">
        <f t="shared" si="0"/>
        <v>20</v>
      </c>
      <c r="K10" s="244">
        <f t="shared" si="1"/>
        <v>10</v>
      </c>
      <c r="L10" s="263">
        <v>0.996</v>
      </c>
      <c r="M10" s="50"/>
      <c r="N10" s="50"/>
      <c r="O10" s="73"/>
      <c r="P10" s="73"/>
      <c r="Q10" s="73"/>
    </row>
    <row r="11" spans="2:17" x14ac:dyDescent="0.25">
      <c r="B11" s="201">
        <v>11</v>
      </c>
      <c r="C11" s="68">
        <v>2007</v>
      </c>
      <c r="D11" s="62">
        <v>14.1</v>
      </c>
      <c r="E11" s="40">
        <v>14.58</v>
      </c>
      <c r="F11" s="175">
        <f t="shared" si="2"/>
        <v>0.30411449016100184</v>
      </c>
      <c r="G11" s="40"/>
      <c r="H11" s="40"/>
      <c r="I11" s="40"/>
      <c r="J11" s="53">
        <f t="shared" si="0"/>
        <v>20</v>
      </c>
      <c r="K11" s="244">
        <f t="shared" si="1"/>
        <v>10</v>
      </c>
      <c r="L11" s="263">
        <v>0.96699999999999997</v>
      </c>
      <c r="M11" s="50"/>
      <c r="N11" s="50"/>
      <c r="O11" s="73"/>
      <c r="P11" s="73"/>
      <c r="Q11" s="73"/>
    </row>
    <row r="12" spans="2:17" x14ac:dyDescent="0.25">
      <c r="B12" s="201">
        <v>9</v>
      </c>
      <c r="C12" s="68">
        <v>2008</v>
      </c>
      <c r="D12" s="62">
        <v>10.86</v>
      </c>
      <c r="E12" s="40">
        <v>12.29</v>
      </c>
      <c r="F12" s="175">
        <f t="shared" si="2"/>
        <v>-0.15706447187928677</v>
      </c>
      <c r="G12" s="40"/>
      <c r="H12" s="40"/>
      <c r="I12" s="40"/>
      <c r="J12" s="53">
        <f t="shared" si="0"/>
        <v>20</v>
      </c>
      <c r="K12" s="244">
        <f t="shared" si="1"/>
        <v>10</v>
      </c>
      <c r="L12" s="263">
        <v>0.88400000000000001</v>
      </c>
      <c r="M12" s="50"/>
      <c r="N12" s="50"/>
      <c r="O12" s="73"/>
      <c r="P12" s="73"/>
      <c r="Q12" s="73"/>
    </row>
    <row r="13" spans="2:17" x14ac:dyDescent="0.25">
      <c r="B13" s="201">
        <v>12</v>
      </c>
      <c r="C13" s="68">
        <v>2009</v>
      </c>
      <c r="D13" s="62">
        <v>11.27</v>
      </c>
      <c r="E13" s="40">
        <v>13.77</v>
      </c>
      <c r="F13" s="175">
        <f t="shared" si="2"/>
        <v>0.12042310821806351</v>
      </c>
      <c r="G13" s="40"/>
      <c r="H13" s="40"/>
      <c r="I13" s="40"/>
      <c r="J13" s="53">
        <f t="shared" si="0"/>
        <v>20</v>
      </c>
      <c r="K13" s="244">
        <f t="shared" si="1"/>
        <v>10</v>
      </c>
      <c r="L13" s="263">
        <v>0.81899999999999995</v>
      </c>
      <c r="M13" s="50"/>
      <c r="N13" s="50"/>
      <c r="O13" s="416" t="s">
        <v>117</v>
      </c>
      <c r="P13" s="73"/>
      <c r="Q13" s="73"/>
    </row>
    <row r="14" spans="2:17" x14ac:dyDescent="0.25">
      <c r="B14" s="201"/>
      <c r="C14" s="68">
        <v>2010</v>
      </c>
      <c r="D14" s="62">
        <f>L20*E14</f>
        <v>12.949468804728207</v>
      </c>
      <c r="E14" s="241">
        <v>13.668015927789119</v>
      </c>
      <c r="F14" s="175">
        <f t="shared" si="2"/>
        <v>-7.4062507052200938E-3</v>
      </c>
      <c r="G14" s="40"/>
      <c r="H14" s="40"/>
      <c r="I14" s="40"/>
      <c r="J14" s="53">
        <f t="shared" si="0"/>
        <v>20</v>
      </c>
      <c r="K14" s="244">
        <f t="shared" si="1"/>
        <v>10</v>
      </c>
      <c r="L14" s="263"/>
      <c r="M14" s="175"/>
      <c r="N14" s="50"/>
      <c r="O14" s="74">
        <v>13.668015927789119</v>
      </c>
      <c r="P14" s="73"/>
      <c r="Q14" s="73"/>
    </row>
    <row r="15" spans="2:17" x14ac:dyDescent="0.25">
      <c r="B15" s="201"/>
      <c r="C15" s="68">
        <v>2011</v>
      </c>
      <c r="D15" s="62">
        <f>L20*E15</f>
        <v>12.219813828714297</v>
      </c>
      <c r="E15" s="301">
        <v>12.897873462153209</v>
      </c>
      <c r="F15" s="175">
        <f t="shared" si="2"/>
        <v>-5.6346324858320911E-2</v>
      </c>
      <c r="G15" s="40"/>
      <c r="H15" s="40"/>
      <c r="I15" s="40"/>
      <c r="J15" s="53">
        <f t="shared" si="0"/>
        <v>20</v>
      </c>
      <c r="K15" s="244">
        <f t="shared" si="1"/>
        <v>10</v>
      </c>
      <c r="L15" s="263"/>
      <c r="M15" s="50"/>
      <c r="N15" s="50"/>
      <c r="O15" s="74">
        <v>12.897873462153209</v>
      </c>
      <c r="P15" s="73"/>
      <c r="Q15" s="73"/>
    </row>
    <row r="16" spans="2:17" x14ac:dyDescent="0.25">
      <c r="B16" s="201"/>
      <c r="C16" s="68">
        <v>2012</v>
      </c>
      <c r="D16" s="62">
        <f>L20*E16</f>
        <v>12.429079068507674</v>
      </c>
      <c r="E16" s="241">
        <v>13.118750524661296</v>
      </c>
      <c r="F16" s="175">
        <f t="shared" si="2"/>
        <v>1.7125075940325862E-2</v>
      </c>
      <c r="G16" s="40"/>
      <c r="H16" s="40"/>
      <c r="I16" s="40"/>
      <c r="J16" s="53">
        <f t="shared" si="0"/>
        <v>20</v>
      </c>
      <c r="K16" s="244">
        <f t="shared" si="1"/>
        <v>10</v>
      </c>
      <c r="L16" s="263"/>
      <c r="M16" s="175"/>
      <c r="N16" s="50"/>
      <c r="O16" s="74">
        <v>13.118750524661296</v>
      </c>
      <c r="P16" s="73"/>
      <c r="Q16" s="73"/>
    </row>
    <row r="17" spans="2:17" x14ac:dyDescent="0.25">
      <c r="B17" s="201"/>
      <c r="C17" s="68">
        <v>2013</v>
      </c>
      <c r="D17" s="62">
        <f>L20*E17</f>
        <v>5.7814457670502533</v>
      </c>
      <c r="E17" s="301">
        <v>6.1022497541242116</v>
      </c>
      <c r="F17" s="175">
        <f t="shared" si="2"/>
        <v>-0.53484520170934791</v>
      </c>
      <c r="G17" s="40"/>
      <c r="H17" s="40"/>
      <c r="I17" s="40"/>
      <c r="J17" s="53">
        <f t="shared" si="0"/>
        <v>20</v>
      </c>
      <c r="K17" s="244">
        <f t="shared" si="1"/>
        <v>10</v>
      </c>
      <c r="L17" s="263"/>
      <c r="M17" s="50"/>
      <c r="N17" s="50"/>
      <c r="O17" s="74">
        <v>6.1022497541242116</v>
      </c>
      <c r="P17" s="73"/>
      <c r="Q17" s="73"/>
    </row>
    <row r="18" spans="2:17" x14ac:dyDescent="0.25">
      <c r="B18" s="201"/>
      <c r="C18" s="68">
        <v>2014</v>
      </c>
      <c r="D18" s="62">
        <f>L20*E18</f>
        <v>4.6644864191194308</v>
      </c>
      <c r="E18" s="302">
        <v>4.9233119622792545</v>
      </c>
      <c r="F18" s="175">
        <f t="shared" si="2"/>
        <v>-0.19319723697775085</v>
      </c>
      <c r="G18" s="40"/>
      <c r="H18" s="40"/>
      <c r="I18" s="40"/>
      <c r="J18" s="53">
        <f t="shared" si="0"/>
        <v>20</v>
      </c>
      <c r="K18" s="244">
        <f t="shared" si="1"/>
        <v>10</v>
      </c>
      <c r="L18" s="263"/>
      <c r="M18" s="175"/>
      <c r="N18" s="390"/>
      <c r="O18" s="74">
        <v>4.9233119622792545</v>
      </c>
      <c r="P18" s="73"/>
      <c r="Q18" s="73"/>
    </row>
    <row r="19" spans="2:17" x14ac:dyDescent="0.25">
      <c r="B19" s="201"/>
      <c r="C19" s="68">
        <v>2015</v>
      </c>
      <c r="D19" s="62">
        <f>L20*E19</f>
        <v>6.2405586346070736</v>
      </c>
      <c r="E19" s="303">
        <v>6.5868381245852703</v>
      </c>
      <c r="F19" s="175">
        <f t="shared" si="2"/>
        <v>0.33788762017345003</v>
      </c>
      <c r="G19" s="40"/>
      <c r="H19" s="40">
        <f>E19</f>
        <v>6.5868381245852703</v>
      </c>
      <c r="I19" s="40">
        <f>E19</f>
        <v>6.5868381245852703</v>
      </c>
      <c r="J19" s="53">
        <f t="shared" si="0"/>
        <v>20</v>
      </c>
      <c r="K19" s="244">
        <f t="shared" si="1"/>
        <v>10</v>
      </c>
      <c r="L19" s="263"/>
      <c r="M19" s="402"/>
      <c r="N19" s="390"/>
      <c r="O19" s="74">
        <v>6.5868381245852703</v>
      </c>
      <c r="P19" s="73"/>
      <c r="Q19" s="73"/>
    </row>
    <row r="20" spans="2:17" x14ac:dyDescent="0.25">
      <c r="B20" s="202"/>
      <c r="C20" s="69">
        <v>2016</v>
      </c>
      <c r="D20" s="109"/>
      <c r="E20" s="55"/>
      <c r="F20" s="187"/>
      <c r="G20" s="374">
        <f>-0.2003*C20+412.98</f>
        <v>9.175200000000018</v>
      </c>
      <c r="H20" s="375">
        <f>1.0396*H19</f>
        <v>6.8476769143188472</v>
      </c>
      <c r="I20" s="393">
        <f>1.045*I19</f>
        <v>6.8832458401916066</v>
      </c>
      <c r="J20" s="53">
        <f t="shared" si="0"/>
        <v>20</v>
      </c>
      <c r="K20" s="244">
        <f t="shared" si="1"/>
        <v>10</v>
      </c>
      <c r="L20" s="273">
        <f>AVERAGE(L7:L19)</f>
        <v>0.94742857142857151</v>
      </c>
      <c r="M20" s="402"/>
      <c r="N20" s="390">
        <f>(H20-H19)/H19</f>
        <v>3.9600000000000024E-2</v>
      </c>
      <c r="O20" s="74">
        <v>3.3349219581532328</v>
      </c>
      <c r="P20" s="73"/>
      <c r="Q20" s="73"/>
    </row>
    <row r="21" spans="2:17" x14ac:dyDescent="0.25">
      <c r="B21" s="202"/>
      <c r="C21" s="69">
        <v>2017</v>
      </c>
      <c r="D21" s="109"/>
      <c r="E21" s="55"/>
      <c r="F21" s="187"/>
      <c r="G21" s="374">
        <f t="shared" ref="G21:G29" si="3">-0.2003*C21+412.98</f>
        <v>8.974899999999991</v>
      </c>
      <c r="H21" s="375">
        <f>1.0396*H20</f>
        <v>7.1188449201258743</v>
      </c>
      <c r="I21" s="393">
        <f t="shared" ref="I21:I29" si="4">1.045*I20</f>
        <v>7.1929919030002285</v>
      </c>
      <c r="J21" s="53">
        <f t="shared" si="0"/>
        <v>20</v>
      </c>
      <c r="K21" s="244">
        <f t="shared" si="1"/>
        <v>10</v>
      </c>
      <c r="L21" s="263"/>
      <c r="M21" s="402">
        <f>(G21-G20)/G20</f>
        <v>-2.1830586799200739E-2</v>
      </c>
      <c r="N21" s="390">
        <f>(H21-H20)/H20</f>
        <v>3.9600000000000121E-2</v>
      </c>
      <c r="O21" s="74">
        <v>3.4649465534557753</v>
      </c>
      <c r="P21" s="73"/>
      <c r="Q21" s="73"/>
    </row>
    <row r="22" spans="2:17" x14ac:dyDescent="0.25">
      <c r="B22" s="202"/>
      <c r="C22" s="69">
        <v>2018</v>
      </c>
      <c r="D22" s="109"/>
      <c r="E22" s="55"/>
      <c r="F22" s="187"/>
      <c r="G22" s="374">
        <f t="shared" si="3"/>
        <v>8.7746000000000208</v>
      </c>
      <c r="H22" s="375">
        <f>1.0396*H21</f>
        <v>7.4007511789628593</v>
      </c>
      <c r="I22" s="393">
        <f t="shared" si="4"/>
        <v>7.5166765386352381</v>
      </c>
      <c r="J22" s="53">
        <f t="shared" si="0"/>
        <v>20</v>
      </c>
      <c r="K22" s="244">
        <f t="shared" si="1"/>
        <v>10</v>
      </c>
      <c r="L22" s="263"/>
      <c r="M22" s="402">
        <f t="shared" ref="M22:M28" si="5">(G22-G21)/G21</f>
        <v>-2.2317797412781244E-2</v>
      </c>
      <c r="N22" s="390">
        <f>(H22-H21)/H21</f>
        <v>3.9600000000000045E-2</v>
      </c>
      <c r="O22" s="74">
        <v>3.6032371826822107</v>
      </c>
      <c r="P22" s="73"/>
      <c r="Q22" s="73"/>
    </row>
    <row r="23" spans="2:17" x14ac:dyDescent="0.25">
      <c r="B23" s="202"/>
      <c r="C23" s="69">
        <v>2019</v>
      </c>
      <c r="D23" s="109"/>
      <c r="E23" s="55"/>
      <c r="F23" s="187"/>
      <c r="G23" s="374">
        <f t="shared" si="3"/>
        <v>8.5742999999999938</v>
      </c>
      <c r="H23" s="375">
        <f>1.0396*H22</f>
        <v>7.6938209256497894</v>
      </c>
      <c r="I23" s="393">
        <f t="shared" si="4"/>
        <v>7.8549269828738231</v>
      </c>
      <c r="J23" s="53">
        <f t="shared" si="0"/>
        <v>20</v>
      </c>
      <c r="K23" s="244">
        <f t="shared" si="1"/>
        <v>10</v>
      </c>
      <c r="L23" s="263"/>
      <c r="M23" s="402">
        <f t="shared" si="5"/>
        <v>-2.2827251384681529E-2</v>
      </c>
      <c r="N23" s="390">
        <f>(H23-H22)/H22</f>
        <v>3.9600000000000114E-2</v>
      </c>
      <c r="O23" s="74">
        <v>3.7465243095981067</v>
      </c>
      <c r="P23" s="73"/>
      <c r="Q23" s="73"/>
    </row>
    <row r="24" spans="2:17" x14ac:dyDescent="0.25">
      <c r="B24" s="202"/>
      <c r="C24" s="69">
        <v>2020</v>
      </c>
      <c r="D24" s="109"/>
      <c r="E24" s="55"/>
      <c r="F24" s="187"/>
      <c r="G24" s="374">
        <f t="shared" si="3"/>
        <v>8.3740000000000236</v>
      </c>
      <c r="H24" s="375">
        <f>1.0396*H23</f>
        <v>7.9984962343055219</v>
      </c>
      <c r="I24" s="393">
        <f t="shared" si="4"/>
        <v>8.208398697103144</v>
      </c>
      <c r="J24" s="53">
        <f t="shared" si="0"/>
        <v>20</v>
      </c>
      <c r="K24" s="244">
        <f t="shared" si="1"/>
        <v>10</v>
      </c>
      <c r="L24" s="263"/>
      <c r="M24" s="402">
        <f t="shared" si="5"/>
        <v>-2.3360507563296166E-2</v>
      </c>
      <c r="N24" s="390">
        <f>(H24-H23)/H23</f>
        <v>3.9600000000000114E-2</v>
      </c>
      <c r="O24" s="74">
        <v>3.8949360786512619</v>
      </c>
      <c r="P24" s="73"/>
      <c r="Q24" s="73"/>
    </row>
    <row r="25" spans="2:17" x14ac:dyDescent="0.25">
      <c r="B25" s="202"/>
      <c r="C25" s="69">
        <v>2021</v>
      </c>
      <c r="D25" s="109"/>
      <c r="E25" s="55"/>
      <c r="F25" s="187"/>
      <c r="G25" s="374">
        <f t="shared" si="3"/>
        <v>8.1736999999999966</v>
      </c>
      <c r="H25" s="375"/>
      <c r="I25" s="393">
        <f t="shared" si="4"/>
        <v>8.577776638472784</v>
      </c>
      <c r="J25" s="53">
        <f t="shared" si="0"/>
        <v>20</v>
      </c>
      <c r="K25" s="244">
        <f t="shared" si="1"/>
        <v>10</v>
      </c>
      <c r="L25" s="263"/>
      <c r="M25" s="402">
        <f t="shared" si="5"/>
        <v>-2.3919273943160551E-2</v>
      </c>
      <c r="N25" s="390"/>
      <c r="O25" s="73"/>
      <c r="P25" s="73"/>
      <c r="Q25" s="73"/>
    </row>
    <row r="26" spans="2:17" x14ac:dyDescent="0.25">
      <c r="B26" s="202"/>
      <c r="C26" s="69">
        <v>2022</v>
      </c>
      <c r="D26" s="109"/>
      <c r="E26" s="55"/>
      <c r="F26" s="187"/>
      <c r="G26" s="374">
        <f t="shared" si="3"/>
        <v>7.9734000000000265</v>
      </c>
      <c r="H26" s="375"/>
      <c r="I26" s="393">
        <f t="shared" si="4"/>
        <v>8.9637765872040589</v>
      </c>
      <c r="J26" s="53">
        <f t="shared" si="0"/>
        <v>20</v>
      </c>
      <c r="K26" s="244">
        <f t="shared" si="1"/>
        <v>10</v>
      </c>
      <c r="L26" s="262"/>
      <c r="M26" s="402">
        <f t="shared" si="5"/>
        <v>-2.450542593928946E-2</v>
      </c>
      <c r="N26" s="390"/>
      <c r="O26" s="73"/>
      <c r="P26" s="73"/>
      <c r="Q26" s="73"/>
    </row>
    <row r="27" spans="2:17" x14ac:dyDescent="0.25">
      <c r="B27" s="202"/>
      <c r="C27" s="69">
        <v>2023</v>
      </c>
      <c r="D27" s="109"/>
      <c r="E27" s="55"/>
      <c r="F27" s="187"/>
      <c r="G27" s="374">
        <f t="shared" si="3"/>
        <v>7.7730999999999995</v>
      </c>
      <c r="H27" s="375"/>
      <c r="I27" s="393">
        <f t="shared" si="4"/>
        <v>9.3671465336282402</v>
      </c>
      <c r="J27" s="53">
        <f t="shared" si="0"/>
        <v>20</v>
      </c>
      <c r="K27" s="244">
        <f t="shared" si="1"/>
        <v>10</v>
      </c>
      <c r="L27" s="263"/>
      <c r="M27" s="402">
        <f t="shared" si="5"/>
        <v>-2.5121027416162033E-2</v>
      </c>
      <c r="N27" s="390"/>
      <c r="O27" s="73"/>
      <c r="P27" s="73"/>
      <c r="Q27" s="73"/>
    </row>
    <row r="28" spans="2:17" x14ac:dyDescent="0.25">
      <c r="B28" s="202"/>
      <c r="C28" s="69">
        <v>2024</v>
      </c>
      <c r="D28" s="109"/>
      <c r="E28" s="55"/>
      <c r="F28" s="187"/>
      <c r="G28" s="374">
        <f t="shared" si="3"/>
        <v>7.5728000000000293</v>
      </c>
      <c r="H28" s="375"/>
      <c r="I28" s="393">
        <f t="shared" si="4"/>
        <v>9.7886681276415111</v>
      </c>
      <c r="J28" s="53">
        <f t="shared" si="0"/>
        <v>20</v>
      </c>
      <c r="K28" s="244">
        <f t="shared" si="1"/>
        <v>10</v>
      </c>
      <c r="L28" s="263"/>
      <c r="M28" s="402">
        <f t="shared" si="5"/>
        <v>-2.5768354967769639E-2</v>
      </c>
      <c r="N28" s="397"/>
      <c r="O28" s="73"/>
      <c r="P28" s="73"/>
      <c r="Q28" s="73"/>
    </row>
    <row r="29" spans="2:17" ht="15.75" thickBot="1" x14ac:dyDescent="0.3">
      <c r="B29" s="203"/>
      <c r="C29" s="252">
        <v>2025</v>
      </c>
      <c r="D29" s="247"/>
      <c r="E29" s="256"/>
      <c r="F29" s="253"/>
      <c r="G29" s="376">
        <f t="shared" si="3"/>
        <v>7.3725000000000023</v>
      </c>
      <c r="H29" s="377"/>
      <c r="I29" s="396">
        <f t="shared" si="4"/>
        <v>10.229158193385379</v>
      </c>
      <c r="J29" s="210">
        <f t="shared" si="0"/>
        <v>20</v>
      </c>
      <c r="K29" s="248">
        <f t="shared" si="1"/>
        <v>10</v>
      </c>
      <c r="L29" s="263"/>
      <c r="M29" s="402">
        <f>(G29-G28)/G28</f>
        <v>-2.6449926051133825E-2</v>
      </c>
      <c r="N29" s="75"/>
      <c r="O29" s="73"/>
      <c r="P29" s="73"/>
      <c r="Q29" s="73"/>
    </row>
    <row r="30" spans="2:17" x14ac:dyDescent="0.25">
      <c r="F30" s="403">
        <f>AVERAGE(F8:F19)</f>
        <v>0.10245578444956432</v>
      </c>
      <c r="L30" s="132"/>
      <c r="M30" s="417">
        <f>AVERAGE(M21:M29)</f>
        <v>-2.4011127941941688E-2</v>
      </c>
      <c r="N30" s="418">
        <f>AVERAGE(N21:N24)</f>
        <v>3.9600000000000093E-2</v>
      </c>
      <c r="O30" s="75"/>
      <c r="P30" s="75"/>
    </row>
    <row r="31" spans="2:17" x14ac:dyDescent="0.25">
      <c r="L31" s="10"/>
      <c r="M31" s="5"/>
      <c r="N31" s="5"/>
    </row>
    <row r="32" spans="2:17" x14ac:dyDescent="0.25">
      <c r="L32" s="10"/>
      <c r="M32" s="5"/>
      <c r="N32" s="5"/>
    </row>
    <row r="33" spans="12:14" x14ac:dyDescent="0.25">
      <c r="L33" s="10"/>
      <c r="M33" s="5"/>
      <c r="N33" s="5"/>
    </row>
    <row r="34" spans="12:14" x14ac:dyDescent="0.25">
      <c r="L34" s="10"/>
      <c r="M34" s="5"/>
      <c r="N34" s="5"/>
    </row>
    <row r="35" spans="12:14" x14ac:dyDescent="0.25">
      <c r="L35" s="10"/>
      <c r="M35" s="5"/>
      <c r="N35" s="5"/>
    </row>
    <row r="36" spans="12:14" x14ac:dyDescent="0.25">
      <c r="L36" s="10"/>
      <c r="M36" s="5"/>
      <c r="N36" s="5"/>
    </row>
    <row r="37" spans="12:14" x14ac:dyDescent="0.25">
      <c r="L37" s="10"/>
      <c r="M37" s="5"/>
      <c r="N37" s="5"/>
    </row>
    <row r="38" spans="12:14" x14ac:dyDescent="0.25">
      <c r="L38" s="10"/>
      <c r="M38" s="5"/>
      <c r="N38" s="5"/>
    </row>
    <row r="39" spans="12:14" x14ac:dyDescent="0.25">
      <c r="L39" s="10"/>
      <c r="M39" s="5"/>
      <c r="N39" s="5"/>
    </row>
    <row r="40" spans="12:14" x14ac:dyDescent="0.25">
      <c r="L40" s="10"/>
      <c r="M40" s="5"/>
      <c r="N40" s="5"/>
    </row>
    <row r="41" spans="12:14" x14ac:dyDescent="0.25">
      <c r="L41" s="10"/>
      <c r="M41" s="5"/>
      <c r="N41" s="5"/>
    </row>
    <row r="42" spans="12:14" x14ac:dyDescent="0.25">
      <c r="L42" s="10"/>
      <c r="M42" s="5"/>
      <c r="N42" s="5"/>
    </row>
    <row r="43" spans="12:14" x14ac:dyDescent="0.25">
      <c r="L43" s="10"/>
      <c r="M43" s="5"/>
      <c r="N43" s="5"/>
    </row>
    <row r="44" spans="12:14" x14ac:dyDescent="0.25">
      <c r="L44" s="10"/>
      <c r="M44" s="5"/>
      <c r="N44" s="5"/>
    </row>
    <row r="45" spans="12:14" x14ac:dyDescent="0.25">
      <c r="L45" s="10"/>
      <c r="M45" s="5"/>
      <c r="N45" s="5"/>
    </row>
    <row r="46" spans="12:14" x14ac:dyDescent="0.25">
      <c r="L46" s="10"/>
      <c r="M46" s="5"/>
      <c r="N46" s="5"/>
    </row>
    <row r="47" spans="12:14" x14ac:dyDescent="0.25">
      <c r="L47" s="10"/>
      <c r="M47" s="5"/>
      <c r="N47" s="5"/>
    </row>
    <row r="48" spans="12:14" x14ac:dyDescent="0.25">
      <c r="L48" s="10"/>
      <c r="M48" s="5"/>
      <c r="N48" s="5"/>
    </row>
    <row r="49" spans="3:16" x14ac:dyDescent="0.25">
      <c r="L49" s="10"/>
      <c r="M49" s="5"/>
      <c r="N49" s="5"/>
      <c r="O49" s="342" t="s">
        <v>231</v>
      </c>
      <c r="P49" s="342"/>
    </row>
    <row r="50" spans="3:16" x14ac:dyDescent="0.25">
      <c r="L50" s="10"/>
      <c r="M50" s="5"/>
      <c r="N50" s="5"/>
    </row>
    <row r="51" spans="3:16" x14ac:dyDescent="0.25">
      <c r="L51" s="10"/>
      <c r="M51" s="5"/>
      <c r="N51" s="5"/>
    </row>
    <row r="64" spans="3:16" ht="15" customHeight="1" x14ac:dyDescent="0.25">
      <c r="C64" s="1180" t="s">
        <v>216</v>
      </c>
      <c r="D64" s="1180"/>
      <c r="E64" s="1180"/>
      <c r="F64" s="1180"/>
      <c r="G64" s="1180"/>
      <c r="H64" s="1180"/>
      <c r="I64" s="1180"/>
      <c r="J64" s="1180"/>
      <c r="K64" s="1180"/>
      <c r="L64" s="1180"/>
    </row>
    <row r="65" spans="1:24" x14ac:dyDescent="0.25">
      <c r="C65" s="1180"/>
      <c r="D65" s="1180"/>
      <c r="E65" s="1180"/>
      <c r="F65" s="1180"/>
      <c r="G65" s="1180"/>
      <c r="H65" s="1180"/>
      <c r="I65" s="1180"/>
      <c r="J65" s="1180"/>
      <c r="K65" s="1180"/>
      <c r="L65" s="1180"/>
    </row>
    <row r="66" spans="1:24" x14ac:dyDescent="0.25">
      <c r="C66" s="1180"/>
      <c r="D66" s="1180"/>
      <c r="E66" s="1180"/>
      <c r="F66" s="1180"/>
      <c r="G66" s="1180"/>
      <c r="H66" s="1180"/>
      <c r="I66" s="1180"/>
      <c r="J66" s="1180"/>
      <c r="K66" s="1180"/>
      <c r="L66" s="1180"/>
    </row>
    <row r="68" spans="1:24" ht="15.75" thickBot="1" x14ac:dyDescent="0.3">
      <c r="A68" s="223" t="s">
        <v>150</v>
      </c>
      <c r="B68" s="25"/>
      <c r="C68" s="221">
        <v>132</v>
      </c>
      <c r="D68" s="234">
        <v>13.668015927789119</v>
      </c>
      <c r="E68" s="11">
        <v>12.897873462153209</v>
      </c>
      <c r="F68" s="234">
        <v>13.118750524661296</v>
      </c>
      <c r="G68" s="11">
        <v>6.1022497541242116</v>
      </c>
      <c r="H68" s="235">
        <v>4.9233119622792545</v>
      </c>
      <c r="I68" s="236">
        <v>6.5868381245852703</v>
      </c>
    </row>
    <row r="69" spans="1:24" ht="16.5" customHeight="1" thickBot="1" x14ac:dyDescent="0.3">
      <c r="A69" s="1271" t="s">
        <v>201</v>
      </c>
      <c r="B69" s="1272"/>
      <c r="C69" s="1272"/>
      <c r="D69" s="1272"/>
      <c r="E69" s="1272"/>
      <c r="F69" s="1272"/>
      <c r="G69" s="1272"/>
      <c r="H69" s="1272"/>
      <c r="I69" s="1272"/>
      <c r="J69" s="1272"/>
      <c r="K69" s="1272"/>
      <c r="L69" s="1272"/>
      <c r="M69" s="1272"/>
      <c r="N69" s="1272"/>
      <c r="O69" s="1272"/>
      <c r="P69" s="1272"/>
      <c r="Q69" s="1272"/>
      <c r="R69" s="1272"/>
      <c r="S69" s="1272"/>
      <c r="T69" s="1272"/>
      <c r="U69" s="1272"/>
      <c r="V69" s="1272"/>
      <c r="W69" s="1272"/>
      <c r="X69" s="1273"/>
    </row>
    <row r="70" spans="1:24" ht="15.75" thickBot="1" x14ac:dyDescent="0.3">
      <c r="A70" s="286"/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6"/>
      <c r="P70" s="286"/>
      <c r="Q70" s="286"/>
      <c r="R70" s="286"/>
      <c r="S70" s="286"/>
      <c r="T70" s="286"/>
      <c r="U70" s="286"/>
      <c r="V70" s="286"/>
      <c r="W70" s="286"/>
      <c r="X70" s="286"/>
    </row>
    <row r="71" spans="1:24" ht="15.75" thickBot="1" x14ac:dyDescent="0.3">
      <c r="A71" s="287"/>
      <c r="B71" s="287"/>
      <c r="C71" s="288"/>
      <c r="D71" s="1274" t="s">
        <v>202</v>
      </c>
      <c r="E71" s="1277">
        <v>2016</v>
      </c>
      <c r="F71" s="1278"/>
      <c r="G71" s="1278"/>
      <c r="H71" s="1279"/>
      <c r="I71" s="1277">
        <f>+E71+1</f>
        <v>2017</v>
      </c>
      <c r="J71" s="1278"/>
      <c r="K71" s="1278"/>
      <c r="L71" s="1279"/>
      <c r="M71" s="1277">
        <f>+I71+1</f>
        <v>2018</v>
      </c>
      <c r="N71" s="1278"/>
      <c r="O71" s="1278"/>
      <c r="P71" s="1279"/>
      <c r="Q71" s="1277">
        <f>+M71+1</f>
        <v>2019</v>
      </c>
      <c r="R71" s="1278"/>
      <c r="S71" s="1278"/>
      <c r="T71" s="1279"/>
      <c r="U71" s="1277">
        <f>+Q71+1</f>
        <v>2020</v>
      </c>
      <c r="V71" s="1278"/>
      <c r="W71" s="1278"/>
      <c r="X71" s="1279"/>
    </row>
    <row r="72" spans="1:24" x14ac:dyDescent="0.25">
      <c r="A72" s="1280" t="s">
        <v>203</v>
      </c>
      <c r="B72" s="1282" t="s">
        <v>204</v>
      </c>
      <c r="C72" s="1284" t="s">
        <v>88</v>
      </c>
      <c r="D72" s="1275"/>
      <c r="E72" s="1286" t="s">
        <v>197</v>
      </c>
      <c r="F72" s="1287"/>
      <c r="G72" s="1286" t="s">
        <v>198</v>
      </c>
      <c r="H72" s="1288"/>
      <c r="I72" s="1267" t="s">
        <v>197</v>
      </c>
      <c r="J72" s="1268"/>
      <c r="K72" s="1289" t="s">
        <v>198</v>
      </c>
      <c r="L72" s="1288"/>
      <c r="M72" s="1286" t="s">
        <v>197</v>
      </c>
      <c r="N72" s="1288"/>
      <c r="O72" s="1286" t="s">
        <v>198</v>
      </c>
      <c r="P72" s="1288"/>
      <c r="Q72" s="1267" t="s">
        <v>197</v>
      </c>
      <c r="R72" s="1268"/>
      <c r="S72" s="1267" t="s">
        <v>198</v>
      </c>
      <c r="T72" s="1268"/>
      <c r="U72" s="1267" t="s">
        <v>197</v>
      </c>
      <c r="V72" s="1269"/>
      <c r="W72" s="1267" t="s">
        <v>198</v>
      </c>
      <c r="X72" s="1268"/>
    </row>
    <row r="73" spans="1:24" ht="15.75" thickBot="1" x14ac:dyDescent="0.3">
      <c r="A73" s="1281"/>
      <c r="B73" s="1283"/>
      <c r="C73" s="1285"/>
      <c r="D73" s="1276"/>
      <c r="E73" s="274" t="s">
        <v>199</v>
      </c>
      <c r="F73" s="275" t="s">
        <v>200</v>
      </c>
      <c r="G73" s="274" t="s">
        <v>199</v>
      </c>
      <c r="H73" s="276" t="s">
        <v>200</v>
      </c>
      <c r="I73" s="274" t="s">
        <v>199</v>
      </c>
      <c r="J73" s="276" t="s">
        <v>200</v>
      </c>
      <c r="K73" s="277" t="s">
        <v>199</v>
      </c>
      <c r="L73" s="276" t="s">
        <v>200</v>
      </c>
      <c r="M73" s="274" t="s">
        <v>199</v>
      </c>
      <c r="N73" s="276" t="s">
        <v>200</v>
      </c>
      <c r="O73" s="274" t="s">
        <v>199</v>
      </c>
      <c r="P73" s="276" t="s">
        <v>200</v>
      </c>
      <c r="Q73" s="274" t="s">
        <v>199</v>
      </c>
      <c r="R73" s="276" t="s">
        <v>200</v>
      </c>
      <c r="S73" s="274" t="s">
        <v>199</v>
      </c>
      <c r="T73" s="276" t="s">
        <v>200</v>
      </c>
      <c r="U73" s="274" t="s">
        <v>199</v>
      </c>
      <c r="V73" s="275" t="s">
        <v>200</v>
      </c>
      <c r="W73" s="274" t="s">
        <v>199</v>
      </c>
      <c r="X73" s="276" t="s">
        <v>200</v>
      </c>
    </row>
    <row r="74" spans="1:24" x14ac:dyDescent="0.25">
      <c r="A74" s="289" t="s">
        <v>205</v>
      </c>
      <c r="B74" s="290"/>
      <c r="C74" s="291" t="s">
        <v>150</v>
      </c>
      <c r="D74" s="292">
        <v>132</v>
      </c>
      <c r="E74" s="293">
        <v>3.3348707780081179</v>
      </c>
      <c r="F74" s="294">
        <v>1.8475956270880133E-2</v>
      </c>
      <c r="G74" s="293">
        <v>0.32674054483269982</v>
      </c>
      <c r="H74" s="295">
        <v>0.28258644499113017</v>
      </c>
      <c r="I74" s="293">
        <v>3.4648933778583708</v>
      </c>
      <c r="J74" s="295">
        <v>1.9196311579667922E-2</v>
      </c>
      <c r="K74" s="296">
        <v>0.33271835638518765</v>
      </c>
      <c r="L74" s="295">
        <v>0.287756444680974</v>
      </c>
      <c r="M74" s="293">
        <v>3.6031818847759305</v>
      </c>
      <c r="N74" s="294">
        <v>1.9962461927508449E-2</v>
      </c>
      <c r="O74" s="293">
        <v>0.33892615914806268</v>
      </c>
      <c r="P74" s="295">
        <v>0.29312535570750475</v>
      </c>
      <c r="Q74" s="293">
        <v>3.7464668127030523</v>
      </c>
      <c r="R74" s="295">
        <v>2.0756293604620373E-2</v>
      </c>
      <c r="S74" s="296">
        <v>0.34508492853283157</v>
      </c>
      <c r="T74" s="295">
        <v>0.29845185948392833</v>
      </c>
      <c r="U74" s="293">
        <v>3.8948763041209369</v>
      </c>
      <c r="V74" s="294">
        <v>2.1578516550019824E-2</v>
      </c>
      <c r="W74" s="293">
        <v>0.3511755384570871</v>
      </c>
      <c r="X74" s="295">
        <v>0.30371941453193846</v>
      </c>
    </row>
    <row r="75" spans="1:24" x14ac:dyDescent="0.25">
      <c r="E75">
        <f>SQRT(E74*E74+F74*F74)</f>
        <v>3.3349219581532328</v>
      </c>
      <c r="I75">
        <f>SQRT(I74*I74+J74*J74)</f>
        <v>3.4649465534557753</v>
      </c>
      <c r="M75">
        <f>SQRT(M74*M74+N74*N74)</f>
        <v>3.6032371826822107</v>
      </c>
      <c r="Q75">
        <f>SQRT(Q74*Q74+R74*R74)</f>
        <v>3.7465243095981067</v>
      </c>
      <c r="U75">
        <f>SQRT(U74*U74+V74*V74)</f>
        <v>3.8949360786512619</v>
      </c>
    </row>
    <row r="76" spans="1:24" x14ac:dyDescent="0.25">
      <c r="L76" s="5"/>
      <c r="M76" s="9"/>
    </row>
    <row r="77" spans="1:24" x14ac:dyDescent="0.25">
      <c r="L77" s="5"/>
      <c r="M77" s="9"/>
    </row>
    <row r="78" spans="1:24" x14ac:dyDescent="0.25">
      <c r="C78" s="68">
        <v>2010</v>
      </c>
      <c r="D78" s="241">
        <v>13.668015927789119</v>
      </c>
      <c r="E78" s="301"/>
      <c r="F78" s="328"/>
      <c r="G78" s="328"/>
      <c r="L78" s="5"/>
      <c r="M78" s="9"/>
    </row>
    <row r="79" spans="1:24" x14ac:dyDescent="0.25">
      <c r="C79" s="68">
        <v>2011</v>
      </c>
      <c r="D79" s="301">
        <v>12.897873462153209</v>
      </c>
      <c r="E79" s="301"/>
      <c r="F79" s="328"/>
      <c r="G79" s="328"/>
      <c r="L79" s="5"/>
      <c r="M79" s="9"/>
    </row>
    <row r="80" spans="1:24" x14ac:dyDescent="0.25">
      <c r="C80" s="68">
        <v>2012</v>
      </c>
      <c r="D80" s="241">
        <v>13.118750524661296</v>
      </c>
      <c r="E80" s="301"/>
      <c r="F80" s="328"/>
      <c r="G80" s="328"/>
      <c r="L80" s="5"/>
      <c r="M80" s="9"/>
    </row>
    <row r="81" spans="3:13" x14ac:dyDescent="0.25">
      <c r="C81" s="68">
        <v>2013</v>
      </c>
      <c r="D81" s="301">
        <v>6.1022497541242116</v>
      </c>
      <c r="E81" s="301"/>
      <c r="F81" s="328"/>
      <c r="G81" s="328"/>
      <c r="L81" s="5"/>
      <c r="M81" s="9"/>
    </row>
    <row r="82" spans="3:13" x14ac:dyDescent="0.25">
      <c r="C82" s="68">
        <v>2014</v>
      </c>
      <c r="D82" s="302">
        <v>4.9233119622792545</v>
      </c>
      <c r="E82" s="301"/>
      <c r="F82" s="328"/>
      <c r="G82" s="328"/>
      <c r="L82" s="5"/>
      <c r="M82" s="9"/>
    </row>
    <row r="83" spans="3:13" x14ac:dyDescent="0.25">
      <c r="C83" s="68">
        <v>2015</v>
      </c>
      <c r="D83" s="303">
        <v>6.5868381245852703</v>
      </c>
      <c r="E83" s="301"/>
      <c r="F83" s="328"/>
      <c r="G83" s="328"/>
      <c r="L83" s="5"/>
      <c r="M83" s="9"/>
    </row>
    <row r="84" spans="3:13" x14ac:dyDescent="0.25">
      <c r="C84" s="69">
        <v>2016</v>
      </c>
      <c r="D84" s="304">
        <f>E75</f>
        <v>3.3349219581532328</v>
      </c>
      <c r="E84" s="301"/>
      <c r="F84" s="328"/>
      <c r="G84" s="328"/>
      <c r="L84" s="5"/>
      <c r="M84" s="9"/>
    </row>
    <row r="85" spans="3:13" x14ac:dyDescent="0.25">
      <c r="C85" s="69">
        <v>2017</v>
      </c>
      <c r="D85" s="304">
        <f>I75</f>
        <v>3.4649465534557753</v>
      </c>
      <c r="E85" s="301"/>
      <c r="F85" s="328"/>
      <c r="G85" s="328"/>
      <c r="L85" s="5"/>
      <c r="M85" s="7"/>
    </row>
    <row r="86" spans="3:13" x14ac:dyDescent="0.25">
      <c r="C86" s="69">
        <v>2018</v>
      </c>
      <c r="D86" s="304">
        <f>M75</f>
        <v>3.6032371826822107</v>
      </c>
      <c r="E86" s="301"/>
      <c r="F86" s="328"/>
      <c r="G86" s="328"/>
      <c r="L86" s="5"/>
      <c r="M86" s="9"/>
    </row>
    <row r="87" spans="3:13" x14ac:dyDescent="0.25">
      <c r="C87" s="69">
        <v>2019</v>
      </c>
      <c r="D87" s="304">
        <f>Q75</f>
        <v>3.7465243095981067</v>
      </c>
      <c r="E87" s="301"/>
      <c r="F87" s="328"/>
      <c r="G87" s="328"/>
      <c r="L87" s="5"/>
      <c r="M87" s="9"/>
    </row>
    <row r="88" spans="3:13" x14ac:dyDescent="0.25">
      <c r="C88" s="69">
        <v>2020</v>
      </c>
      <c r="D88" s="304">
        <f>U75</f>
        <v>3.8949360786512619</v>
      </c>
      <c r="E88" s="301"/>
      <c r="F88" s="328"/>
      <c r="G88" s="328"/>
      <c r="L88" s="5"/>
      <c r="M88" s="9"/>
    </row>
    <row r="89" spans="3:13" x14ac:dyDescent="0.25">
      <c r="L89" s="5"/>
      <c r="M89" s="9"/>
    </row>
    <row r="90" spans="3:13" x14ac:dyDescent="0.25">
      <c r="L90" s="5"/>
      <c r="M90" s="9"/>
    </row>
    <row r="125" spans="1:20" ht="18" x14ac:dyDescent="0.25">
      <c r="A125" s="1093" t="s">
        <v>247</v>
      </c>
      <c r="B125" s="1093"/>
      <c r="C125" s="1093"/>
      <c r="D125" s="1093"/>
      <c r="E125" s="1093"/>
      <c r="F125" s="1093"/>
      <c r="G125" s="1093"/>
      <c r="H125" s="1093"/>
      <c r="I125" s="1093"/>
      <c r="J125" s="1093"/>
      <c r="K125" s="1093"/>
      <c r="L125" s="1093"/>
      <c r="M125" s="1093"/>
      <c r="N125" s="1093"/>
      <c r="O125" s="1093"/>
      <c r="P125" s="1093"/>
      <c r="Q125" s="1093"/>
      <c r="R125" s="1093"/>
      <c r="S125" s="1093"/>
      <c r="T125" s="1093"/>
    </row>
    <row r="126" spans="1:20" ht="18" x14ac:dyDescent="0.25">
      <c r="A126" s="1094" t="s">
        <v>248</v>
      </c>
      <c r="B126" s="1094"/>
      <c r="C126" s="1094"/>
      <c r="D126" s="1094"/>
      <c r="E126" s="1094"/>
      <c r="F126" s="1094"/>
      <c r="G126" s="1094"/>
      <c r="H126" s="1094"/>
      <c r="I126" s="1094"/>
      <c r="J126" s="1094"/>
      <c r="K126" s="1094"/>
      <c r="L126" s="1094"/>
      <c r="M126" s="1094"/>
      <c r="N126" s="1094"/>
      <c r="O126" s="1094"/>
      <c r="P126" s="1094"/>
      <c r="Q126" s="1094"/>
      <c r="R126" s="1094"/>
      <c r="S126" s="1094"/>
      <c r="T126" s="1094"/>
    </row>
    <row r="127" spans="1:20" ht="15.75" thickBot="1" x14ac:dyDescent="0.3">
      <c r="A127" s="452"/>
      <c r="B127" s="452"/>
      <c r="C127" s="452"/>
      <c r="D127" s="452"/>
      <c r="E127" s="452"/>
      <c r="F127" s="452"/>
      <c r="G127" s="452"/>
      <c r="H127" s="453"/>
      <c r="I127" s="452"/>
      <c r="J127" s="454"/>
      <c r="K127" s="453"/>
      <c r="L127" s="452"/>
      <c r="M127" s="454"/>
      <c r="N127" s="453"/>
      <c r="O127" s="452"/>
      <c r="P127" s="454"/>
      <c r="Q127" s="453"/>
      <c r="R127" s="452"/>
      <c r="S127" s="449"/>
      <c r="T127" s="450"/>
    </row>
    <row r="128" spans="1:20" x14ac:dyDescent="0.25">
      <c r="A128" s="1095" t="s">
        <v>249</v>
      </c>
      <c r="B128" s="1098" t="s">
        <v>250</v>
      </c>
      <c r="C128" s="1101" t="s">
        <v>251</v>
      </c>
      <c r="D128" s="1063" t="s">
        <v>252</v>
      </c>
      <c r="E128" s="1065"/>
      <c r="F128" s="1066">
        <v>2016</v>
      </c>
      <c r="G128" s="1064"/>
      <c r="H128" s="1106"/>
      <c r="I128" s="1063">
        <f>+F128+1</f>
        <v>2017</v>
      </c>
      <c r="J128" s="1064"/>
      <c r="K128" s="1065"/>
      <c r="L128" s="1066">
        <f>+I128+1</f>
        <v>2018</v>
      </c>
      <c r="M128" s="1064"/>
      <c r="N128" s="1106"/>
      <c r="O128" s="1063">
        <f>+L128+1</f>
        <v>2019</v>
      </c>
      <c r="P128" s="1064"/>
      <c r="Q128" s="1065"/>
      <c r="R128" s="1066">
        <f>+O128+1</f>
        <v>2020</v>
      </c>
      <c r="S128" s="1064"/>
      <c r="T128" s="1065"/>
    </row>
    <row r="129" spans="1:20" x14ac:dyDescent="0.25">
      <c r="A129" s="1096"/>
      <c r="B129" s="1099"/>
      <c r="C129" s="1102"/>
      <c r="D129" s="1104"/>
      <c r="E129" s="1105"/>
      <c r="F129" s="455" t="s">
        <v>253</v>
      </c>
      <c r="G129" s="1067" t="s">
        <v>254</v>
      </c>
      <c r="H129" s="1068"/>
      <c r="I129" s="456" t="s">
        <v>253</v>
      </c>
      <c r="J129" s="1067" t="s">
        <v>254</v>
      </c>
      <c r="K129" s="1069"/>
      <c r="L129" s="455" t="s">
        <v>253</v>
      </c>
      <c r="M129" s="1067" t="s">
        <v>254</v>
      </c>
      <c r="N129" s="1068"/>
      <c r="O129" s="456" t="s">
        <v>253</v>
      </c>
      <c r="P129" s="1067" t="s">
        <v>254</v>
      </c>
      <c r="Q129" s="1069"/>
      <c r="R129" s="455" t="s">
        <v>253</v>
      </c>
      <c r="S129" s="1067" t="s">
        <v>254</v>
      </c>
      <c r="T129" s="1069"/>
    </row>
    <row r="130" spans="1:20" ht="15.75" thickBot="1" x14ac:dyDescent="0.3">
      <c r="A130" s="1097"/>
      <c r="B130" s="1100"/>
      <c r="C130" s="1103"/>
      <c r="D130" s="1091" t="s">
        <v>255</v>
      </c>
      <c r="E130" s="1092"/>
      <c r="F130" s="457" t="s">
        <v>255</v>
      </c>
      <c r="G130" s="458" t="s">
        <v>255</v>
      </c>
      <c r="H130" s="459" t="s">
        <v>256</v>
      </c>
      <c r="I130" s="460" t="s">
        <v>255</v>
      </c>
      <c r="J130" s="461" t="s">
        <v>255</v>
      </c>
      <c r="K130" s="462" t="s">
        <v>256</v>
      </c>
      <c r="L130" s="457" t="s">
        <v>255</v>
      </c>
      <c r="M130" s="461" t="s">
        <v>255</v>
      </c>
      <c r="N130" s="459" t="s">
        <v>256</v>
      </c>
      <c r="O130" s="460" t="s">
        <v>255</v>
      </c>
      <c r="P130" s="461" t="s">
        <v>255</v>
      </c>
      <c r="Q130" s="462" t="s">
        <v>256</v>
      </c>
      <c r="R130" s="457" t="s">
        <v>255</v>
      </c>
      <c r="S130" s="461" t="s">
        <v>255</v>
      </c>
      <c r="T130" s="462" t="s">
        <v>256</v>
      </c>
    </row>
  </sheetData>
  <mergeCells count="46">
    <mergeCell ref="B3:K3"/>
    <mergeCell ref="B4:K4"/>
    <mergeCell ref="B5:B6"/>
    <mergeCell ref="C5:C6"/>
    <mergeCell ref="D5:F5"/>
    <mergeCell ref="G5:I5"/>
    <mergeCell ref="J5:J6"/>
    <mergeCell ref="K5:K6"/>
    <mergeCell ref="A69:X69"/>
    <mergeCell ref="C64:L66"/>
    <mergeCell ref="Q71:T71"/>
    <mergeCell ref="U71:X71"/>
    <mergeCell ref="A72:A73"/>
    <mergeCell ref="B72:B73"/>
    <mergeCell ref="C72:C73"/>
    <mergeCell ref="E72:F72"/>
    <mergeCell ref="G72:H72"/>
    <mergeCell ref="U72:V72"/>
    <mergeCell ref="W72:X72"/>
    <mergeCell ref="M72:N72"/>
    <mergeCell ref="D71:D73"/>
    <mergeCell ref="I72:J72"/>
    <mergeCell ref="K72:L72"/>
    <mergeCell ref="O72:P72"/>
    <mergeCell ref="S129:T129"/>
    <mergeCell ref="Q72:R72"/>
    <mergeCell ref="S72:T72"/>
    <mergeCell ref="E71:H71"/>
    <mergeCell ref="I71:L71"/>
    <mergeCell ref="M71:P71"/>
    <mergeCell ref="D130:E130"/>
    <mergeCell ref="A125:T125"/>
    <mergeCell ref="A126:T126"/>
    <mergeCell ref="A128:A130"/>
    <mergeCell ref="B128:B130"/>
    <mergeCell ref="C128:C130"/>
    <mergeCell ref="D128:E129"/>
    <mergeCell ref="F128:H128"/>
    <mergeCell ref="I128:K128"/>
    <mergeCell ref="L128:N128"/>
    <mergeCell ref="O128:Q128"/>
    <mergeCell ref="R128:T128"/>
    <mergeCell ref="G129:H129"/>
    <mergeCell ref="J129:K129"/>
    <mergeCell ref="M129:N129"/>
    <mergeCell ref="P129:Q129"/>
  </mergeCells>
  <printOptions horizontalCentered="1" verticalCentered="1" gridLines="1"/>
  <pageMargins left="0.11811023622047245" right="0.11811023622047245" top="0.15748031496062992" bottom="0.15748031496062992" header="0" footer="0"/>
  <pageSetup paperSize="9" scale="13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FFFF00"/>
  </sheetPr>
  <dimension ref="A2:X123"/>
  <sheetViews>
    <sheetView workbookViewId="0">
      <selection activeCell="P29" sqref="P29"/>
    </sheetView>
  </sheetViews>
  <sheetFormatPr baseColWidth="10" defaultRowHeight="15" x14ac:dyDescent="0.25"/>
  <cols>
    <col min="1" max="2" width="5.7109375" customWidth="1"/>
    <col min="3" max="3" width="7.7109375" customWidth="1"/>
    <col min="4" max="5" width="10.7109375" customWidth="1"/>
    <col min="6" max="6" width="11.7109375" customWidth="1"/>
    <col min="7" max="9" width="12.7109375" customWidth="1"/>
    <col min="10" max="11" width="10.7109375" customWidth="1"/>
  </cols>
  <sheetData>
    <row r="2" spans="2:16" ht="15.75" thickBot="1" x14ac:dyDescent="0.3"/>
    <row r="3" spans="2:16" ht="15.95" customHeight="1" x14ac:dyDescent="0.25">
      <c r="B3" s="1311" t="s">
        <v>227</v>
      </c>
      <c r="C3" s="1312"/>
      <c r="D3" s="1312"/>
      <c r="E3" s="1312"/>
      <c r="F3" s="1312"/>
      <c r="G3" s="1312"/>
      <c r="H3" s="1312"/>
      <c r="I3" s="1312"/>
      <c r="J3" s="1312"/>
      <c r="K3" s="1313"/>
    </row>
    <row r="4" spans="2:16" ht="15.95" customHeight="1" x14ac:dyDescent="0.25">
      <c r="B4" s="1295" t="s">
        <v>214</v>
      </c>
      <c r="C4" s="1296"/>
      <c r="D4" s="1296"/>
      <c r="E4" s="1296"/>
      <c r="F4" s="1296"/>
      <c r="G4" s="1296"/>
      <c r="H4" s="1296"/>
      <c r="I4" s="1296"/>
      <c r="J4" s="1296"/>
      <c r="K4" s="1297"/>
      <c r="M4" s="1173" t="s">
        <v>228</v>
      </c>
      <c r="N4" s="1173"/>
      <c r="O4" s="1173"/>
    </row>
    <row r="5" spans="2:16" ht="15.95" customHeight="1" x14ac:dyDescent="0.25">
      <c r="B5" s="1118" t="s">
        <v>124</v>
      </c>
      <c r="C5" s="1031" t="s">
        <v>26</v>
      </c>
      <c r="D5" s="1034" t="s">
        <v>110</v>
      </c>
      <c r="E5" s="1035"/>
      <c r="F5" s="1036"/>
      <c r="G5" s="1120" t="s">
        <v>74</v>
      </c>
      <c r="H5" s="1120"/>
      <c r="I5" s="1121"/>
      <c r="J5" s="1030" t="s">
        <v>105</v>
      </c>
      <c r="K5" s="1200" t="s">
        <v>168</v>
      </c>
    </row>
    <row r="6" spans="2:16" ht="39.950000000000003" customHeight="1" x14ac:dyDescent="0.25">
      <c r="B6" s="1119"/>
      <c r="C6" s="1032"/>
      <c r="D6" s="330" t="s">
        <v>79</v>
      </c>
      <c r="E6" s="330" t="s">
        <v>116</v>
      </c>
      <c r="F6" s="330" t="s">
        <v>167</v>
      </c>
      <c r="G6" s="38" t="s">
        <v>243</v>
      </c>
      <c r="H6" s="38" t="s">
        <v>232</v>
      </c>
      <c r="I6" s="38" t="s">
        <v>130</v>
      </c>
      <c r="J6" s="1032"/>
      <c r="K6" s="1124"/>
      <c r="L6" s="259" t="s">
        <v>206</v>
      </c>
      <c r="M6" s="85" t="s">
        <v>73</v>
      </c>
      <c r="N6" s="38" t="s">
        <v>240</v>
      </c>
    </row>
    <row r="7" spans="2:16" x14ac:dyDescent="0.25">
      <c r="B7" s="201">
        <v>5</v>
      </c>
      <c r="C7" s="68">
        <v>2003</v>
      </c>
      <c r="D7" s="62">
        <v>15.31</v>
      </c>
      <c r="E7" s="62">
        <v>17.440000000000001</v>
      </c>
      <c r="F7" s="175"/>
      <c r="G7" s="40"/>
      <c r="H7" s="40"/>
      <c r="I7" s="40"/>
      <c r="J7" s="62">
        <f t="shared" ref="J7:J29" si="0">3 * 15</f>
        <v>45</v>
      </c>
      <c r="K7" s="204">
        <f t="shared" ref="K7:K29" si="1">J7-15</f>
        <v>30</v>
      </c>
      <c r="L7" s="263">
        <v>0.87780000000000002</v>
      </c>
      <c r="M7" s="50"/>
      <c r="N7" s="50"/>
      <c r="O7" s="75"/>
      <c r="P7" s="75"/>
    </row>
    <row r="8" spans="2:16" x14ac:dyDescent="0.25">
      <c r="B8" s="201">
        <v>5</v>
      </c>
      <c r="C8" s="68">
        <v>2004</v>
      </c>
      <c r="D8" s="62">
        <v>15.14</v>
      </c>
      <c r="E8" s="62">
        <v>16.649999999999999</v>
      </c>
      <c r="F8" s="175">
        <f>(E8-E7)/E7</f>
        <v>-4.5298165137614831E-2</v>
      </c>
      <c r="G8" s="40"/>
      <c r="H8" s="40"/>
      <c r="I8" s="40"/>
      <c r="J8" s="62">
        <f t="shared" si="0"/>
        <v>45</v>
      </c>
      <c r="K8" s="204">
        <f t="shared" si="1"/>
        <v>30</v>
      </c>
      <c r="L8" s="263">
        <v>0.91459999999999997</v>
      </c>
      <c r="M8" s="50"/>
      <c r="N8" s="50"/>
      <c r="O8" s="75"/>
      <c r="P8" s="75"/>
    </row>
    <row r="9" spans="2:16" x14ac:dyDescent="0.25">
      <c r="B9" s="201">
        <v>12</v>
      </c>
      <c r="C9" s="68">
        <v>2005</v>
      </c>
      <c r="D9" s="62">
        <v>15.05</v>
      </c>
      <c r="E9" s="62">
        <v>16.989999999999998</v>
      </c>
      <c r="F9" s="175">
        <f t="shared" ref="F9:F19" si="2">(E9-E8)/E8</f>
        <v>2.0420420420420412E-2</v>
      </c>
      <c r="G9" s="40"/>
      <c r="H9" s="40"/>
      <c r="I9" s="40"/>
      <c r="J9" s="62">
        <f t="shared" si="0"/>
        <v>45</v>
      </c>
      <c r="K9" s="204">
        <f t="shared" si="1"/>
        <v>30</v>
      </c>
      <c r="L9" s="263">
        <v>0.88560000000000005</v>
      </c>
      <c r="M9" s="50"/>
      <c r="N9" s="50"/>
      <c r="O9" s="75"/>
      <c r="P9" s="75"/>
    </row>
    <row r="10" spans="2:16" x14ac:dyDescent="0.25">
      <c r="B10" s="201">
        <v>6</v>
      </c>
      <c r="C10" s="68">
        <v>2006</v>
      </c>
      <c r="D10" s="62">
        <v>15.23</v>
      </c>
      <c r="E10" s="62">
        <v>16.829999999999998</v>
      </c>
      <c r="F10" s="175">
        <f t="shared" si="2"/>
        <v>-9.4173042966450952E-3</v>
      </c>
      <c r="G10" s="40"/>
      <c r="H10" s="40"/>
      <c r="I10" s="40"/>
      <c r="J10" s="62">
        <f t="shared" si="0"/>
        <v>45</v>
      </c>
      <c r="K10" s="204">
        <f t="shared" si="1"/>
        <v>30</v>
      </c>
      <c r="L10" s="263">
        <v>0.90510000000000002</v>
      </c>
      <c r="M10" s="50"/>
      <c r="N10" s="50"/>
      <c r="O10" s="75"/>
      <c r="P10" s="75"/>
    </row>
    <row r="11" spans="2:16" x14ac:dyDescent="0.25">
      <c r="B11" s="201">
        <v>12</v>
      </c>
      <c r="C11" s="68">
        <v>2007</v>
      </c>
      <c r="D11" s="62">
        <v>18.760000000000002</v>
      </c>
      <c r="E11" s="62">
        <v>20.64</v>
      </c>
      <c r="F11" s="175">
        <f t="shared" si="2"/>
        <v>0.22638146167557949</v>
      </c>
      <c r="G11" s="40"/>
      <c r="H11" s="40"/>
      <c r="I11" s="40"/>
      <c r="J11" s="62">
        <f t="shared" si="0"/>
        <v>45</v>
      </c>
      <c r="K11" s="204">
        <f t="shared" si="1"/>
        <v>30</v>
      </c>
      <c r="L11" s="263">
        <v>0.90869999999999995</v>
      </c>
      <c r="M11" s="50"/>
      <c r="N11" s="50"/>
      <c r="O11" s="75"/>
      <c r="P11" s="75"/>
    </row>
    <row r="12" spans="2:16" x14ac:dyDescent="0.25">
      <c r="B12" s="201">
        <v>9</v>
      </c>
      <c r="C12" s="68">
        <v>2008</v>
      </c>
      <c r="D12" s="62">
        <v>21.56</v>
      </c>
      <c r="E12" s="62">
        <v>23.19</v>
      </c>
      <c r="F12" s="175">
        <f t="shared" si="2"/>
        <v>0.123546511627907</v>
      </c>
      <c r="G12" s="40"/>
      <c r="H12" s="40"/>
      <c r="I12" s="40"/>
      <c r="J12" s="62">
        <f t="shared" si="0"/>
        <v>45</v>
      </c>
      <c r="K12" s="204">
        <f t="shared" si="1"/>
        <v>30</v>
      </c>
      <c r="L12" s="263">
        <v>0.92969999999999997</v>
      </c>
      <c r="M12" s="50"/>
      <c r="N12" s="50"/>
      <c r="O12" s="75"/>
      <c r="P12" s="75"/>
    </row>
    <row r="13" spans="2:16" x14ac:dyDescent="0.25">
      <c r="B13" s="201">
        <v>10</v>
      </c>
      <c r="C13" s="68">
        <v>2009</v>
      </c>
      <c r="D13" s="62">
        <v>16.96</v>
      </c>
      <c r="E13" s="62">
        <v>17.579999999999998</v>
      </c>
      <c r="F13" s="175">
        <f t="shared" si="2"/>
        <v>-0.24191461836998718</v>
      </c>
      <c r="G13" s="40"/>
      <c r="H13" s="40"/>
      <c r="I13" s="40"/>
      <c r="J13" s="62">
        <f t="shared" si="0"/>
        <v>45</v>
      </c>
      <c r="K13" s="204">
        <f t="shared" si="1"/>
        <v>30</v>
      </c>
      <c r="L13" s="263">
        <v>0.96499999999999997</v>
      </c>
      <c r="M13" s="50"/>
      <c r="N13" s="50"/>
      <c r="O13" s="425" t="s">
        <v>117</v>
      </c>
      <c r="P13" s="75"/>
    </row>
    <row r="14" spans="2:16" x14ac:dyDescent="0.25">
      <c r="B14" s="201">
        <v>6</v>
      </c>
      <c r="C14" s="68">
        <v>2010</v>
      </c>
      <c r="D14" s="62">
        <f>L14*E14</f>
        <v>17.137121534145763</v>
      </c>
      <c r="E14" s="62">
        <v>18.783347802242282</v>
      </c>
      <c r="F14" s="175">
        <f t="shared" si="2"/>
        <v>6.8449818102519017E-2</v>
      </c>
      <c r="G14" s="40"/>
      <c r="H14" s="40"/>
      <c r="I14" s="40"/>
      <c r="J14" s="62">
        <f t="shared" si="0"/>
        <v>45</v>
      </c>
      <c r="K14" s="204">
        <f t="shared" si="1"/>
        <v>30</v>
      </c>
      <c r="L14" s="273">
        <f>AVERAGE(L7:L13)</f>
        <v>0.91235714285714287</v>
      </c>
      <c r="M14" s="175"/>
      <c r="N14" s="50"/>
      <c r="O14" s="328">
        <v>18.783347802242282</v>
      </c>
      <c r="P14" s="75"/>
    </row>
    <row r="15" spans="2:16" x14ac:dyDescent="0.25">
      <c r="B15" s="201">
        <v>6</v>
      </c>
      <c r="C15" s="68">
        <v>2011</v>
      </c>
      <c r="D15" s="62">
        <f>L14*E15</f>
        <v>16.395019374074288</v>
      </c>
      <c r="E15" s="40">
        <v>17.969957820170674</v>
      </c>
      <c r="F15" s="175">
        <f t="shared" si="2"/>
        <v>-4.3303781127585227E-2</v>
      </c>
      <c r="G15" s="40"/>
      <c r="H15" s="40"/>
      <c r="I15" s="40"/>
      <c r="J15" s="62">
        <f t="shared" si="0"/>
        <v>45</v>
      </c>
      <c r="K15" s="204">
        <f t="shared" si="1"/>
        <v>30</v>
      </c>
      <c r="L15" s="263"/>
      <c r="M15" s="50"/>
      <c r="N15" s="50"/>
      <c r="O15" s="328">
        <v>17.969957820170674</v>
      </c>
      <c r="P15" s="75"/>
    </row>
    <row r="16" spans="2:16" x14ac:dyDescent="0.25">
      <c r="B16" s="201">
        <v>9</v>
      </c>
      <c r="C16" s="68">
        <v>2012</v>
      </c>
      <c r="D16" s="62">
        <f>L14*E16</f>
        <v>17.936572490937607</v>
      </c>
      <c r="E16" s="62">
        <v>19.65959562147706</v>
      </c>
      <c r="F16" s="175">
        <f t="shared" si="2"/>
        <v>9.4025696566178041E-2</v>
      </c>
      <c r="G16" s="40"/>
      <c r="H16" s="40"/>
      <c r="I16" s="40"/>
      <c r="J16" s="62">
        <f t="shared" si="0"/>
        <v>45</v>
      </c>
      <c r="K16" s="204">
        <f t="shared" si="1"/>
        <v>30</v>
      </c>
      <c r="L16" s="263"/>
      <c r="M16" s="175"/>
      <c r="N16" s="50"/>
      <c r="O16" s="328">
        <v>19.65959562147706</v>
      </c>
      <c r="P16" s="75"/>
    </row>
    <row r="17" spans="2:16" x14ac:dyDescent="0.25">
      <c r="B17" s="201">
        <v>12</v>
      </c>
      <c r="C17" s="68">
        <v>2013</v>
      </c>
      <c r="D17" s="62">
        <f>L14*E17</f>
        <v>16.999117369466813</v>
      </c>
      <c r="E17" s="40">
        <v>18.632086680696421</v>
      </c>
      <c r="F17" s="175">
        <f t="shared" si="2"/>
        <v>-5.2265008933252914E-2</v>
      </c>
      <c r="G17" s="40"/>
      <c r="H17" s="40"/>
      <c r="I17" s="40"/>
      <c r="J17" s="62">
        <f t="shared" si="0"/>
        <v>45</v>
      </c>
      <c r="K17" s="204">
        <f t="shared" si="1"/>
        <v>30</v>
      </c>
      <c r="L17" s="263"/>
      <c r="M17" s="50"/>
      <c r="N17" s="50"/>
      <c r="O17" s="328">
        <v>18.632086680696421</v>
      </c>
      <c r="P17" s="75"/>
    </row>
    <row r="18" spans="2:16" x14ac:dyDescent="0.25">
      <c r="B18" s="201">
        <v>11</v>
      </c>
      <c r="C18" s="68">
        <v>2014</v>
      </c>
      <c r="D18" s="62">
        <f>L14*E18</f>
        <v>17.568022432077271</v>
      </c>
      <c r="E18" s="62">
        <v>19.255641904727298</v>
      </c>
      <c r="F18" s="175">
        <f t="shared" si="2"/>
        <v>3.3466741257537458E-2</v>
      </c>
      <c r="G18" s="40"/>
      <c r="H18" s="40"/>
      <c r="I18" s="40"/>
      <c r="J18" s="62">
        <f t="shared" si="0"/>
        <v>45</v>
      </c>
      <c r="K18" s="204">
        <f t="shared" si="1"/>
        <v>30</v>
      </c>
      <c r="L18" s="263"/>
      <c r="M18" s="175"/>
      <c r="N18" s="390"/>
      <c r="O18" s="328">
        <v>19.255641904727298</v>
      </c>
      <c r="P18" s="75"/>
    </row>
    <row r="19" spans="2:16" x14ac:dyDescent="0.25">
      <c r="B19" s="201">
        <v>6</v>
      </c>
      <c r="C19" s="68">
        <v>2015</v>
      </c>
      <c r="D19" s="62">
        <f>L14*E19</f>
        <v>17.667925289548645</v>
      </c>
      <c r="E19" s="52">
        <v>19.365141631071872</v>
      </c>
      <c r="F19" s="175">
        <f t="shared" si="2"/>
        <v>5.6866308007987509E-3</v>
      </c>
      <c r="G19" s="40"/>
      <c r="H19" s="40">
        <f>E19</f>
        <v>19.365141631071872</v>
      </c>
      <c r="I19" s="40">
        <f>E19</f>
        <v>19.365141631071872</v>
      </c>
      <c r="J19" s="62">
        <f t="shared" si="0"/>
        <v>45</v>
      </c>
      <c r="K19" s="204">
        <f t="shared" si="1"/>
        <v>30</v>
      </c>
      <c r="L19" s="263"/>
      <c r="M19" s="402"/>
      <c r="N19" s="390"/>
      <c r="O19" s="328">
        <v>19.365141631071872</v>
      </c>
      <c r="P19" s="75"/>
    </row>
    <row r="20" spans="2:16" x14ac:dyDescent="0.25">
      <c r="B20" s="202"/>
      <c r="C20" s="69">
        <v>2016</v>
      </c>
      <c r="D20" s="109"/>
      <c r="E20" s="109"/>
      <c r="F20" s="187"/>
      <c r="G20" s="374">
        <f>0.1642*C20-311.24</f>
        <v>19.787200000000041</v>
      </c>
      <c r="H20" s="375">
        <f>1.0297*H19</f>
        <v>19.940286337514706</v>
      </c>
      <c r="I20" s="393">
        <f>1.045*I19</f>
        <v>20.236573004470106</v>
      </c>
      <c r="J20" s="62">
        <f t="shared" si="0"/>
        <v>45</v>
      </c>
      <c r="K20" s="204">
        <f t="shared" si="1"/>
        <v>30</v>
      </c>
      <c r="L20" s="263"/>
      <c r="M20" s="402"/>
      <c r="N20" s="390">
        <f>(H20-H19)/H19</f>
        <v>2.9700000000000011E-2</v>
      </c>
      <c r="O20" s="328">
        <v>17.122617678833244</v>
      </c>
      <c r="P20" s="75"/>
    </row>
    <row r="21" spans="2:16" x14ac:dyDescent="0.25">
      <c r="B21" s="202"/>
      <c r="C21" s="69">
        <v>2017</v>
      </c>
      <c r="D21" s="109"/>
      <c r="E21" s="109"/>
      <c r="F21" s="187"/>
      <c r="G21" s="374">
        <f t="shared" ref="G21:G29" si="3">0.1642*C21-311.24</f>
        <v>19.951400000000035</v>
      </c>
      <c r="H21" s="375">
        <f>1.0297*H20</f>
        <v>20.532512841738896</v>
      </c>
      <c r="I21" s="393">
        <f t="shared" ref="I21:I29" si="4">1.045*I20</f>
        <v>21.14721878967126</v>
      </c>
      <c r="J21" s="62">
        <f t="shared" si="0"/>
        <v>45</v>
      </c>
      <c r="K21" s="204">
        <f t="shared" si="1"/>
        <v>30</v>
      </c>
      <c r="L21" s="263"/>
      <c r="M21" s="402">
        <f>(G21-G20)/G20</f>
        <v>8.298293846526722E-3</v>
      </c>
      <c r="N21" s="390">
        <f>(H21-H20)/H20</f>
        <v>2.9700000000000143E-2</v>
      </c>
      <c r="O21" s="328">
        <v>17.790207943956965</v>
      </c>
      <c r="P21" s="75"/>
    </row>
    <row r="22" spans="2:16" x14ac:dyDescent="0.25">
      <c r="B22" s="202"/>
      <c r="C22" s="69">
        <v>2018</v>
      </c>
      <c r="D22" s="109"/>
      <c r="E22" s="109"/>
      <c r="F22" s="187"/>
      <c r="G22" s="374">
        <f t="shared" si="3"/>
        <v>20.115600000000029</v>
      </c>
      <c r="H22" s="375">
        <f>1.0297*H21</f>
        <v>21.142328473138541</v>
      </c>
      <c r="I22" s="393">
        <f t="shared" si="4"/>
        <v>22.098843635206467</v>
      </c>
      <c r="J22" s="62">
        <f t="shared" si="0"/>
        <v>45</v>
      </c>
      <c r="K22" s="204">
        <f t="shared" si="1"/>
        <v>30</v>
      </c>
      <c r="L22" s="263"/>
      <c r="M22" s="402">
        <f t="shared" ref="M22:M28" si="5">(G22-G21)/G21</f>
        <v>8.2299988973201683E-3</v>
      </c>
      <c r="N22" s="390">
        <f>(H22-H21)/H21</f>
        <v>2.969999999999998E-2</v>
      </c>
      <c r="O22" s="328">
        <v>18.500238823996149</v>
      </c>
      <c r="P22" s="75"/>
    </row>
    <row r="23" spans="2:16" x14ac:dyDescent="0.25">
      <c r="B23" s="202"/>
      <c r="C23" s="69">
        <v>2019</v>
      </c>
      <c r="D23" s="109"/>
      <c r="E23" s="109"/>
      <c r="F23" s="187"/>
      <c r="G23" s="374">
        <f t="shared" si="3"/>
        <v>20.279800000000023</v>
      </c>
      <c r="H23" s="375">
        <f>1.0297*H22</f>
        <v>21.770255628790757</v>
      </c>
      <c r="I23" s="393">
        <f t="shared" si="4"/>
        <v>23.093291598790756</v>
      </c>
      <c r="J23" s="62">
        <f t="shared" si="0"/>
        <v>45</v>
      </c>
      <c r="K23" s="204">
        <f t="shared" si="1"/>
        <v>30</v>
      </c>
      <c r="L23" s="263"/>
      <c r="M23" s="402">
        <f>(G23-G22)/G22</f>
        <v>8.1628189067188481E-3</v>
      </c>
      <c r="N23" s="390">
        <f>(H23-H22)/H22</f>
        <v>2.970000000000007E-2</v>
      </c>
      <c r="O23" s="328">
        <v>19.235923413700306</v>
      </c>
      <c r="P23" s="75"/>
    </row>
    <row r="24" spans="2:16" x14ac:dyDescent="0.25">
      <c r="B24" s="202"/>
      <c r="C24" s="69">
        <v>2020</v>
      </c>
      <c r="D24" s="109"/>
      <c r="E24" s="109"/>
      <c r="F24" s="187"/>
      <c r="G24" s="374">
        <f t="shared" si="3"/>
        <v>20.444000000000017</v>
      </c>
      <c r="H24" s="375">
        <f>1.0297*H23</f>
        <v>22.416832220965844</v>
      </c>
      <c r="I24" s="393">
        <f t="shared" si="4"/>
        <v>24.132489720736338</v>
      </c>
      <c r="J24" s="62">
        <f t="shared" si="0"/>
        <v>45</v>
      </c>
      <c r="K24" s="204">
        <f t="shared" si="1"/>
        <v>30</v>
      </c>
      <c r="L24" s="263"/>
      <c r="M24" s="402">
        <f>(G24-G23)/G23</f>
        <v>8.096726792177128E-3</v>
      </c>
      <c r="N24" s="390">
        <f>(H24-H23)/H23</f>
        <v>2.9700000000000081E-2</v>
      </c>
      <c r="O24" s="328">
        <v>19.235923413700306</v>
      </c>
      <c r="P24" s="75"/>
    </row>
    <row r="25" spans="2:16" x14ac:dyDescent="0.25">
      <c r="B25" s="202"/>
      <c r="C25" s="69">
        <v>2021</v>
      </c>
      <c r="D25" s="109"/>
      <c r="E25" s="109"/>
      <c r="F25" s="187"/>
      <c r="G25" s="374">
        <f t="shared" si="3"/>
        <v>20.608200000000011</v>
      </c>
      <c r="H25" s="375"/>
      <c r="I25" s="393">
        <f t="shared" si="4"/>
        <v>25.218451758169472</v>
      </c>
      <c r="J25" s="62">
        <f t="shared" si="0"/>
        <v>45</v>
      </c>
      <c r="K25" s="204">
        <f t="shared" si="1"/>
        <v>30</v>
      </c>
      <c r="L25" s="263"/>
      <c r="M25" s="402">
        <f t="shared" si="5"/>
        <v>8.0316963412245049E-3</v>
      </c>
      <c r="N25" s="390"/>
      <c r="O25" s="328"/>
      <c r="P25" s="75"/>
    </row>
    <row r="26" spans="2:16" x14ac:dyDescent="0.25">
      <c r="B26" s="202"/>
      <c r="C26" s="69">
        <v>2022</v>
      </c>
      <c r="D26" s="109"/>
      <c r="E26" s="109"/>
      <c r="F26" s="187"/>
      <c r="G26" s="374">
        <f t="shared" si="3"/>
        <v>20.772400000000005</v>
      </c>
      <c r="H26" s="375"/>
      <c r="I26" s="393">
        <f t="shared" si="4"/>
        <v>26.353282087287095</v>
      </c>
      <c r="J26" s="62">
        <f t="shared" si="0"/>
        <v>45</v>
      </c>
      <c r="K26" s="204">
        <f t="shared" si="1"/>
        <v>30</v>
      </c>
      <c r="L26" s="263"/>
      <c r="M26" s="402">
        <f t="shared" si="5"/>
        <v>7.9677021768031087E-3</v>
      </c>
      <c r="N26" s="390"/>
      <c r="O26" s="328"/>
      <c r="P26" s="75"/>
    </row>
    <row r="27" spans="2:16" x14ac:dyDescent="0.25">
      <c r="B27" s="202"/>
      <c r="C27" s="69">
        <v>2023</v>
      </c>
      <c r="D27" s="109"/>
      <c r="E27" s="109"/>
      <c r="F27" s="187"/>
      <c r="G27" s="374">
        <f t="shared" si="3"/>
        <v>20.936599999999999</v>
      </c>
      <c r="H27" s="375"/>
      <c r="I27" s="393">
        <f t="shared" si="4"/>
        <v>27.539179781215012</v>
      </c>
      <c r="J27" s="62">
        <f t="shared" si="0"/>
        <v>45</v>
      </c>
      <c r="K27" s="204">
        <f t="shared" si="1"/>
        <v>30</v>
      </c>
      <c r="L27" s="263"/>
      <c r="M27" s="402">
        <f t="shared" si="5"/>
        <v>7.9047197242491894E-3</v>
      </c>
      <c r="N27" s="390"/>
      <c r="O27" s="328"/>
      <c r="P27" s="75"/>
    </row>
    <row r="28" spans="2:16" x14ac:dyDescent="0.25">
      <c r="B28" s="202"/>
      <c r="C28" s="69">
        <v>2024</v>
      </c>
      <c r="D28" s="109"/>
      <c r="E28" s="109"/>
      <c r="F28" s="187"/>
      <c r="G28" s="374">
        <f t="shared" si="3"/>
        <v>21.100799999999992</v>
      </c>
      <c r="H28" s="375"/>
      <c r="I28" s="393">
        <f t="shared" si="4"/>
        <v>28.778442871369684</v>
      </c>
      <c r="J28" s="62">
        <f t="shared" si="0"/>
        <v>45</v>
      </c>
      <c r="K28" s="204">
        <f t="shared" si="1"/>
        <v>30</v>
      </c>
      <c r="L28" s="262"/>
      <c r="M28" s="402">
        <f t="shared" si="5"/>
        <v>7.8427251798283346E-3</v>
      </c>
      <c r="N28" s="397"/>
      <c r="O28" s="328"/>
      <c r="P28" s="75"/>
    </row>
    <row r="29" spans="2:16" ht="15.75" thickBot="1" x14ac:dyDescent="0.3">
      <c r="B29" s="203"/>
      <c r="C29" s="252">
        <v>2025</v>
      </c>
      <c r="D29" s="247"/>
      <c r="E29" s="247"/>
      <c r="F29" s="253"/>
      <c r="G29" s="376">
        <f t="shared" si="3"/>
        <v>21.265000000000043</v>
      </c>
      <c r="H29" s="377"/>
      <c r="I29" s="396">
        <f t="shared" si="4"/>
        <v>30.073472800581317</v>
      </c>
      <c r="J29" s="183">
        <f t="shared" si="0"/>
        <v>45</v>
      </c>
      <c r="K29" s="206">
        <f t="shared" si="1"/>
        <v>30</v>
      </c>
      <c r="L29" s="263"/>
      <c r="M29" s="402">
        <f>(G29-G28)/G28</f>
        <v>7.7816954807424744E-3</v>
      </c>
      <c r="N29" s="75"/>
      <c r="O29" s="328"/>
      <c r="P29" s="75"/>
    </row>
    <row r="30" spans="2:16" x14ac:dyDescent="0.25">
      <c r="B30" s="73"/>
      <c r="C30" s="73"/>
      <c r="D30" s="73"/>
      <c r="E30" s="73"/>
      <c r="F30" s="403">
        <f>AVERAGE(F7:F19)</f>
        <v>1.4981533548821242E-2</v>
      </c>
      <c r="G30" s="73"/>
      <c r="H30" s="73"/>
      <c r="I30" s="250"/>
      <c r="J30" s="73"/>
      <c r="K30" s="39"/>
      <c r="L30" s="122"/>
      <c r="M30" s="417">
        <f>AVERAGE(M21:M29)</f>
        <v>8.0351530383989435E-3</v>
      </c>
      <c r="N30" s="418">
        <f>AVERAGE(N21:N24)</f>
        <v>2.9700000000000067E-2</v>
      </c>
      <c r="O30" s="328"/>
      <c r="P30" s="75"/>
    </row>
    <row r="31" spans="2:16" x14ac:dyDescent="0.25">
      <c r="F31" s="75"/>
      <c r="G31" s="385">
        <f>(G29-G20)/G20</f>
        <v>7.468464461874337E-2</v>
      </c>
      <c r="H31" s="75"/>
      <c r="I31" s="426">
        <f>(I29-I19)/I19</f>
        <v>0.55296942173289609</v>
      </c>
      <c r="J31" s="75"/>
      <c r="K31" s="132"/>
      <c r="L31" s="122"/>
      <c r="M31" s="144"/>
      <c r="N31" s="75"/>
      <c r="O31" s="75"/>
      <c r="P31" s="75"/>
    </row>
    <row r="32" spans="2:16" x14ac:dyDescent="0.25">
      <c r="F32" s="75"/>
      <c r="G32" s="75"/>
      <c r="H32" s="75"/>
      <c r="I32" s="427">
        <f>(I20-I19)/I19</f>
        <v>4.5000000000000012E-2</v>
      </c>
      <c r="J32" s="75"/>
      <c r="K32" s="132"/>
      <c r="L32" s="122"/>
      <c r="M32" s="144"/>
      <c r="N32" s="75"/>
    </row>
    <row r="33" spans="9:13" x14ac:dyDescent="0.25">
      <c r="I33" s="14"/>
      <c r="K33" s="10"/>
      <c r="L33" s="5"/>
      <c r="M33" s="5"/>
    </row>
    <row r="34" spans="9:13" x14ac:dyDescent="0.25">
      <c r="K34" s="10"/>
      <c r="L34" s="5"/>
      <c r="M34" s="5"/>
    </row>
    <row r="35" spans="9:13" x14ac:dyDescent="0.25">
      <c r="K35" s="10"/>
      <c r="L35" s="5"/>
      <c r="M35" s="5"/>
    </row>
    <row r="36" spans="9:13" x14ac:dyDescent="0.25">
      <c r="K36" s="10"/>
      <c r="L36" s="5"/>
      <c r="M36" s="5"/>
    </row>
    <row r="37" spans="9:13" x14ac:dyDescent="0.25">
      <c r="K37" s="10"/>
      <c r="L37" s="5"/>
      <c r="M37" s="5"/>
    </row>
    <row r="38" spans="9:13" x14ac:dyDescent="0.25">
      <c r="K38" s="10"/>
      <c r="L38" s="5"/>
      <c r="M38" s="5"/>
    </row>
    <row r="39" spans="9:13" x14ac:dyDescent="0.25">
      <c r="K39" s="10"/>
      <c r="L39" s="5"/>
      <c r="M39" s="5"/>
    </row>
    <row r="40" spans="9:13" x14ac:dyDescent="0.25">
      <c r="K40" s="10"/>
      <c r="L40" s="5"/>
      <c r="M40" s="5"/>
    </row>
    <row r="41" spans="9:13" x14ac:dyDescent="0.25">
      <c r="K41" s="10"/>
      <c r="L41" s="5"/>
      <c r="M41" s="5"/>
    </row>
    <row r="42" spans="9:13" x14ac:dyDescent="0.25">
      <c r="K42" s="10"/>
      <c r="L42" s="5"/>
      <c r="M42" s="5"/>
    </row>
    <row r="43" spans="9:13" x14ac:dyDescent="0.25">
      <c r="K43" s="10"/>
      <c r="L43" s="5"/>
      <c r="M43" s="5"/>
    </row>
    <row r="44" spans="9:13" x14ac:dyDescent="0.25">
      <c r="K44" s="10"/>
      <c r="L44" s="5"/>
      <c r="M44" s="5"/>
    </row>
    <row r="45" spans="9:13" x14ac:dyDescent="0.25">
      <c r="K45" s="10"/>
      <c r="L45" s="5"/>
      <c r="M45" s="5"/>
    </row>
    <row r="46" spans="9:13" x14ac:dyDescent="0.25">
      <c r="K46" s="10"/>
      <c r="L46" s="5"/>
      <c r="M46" s="5"/>
    </row>
    <row r="47" spans="9:13" x14ac:dyDescent="0.25">
      <c r="K47" s="10"/>
      <c r="L47" s="5"/>
      <c r="M47" s="5"/>
    </row>
    <row r="64" spans="1:9" ht="15.75" thickBot="1" x14ac:dyDescent="0.3">
      <c r="A64" s="223" t="s">
        <v>151</v>
      </c>
      <c r="B64" s="25" t="s">
        <v>152</v>
      </c>
      <c r="C64" s="221">
        <v>132</v>
      </c>
      <c r="D64" s="234">
        <v>18.783347802242282</v>
      </c>
      <c r="E64" s="11">
        <v>17.969957820170674</v>
      </c>
      <c r="F64" s="234">
        <v>19.65959562147706</v>
      </c>
      <c r="G64" s="11">
        <v>18.632086680696421</v>
      </c>
      <c r="H64" s="235">
        <v>19.255641904727298</v>
      </c>
      <c r="I64" s="236">
        <v>19.365141631071872</v>
      </c>
    </row>
    <row r="65" spans="1:24" ht="16.5" thickBot="1" x14ac:dyDescent="0.3">
      <c r="A65" s="1271" t="s">
        <v>201</v>
      </c>
      <c r="B65" s="1272"/>
      <c r="C65" s="1272"/>
      <c r="D65" s="1272"/>
      <c r="E65" s="1272"/>
      <c r="F65" s="1272"/>
      <c r="G65" s="1272"/>
      <c r="H65" s="1272"/>
      <c r="I65" s="1272"/>
      <c r="J65" s="1272"/>
      <c r="K65" s="1272"/>
      <c r="L65" s="1272"/>
      <c r="M65" s="1272"/>
      <c r="N65" s="1272"/>
      <c r="O65" s="1272"/>
      <c r="P65" s="1272"/>
      <c r="Q65" s="1272"/>
      <c r="R65" s="1272"/>
      <c r="S65" s="1272"/>
      <c r="T65" s="1272"/>
      <c r="U65" s="1272"/>
      <c r="V65" s="1272"/>
      <c r="W65" s="1272"/>
      <c r="X65" s="1273"/>
    </row>
    <row r="66" spans="1:24" ht="15.75" thickBot="1" x14ac:dyDescent="0.3">
      <c r="A66" s="286"/>
      <c r="B66" s="286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6"/>
      <c r="N66" s="286"/>
      <c r="O66" s="286"/>
      <c r="P66" s="286"/>
      <c r="Q66" s="286"/>
      <c r="R66" s="286"/>
      <c r="S66" s="286"/>
      <c r="T66" s="286"/>
      <c r="U66" s="286"/>
      <c r="V66" s="286"/>
      <c r="W66" s="286"/>
      <c r="X66" s="286"/>
    </row>
    <row r="67" spans="1:24" ht="15.75" thickBot="1" x14ac:dyDescent="0.3">
      <c r="A67" s="287"/>
      <c r="B67" s="287"/>
      <c r="C67" s="288"/>
      <c r="D67" s="1274" t="s">
        <v>202</v>
      </c>
      <c r="E67" s="1277">
        <v>2016</v>
      </c>
      <c r="F67" s="1278"/>
      <c r="G67" s="1278"/>
      <c r="H67" s="1279"/>
      <c r="I67" s="1277">
        <f>+E67+1</f>
        <v>2017</v>
      </c>
      <c r="J67" s="1278"/>
      <c r="K67" s="1278"/>
      <c r="L67" s="1279"/>
      <c r="M67" s="1277">
        <f>+I67+1</f>
        <v>2018</v>
      </c>
      <c r="N67" s="1278"/>
      <c r="O67" s="1278"/>
      <c r="P67" s="1279"/>
      <c r="Q67" s="1277">
        <f>+M67+1</f>
        <v>2019</v>
      </c>
      <c r="R67" s="1278"/>
      <c r="S67" s="1278"/>
      <c r="T67" s="1279"/>
      <c r="U67" s="1277">
        <f>+Q67+1</f>
        <v>2020</v>
      </c>
      <c r="V67" s="1278"/>
      <c r="W67" s="1278"/>
      <c r="X67" s="1279"/>
    </row>
    <row r="68" spans="1:24" x14ac:dyDescent="0.25">
      <c r="A68" s="1280" t="s">
        <v>203</v>
      </c>
      <c r="B68" s="1282" t="s">
        <v>204</v>
      </c>
      <c r="C68" s="1284" t="s">
        <v>88</v>
      </c>
      <c r="D68" s="1275"/>
      <c r="E68" s="1286" t="s">
        <v>197</v>
      </c>
      <c r="F68" s="1287"/>
      <c r="G68" s="1286" t="s">
        <v>198</v>
      </c>
      <c r="H68" s="1288"/>
      <c r="I68" s="1286" t="s">
        <v>197</v>
      </c>
      <c r="J68" s="1288"/>
      <c r="K68" s="1289" t="s">
        <v>198</v>
      </c>
      <c r="L68" s="1288"/>
      <c r="M68" s="1286" t="s">
        <v>197</v>
      </c>
      <c r="N68" s="1288"/>
      <c r="O68" s="1286" t="s">
        <v>198</v>
      </c>
      <c r="P68" s="1288"/>
      <c r="Q68" s="1267" t="s">
        <v>197</v>
      </c>
      <c r="R68" s="1268"/>
      <c r="S68" s="1267" t="s">
        <v>198</v>
      </c>
      <c r="T68" s="1268"/>
      <c r="U68" s="1267" t="s">
        <v>197</v>
      </c>
      <c r="V68" s="1269"/>
      <c r="W68" s="1267" t="s">
        <v>198</v>
      </c>
      <c r="X68" s="1268"/>
    </row>
    <row r="69" spans="1:24" ht="15.75" thickBot="1" x14ac:dyDescent="0.3">
      <c r="A69" s="1281"/>
      <c r="B69" s="1283"/>
      <c r="C69" s="1285"/>
      <c r="D69" s="1276"/>
      <c r="E69" s="274" t="s">
        <v>199</v>
      </c>
      <c r="F69" s="275" t="s">
        <v>200</v>
      </c>
      <c r="G69" s="274" t="s">
        <v>199</v>
      </c>
      <c r="H69" s="276" t="s">
        <v>200</v>
      </c>
      <c r="I69" s="274" t="s">
        <v>199</v>
      </c>
      <c r="J69" s="276" t="s">
        <v>200</v>
      </c>
      <c r="K69" s="277" t="s">
        <v>199</v>
      </c>
      <c r="L69" s="276" t="s">
        <v>200</v>
      </c>
      <c r="M69" s="274" t="s">
        <v>199</v>
      </c>
      <c r="N69" s="276" t="s">
        <v>200</v>
      </c>
      <c r="O69" s="274" t="s">
        <v>199</v>
      </c>
      <c r="P69" s="276" t="s">
        <v>200</v>
      </c>
      <c r="Q69" s="274" t="s">
        <v>199</v>
      </c>
      <c r="R69" s="276" t="s">
        <v>200</v>
      </c>
      <c r="S69" s="274" t="s">
        <v>199</v>
      </c>
      <c r="T69" s="276" t="s">
        <v>200</v>
      </c>
      <c r="U69" s="274" t="s">
        <v>199</v>
      </c>
      <c r="V69" s="275" t="s">
        <v>200</v>
      </c>
      <c r="W69" s="274" t="s">
        <v>199</v>
      </c>
      <c r="X69" s="276" t="s">
        <v>200</v>
      </c>
    </row>
    <row r="70" spans="1:24" x14ac:dyDescent="0.25">
      <c r="A70" s="289" t="s">
        <v>205</v>
      </c>
      <c r="B70" s="290"/>
      <c r="C70" s="291" t="s">
        <v>151</v>
      </c>
      <c r="D70" s="292">
        <v>132</v>
      </c>
      <c r="E70" s="293">
        <v>16.594433284189787</v>
      </c>
      <c r="F70" s="294">
        <v>4.2200497807569635</v>
      </c>
      <c r="G70" s="293">
        <v>5.5718164373687706</v>
      </c>
      <c r="H70" s="295">
        <v>0</v>
      </c>
      <c r="I70" s="293">
        <v>17.24143027516185</v>
      </c>
      <c r="J70" s="295">
        <v>4.3845844450713765</v>
      </c>
      <c r="K70" s="296">
        <v>5.6737544098499599</v>
      </c>
      <c r="L70" s="295">
        <v>0</v>
      </c>
      <c r="M70" s="293">
        <v>17.929558707947582</v>
      </c>
      <c r="N70" s="294">
        <v>4.559579046705454</v>
      </c>
      <c r="O70" s="293">
        <v>5.7796143590394333</v>
      </c>
      <c r="P70" s="295">
        <v>0</v>
      </c>
      <c r="Q70" s="293">
        <v>18.642549505910903</v>
      </c>
      <c r="R70" s="295">
        <v>4.7408962757483701</v>
      </c>
      <c r="S70" s="296">
        <v>5.8846381555492586</v>
      </c>
      <c r="T70" s="295">
        <v>0</v>
      </c>
      <c r="U70" s="293">
        <v>19.381040310506819</v>
      </c>
      <c r="V70" s="294">
        <v>4.9286982877035008</v>
      </c>
      <c r="W70" s="293">
        <v>5.9884996475686965</v>
      </c>
      <c r="X70" s="295">
        <v>0</v>
      </c>
    </row>
    <row r="71" spans="1:24" x14ac:dyDescent="0.25">
      <c r="E71">
        <f>SQRT(E70*E70+F70*F70)</f>
        <v>17.122617678833244</v>
      </c>
      <c r="I71">
        <f>SQRT(I70*I70+J70*J70)</f>
        <v>17.790207943956965</v>
      </c>
      <c r="M71">
        <f>SQRT(M70*M70+N70*N70)</f>
        <v>18.500238823996149</v>
      </c>
      <c r="Q71">
        <f>SQRT(Q70*Q70+R70*R70)</f>
        <v>19.235923413700306</v>
      </c>
      <c r="U71">
        <f>SQRT(U70*U70+V70*V70)</f>
        <v>19.997919650021142</v>
      </c>
    </row>
    <row r="72" spans="1:24" x14ac:dyDescent="0.25">
      <c r="K72" s="5"/>
      <c r="L72" s="9"/>
    </row>
    <row r="73" spans="1:24" x14ac:dyDescent="0.25">
      <c r="K73" s="5"/>
      <c r="L73" s="9"/>
    </row>
    <row r="74" spans="1:24" x14ac:dyDescent="0.25">
      <c r="C74" s="68">
        <v>2010</v>
      </c>
      <c r="D74" s="62">
        <v>18.783347802242282</v>
      </c>
      <c r="E74" s="40"/>
      <c r="F74" s="40"/>
      <c r="G74" s="40"/>
      <c r="K74" s="5"/>
      <c r="L74" s="9"/>
    </row>
    <row r="75" spans="1:24" x14ac:dyDescent="0.25">
      <c r="C75" s="68">
        <v>2011</v>
      </c>
      <c r="D75" s="40">
        <v>17.969957820170674</v>
      </c>
      <c r="E75" s="40"/>
      <c r="F75" s="40"/>
      <c r="G75" s="40"/>
      <c r="K75" s="5"/>
      <c r="L75" s="7"/>
    </row>
    <row r="76" spans="1:24" x14ac:dyDescent="0.25">
      <c r="C76" s="68">
        <v>2012</v>
      </c>
      <c r="D76" s="62">
        <v>19.65959562147706</v>
      </c>
      <c r="E76" s="40"/>
      <c r="F76" s="40"/>
      <c r="G76" s="40"/>
      <c r="K76" s="5"/>
      <c r="L76" s="9"/>
    </row>
    <row r="77" spans="1:24" x14ac:dyDescent="0.25">
      <c r="C77" s="68">
        <v>2013</v>
      </c>
      <c r="D77" s="40">
        <v>18.632086680696421</v>
      </c>
      <c r="E77" s="40"/>
      <c r="F77" s="40"/>
      <c r="G77" s="40"/>
      <c r="K77" s="5"/>
      <c r="L77" s="9"/>
    </row>
    <row r="78" spans="1:24" x14ac:dyDescent="0.25">
      <c r="C78" s="68">
        <v>2014</v>
      </c>
      <c r="D78" s="62">
        <v>19.255641904727298</v>
      </c>
      <c r="E78" s="40"/>
      <c r="F78" s="40"/>
      <c r="G78" s="40"/>
      <c r="K78" s="5"/>
      <c r="L78" s="9"/>
    </row>
    <row r="79" spans="1:24" x14ac:dyDescent="0.25">
      <c r="C79" s="68">
        <v>2015</v>
      </c>
      <c r="D79" s="52">
        <v>19.365141631071872</v>
      </c>
      <c r="E79" s="40"/>
      <c r="F79" s="40"/>
      <c r="G79" s="40"/>
      <c r="K79" s="5"/>
      <c r="L79" s="9"/>
    </row>
    <row r="80" spans="1:24" x14ac:dyDescent="0.25">
      <c r="C80" s="69">
        <v>2016</v>
      </c>
      <c r="D80" s="55">
        <f>E71</f>
        <v>17.122617678833244</v>
      </c>
      <c r="E80" s="40"/>
      <c r="F80" s="40"/>
      <c r="G80" s="40"/>
      <c r="K80" s="5"/>
      <c r="L80" s="9"/>
    </row>
    <row r="81" spans="3:7" x14ac:dyDescent="0.25">
      <c r="C81" s="69">
        <v>2017</v>
      </c>
      <c r="D81" s="55">
        <f>I71</f>
        <v>17.790207943956965</v>
      </c>
      <c r="E81" s="40"/>
      <c r="F81" s="40"/>
      <c r="G81" s="40"/>
    </row>
    <row r="82" spans="3:7" x14ac:dyDescent="0.25">
      <c r="C82" s="69">
        <v>2018</v>
      </c>
      <c r="D82" s="55">
        <f>M71</f>
        <v>18.500238823996149</v>
      </c>
      <c r="E82" s="40"/>
      <c r="F82" s="40"/>
      <c r="G82" s="40"/>
    </row>
    <row r="83" spans="3:7" x14ac:dyDescent="0.25">
      <c r="C83" s="69">
        <v>2019</v>
      </c>
      <c r="D83" s="55">
        <f>Q71</f>
        <v>19.235923413700306</v>
      </c>
      <c r="E83" s="40"/>
      <c r="F83" s="40"/>
      <c r="G83" s="40"/>
    </row>
    <row r="84" spans="3:7" x14ac:dyDescent="0.25">
      <c r="C84" s="69">
        <v>2020</v>
      </c>
      <c r="D84" s="55">
        <f>Q71</f>
        <v>19.235923413700306</v>
      </c>
      <c r="E84" s="40"/>
      <c r="F84" s="40"/>
      <c r="G84" s="40"/>
    </row>
    <row r="85" spans="3:7" x14ac:dyDescent="0.25">
      <c r="C85" s="39"/>
      <c r="D85" s="40"/>
      <c r="E85" s="40"/>
      <c r="F85" s="40"/>
      <c r="G85" s="40"/>
    </row>
    <row r="86" spans="3:7" x14ac:dyDescent="0.25">
      <c r="D86" s="11"/>
      <c r="E86" s="11"/>
      <c r="F86" s="11"/>
      <c r="G86" s="11"/>
    </row>
    <row r="118" spans="1:20" ht="18" x14ac:dyDescent="0.25">
      <c r="A118" s="1093" t="s">
        <v>247</v>
      </c>
      <c r="B118" s="1093"/>
      <c r="C118" s="1093"/>
      <c r="D118" s="1093"/>
      <c r="E118" s="1093"/>
      <c r="F118" s="1093"/>
      <c r="G118" s="1093"/>
      <c r="H118" s="1093"/>
      <c r="I118" s="1093"/>
      <c r="J118" s="1093"/>
      <c r="K118" s="1093"/>
      <c r="L118" s="1093"/>
      <c r="M118" s="1093"/>
      <c r="N118" s="1093"/>
      <c r="O118" s="1093"/>
      <c r="P118" s="1093"/>
      <c r="Q118" s="1093"/>
      <c r="R118" s="1093"/>
      <c r="S118" s="1093"/>
      <c r="T118" s="1093"/>
    </row>
    <row r="119" spans="1:20" ht="18" x14ac:dyDescent="0.25">
      <c r="A119" s="1094" t="s">
        <v>248</v>
      </c>
      <c r="B119" s="1094"/>
      <c r="C119" s="1094"/>
      <c r="D119" s="1094"/>
      <c r="E119" s="1094"/>
      <c r="F119" s="1094"/>
      <c r="G119" s="1094"/>
      <c r="H119" s="1094"/>
      <c r="I119" s="1094"/>
      <c r="J119" s="1094"/>
      <c r="K119" s="1094"/>
      <c r="L119" s="1094"/>
      <c r="M119" s="1094"/>
      <c r="N119" s="1094"/>
      <c r="O119" s="1094"/>
      <c r="P119" s="1094"/>
      <c r="Q119" s="1094"/>
      <c r="R119" s="1094"/>
      <c r="S119" s="1094"/>
      <c r="T119" s="1094"/>
    </row>
    <row r="120" spans="1:20" ht="15.75" thickBot="1" x14ac:dyDescent="0.3">
      <c r="A120" s="452"/>
      <c r="B120" s="452"/>
      <c r="C120" s="452"/>
      <c r="D120" s="452"/>
      <c r="E120" s="452"/>
      <c r="F120" s="452"/>
      <c r="G120" s="452"/>
      <c r="H120" s="453"/>
      <c r="I120" s="452"/>
      <c r="J120" s="454"/>
      <c r="K120" s="453"/>
      <c r="L120" s="452"/>
      <c r="M120" s="454"/>
      <c r="N120" s="453"/>
      <c r="O120" s="452"/>
      <c r="P120" s="454"/>
      <c r="Q120" s="453"/>
      <c r="R120" s="452"/>
      <c r="S120" s="449"/>
      <c r="T120" s="450"/>
    </row>
    <row r="121" spans="1:20" x14ac:dyDescent="0.25">
      <c r="A121" s="1095" t="s">
        <v>249</v>
      </c>
      <c r="B121" s="1098" t="s">
        <v>250</v>
      </c>
      <c r="C121" s="1101" t="s">
        <v>251</v>
      </c>
      <c r="D121" s="1063" t="s">
        <v>252</v>
      </c>
      <c r="E121" s="1065"/>
      <c r="F121" s="1066">
        <v>2016</v>
      </c>
      <c r="G121" s="1064"/>
      <c r="H121" s="1106"/>
      <c r="I121" s="1063">
        <f>+F121+1</f>
        <v>2017</v>
      </c>
      <c r="J121" s="1064"/>
      <c r="K121" s="1065"/>
      <c r="L121" s="1066">
        <f>+I121+1</f>
        <v>2018</v>
      </c>
      <c r="M121" s="1064"/>
      <c r="N121" s="1106"/>
      <c r="O121" s="1063">
        <f>+L121+1</f>
        <v>2019</v>
      </c>
      <c r="P121" s="1064"/>
      <c r="Q121" s="1065"/>
      <c r="R121" s="1066">
        <f>+O121+1</f>
        <v>2020</v>
      </c>
      <c r="S121" s="1064"/>
      <c r="T121" s="1065"/>
    </row>
    <row r="122" spans="1:20" x14ac:dyDescent="0.25">
      <c r="A122" s="1096"/>
      <c r="B122" s="1099"/>
      <c r="C122" s="1102"/>
      <c r="D122" s="1104"/>
      <c r="E122" s="1105"/>
      <c r="F122" s="455" t="s">
        <v>253</v>
      </c>
      <c r="G122" s="1067" t="s">
        <v>254</v>
      </c>
      <c r="H122" s="1068"/>
      <c r="I122" s="456" t="s">
        <v>253</v>
      </c>
      <c r="J122" s="1067" t="s">
        <v>254</v>
      </c>
      <c r="K122" s="1069"/>
      <c r="L122" s="455" t="s">
        <v>253</v>
      </c>
      <c r="M122" s="1067" t="s">
        <v>254</v>
      </c>
      <c r="N122" s="1068"/>
      <c r="O122" s="456" t="s">
        <v>253</v>
      </c>
      <c r="P122" s="1067" t="s">
        <v>254</v>
      </c>
      <c r="Q122" s="1069"/>
      <c r="R122" s="455" t="s">
        <v>253</v>
      </c>
      <c r="S122" s="1067" t="s">
        <v>254</v>
      </c>
      <c r="T122" s="1069"/>
    </row>
    <row r="123" spans="1:20" ht="15.75" thickBot="1" x14ac:dyDescent="0.3">
      <c r="A123" s="1097"/>
      <c r="B123" s="1100"/>
      <c r="C123" s="1103"/>
      <c r="D123" s="1091" t="s">
        <v>255</v>
      </c>
      <c r="E123" s="1092"/>
      <c r="F123" s="457" t="s">
        <v>255</v>
      </c>
      <c r="G123" s="458" t="s">
        <v>255</v>
      </c>
      <c r="H123" s="459" t="s">
        <v>256</v>
      </c>
      <c r="I123" s="460" t="s">
        <v>255</v>
      </c>
      <c r="J123" s="461" t="s">
        <v>255</v>
      </c>
      <c r="K123" s="462" t="s">
        <v>256</v>
      </c>
      <c r="L123" s="457" t="s">
        <v>255</v>
      </c>
      <c r="M123" s="461" t="s">
        <v>255</v>
      </c>
      <c r="N123" s="459" t="s">
        <v>256</v>
      </c>
      <c r="O123" s="460" t="s">
        <v>255</v>
      </c>
      <c r="P123" s="461" t="s">
        <v>255</v>
      </c>
      <c r="Q123" s="462" t="s">
        <v>256</v>
      </c>
      <c r="R123" s="457" t="s">
        <v>255</v>
      </c>
      <c r="S123" s="461" t="s">
        <v>255</v>
      </c>
      <c r="T123" s="462" t="s">
        <v>256</v>
      </c>
    </row>
  </sheetData>
  <mergeCells count="46">
    <mergeCell ref="M4:O4"/>
    <mergeCell ref="A65:X65"/>
    <mergeCell ref="D67:D69"/>
    <mergeCell ref="E67:H67"/>
    <mergeCell ref="I67:L67"/>
    <mergeCell ref="M67:P67"/>
    <mergeCell ref="Q67:T67"/>
    <mergeCell ref="U67:X67"/>
    <mergeCell ref="A68:A69"/>
    <mergeCell ref="B68:B69"/>
    <mergeCell ref="C68:C69"/>
    <mergeCell ref="Q68:R68"/>
    <mergeCell ref="S68:T68"/>
    <mergeCell ref="U68:V68"/>
    <mergeCell ref="W68:X68"/>
    <mergeCell ref="E68:F68"/>
    <mergeCell ref="B3:K3"/>
    <mergeCell ref="B4:K4"/>
    <mergeCell ref="B5:B6"/>
    <mergeCell ref="C5:C6"/>
    <mergeCell ref="D5:F5"/>
    <mergeCell ref="G5:I5"/>
    <mergeCell ref="J5:J6"/>
    <mergeCell ref="K5:K6"/>
    <mergeCell ref="S122:T122"/>
    <mergeCell ref="G68:H68"/>
    <mergeCell ref="I68:J68"/>
    <mergeCell ref="K68:L68"/>
    <mergeCell ref="M68:N68"/>
    <mergeCell ref="O68:P68"/>
    <mergeCell ref="D123:E123"/>
    <mergeCell ref="A118:T118"/>
    <mergeCell ref="A119:T119"/>
    <mergeCell ref="A121:A123"/>
    <mergeCell ref="B121:B123"/>
    <mergeCell ref="C121:C123"/>
    <mergeCell ref="D121:E122"/>
    <mergeCell ref="F121:H121"/>
    <mergeCell ref="I121:K121"/>
    <mergeCell ref="L121:N121"/>
    <mergeCell ref="O121:Q121"/>
    <mergeCell ref="R121:T121"/>
    <mergeCell ref="G122:H122"/>
    <mergeCell ref="J122:K122"/>
    <mergeCell ref="M122:N122"/>
    <mergeCell ref="P122:Q122"/>
  </mergeCells>
  <printOptions gridLines="1"/>
  <pageMargins left="0.11811023622047245" right="0.11811023622047245" top="0.15748031496062992" bottom="0.15748031496062992" header="0" footer="0"/>
  <pageSetup paperSize="9" scale="14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B3:S205"/>
  <sheetViews>
    <sheetView topLeftCell="A172" workbookViewId="0">
      <selection activeCell="N204" sqref="N204"/>
    </sheetView>
  </sheetViews>
  <sheetFormatPr baseColWidth="10" defaultRowHeight="15" x14ac:dyDescent="0.25"/>
  <cols>
    <col min="1" max="1" width="3.7109375" customWidth="1"/>
    <col min="2" max="2" width="13.7109375" customWidth="1"/>
    <col min="3" max="3" width="14.7109375" customWidth="1"/>
    <col min="4" max="5" width="10.7109375" customWidth="1"/>
    <col min="6" max="6" width="11.7109375" customWidth="1"/>
    <col min="7" max="8" width="12.7109375" customWidth="1"/>
    <col min="9" max="11" width="10.7109375" customWidth="1"/>
    <col min="12" max="12" width="4.85546875" style="11" customWidth="1"/>
    <col min="13" max="13" width="10.85546875" customWidth="1"/>
    <col min="14" max="14" width="12.28515625" customWidth="1"/>
    <col min="15" max="15" width="21.28515625" customWidth="1"/>
    <col min="16" max="16" width="13.85546875" customWidth="1"/>
    <col min="17" max="17" width="13.140625" customWidth="1"/>
    <col min="18" max="19" width="10.7109375" customWidth="1"/>
    <col min="20" max="20" width="5.140625" customWidth="1"/>
  </cols>
  <sheetData>
    <row r="3" spans="2:19" x14ac:dyDescent="0.25">
      <c r="B3" s="1053" t="s">
        <v>98</v>
      </c>
      <c r="C3" s="1054"/>
      <c r="D3" s="1054"/>
      <c r="E3" s="1054"/>
      <c r="F3" s="1054"/>
      <c r="G3" s="1054"/>
      <c r="H3" s="1055"/>
      <c r="I3" s="141"/>
      <c r="J3" s="141"/>
    </row>
    <row r="4" spans="2:19" ht="15" customHeight="1" x14ac:dyDescent="0.25">
      <c r="B4" s="1056"/>
      <c r="C4" s="1057"/>
      <c r="D4" s="1057"/>
      <c r="E4" s="1057"/>
      <c r="F4" s="1057"/>
      <c r="G4" s="1057"/>
      <c r="H4" s="1058"/>
      <c r="I4" s="142"/>
      <c r="J4" s="142"/>
    </row>
    <row r="5" spans="2:19" x14ac:dyDescent="0.25">
      <c r="B5" s="1030" t="s">
        <v>26</v>
      </c>
      <c r="C5" s="1059" t="s">
        <v>35</v>
      </c>
      <c r="D5" s="1030" t="s">
        <v>83</v>
      </c>
      <c r="E5" s="1034" t="s">
        <v>74</v>
      </c>
      <c r="F5" s="1061"/>
      <c r="G5" s="1061"/>
      <c r="H5" s="1062"/>
      <c r="I5" s="133"/>
      <c r="J5" s="134"/>
    </row>
    <row r="6" spans="2:19" ht="33.75" x14ac:dyDescent="0.25">
      <c r="B6" s="1032"/>
      <c r="C6" s="1060"/>
      <c r="D6" s="1032"/>
      <c r="E6" s="38" t="s">
        <v>72</v>
      </c>
      <c r="F6" s="38" t="s">
        <v>73</v>
      </c>
      <c r="G6" s="38" t="s">
        <v>99</v>
      </c>
      <c r="H6" s="38" t="s">
        <v>27</v>
      </c>
      <c r="I6" s="133"/>
      <c r="J6" s="134"/>
    </row>
    <row r="7" spans="2:19" x14ac:dyDescent="0.25">
      <c r="B7" s="90">
        <v>1997</v>
      </c>
      <c r="C7" s="94"/>
      <c r="D7" s="99"/>
      <c r="E7" s="88"/>
      <c r="F7" s="88"/>
      <c r="G7" s="66"/>
      <c r="H7" s="137"/>
      <c r="I7" s="40"/>
      <c r="J7" s="40"/>
    </row>
    <row r="8" spans="2:19" x14ac:dyDescent="0.25">
      <c r="B8" s="91">
        <v>1998</v>
      </c>
      <c r="C8" s="95"/>
      <c r="D8" s="100"/>
      <c r="E8" s="42"/>
      <c r="F8" s="42"/>
      <c r="G8" s="50"/>
      <c r="H8" s="138"/>
      <c r="I8" s="40"/>
      <c r="J8" s="40"/>
    </row>
    <row r="9" spans="2:19" x14ac:dyDescent="0.25">
      <c r="B9" s="91">
        <v>1999</v>
      </c>
      <c r="C9" s="95"/>
      <c r="D9" s="100"/>
      <c r="E9" s="42"/>
      <c r="F9" s="42"/>
      <c r="G9" s="50"/>
      <c r="H9" s="138"/>
      <c r="I9" s="40"/>
      <c r="J9" s="40"/>
    </row>
    <row r="10" spans="2:19" x14ac:dyDescent="0.25">
      <c r="B10" s="91">
        <v>2000</v>
      </c>
      <c r="C10" s="95"/>
      <c r="D10" s="100"/>
      <c r="E10" s="42"/>
      <c r="F10" s="42"/>
      <c r="G10" s="50"/>
      <c r="H10" s="138"/>
      <c r="I10" s="40"/>
      <c r="J10" s="40"/>
    </row>
    <row r="11" spans="2:19" x14ac:dyDescent="0.25">
      <c r="B11" s="91">
        <v>2001</v>
      </c>
      <c r="C11" s="95"/>
      <c r="D11" s="100"/>
      <c r="E11" s="42"/>
      <c r="F11" s="42"/>
      <c r="G11" s="50"/>
      <c r="H11" s="138"/>
      <c r="I11" s="40"/>
      <c r="J11" s="40"/>
      <c r="K11" s="14">
        <f>(D24-D15)/D15</f>
        <v>0.27915728530073985</v>
      </c>
      <c r="L11" s="811">
        <f>K11/10</f>
        <v>2.7915728530073985E-2</v>
      </c>
    </row>
    <row r="12" spans="2:19" x14ac:dyDescent="0.25">
      <c r="B12" s="91">
        <v>2002</v>
      </c>
      <c r="C12" s="95"/>
      <c r="D12" s="100"/>
      <c r="E12" s="42"/>
      <c r="F12" s="42"/>
      <c r="G12" s="50"/>
      <c r="H12" s="138"/>
      <c r="I12" s="40"/>
      <c r="J12" s="40"/>
      <c r="K12" s="14"/>
    </row>
    <row r="13" spans="2:19" x14ac:dyDescent="0.25">
      <c r="B13" s="91">
        <v>2003</v>
      </c>
      <c r="C13" s="95">
        <v>37943.645833333336</v>
      </c>
      <c r="D13" s="100">
        <v>737.25</v>
      </c>
      <c r="E13" s="42"/>
      <c r="F13" s="42"/>
      <c r="G13" s="50"/>
      <c r="H13" s="138"/>
      <c r="I13" s="40"/>
      <c r="J13" s="40"/>
      <c r="K13" s="14">
        <v>-1.2288911495422102E-2</v>
      </c>
      <c r="M13" s="14"/>
      <c r="O13">
        <v>700</v>
      </c>
    </row>
    <row r="14" spans="2:19" x14ac:dyDescent="0.25">
      <c r="B14" s="91">
        <v>2004</v>
      </c>
      <c r="C14" s="95">
        <v>38209.479166666664</v>
      </c>
      <c r="D14" s="100">
        <v>728.19</v>
      </c>
      <c r="E14" s="42"/>
      <c r="F14" s="42"/>
      <c r="G14" s="50">
        <f t="shared" ref="G14:G24" si="0">(D14-D13)/D13</f>
        <v>-1.2288911495422102E-2</v>
      </c>
      <c r="H14" s="138"/>
      <c r="I14" s="40"/>
      <c r="J14" s="40"/>
      <c r="K14" s="14">
        <v>-0.14610197887913881</v>
      </c>
      <c r="M14" s="14">
        <f>(D24-D15)/D15</f>
        <v>0.27915728530073985</v>
      </c>
      <c r="O14">
        <v>750</v>
      </c>
    </row>
    <row r="15" spans="2:19" x14ac:dyDescent="0.25">
      <c r="B15" s="91">
        <v>2005</v>
      </c>
      <c r="C15" s="95">
        <v>38527.395833333336</v>
      </c>
      <c r="D15" s="100">
        <v>621.79999999999995</v>
      </c>
      <c r="E15" s="42"/>
      <c r="F15" s="42"/>
      <c r="G15" s="50">
        <f t="shared" si="0"/>
        <v>-0.14610197887913881</v>
      </c>
      <c r="H15" s="138"/>
      <c r="I15" s="40"/>
      <c r="J15" s="40"/>
      <c r="K15" s="14">
        <v>4.9533612093920987E-2</v>
      </c>
      <c r="M15" s="14">
        <f>M14/9</f>
        <v>3.101747614452665E-2</v>
      </c>
      <c r="O15">
        <v>800</v>
      </c>
      <c r="S15">
        <f>O15/O14</f>
        <v>1.0666666666666667</v>
      </c>
    </row>
    <row r="16" spans="2:19" x14ac:dyDescent="0.25">
      <c r="B16" s="91">
        <v>2006</v>
      </c>
      <c r="C16" s="95">
        <v>39062.416666666664</v>
      </c>
      <c r="D16" s="100">
        <v>652.6</v>
      </c>
      <c r="E16" s="42"/>
      <c r="F16" s="42"/>
      <c r="G16" s="50">
        <f t="shared" si="0"/>
        <v>4.9533612093920987E-2</v>
      </c>
      <c r="H16" s="138"/>
      <c r="I16" s="40"/>
      <c r="J16" s="40"/>
      <c r="K16" s="14">
        <v>-2.2203493717437954E-2</v>
      </c>
      <c r="M16" s="14"/>
      <c r="O16">
        <v>850</v>
      </c>
      <c r="P16">
        <f>O16/O13</f>
        <v>1.2142857142857142</v>
      </c>
      <c r="Q16">
        <f>P16*O13</f>
        <v>849.99999999999989</v>
      </c>
      <c r="R16">
        <f>(P16-1)/3</f>
        <v>7.1428571428571397E-2</v>
      </c>
      <c r="S16">
        <f>O16/O15</f>
        <v>1.0625</v>
      </c>
    </row>
    <row r="17" spans="2:13" x14ac:dyDescent="0.25">
      <c r="B17" s="91">
        <v>2007</v>
      </c>
      <c r="C17" s="95">
        <v>39259.645833333336</v>
      </c>
      <c r="D17" s="100">
        <v>638.11</v>
      </c>
      <c r="E17" s="42"/>
      <c r="F17" s="42"/>
      <c r="G17" s="50">
        <f t="shared" si="0"/>
        <v>-2.2203493717437954E-2</v>
      </c>
      <c r="H17" s="138"/>
      <c r="I17" s="40"/>
      <c r="J17" s="40"/>
      <c r="K17" s="14">
        <v>2.6641174719091252E-3</v>
      </c>
      <c r="M17" s="14"/>
    </row>
    <row r="18" spans="2:13" x14ac:dyDescent="0.25">
      <c r="B18" s="91">
        <v>2008</v>
      </c>
      <c r="C18" s="95">
        <v>39623.46875</v>
      </c>
      <c r="D18" s="100">
        <v>639.80999999999995</v>
      </c>
      <c r="E18" s="42"/>
      <c r="F18" s="42"/>
      <c r="G18" s="50">
        <f t="shared" si="0"/>
        <v>2.6641174719091252E-3</v>
      </c>
      <c r="H18" s="138"/>
      <c r="I18" s="40"/>
      <c r="J18" s="40"/>
      <c r="K18" s="14">
        <v>0.19086916428314657</v>
      </c>
      <c r="M18" s="14"/>
    </row>
    <row r="19" spans="2:13" x14ac:dyDescent="0.25">
      <c r="B19" s="91">
        <v>2009</v>
      </c>
      <c r="C19" s="95">
        <v>39889.5</v>
      </c>
      <c r="D19" s="100">
        <v>761.93</v>
      </c>
      <c r="E19" s="42"/>
      <c r="F19" s="42"/>
      <c r="G19" s="50">
        <f t="shared" si="0"/>
        <v>0.19086916428314657</v>
      </c>
      <c r="H19" s="138"/>
      <c r="I19" s="40"/>
      <c r="J19" s="40"/>
      <c r="K19" s="14">
        <v>4.4124788366385372E-2</v>
      </c>
      <c r="M19" s="14"/>
    </row>
    <row r="20" spans="2:13" x14ac:dyDescent="0.25">
      <c r="B20" s="91">
        <v>2010</v>
      </c>
      <c r="C20" s="95">
        <v>40179.5625</v>
      </c>
      <c r="D20" s="100">
        <v>795.55</v>
      </c>
      <c r="E20" s="42"/>
      <c r="F20" s="42"/>
      <c r="G20" s="50">
        <f t="shared" si="0"/>
        <v>4.4124788366385372E-2</v>
      </c>
      <c r="H20" s="138"/>
      <c r="I20" s="40"/>
      <c r="J20" s="40"/>
      <c r="K20" s="14">
        <v>-0.141273332914336</v>
      </c>
      <c r="M20" s="14"/>
    </row>
    <row r="21" spans="2:13" x14ac:dyDescent="0.25">
      <c r="B21" s="91">
        <v>2011</v>
      </c>
      <c r="C21" s="95">
        <v>40742.9375</v>
      </c>
      <c r="D21" s="100">
        <v>683.16</v>
      </c>
      <c r="E21" s="42"/>
      <c r="F21" s="42"/>
      <c r="G21" s="50">
        <f t="shared" si="0"/>
        <v>-0.141273332914336</v>
      </c>
      <c r="H21" s="138"/>
      <c r="I21" s="40"/>
      <c r="J21" s="40"/>
      <c r="K21" s="14">
        <v>6.1552198606475893E-2</v>
      </c>
      <c r="M21" s="14"/>
    </row>
    <row r="22" spans="2:13" x14ac:dyDescent="0.25">
      <c r="B22" s="91">
        <v>2012</v>
      </c>
      <c r="C22" s="95">
        <v>41255.625</v>
      </c>
      <c r="D22" s="100">
        <v>725.21</v>
      </c>
      <c r="E22" s="42"/>
      <c r="F22" s="42"/>
      <c r="G22" s="50">
        <f t="shared" si="0"/>
        <v>6.1552198606475893E-2</v>
      </c>
      <c r="H22" s="138"/>
      <c r="I22" s="40"/>
      <c r="J22" s="40"/>
      <c r="K22" s="14">
        <v>-5.0950759090470407E-2</v>
      </c>
      <c r="M22" s="14"/>
    </row>
    <row r="23" spans="2:13" x14ac:dyDescent="0.25">
      <c r="B23" s="91">
        <v>2013</v>
      </c>
      <c r="C23" s="95">
        <v>41576.5</v>
      </c>
      <c r="D23" s="101">
        <v>688.26</v>
      </c>
      <c r="E23" s="42"/>
      <c r="F23" s="71"/>
      <c r="G23" s="50">
        <f t="shared" si="0"/>
        <v>-5.0950759090470407E-2</v>
      </c>
      <c r="H23" s="138"/>
      <c r="I23" s="40"/>
      <c r="J23" s="40"/>
      <c r="K23" s="14">
        <v>0.15563885740853747</v>
      </c>
      <c r="M23" s="14"/>
    </row>
    <row r="24" spans="2:13" x14ac:dyDescent="0.25">
      <c r="B24" s="91">
        <v>2014</v>
      </c>
      <c r="C24" s="95">
        <v>41652.677083333336</v>
      </c>
      <c r="D24" s="91">
        <v>795.38</v>
      </c>
      <c r="E24" s="42"/>
      <c r="F24" s="71"/>
      <c r="G24" s="50">
        <f t="shared" si="0"/>
        <v>0.15563885740853747</v>
      </c>
      <c r="H24" s="146">
        <f>6.123*B24-11592</f>
        <v>739.72199999999975</v>
      </c>
      <c r="I24" s="42"/>
      <c r="J24" s="40"/>
      <c r="K24" s="145">
        <f>AVERAGE(K13:K23)</f>
        <v>1.1960387466688193E-2</v>
      </c>
      <c r="L24" s="11">
        <f>D21-D15</f>
        <v>61.360000000000014</v>
      </c>
      <c r="M24" s="14"/>
    </row>
    <row r="25" spans="2:13" x14ac:dyDescent="0.25">
      <c r="B25" s="92">
        <v>2015</v>
      </c>
      <c r="C25" s="96"/>
      <c r="D25" s="102"/>
      <c r="E25" s="45">
        <f>6.123*B25-11592</f>
        <v>745.84500000000116</v>
      </c>
      <c r="F25" s="46">
        <f>(E25-D24)/D24</f>
        <v>-6.2278407805072836E-2</v>
      </c>
      <c r="G25" s="56">
        <v>4.4999999999999998E-2</v>
      </c>
      <c r="H25" s="139">
        <f>H24+G25*H24</f>
        <v>773.00948999999969</v>
      </c>
      <c r="I25" s="42"/>
      <c r="J25" s="40"/>
      <c r="K25" s="14"/>
      <c r="L25" s="11">
        <f>L24/D15</f>
        <v>9.868124798970733E-2</v>
      </c>
    </row>
    <row r="26" spans="2:13" x14ac:dyDescent="0.25">
      <c r="B26" s="92">
        <v>2016</v>
      </c>
      <c r="C26" s="96"/>
      <c r="D26" s="102"/>
      <c r="E26" s="45">
        <f t="shared" ref="E26:E35" si="1">6.123*B26-11592</f>
        <v>751.96800000000076</v>
      </c>
      <c r="F26" s="46">
        <f>(E26-E25)/E25</f>
        <v>8.2094805220918332E-3</v>
      </c>
      <c r="G26" s="56">
        <v>4.4999999999999998E-2</v>
      </c>
      <c r="H26" s="139">
        <f>H25+G26*H25</f>
        <v>807.79491704999964</v>
      </c>
      <c r="I26" s="42"/>
      <c r="J26" s="40"/>
      <c r="K26" s="14">
        <v>8.2094805220918332E-3</v>
      </c>
      <c r="L26" s="896">
        <f>L25/7</f>
        <v>1.4097321141386761E-2</v>
      </c>
    </row>
    <row r="27" spans="2:13" x14ac:dyDescent="0.25">
      <c r="B27" s="92">
        <v>2017</v>
      </c>
      <c r="C27" s="96"/>
      <c r="D27" s="102"/>
      <c r="E27" s="45">
        <f t="shared" si="1"/>
        <v>758.09100000000035</v>
      </c>
      <c r="F27" s="46">
        <f t="shared" ref="F27:F35" si="2">(E27-E26)/E26</f>
        <v>8.1426337290943056E-3</v>
      </c>
      <c r="G27" s="56">
        <v>4.4999999999999998E-2</v>
      </c>
      <c r="H27" s="139">
        <f t="shared" ref="H27:H35" si="3">H26+G27*H26</f>
        <v>844.14568831724966</v>
      </c>
      <c r="I27" s="42"/>
      <c r="J27" s="40"/>
      <c r="K27" s="14">
        <v>8.1426337290943056E-3</v>
      </c>
    </row>
    <row r="28" spans="2:13" x14ac:dyDescent="0.25">
      <c r="B28" s="92">
        <v>2018</v>
      </c>
      <c r="C28" s="96"/>
      <c r="D28" s="102"/>
      <c r="E28" s="45">
        <f t="shared" si="1"/>
        <v>764.21399999999994</v>
      </c>
      <c r="F28" s="46">
        <f t="shared" si="2"/>
        <v>8.0768667613777094E-3</v>
      </c>
      <c r="G28" s="56">
        <v>4.4999999999999998E-2</v>
      </c>
      <c r="H28" s="139">
        <f t="shared" si="3"/>
        <v>882.13224429152592</v>
      </c>
      <c r="I28" s="42"/>
      <c r="J28" s="40"/>
      <c r="K28" s="14">
        <v>8.0768667613777094E-3</v>
      </c>
    </row>
    <row r="29" spans="2:13" x14ac:dyDescent="0.25">
      <c r="B29" s="92">
        <v>2019</v>
      </c>
      <c r="C29" s="96"/>
      <c r="D29" s="102"/>
      <c r="E29" s="45">
        <f t="shared" si="1"/>
        <v>770.33700000000135</v>
      </c>
      <c r="F29" s="46">
        <f t="shared" si="2"/>
        <v>8.0121536637661854E-3</v>
      </c>
      <c r="G29" s="56">
        <v>4.4999999999999998E-2</v>
      </c>
      <c r="H29" s="139">
        <f t="shared" si="3"/>
        <v>921.82819528464461</v>
      </c>
      <c r="I29" s="42"/>
      <c r="J29" s="40"/>
      <c r="K29" s="14">
        <v>8.0121536637661854E-3</v>
      </c>
    </row>
    <row r="30" spans="2:13" x14ac:dyDescent="0.25">
      <c r="B30" s="92">
        <v>2020</v>
      </c>
      <c r="C30" s="96"/>
      <c r="D30" s="102"/>
      <c r="E30" s="45">
        <f t="shared" si="1"/>
        <v>776.46000000000095</v>
      </c>
      <c r="F30" s="46">
        <f t="shared" si="2"/>
        <v>7.9484693062900798E-3</v>
      </c>
      <c r="G30" s="56">
        <v>4.4999999999999998E-2</v>
      </c>
      <c r="H30" s="139">
        <f t="shared" si="3"/>
        <v>963.31046407245367</v>
      </c>
      <c r="I30" s="42"/>
      <c r="J30" s="40"/>
      <c r="K30" s="14">
        <v>7.9484693062900798E-3</v>
      </c>
    </row>
    <row r="31" spans="2:13" x14ac:dyDescent="0.25">
      <c r="B31" s="92">
        <v>2021</v>
      </c>
      <c r="C31" s="97"/>
      <c r="D31" s="103"/>
      <c r="E31" s="45">
        <f t="shared" si="1"/>
        <v>782.58300000000054</v>
      </c>
      <c r="F31" s="46">
        <f t="shared" si="2"/>
        <v>7.8857893516724436E-3</v>
      </c>
      <c r="G31" s="56">
        <v>4.4999999999999998E-2</v>
      </c>
      <c r="H31" s="139">
        <f t="shared" si="3"/>
        <v>1006.6594349557141</v>
      </c>
      <c r="I31" s="42"/>
      <c r="J31" s="40"/>
      <c r="K31" s="14">
        <v>7.8857893516724436E-3</v>
      </c>
    </row>
    <row r="32" spans="2:13" x14ac:dyDescent="0.25">
      <c r="B32" s="92">
        <v>2022</v>
      </c>
      <c r="C32" s="97"/>
      <c r="D32" s="103"/>
      <c r="E32" s="45">
        <f t="shared" si="1"/>
        <v>788.70600000000013</v>
      </c>
      <c r="F32" s="46">
        <f t="shared" si="2"/>
        <v>7.8240902242951715E-3</v>
      </c>
      <c r="G32" s="56">
        <v>4.4999999999999998E-2</v>
      </c>
      <c r="H32" s="139">
        <f t="shared" si="3"/>
        <v>1051.9591095287212</v>
      </c>
      <c r="I32" s="42"/>
      <c r="J32" s="40"/>
      <c r="K32" s="14">
        <v>7.8240902242951715E-3</v>
      </c>
    </row>
    <row r="33" spans="2:11" x14ac:dyDescent="0.25">
      <c r="B33" s="92">
        <v>2023</v>
      </c>
      <c r="C33" s="97"/>
      <c r="D33" s="103"/>
      <c r="E33" s="45">
        <f t="shared" si="1"/>
        <v>794.82899999999972</v>
      </c>
      <c r="F33" s="46">
        <f t="shared" si="2"/>
        <v>7.7633490806455025E-3</v>
      </c>
      <c r="G33" s="56">
        <v>4.4999999999999998E-2</v>
      </c>
      <c r="H33" s="139">
        <f t="shared" si="3"/>
        <v>1099.2972694575137</v>
      </c>
      <c r="I33" s="42"/>
      <c r="J33" s="40"/>
      <c r="K33" s="14">
        <v>7.7633490806455025E-3</v>
      </c>
    </row>
    <row r="34" spans="2:11" x14ac:dyDescent="0.25">
      <c r="B34" s="92">
        <v>2024</v>
      </c>
      <c r="C34" s="97"/>
      <c r="D34" s="103"/>
      <c r="E34" s="45">
        <f t="shared" si="1"/>
        <v>800.95200000000114</v>
      </c>
      <c r="F34" s="46">
        <f t="shared" si="2"/>
        <v>7.7035437811169621E-3</v>
      </c>
      <c r="G34" s="56">
        <v>4.4999999999999998E-2</v>
      </c>
      <c r="H34" s="139">
        <f t="shared" si="3"/>
        <v>1148.7656465831019</v>
      </c>
      <c r="I34" s="42"/>
      <c r="J34" s="40"/>
      <c r="K34" s="14">
        <v>7.7035437811169621E-3</v>
      </c>
    </row>
    <row r="35" spans="2:11" x14ac:dyDescent="0.25">
      <c r="B35" s="93">
        <v>2025</v>
      </c>
      <c r="C35" s="98"/>
      <c r="D35" s="104"/>
      <c r="E35" s="135">
        <f t="shared" si="1"/>
        <v>807.07500000000073</v>
      </c>
      <c r="F35" s="47">
        <f t="shared" si="2"/>
        <v>7.6446528630923997E-3</v>
      </c>
      <c r="G35" s="58">
        <v>4.4999999999999998E-2</v>
      </c>
      <c r="H35" s="140">
        <f t="shared" si="3"/>
        <v>1200.4601006793414</v>
      </c>
      <c r="I35" s="42"/>
      <c r="J35" s="40"/>
      <c r="K35" s="14">
        <v>7.6446528630923997E-3</v>
      </c>
    </row>
    <row r="36" spans="2:11" x14ac:dyDescent="0.25">
      <c r="G36" s="14">
        <f>AVERAGE(G14:G24)</f>
        <v>1.1960387466688193E-2</v>
      </c>
      <c r="K36" s="143">
        <f>AVERAGE(K26:K35)</f>
        <v>7.9211029283442584E-3</v>
      </c>
    </row>
    <row r="37" spans="2:11" x14ac:dyDescent="0.25">
      <c r="K37" s="14"/>
    </row>
    <row r="71" spans="2:12" x14ac:dyDescent="0.25">
      <c r="B71" s="1052" t="s">
        <v>101</v>
      </c>
      <c r="C71" s="1052"/>
      <c r="D71" s="1052"/>
      <c r="E71" s="1052"/>
      <c r="F71" s="1052"/>
      <c r="G71" s="1052"/>
      <c r="H71" s="1052"/>
      <c r="I71" s="1052"/>
      <c r="J71" s="1052"/>
      <c r="K71" s="1052"/>
      <c r="L71" s="1052"/>
    </row>
    <row r="72" spans="2:12" x14ac:dyDescent="0.25">
      <c r="B72" s="1052"/>
      <c r="C72" s="1052"/>
      <c r="D72" s="1052"/>
      <c r="E72" s="1052"/>
      <c r="F72" s="1052"/>
      <c r="G72" s="1052"/>
      <c r="H72" s="1052"/>
      <c r="I72" s="1052"/>
      <c r="J72" s="1052"/>
      <c r="K72" s="1052"/>
      <c r="L72" s="1052"/>
    </row>
    <row r="73" spans="2:12" x14ac:dyDescent="0.25">
      <c r="B73" s="1052"/>
      <c r="C73" s="1052"/>
      <c r="D73" s="1052"/>
      <c r="E73" s="1052"/>
      <c r="F73" s="1052"/>
      <c r="G73" s="1052"/>
      <c r="H73" s="1052"/>
      <c r="I73" s="1052"/>
      <c r="J73" s="1052"/>
      <c r="K73" s="1052"/>
      <c r="L73" s="1052"/>
    </row>
    <row r="76" spans="2:12" x14ac:dyDescent="0.25">
      <c r="B76" s="1030" t="s">
        <v>88</v>
      </c>
      <c r="C76" s="1030" t="s">
        <v>87</v>
      </c>
      <c r="D76" s="1030" t="s">
        <v>18</v>
      </c>
      <c r="E76" s="1030" t="s">
        <v>19</v>
      </c>
      <c r="F76" s="1030" t="s">
        <v>100</v>
      </c>
    </row>
    <row r="77" spans="2:12" x14ac:dyDescent="0.25">
      <c r="B77" s="1031"/>
      <c r="C77" s="1031"/>
      <c r="D77" s="1031"/>
      <c r="E77" s="1031"/>
      <c r="F77" s="1031"/>
    </row>
    <row r="78" spans="2:12" x14ac:dyDescent="0.25">
      <c r="B78" s="1032"/>
      <c r="C78" s="1032"/>
      <c r="D78" s="1032"/>
      <c r="E78" s="1033"/>
      <c r="F78" s="1032"/>
    </row>
    <row r="79" spans="2:12" x14ac:dyDescent="0.25">
      <c r="B79" s="80"/>
      <c r="C79" s="127"/>
      <c r="D79" s="90"/>
      <c r="E79" s="85"/>
      <c r="F79" s="165"/>
    </row>
    <row r="80" spans="2:12" x14ac:dyDescent="0.25">
      <c r="B80" s="159" t="s">
        <v>13</v>
      </c>
      <c r="C80" s="160" t="s">
        <v>21</v>
      </c>
      <c r="D80" s="161" t="s">
        <v>24</v>
      </c>
      <c r="E80" s="162"/>
      <c r="F80" s="166">
        <v>4.7800000000000002E-2</v>
      </c>
    </row>
    <row r="81" spans="2:6" x14ac:dyDescent="0.25">
      <c r="B81" s="159" t="s">
        <v>16</v>
      </c>
      <c r="C81" s="160" t="s">
        <v>97</v>
      </c>
      <c r="D81" s="161" t="s">
        <v>25</v>
      </c>
      <c r="E81" s="163"/>
      <c r="F81" s="167">
        <v>4.3099999999999999E-2</v>
      </c>
    </row>
    <row r="82" spans="2:6" x14ac:dyDescent="0.25">
      <c r="B82" s="159" t="s">
        <v>14</v>
      </c>
      <c r="C82" s="160" t="s">
        <v>50</v>
      </c>
      <c r="D82" s="161" t="s">
        <v>24</v>
      </c>
      <c r="E82" s="162"/>
      <c r="F82" s="166">
        <v>4.24E-2</v>
      </c>
    </row>
    <row r="83" spans="2:6" x14ac:dyDescent="0.25">
      <c r="B83" s="159" t="s">
        <v>15</v>
      </c>
      <c r="C83" s="160" t="s">
        <v>21</v>
      </c>
      <c r="D83" s="161" t="s">
        <v>24</v>
      </c>
      <c r="E83" s="163"/>
      <c r="F83" s="167">
        <v>4.1599999999999998E-2</v>
      </c>
    </row>
    <row r="84" spans="2:6" x14ac:dyDescent="0.25">
      <c r="B84" s="150" t="s">
        <v>11</v>
      </c>
      <c r="C84" s="151" t="s">
        <v>23</v>
      </c>
      <c r="D84" s="92" t="s">
        <v>24</v>
      </c>
      <c r="E84" s="152"/>
      <c r="F84" s="168">
        <v>3.9800000000000002E-2</v>
      </c>
    </row>
    <row r="85" spans="2:6" x14ac:dyDescent="0.25">
      <c r="B85" s="150" t="s">
        <v>8</v>
      </c>
      <c r="C85" s="151" t="s">
        <v>20</v>
      </c>
      <c r="D85" s="92" t="s">
        <v>24</v>
      </c>
      <c r="E85" s="153"/>
      <c r="F85" s="169">
        <v>3.5000000000000003E-2</v>
      </c>
    </row>
    <row r="86" spans="2:6" x14ac:dyDescent="0.25">
      <c r="B86" s="154" t="s">
        <v>7</v>
      </c>
      <c r="C86" s="155" t="s">
        <v>20</v>
      </c>
      <c r="D86" s="156" t="s">
        <v>24</v>
      </c>
      <c r="E86" s="158"/>
      <c r="F86" s="170">
        <v>2.7900000000000001E-2</v>
      </c>
    </row>
    <row r="87" spans="2:6" x14ac:dyDescent="0.25">
      <c r="B87" s="154" t="s">
        <v>17</v>
      </c>
      <c r="C87" s="155" t="s">
        <v>22</v>
      </c>
      <c r="D87" s="156" t="s">
        <v>24</v>
      </c>
      <c r="E87" s="157"/>
      <c r="F87" s="171">
        <v>2.6100000000000002E-2</v>
      </c>
    </row>
    <row r="88" spans="2:6" x14ac:dyDescent="0.25">
      <c r="B88" s="154" t="s">
        <v>9</v>
      </c>
      <c r="C88" s="155" t="s">
        <v>22</v>
      </c>
      <c r="D88" s="156" t="s">
        <v>24</v>
      </c>
      <c r="E88" s="157"/>
      <c r="F88" s="171">
        <v>2.3699999999999999E-2</v>
      </c>
    </row>
    <row r="89" spans="2:6" x14ac:dyDescent="0.25">
      <c r="B89" s="154" t="s">
        <v>10</v>
      </c>
      <c r="C89" s="155" t="s">
        <v>20</v>
      </c>
      <c r="D89" s="156" t="s">
        <v>24</v>
      </c>
      <c r="E89" s="157"/>
      <c r="F89" s="171">
        <v>2.1100000000000001E-2</v>
      </c>
    </row>
    <row r="90" spans="2:6" x14ac:dyDescent="0.25">
      <c r="B90" s="154" t="s">
        <v>2</v>
      </c>
      <c r="C90" s="155" t="s">
        <v>51</v>
      </c>
      <c r="D90" s="156" t="s">
        <v>24</v>
      </c>
      <c r="E90" s="157"/>
      <c r="F90" s="171">
        <v>2.01E-2</v>
      </c>
    </row>
    <row r="91" spans="2:6" x14ac:dyDescent="0.25">
      <c r="B91" s="125" t="s">
        <v>5</v>
      </c>
      <c r="C91" s="128" t="s">
        <v>20</v>
      </c>
      <c r="D91" s="91" t="s">
        <v>24</v>
      </c>
      <c r="E91" s="81"/>
      <c r="F91" s="172">
        <v>1.7299999999999999E-2</v>
      </c>
    </row>
    <row r="92" spans="2:6" x14ac:dyDescent="0.25">
      <c r="B92" s="125" t="s">
        <v>3</v>
      </c>
      <c r="C92" s="128" t="s">
        <v>20</v>
      </c>
      <c r="D92" s="91" t="s">
        <v>24</v>
      </c>
      <c r="E92" s="81"/>
      <c r="F92" s="172">
        <v>1.6299999999999999E-2</v>
      </c>
    </row>
    <row r="93" spans="2:6" x14ac:dyDescent="0.25">
      <c r="B93" s="125" t="s">
        <v>1</v>
      </c>
      <c r="C93" s="128" t="s">
        <v>20</v>
      </c>
      <c r="D93" s="91" t="s">
        <v>24</v>
      </c>
      <c r="E93" s="81"/>
      <c r="F93" s="172">
        <v>1.17E-2</v>
      </c>
    </row>
    <row r="94" spans="2:6" x14ac:dyDescent="0.25">
      <c r="B94" s="125" t="s">
        <v>4</v>
      </c>
      <c r="C94" s="128" t="s">
        <v>49</v>
      </c>
      <c r="D94" s="91" t="s">
        <v>24</v>
      </c>
      <c r="E94" s="81"/>
      <c r="F94" s="172">
        <v>9.7999999999999997E-3</v>
      </c>
    </row>
    <row r="95" spans="2:6" x14ac:dyDescent="0.25">
      <c r="B95" s="125" t="s">
        <v>6</v>
      </c>
      <c r="C95" s="128" t="s">
        <v>22</v>
      </c>
      <c r="D95" s="91" t="s">
        <v>24</v>
      </c>
      <c r="E95" s="81"/>
      <c r="F95" s="172">
        <v>6.4000000000000003E-3</v>
      </c>
    </row>
    <row r="96" spans="2:6" x14ac:dyDescent="0.25">
      <c r="B96" s="125" t="s">
        <v>12</v>
      </c>
      <c r="C96" s="128" t="s">
        <v>50</v>
      </c>
      <c r="D96" s="91" t="s">
        <v>24</v>
      </c>
      <c r="E96" s="81"/>
      <c r="F96" s="172">
        <v>0</v>
      </c>
    </row>
    <row r="97" spans="2:16" x14ac:dyDescent="0.25">
      <c r="B97" s="126" t="s">
        <v>32</v>
      </c>
      <c r="C97" s="129" t="s">
        <v>50</v>
      </c>
      <c r="D97" s="130" t="s">
        <v>24</v>
      </c>
      <c r="E97" s="82"/>
      <c r="F97" s="173"/>
    </row>
    <row r="98" spans="2:16" x14ac:dyDescent="0.25">
      <c r="F98" s="14">
        <f>AVERAGE(F80:F96)</f>
        <v>2.53E-2</v>
      </c>
    </row>
    <row r="99" spans="2:16" ht="15.75" thickBot="1" x14ac:dyDescent="0.3"/>
    <row r="100" spans="2:16" ht="20.100000000000001" customHeight="1" thickBot="1" x14ac:dyDescent="0.3">
      <c r="B100" s="10"/>
      <c r="C100" s="1037" t="s">
        <v>341</v>
      </c>
      <c r="D100" s="1038"/>
      <c r="E100" s="1038"/>
      <c r="F100" s="1038"/>
      <c r="G100" s="1038"/>
      <c r="H100" s="1038"/>
      <c r="I100" s="1038"/>
      <c r="J100" s="1038"/>
      <c r="K100" s="1039"/>
    </row>
    <row r="101" spans="2:16" ht="15.95" customHeight="1" thickBot="1" x14ac:dyDescent="0.3">
      <c r="C101" s="1040" t="s">
        <v>340</v>
      </c>
      <c r="D101" s="1041"/>
      <c r="E101" s="1041"/>
      <c r="F101" s="1041"/>
      <c r="G101" s="1041"/>
      <c r="H101" s="1041"/>
      <c r="I101" s="1041"/>
      <c r="J101" s="1041"/>
      <c r="K101" s="1042"/>
    </row>
    <row r="102" spans="2:16" ht="15.95" customHeight="1" thickBot="1" x14ac:dyDescent="0.3">
      <c r="B102" s="1051" t="s">
        <v>26</v>
      </c>
      <c r="C102" s="1043" t="s">
        <v>35</v>
      </c>
      <c r="D102" s="1045" t="s">
        <v>110</v>
      </c>
      <c r="E102" s="1046"/>
      <c r="F102" s="1047"/>
      <c r="G102" s="1045" t="s">
        <v>74</v>
      </c>
      <c r="H102" s="1047"/>
      <c r="I102" s="1043" t="s">
        <v>180</v>
      </c>
      <c r="J102" s="1043" t="s">
        <v>268</v>
      </c>
      <c r="K102" s="1049" t="s">
        <v>269</v>
      </c>
    </row>
    <row r="103" spans="2:16" ht="35.1" customHeight="1" thickBot="1" x14ac:dyDescent="0.3">
      <c r="B103" s="1051"/>
      <c r="C103" s="1044"/>
      <c r="D103" s="541" t="s">
        <v>174</v>
      </c>
      <c r="E103" s="541" t="s">
        <v>122</v>
      </c>
      <c r="F103" s="541" t="s">
        <v>81</v>
      </c>
      <c r="G103" s="537" t="s">
        <v>170</v>
      </c>
      <c r="H103" s="538" t="s">
        <v>270</v>
      </c>
      <c r="I103" s="1048"/>
      <c r="J103" s="1044"/>
      <c r="K103" s="1050"/>
      <c r="M103" s="10" t="s">
        <v>206</v>
      </c>
    </row>
    <row r="104" spans="2:16" ht="15" customHeight="1" x14ac:dyDescent="0.25">
      <c r="B104" s="577">
        <v>1999</v>
      </c>
      <c r="C104" s="914"/>
      <c r="D104" s="862"/>
      <c r="E104" s="863"/>
      <c r="F104" s="915"/>
      <c r="G104" s="916"/>
      <c r="H104" s="916"/>
      <c r="I104" s="917"/>
      <c r="J104" s="918"/>
      <c r="K104" s="889" t="e">
        <f>E104/I104</f>
        <v>#DIV/0!</v>
      </c>
    </row>
    <row r="105" spans="2:16" ht="15" customHeight="1" x14ac:dyDescent="0.25">
      <c r="B105" s="577">
        <v>2000</v>
      </c>
      <c r="C105" s="868"/>
      <c r="D105" s="865"/>
      <c r="E105" s="866"/>
      <c r="F105" s="919"/>
      <c r="G105" s="869"/>
      <c r="H105" s="869"/>
      <c r="I105" s="870"/>
      <c r="J105" s="438"/>
      <c r="K105" s="890" t="e">
        <f t="shared" ref="K105:K122" si="4">E105/I105</f>
        <v>#DIV/0!</v>
      </c>
    </row>
    <row r="106" spans="2:16" ht="15" customHeight="1" x14ac:dyDescent="0.25">
      <c r="B106" s="577">
        <v>2001</v>
      </c>
      <c r="C106" s="868"/>
      <c r="D106" s="865"/>
      <c r="E106" s="866"/>
      <c r="F106" s="919"/>
      <c r="G106" s="869"/>
      <c r="H106" s="869"/>
      <c r="I106" s="870"/>
      <c r="J106" s="438"/>
      <c r="K106" s="890" t="e">
        <f t="shared" si="4"/>
        <v>#DIV/0!</v>
      </c>
    </row>
    <row r="107" spans="2:16" ht="15" customHeight="1" x14ac:dyDescent="0.25">
      <c r="B107" s="577">
        <v>2002</v>
      </c>
      <c r="C107" s="868"/>
      <c r="D107" s="865"/>
      <c r="E107" s="866"/>
      <c r="F107" s="919"/>
      <c r="G107" s="869"/>
      <c r="H107" s="869"/>
      <c r="I107" s="870"/>
      <c r="J107" s="438"/>
      <c r="K107" s="890" t="e">
        <f t="shared" si="4"/>
        <v>#DIV/0!</v>
      </c>
    </row>
    <row r="108" spans="2:16" ht="15" customHeight="1" x14ac:dyDescent="0.25">
      <c r="B108" s="577">
        <v>2003</v>
      </c>
      <c r="C108" s="860">
        <v>37943.645833333336</v>
      </c>
      <c r="D108" s="100">
        <v>737.25</v>
      </c>
      <c r="E108" s="100">
        <v>737.25</v>
      </c>
      <c r="F108" s="919"/>
      <c r="G108" s="869"/>
      <c r="H108" s="928">
        <f>E108/E108</f>
        <v>1</v>
      </c>
      <c r="I108" s="870"/>
      <c r="J108" s="438"/>
      <c r="K108" s="890" t="e">
        <f t="shared" si="4"/>
        <v>#DIV/0!</v>
      </c>
      <c r="M108">
        <f>D108/E108</f>
        <v>1</v>
      </c>
      <c r="N108" s="1000">
        <v>514.71427300000005</v>
      </c>
      <c r="O108" s="599"/>
      <c r="P108" s="42"/>
    </row>
    <row r="109" spans="2:16" ht="15" customHeight="1" x14ac:dyDescent="0.25">
      <c r="B109" s="577">
        <v>2004</v>
      </c>
      <c r="C109" s="860">
        <v>38209.479166666664</v>
      </c>
      <c r="D109" s="100">
        <v>728.19</v>
      </c>
      <c r="E109" s="100">
        <v>728.19</v>
      </c>
      <c r="F109" s="919">
        <f t="shared" ref="F109:F119" si="5">(E109-E108)/E108</f>
        <v>-1.2288911495422102E-2</v>
      </c>
      <c r="G109" s="869">
        <f>(E109/E108-1)*100</f>
        <v>-1.2288911495422106</v>
      </c>
      <c r="H109" s="928">
        <f>E109/737.25-1</f>
        <v>-1.2288911495422106E-2</v>
      </c>
      <c r="I109" s="870"/>
      <c r="J109" s="438"/>
      <c r="K109" s="890" t="e">
        <f t="shared" si="4"/>
        <v>#DIV/0!</v>
      </c>
      <c r="M109">
        <f t="shared" ref="M109:M121" si="6">D109/E109</f>
        <v>1</v>
      </c>
      <c r="N109" s="1000">
        <v>531.876169</v>
      </c>
      <c r="O109" s="599"/>
      <c r="P109" s="42"/>
    </row>
    <row r="110" spans="2:16" ht="15" customHeight="1" x14ac:dyDescent="0.25">
      <c r="B110" s="577">
        <v>2005</v>
      </c>
      <c r="C110" s="860">
        <v>38527.395833333336</v>
      </c>
      <c r="D110" s="100">
        <v>621.79999999999995</v>
      </c>
      <c r="E110" s="100">
        <v>621.79999999999995</v>
      </c>
      <c r="F110" s="919">
        <f t="shared" si="5"/>
        <v>-0.14610197887913881</v>
      </c>
      <c r="G110" s="869">
        <f t="shared" ref="G110:G119" si="7">(E110/E109-1)*100</f>
        <v>-14.610197887913879</v>
      </c>
      <c r="H110" s="928">
        <f t="shared" ref="H110:H120" si="8">E110/737.25-1</f>
        <v>-0.15659545608680914</v>
      </c>
      <c r="I110" s="870"/>
      <c r="J110" s="438"/>
      <c r="K110" s="890" t="e">
        <f t="shared" si="4"/>
        <v>#DIV/0!</v>
      </c>
      <c r="M110">
        <f t="shared" si="6"/>
        <v>1</v>
      </c>
      <c r="N110" s="1000">
        <v>553.78527999999994</v>
      </c>
      <c r="O110" s="599"/>
      <c r="P110" s="42"/>
    </row>
    <row r="111" spans="2:16" ht="15" customHeight="1" x14ac:dyDescent="0.25">
      <c r="B111" s="577">
        <v>2006</v>
      </c>
      <c r="C111" s="860">
        <v>39062.416666666664</v>
      </c>
      <c r="D111" s="100">
        <v>652.6</v>
      </c>
      <c r="E111" s="100">
        <v>652.6</v>
      </c>
      <c r="F111" s="919">
        <f t="shared" si="5"/>
        <v>4.9533612093920987E-2</v>
      </c>
      <c r="G111" s="869">
        <f t="shared" si="7"/>
        <v>4.9533612093920931</v>
      </c>
      <c r="H111" s="928">
        <f t="shared" si="8"/>
        <v>-0.11481858257036281</v>
      </c>
      <c r="I111" s="870"/>
      <c r="J111" s="438"/>
      <c r="K111" s="890" t="e">
        <f t="shared" si="4"/>
        <v>#DIV/0!</v>
      </c>
      <c r="M111">
        <f t="shared" si="6"/>
        <v>1</v>
      </c>
      <c r="N111" s="1000">
        <v>547.46594400000004</v>
      </c>
      <c r="O111" s="599"/>
      <c r="P111" s="42"/>
    </row>
    <row r="112" spans="2:16" ht="15" customHeight="1" x14ac:dyDescent="0.25">
      <c r="B112" s="577">
        <v>2007</v>
      </c>
      <c r="C112" s="860">
        <v>39259.645833333336</v>
      </c>
      <c r="D112" s="100">
        <v>638.11</v>
      </c>
      <c r="E112" s="100">
        <v>638.11</v>
      </c>
      <c r="F112" s="919">
        <f t="shared" si="5"/>
        <v>-2.2203493717437954E-2</v>
      </c>
      <c r="G112" s="869">
        <f t="shared" si="7"/>
        <v>-2.2203493717437905</v>
      </c>
      <c r="H112" s="928">
        <f t="shared" si="8"/>
        <v>-0.1344727026110546</v>
      </c>
      <c r="I112" s="870"/>
      <c r="J112" s="438"/>
      <c r="K112" s="890" t="e">
        <f t="shared" si="4"/>
        <v>#DIV/0!</v>
      </c>
      <c r="M112">
        <f t="shared" si="6"/>
        <v>1</v>
      </c>
      <c r="N112" s="1000">
        <v>592.29999999999995</v>
      </c>
      <c r="O112" s="599"/>
      <c r="P112" s="42"/>
    </row>
    <row r="113" spans="2:16" ht="15" customHeight="1" x14ac:dyDescent="0.25">
      <c r="B113" s="577">
        <v>2008</v>
      </c>
      <c r="C113" s="860">
        <v>39623.46875</v>
      </c>
      <c r="D113" s="100">
        <v>639.80999999999995</v>
      </c>
      <c r="E113" s="100">
        <v>639.80999999999995</v>
      </c>
      <c r="F113" s="919">
        <f t="shared" si="5"/>
        <v>2.6641174719091252E-3</v>
      </c>
      <c r="G113" s="869">
        <f t="shared" si="7"/>
        <v>0.26641174719090888</v>
      </c>
      <c r="H113" s="928">
        <f t="shared" si="8"/>
        <v>-0.13216683621566638</v>
      </c>
      <c r="I113" s="870"/>
      <c r="J113" s="438"/>
      <c r="K113" s="890" t="e">
        <f t="shared" si="4"/>
        <v>#DIV/0!</v>
      </c>
      <c r="M113">
        <f t="shared" si="6"/>
        <v>1</v>
      </c>
      <c r="N113" s="1000">
        <v>608.66999999999996</v>
      </c>
      <c r="O113" s="599"/>
      <c r="P113" s="42"/>
    </row>
    <row r="114" spans="2:16" ht="15" customHeight="1" x14ac:dyDescent="0.25">
      <c r="B114" s="577">
        <v>2009</v>
      </c>
      <c r="C114" s="860">
        <v>39889.5</v>
      </c>
      <c r="D114" s="100">
        <v>761.93</v>
      </c>
      <c r="E114" s="100">
        <v>761.93</v>
      </c>
      <c r="F114" s="919">
        <f>(E114-E113)/E113</f>
        <v>0.19086916428314657</v>
      </c>
      <c r="G114" s="869">
        <f t="shared" si="7"/>
        <v>19.086916428314659</v>
      </c>
      <c r="H114" s="928">
        <f t="shared" si="8"/>
        <v>3.3475754493048404E-2</v>
      </c>
      <c r="I114" s="870"/>
      <c r="J114" s="438"/>
      <c r="K114" s="890" t="e">
        <f t="shared" si="4"/>
        <v>#DIV/0!</v>
      </c>
      <c r="M114">
        <f t="shared" si="6"/>
        <v>1</v>
      </c>
      <c r="N114" s="1000">
        <v>615.01</v>
      </c>
      <c r="O114" s="599"/>
      <c r="P114" s="42"/>
    </row>
    <row r="115" spans="2:16" ht="15" customHeight="1" x14ac:dyDescent="0.25">
      <c r="B115" s="577">
        <v>2010</v>
      </c>
      <c r="C115" s="860">
        <v>40179.5625</v>
      </c>
      <c r="D115" s="100">
        <v>795.55</v>
      </c>
      <c r="E115" s="100">
        <v>795.55</v>
      </c>
      <c r="F115" s="919">
        <f t="shared" si="5"/>
        <v>4.4124788366385372E-2</v>
      </c>
      <c r="G115" s="869">
        <f t="shared" si="7"/>
        <v>4.4124788366385337</v>
      </c>
      <c r="H115" s="928">
        <f t="shared" si="8"/>
        <v>7.9077653441844697E-2</v>
      </c>
      <c r="I115" s="870"/>
      <c r="J115" s="438"/>
      <c r="K115" s="890" t="e">
        <f t="shared" si="4"/>
        <v>#DIV/0!</v>
      </c>
      <c r="M115">
        <f t="shared" si="6"/>
        <v>1</v>
      </c>
      <c r="N115" s="1000">
        <v>671.35</v>
      </c>
      <c r="O115" s="599"/>
      <c r="P115" s="42"/>
    </row>
    <row r="116" spans="2:16" ht="15" customHeight="1" x14ac:dyDescent="0.25">
      <c r="B116" s="577">
        <v>2011</v>
      </c>
      <c r="C116" s="860">
        <v>40742.9375</v>
      </c>
      <c r="D116" s="100">
        <v>683.16</v>
      </c>
      <c r="E116" s="100">
        <v>683.16</v>
      </c>
      <c r="F116" s="919">
        <f t="shared" si="5"/>
        <v>-0.141273332914336</v>
      </c>
      <c r="G116" s="869">
        <f t="shared" si="7"/>
        <v>-14.127333291433597</v>
      </c>
      <c r="H116" s="928">
        <f t="shared" si="8"/>
        <v>-7.3367243133265592E-2</v>
      </c>
      <c r="I116" s="870"/>
      <c r="J116" s="438"/>
      <c r="K116" s="920" t="e">
        <f t="shared" si="4"/>
        <v>#DIV/0!</v>
      </c>
      <c r="M116">
        <f t="shared" si="6"/>
        <v>1</v>
      </c>
      <c r="N116" s="1000">
        <v>720.55</v>
      </c>
      <c r="O116" s="599"/>
      <c r="P116" s="42"/>
    </row>
    <row r="117" spans="2:16" ht="15" customHeight="1" x14ac:dyDescent="0.25">
      <c r="B117" s="577">
        <v>2012</v>
      </c>
      <c r="C117" s="860">
        <v>41255.625</v>
      </c>
      <c r="D117" s="100">
        <v>725.21</v>
      </c>
      <c r="E117" s="100">
        <v>725.21</v>
      </c>
      <c r="F117" s="919">
        <f t="shared" si="5"/>
        <v>6.1552198606475893E-2</v>
      </c>
      <c r="G117" s="869">
        <f t="shared" si="7"/>
        <v>6.1552198606475983</v>
      </c>
      <c r="H117" s="928">
        <f t="shared" si="8"/>
        <v>-1.6330959647337995E-2</v>
      </c>
      <c r="I117" s="870"/>
      <c r="J117" s="438"/>
      <c r="K117" s="920" t="e">
        <f t="shared" si="4"/>
        <v>#DIV/0!</v>
      </c>
      <c r="M117">
        <f t="shared" si="6"/>
        <v>1</v>
      </c>
      <c r="N117" s="1000">
        <v>744.22</v>
      </c>
      <c r="O117" s="599"/>
      <c r="P117" s="42"/>
    </row>
    <row r="118" spans="2:16" ht="15" customHeight="1" x14ac:dyDescent="0.25">
      <c r="B118" s="577">
        <v>2013</v>
      </c>
      <c r="C118" s="860">
        <v>41576.5</v>
      </c>
      <c r="D118" s="62">
        <v>688.26</v>
      </c>
      <c r="E118" s="62">
        <v>688.26</v>
      </c>
      <c r="F118" s="919">
        <f t="shared" si="5"/>
        <v>-5.0950759090470407E-2</v>
      </c>
      <c r="G118" s="869">
        <f t="shared" si="7"/>
        <v>-5.0950759090470417</v>
      </c>
      <c r="H118" s="928">
        <f t="shared" si="8"/>
        <v>-6.6449643947100734E-2</v>
      </c>
      <c r="I118" s="870"/>
      <c r="J118" s="438"/>
      <c r="K118" s="920" t="e">
        <f t="shared" si="4"/>
        <v>#DIV/0!</v>
      </c>
      <c r="M118">
        <f t="shared" si="6"/>
        <v>1</v>
      </c>
      <c r="N118" s="1000">
        <v>741.1</v>
      </c>
      <c r="O118" s="599"/>
      <c r="P118" s="39"/>
    </row>
    <row r="119" spans="2:16" ht="15" customHeight="1" x14ac:dyDescent="0.25">
      <c r="B119" s="577">
        <v>2014</v>
      </c>
      <c r="C119" s="860">
        <v>41652.677083333336</v>
      </c>
      <c r="D119" s="100">
        <v>795.38</v>
      </c>
      <c r="E119" s="100">
        <v>795.38</v>
      </c>
      <c r="F119" s="919">
        <f t="shared" si="5"/>
        <v>0.15563885740853747</v>
      </c>
      <c r="G119" s="869">
        <f t="shared" si="7"/>
        <v>15.563885740853745</v>
      </c>
      <c r="H119" s="928">
        <f t="shared" si="8"/>
        <v>7.8847066802305799E-2</v>
      </c>
      <c r="I119" s="870"/>
      <c r="J119" s="438"/>
      <c r="K119" s="920" t="e">
        <f t="shared" si="4"/>
        <v>#DIV/0!</v>
      </c>
      <c r="M119">
        <f t="shared" si="6"/>
        <v>1</v>
      </c>
      <c r="N119" s="1000">
        <v>805.89</v>
      </c>
      <c r="O119" s="599"/>
      <c r="P119" s="43"/>
    </row>
    <row r="120" spans="2:16" ht="15" customHeight="1" x14ac:dyDescent="0.25">
      <c r="B120" s="577">
        <v>2015</v>
      </c>
      <c r="C120" s="868">
        <v>42020.520833333336</v>
      </c>
      <c r="D120" s="865">
        <v>707</v>
      </c>
      <c r="E120" s="866">
        <v>756.38</v>
      </c>
      <c r="F120" s="919"/>
      <c r="G120" s="869"/>
      <c r="H120" s="869">
        <f t="shared" si="8"/>
        <v>2.5947778908104402E-2</v>
      </c>
      <c r="I120" s="870"/>
      <c r="J120" s="438"/>
      <c r="K120" s="890" t="e">
        <f t="shared" si="4"/>
        <v>#DIV/0!</v>
      </c>
      <c r="M120">
        <f t="shared" si="6"/>
        <v>0.93471535471588352</v>
      </c>
      <c r="N120" s="1000">
        <v>767.91889400000002</v>
      </c>
    </row>
    <row r="121" spans="2:16" ht="15" customHeight="1" x14ac:dyDescent="0.25">
      <c r="B121" s="577">
        <v>2016</v>
      </c>
      <c r="C121" s="868">
        <v>42618.572916666664</v>
      </c>
      <c r="D121" s="865">
        <v>653.91999999999996</v>
      </c>
      <c r="E121" s="866">
        <v>736.41</v>
      </c>
      <c r="F121" s="919"/>
      <c r="G121" s="869"/>
      <c r="H121" s="869"/>
      <c r="I121" s="870"/>
      <c r="J121" s="438"/>
      <c r="K121" s="920" t="e">
        <f t="shared" si="4"/>
        <v>#DIV/0!</v>
      </c>
      <c r="M121">
        <f t="shared" si="6"/>
        <v>0.8879835960945669</v>
      </c>
      <c r="N121" s="1000">
        <v>811.85396700000001</v>
      </c>
    </row>
    <row r="122" spans="2:16" ht="15" customHeight="1" x14ac:dyDescent="0.25">
      <c r="B122" s="577">
        <v>2017</v>
      </c>
      <c r="C122" s="868">
        <v>42755.614583333336</v>
      </c>
      <c r="D122" s="865">
        <v>619.57000000000005</v>
      </c>
      <c r="E122" s="866">
        <v>664.52</v>
      </c>
      <c r="F122" s="919"/>
      <c r="G122" s="869"/>
      <c r="H122" s="869">
        <f>E122</f>
        <v>664.52</v>
      </c>
      <c r="I122" s="870"/>
      <c r="J122" s="438"/>
      <c r="K122" s="920" t="e">
        <f t="shared" si="4"/>
        <v>#DIV/0!</v>
      </c>
    </row>
    <row r="123" spans="2:16" ht="15" customHeight="1" x14ac:dyDescent="0.25">
      <c r="B123" s="583">
        <v>2018</v>
      </c>
      <c r="C123" s="622">
        <v>2018</v>
      </c>
      <c r="D123" s="871"/>
      <c r="E123" s="872"/>
      <c r="F123" s="921"/>
      <c r="G123" s="873"/>
      <c r="H123" s="874"/>
      <c r="I123" s="875"/>
      <c r="J123" s="568"/>
      <c r="K123" s="892" t="e">
        <f>H123/I123</f>
        <v>#DIV/0!</v>
      </c>
    </row>
    <row r="124" spans="2:16" ht="15" customHeight="1" x14ac:dyDescent="0.25">
      <c r="B124" s="583">
        <v>2019</v>
      </c>
      <c r="C124" s="622">
        <v>2019</v>
      </c>
      <c r="D124" s="871"/>
      <c r="E124" s="872"/>
      <c r="F124" s="921"/>
      <c r="G124" s="873"/>
      <c r="H124" s="874"/>
      <c r="I124" s="875"/>
      <c r="J124" s="568"/>
      <c r="K124" s="892" t="e">
        <f t="shared" ref="K124:K132" si="9">H124/I124</f>
        <v>#DIV/0!</v>
      </c>
    </row>
    <row r="125" spans="2:16" ht="15" customHeight="1" x14ac:dyDescent="0.25">
      <c r="B125" s="583">
        <v>2020</v>
      </c>
      <c r="C125" s="622">
        <v>2020</v>
      </c>
      <c r="D125" s="871"/>
      <c r="E125" s="872"/>
      <c r="F125" s="921"/>
      <c r="G125" s="873"/>
      <c r="H125" s="874"/>
      <c r="I125" s="875"/>
      <c r="J125" s="568"/>
      <c r="K125" s="892" t="e">
        <f t="shared" si="9"/>
        <v>#DIV/0!</v>
      </c>
    </row>
    <row r="126" spans="2:16" ht="15" customHeight="1" x14ac:dyDescent="0.25">
      <c r="B126" s="583">
        <v>2021</v>
      </c>
      <c r="C126" s="622">
        <v>2021</v>
      </c>
      <c r="D126" s="871"/>
      <c r="E126" s="872"/>
      <c r="F126" s="921"/>
      <c r="G126" s="873"/>
      <c r="H126" s="874"/>
      <c r="I126" s="875"/>
      <c r="J126" s="568"/>
      <c r="K126" s="892" t="e">
        <f t="shared" si="9"/>
        <v>#DIV/0!</v>
      </c>
    </row>
    <row r="127" spans="2:16" ht="15" customHeight="1" x14ac:dyDescent="0.25">
      <c r="B127" s="583">
        <v>2022</v>
      </c>
      <c r="C127" s="622">
        <v>2022</v>
      </c>
      <c r="D127" s="871"/>
      <c r="E127" s="872"/>
      <c r="F127" s="921"/>
      <c r="G127" s="873"/>
      <c r="H127" s="874"/>
      <c r="I127" s="875"/>
      <c r="J127" s="568"/>
      <c r="K127" s="892" t="e">
        <f t="shared" si="9"/>
        <v>#DIV/0!</v>
      </c>
    </row>
    <row r="128" spans="2:16" ht="15" customHeight="1" x14ac:dyDescent="0.25">
      <c r="B128" s="583">
        <v>2023</v>
      </c>
      <c r="C128" s="622">
        <v>2023</v>
      </c>
      <c r="D128" s="871"/>
      <c r="E128" s="872"/>
      <c r="F128" s="921"/>
      <c r="G128" s="873"/>
      <c r="H128" s="874"/>
      <c r="I128" s="875"/>
      <c r="J128" s="568"/>
      <c r="K128" s="892" t="e">
        <f t="shared" si="9"/>
        <v>#DIV/0!</v>
      </c>
    </row>
    <row r="129" spans="2:14" ht="15" customHeight="1" x14ac:dyDescent="0.25">
      <c r="B129" s="583">
        <v>2024</v>
      </c>
      <c r="C129" s="922">
        <v>2024</v>
      </c>
      <c r="D129" s="871"/>
      <c r="E129" s="872"/>
      <c r="F129" s="921"/>
      <c r="G129" s="873"/>
      <c r="H129" s="874"/>
      <c r="I129" s="875"/>
      <c r="J129" s="568"/>
      <c r="K129" s="892" t="e">
        <f t="shared" si="9"/>
        <v>#DIV/0!</v>
      </c>
    </row>
    <row r="130" spans="2:14" ht="15" customHeight="1" x14ac:dyDescent="0.25">
      <c r="B130" s="583">
        <v>2025</v>
      </c>
      <c r="C130" s="922">
        <v>2025</v>
      </c>
      <c r="D130" s="871"/>
      <c r="E130" s="872"/>
      <c r="F130" s="921"/>
      <c r="G130" s="873"/>
      <c r="H130" s="874"/>
      <c r="I130" s="875"/>
      <c r="J130" s="568"/>
      <c r="K130" s="892" t="e">
        <f t="shared" si="9"/>
        <v>#DIV/0!</v>
      </c>
    </row>
    <row r="131" spans="2:14" ht="15" customHeight="1" x14ac:dyDescent="0.25">
      <c r="B131" s="585">
        <v>2026</v>
      </c>
      <c r="C131" s="922">
        <v>2026</v>
      </c>
      <c r="D131" s="871"/>
      <c r="E131" s="872"/>
      <c r="F131" s="921"/>
      <c r="G131" s="873"/>
      <c r="H131" s="874"/>
      <c r="I131" s="875"/>
      <c r="J131" s="568"/>
      <c r="K131" s="892" t="e">
        <f t="shared" si="9"/>
        <v>#DIV/0!</v>
      </c>
    </row>
    <row r="132" spans="2:14" ht="15" customHeight="1" thickBot="1" x14ac:dyDescent="0.3">
      <c r="B132" s="585">
        <v>2027</v>
      </c>
      <c r="C132" s="923">
        <v>2027</v>
      </c>
      <c r="D132" s="877"/>
      <c r="E132" s="878"/>
      <c r="F132" s="924"/>
      <c r="G132" s="879"/>
      <c r="H132" s="880"/>
      <c r="I132" s="881"/>
      <c r="J132" s="925"/>
      <c r="K132" s="893" t="e">
        <f t="shared" si="9"/>
        <v>#DIV/0!</v>
      </c>
    </row>
    <row r="133" spans="2:14" ht="15" customHeight="1" x14ac:dyDescent="0.25">
      <c r="C133" s="5"/>
      <c r="D133" s="9"/>
      <c r="E133" s="9"/>
      <c r="F133" s="439"/>
      <c r="G133" s="9">
        <f>AVERAGE(G104:G119)</f>
        <v>1.19603874666882</v>
      </c>
      <c r="H133" s="12"/>
      <c r="I133" s="9"/>
      <c r="J133" s="11"/>
      <c r="K133" s="11"/>
    </row>
    <row r="134" spans="2:14" ht="15" customHeight="1" x14ac:dyDescent="0.25">
      <c r="C134" s="5"/>
      <c r="D134" s="5"/>
      <c r="E134" s="5"/>
      <c r="F134" s="5"/>
      <c r="G134" s="5"/>
      <c r="H134" s="5"/>
      <c r="I134" s="5"/>
    </row>
    <row r="135" spans="2:14" ht="15" customHeight="1" x14ac:dyDescent="0.25"/>
    <row r="137" spans="2:14" ht="15.75" thickBot="1" x14ac:dyDescent="0.3"/>
    <row r="138" spans="2:14" ht="20.100000000000001" customHeight="1" thickBot="1" x14ac:dyDescent="0.3">
      <c r="C138" s="1037" t="s">
        <v>363</v>
      </c>
      <c r="D138" s="1038"/>
      <c r="E138" s="1038"/>
      <c r="F138" s="1038"/>
      <c r="G138" s="1038"/>
      <c r="H138" s="1038"/>
      <c r="I138" s="1038"/>
      <c r="J138" s="1038"/>
      <c r="K138" s="1039"/>
    </row>
    <row r="139" spans="2:14" ht="15.95" customHeight="1" thickBot="1" x14ac:dyDescent="0.3">
      <c r="C139" s="1040" t="s">
        <v>340</v>
      </c>
      <c r="D139" s="1041"/>
      <c r="E139" s="1041"/>
      <c r="F139" s="1041"/>
      <c r="G139" s="1041"/>
      <c r="H139" s="1041"/>
      <c r="I139" s="1041"/>
      <c r="J139" s="1041"/>
      <c r="K139" s="1042"/>
    </row>
    <row r="140" spans="2:14" ht="15.95" customHeight="1" thickBot="1" x14ac:dyDescent="0.3">
      <c r="B140" s="1051" t="s">
        <v>26</v>
      </c>
      <c r="C140" s="1043" t="s">
        <v>35</v>
      </c>
      <c r="D140" s="1045" t="s">
        <v>110</v>
      </c>
      <c r="E140" s="1046"/>
      <c r="F140" s="1047"/>
      <c r="G140" s="1045" t="s">
        <v>74</v>
      </c>
      <c r="H140" s="1047"/>
      <c r="I140" s="1043" t="s">
        <v>180</v>
      </c>
      <c r="J140" s="1043" t="s">
        <v>268</v>
      </c>
      <c r="K140" s="1049" t="s">
        <v>269</v>
      </c>
    </row>
    <row r="141" spans="2:14" ht="35.1" customHeight="1" thickBot="1" x14ac:dyDescent="0.3">
      <c r="B141" s="1051"/>
      <c r="C141" s="1044"/>
      <c r="D141" s="541" t="s">
        <v>174</v>
      </c>
      <c r="E141" s="541" t="s">
        <v>122</v>
      </c>
      <c r="F141" s="541" t="s">
        <v>81</v>
      </c>
      <c r="G141" s="537" t="s">
        <v>170</v>
      </c>
      <c r="H141" s="538" t="s">
        <v>270</v>
      </c>
      <c r="I141" s="1048"/>
      <c r="J141" s="1044"/>
      <c r="K141" s="1050"/>
      <c r="M141" s="10" t="s">
        <v>117</v>
      </c>
    </row>
    <row r="142" spans="2:14" ht="15" customHeight="1" x14ac:dyDescent="0.25">
      <c r="B142" s="577">
        <v>1999</v>
      </c>
      <c r="C142" s="578"/>
      <c r="D142" s="647"/>
      <c r="E142" s="648"/>
      <c r="F142" s="643"/>
      <c r="G142" s="657"/>
      <c r="H142" s="657"/>
      <c r="I142" s="579"/>
      <c r="J142" s="587"/>
      <c r="K142" s="591" t="e">
        <f>E142/I142</f>
        <v>#DIV/0!</v>
      </c>
      <c r="M142" s="1001" t="s">
        <v>381</v>
      </c>
    </row>
    <row r="143" spans="2:14" ht="15" customHeight="1" x14ac:dyDescent="0.25">
      <c r="B143" s="577">
        <v>2000</v>
      </c>
      <c r="C143" s="580"/>
      <c r="D143" s="649"/>
      <c r="E143" s="650"/>
      <c r="F143" s="644"/>
      <c r="G143" s="658"/>
      <c r="H143" s="658"/>
      <c r="I143" s="581"/>
      <c r="J143" s="588"/>
      <c r="K143" s="592" t="e">
        <f t="shared" ref="K143:K160" si="10">E143/I143</f>
        <v>#DIV/0!</v>
      </c>
      <c r="M143" s="234"/>
      <c r="N143" s="11"/>
    </row>
    <row r="144" spans="2:14" ht="15" customHeight="1" x14ac:dyDescent="0.25">
      <c r="B144" s="577">
        <v>2001</v>
      </c>
      <c r="C144" s="580"/>
      <c r="D144" s="649"/>
      <c r="E144" s="650"/>
      <c r="F144" s="644"/>
      <c r="G144" s="658"/>
      <c r="H144" s="658"/>
      <c r="I144" s="581"/>
      <c r="J144" s="588"/>
      <c r="K144" s="592" t="e">
        <f t="shared" si="10"/>
        <v>#DIV/0!</v>
      </c>
      <c r="M144" s="234"/>
      <c r="N144" s="11"/>
    </row>
    <row r="145" spans="2:18" ht="15" customHeight="1" x14ac:dyDescent="0.25">
      <c r="B145" s="577">
        <v>2002</v>
      </c>
      <c r="C145" s="580"/>
      <c r="D145" s="649"/>
      <c r="E145" s="650"/>
      <c r="F145" s="644"/>
      <c r="G145" s="658"/>
      <c r="H145" s="658"/>
      <c r="I145" s="581"/>
      <c r="J145" s="588"/>
      <c r="K145" s="592" t="e">
        <f t="shared" si="10"/>
        <v>#DIV/0!</v>
      </c>
      <c r="M145" s="234"/>
      <c r="N145" s="11"/>
    </row>
    <row r="146" spans="2:18" ht="15" customHeight="1" x14ac:dyDescent="0.25">
      <c r="B146" s="577">
        <v>2003</v>
      </c>
      <c r="C146" s="929"/>
      <c r="D146" s="650"/>
      <c r="E146" s="650"/>
      <c r="F146" s="644"/>
      <c r="G146" s="658"/>
      <c r="H146" s="658"/>
      <c r="I146" s="581"/>
      <c r="J146" s="588"/>
      <c r="K146" s="592" t="e">
        <f t="shared" si="10"/>
        <v>#DIV/0!</v>
      </c>
      <c r="M146" s="1002">
        <v>514.71427300000005</v>
      </c>
      <c r="N146" s="11"/>
    </row>
    <row r="147" spans="2:18" ht="15" customHeight="1" x14ac:dyDescent="0.25">
      <c r="B147" s="577">
        <v>2004</v>
      </c>
      <c r="C147" s="929"/>
      <c r="D147" s="650"/>
      <c r="E147" s="650"/>
      <c r="F147" s="644"/>
      <c r="G147" s="658"/>
      <c r="H147" s="658"/>
      <c r="I147" s="581"/>
      <c r="J147" s="588"/>
      <c r="K147" s="592" t="e">
        <f t="shared" si="10"/>
        <v>#DIV/0!</v>
      </c>
      <c r="M147" s="1002">
        <v>531.876169</v>
      </c>
      <c r="N147" s="11"/>
    </row>
    <row r="148" spans="2:18" ht="15" customHeight="1" x14ac:dyDescent="0.25">
      <c r="B148" s="577">
        <v>2005</v>
      </c>
      <c r="C148" s="929">
        <v>38524.8125</v>
      </c>
      <c r="D148" s="650">
        <v>529</v>
      </c>
      <c r="E148" s="650">
        <f>D148/0.98</f>
        <v>539.79591836734699</v>
      </c>
      <c r="F148" s="644"/>
      <c r="G148" s="658"/>
      <c r="H148" s="658"/>
      <c r="I148" s="581"/>
      <c r="J148" s="588"/>
      <c r="K148" s="592" t="e">
        <f t="shared" si="10"/>
        <v>#DIV/0!</v>
      </c>
      <c r="M148" s="1002">
        <v>553.78527999999994</v>
      </c>
      <c r="N148" s="11"/>
    </row>
    <row r="149" spans="2:18" ht="15" customHeight="1" x14ac:dyDescent="0.25">
      <c r="B149" s="577">
        <v>2006</v>
      </c>
      <c r="C149" s="929">
        <v>38929.822916666664</v>
      </c>
      <c r="D149" s="650">
        <v>520</v>
      </c>
      <c r="E149" s="650">
        <f t="shared" ref="E149:E160" si="11">D149/0.98</f>
        <v>530.61224489795916</v>
      </c>
      <c r="F149" s="644">
        <f>(D149-D148)/D148</f>
        <v>-1.7013232514177693E-2</v>
      </c>
      <c r="G149" s="658"/>
      <c r="H149" s="658"/>
      <c r="I149" s="581"/>
      <c r="J149" s="588"/>
      <c r="K149" s="592" t="e">
        <f t="shared" si="10"/>
        <v>#DIV/0!</v>
      </c>
      <c r="M149" s="1002">
        <v>547.46594400000004</v>
      </c>
      <c r="N149" s="11"/>
      <c r="O149" s="11"/>
    </row>
    <row r="150" spans="2:18" ht="15" customHeight="1" x14ac:dyDescent="0.25">
      <c r="B150" s="577">
        <v>2007</v>
      </c>
      <c r="C150" s="929">
        <v>39232.802083333336</v>
      </c>
      <c r="D150" s="650">
        <v>562</v>
      </c>
      <c r="E150" s="650">
        <f t="shared" si="11"/>
        <v>573.46938775510205</v>
      </c>
      <c r="F150" s="644">
        <f t="shared" ref="F150:F160" si="12">(D150-D149)/D149</f>
        <v>8.0769230769230774E-2</v>
      </c>
      <c r="G150" s="658"/>
      <c r="H150" s="658"/>
      <c r="I150" s="581"/>
      <c r="J150" s="588"/>
      <c r="K150" s="592" t="e">
        <f t="shared" si="10"/>
        <v>#DIV/0!</v>
      </c>
      <c r="M150" s="1002">
        <v>592.29999999999995</v>
      </c>
      <c r="N150" s="11">
        <f>ABS(M150-D150)</f>
        <v>30.299999999999955</v>
      </c>
      <c r="O150" s="11"/>
    </row>
    <row r="151" spans="2:18" ht="15" customHeight="1" x14ac:dyDescent="0.25">
      <c r="B151" s="577">
        <v>2008</v>
      </c>
      <c r="C151" s="929">
        <v>39622.885416666664</v>
      </c>
      <c r="D151" s="650">
        <v>562</v>
      </c>
      <c r="E151" s="650">
        <f t="shared" si="11"/>
        <v>573.46938775510205</v>
      </c>
      <c r="F151" s="644">
        <f t="shared" si="12"/>
        <v>0</v>
      </c>
      <c r="G151" s="658"/>
      <c r="H151" s="658"/>
      <c r="I151" s="581"/>
      <c r="J151" s="588"/>
      <c r="K151" s="592" t="e">
        <f t="shared" si="10"/>
        <v>#DIV/0!</v>
      </c>
      <c r="M151" s="1002">
        <v>608.66999999999996</v>
      </c>
      <c r="N151" s="11">
        <f t="shared" ref="N151:N160" si="13">ABS(M151-D151)</f>
        <v>46.669999999999959</v>
      </c>
      <c r="O151" s="910"/>
    </row>
    <row r="152" spans="2:18" ht="15" customHeight="1" x14ac:dyDescent="0.25">
      <c r="B152" s="577">
        <v>2009</v>
      </c>
      <c r="C152" s="929">
        <v>40016.802083333336</v>
      </c>
      <c r="D152" s="650">
        <v>579</v>
      </c>
      <c r="E152" s="650">
        <f t="shared" si="11"/>
        <v>590.81632653061229</v>
      </c>
      <c r="F152" s="644">
        <f t="shared" si="12"/>
        <v>3.0249110320284697E-2</v>
      </c>
      <c r="G152" s="658"/>
      <c r="H152" s="658"/>
      <c r="I152" s="581"/>
      <c r="J152" s="588"/>
      <c r="K152" s="592" t="e">
        <f t="shared" si="10"/>
        <v>#DIV/0!</v>
      </c>
      <c r="M152" s="1002">
        <v>615.01</v>
      </c>
      <c r="N152" s="11">
        <f t="shared" si="13"/>
        <v>36.009999999999991</v>
      </c>
      <c r="O152" s="909"/>
    </row>
    <row r="153" spans="2:18" ht="15" customHeight="1" x14ac:dyDescent="0.25">
      <c r="B153" s="577">
        <v>2010</v>
      </c>
      <c r="C153" s="929">
        <v>40395.84375</v>
      </c>
      <c r="D153" s="650">
        <v>607</v>
      </c>
      <c r="E153" s="650">
        <f t="shared" si="11"/>
        <v>619.38775510204084</v>
      </c>
      <c r="F153" s="644">
        <f t="shared" si="12"/>
        <v>4.8359240069084632E-2</v>
      </c>
      <c r="G153" s="658"/>
      <c r="H153" s="658"/>
      <c r="I153" s="581"/>
      <c r="J153" s="588"/>
      <c r="K153" s="592" t="e">
        <f t="shared" si="10"/>
        <v>#DIV/0!</v>
      </c>
      <c r="M153" s="1002">
        <v>671.35</v>
      </c>
      <c r="N153" s="11">
        <f t="shared" si="13"/>
        <v>64.350000000000023</v>
      </c>
      <c r="O153" s="909"/>
    </row>
    <row r="154" spans="2:18" ht="15" customHeight="1" x14ac:dyDescent="0.25">
      <c r="B154" s="577">
        <v>2011</v>
      </c>
      <c r="C154" s="929">
        <v>40897.645833333336</v>
      </c>
      <c r="D154" s="650">
        <v>591</v>
      </c>
      <c r="E154" s="650">
        <f t="shared" si="11"/>
        <v>603.0612244897959</v>
      </c>
      <c r="F154" s="644">
        <f t="shared" si="12"/>
        <v>-2.6359143327841845E-2</v>
      </c>
      <c r="G154" s="658"/>
      <c r="H154" s="658"/>
      <c r="I154" s="581"/>
      <c r="J154" s="588"/>
      <c r="K154" s="665" t="e">
        <f t="shared" si="10"/>
        <v>#DIV/0!</v>
      </c>
      <c r="M154" s="1002">
        <v>720.55</v>
      </c>
      <c r="N154" s="11">
        <f>ABS(M154-D154)</f>
        <v>129.54999999999995</v>
      </c>
      <c r="O154" s="909"/>
    </row>
    <row r="155" spans="2:18" ht="15" customHeight="1" x14ac:dyDescent="0.25">
      <c r="B155" s="577">
        <v>2012</v>
      </c>
      <c r="C155" s="930">
        <v>40946.625</v>
      </c>
      <c r="D155" s="932">
        <v>617.17999999999995</v>
      </c>
      <c r="E155" s="650">
        <f t="shared" si="11"/>
        <v>629.77551020408157</v>
      </c>
      <c r="F155" s="644">
        <f t="shared" si="12"/>
        <v>4.4297800338409389E-2</v>
      </c>
      <c r="G155" s="658"/>
      <c r="H155" s="658"/>
      <c r="I155" s="581"/>
      <c r="J155" s="588"/>
      <c r="K155" s="665" t="e">
        <f t="shared" si="10"/>
        <v>#DIV/0!</v>
      </c>
      <c r="M155" s="1002">
        <v>744.22</v>
      </c>
      <c r="N155" s="11">
        <f t="shared" si="13"/>
        <v>127.04000000000008</v>
      </c>
      <c r="O155" s="911"/>
      <c r="P155" s="926"/>
      <c r="Q155" s="926"/>
      <c r="R155" s="912"/>
    </row>
    <row r="156" spans="2:18" ht="15" customHeight="1" x14ac:dyDescent="0.25">
      <c r="B156" s="577">
        <v>2013</v>
      </c>
      <c r="C156" s="930">
        <v>41624.739583333336</v>
      </c>
      <c r="D156" s="932">
        <v>639.29</v>
      </c>
      <c r="E156" s="650">
        <f t="shared" si="11"/>
        <v>652.33673469387747</v>
      </c>
      <c r="F156" s="644">
        <f t="shared" si="12"/>
        <v>3.5824232800803678E-2</v>
      </c>
      <c r="G156" s="658"/>
      <c r="H156" s="658"/>
      <c r="I156" s="581"/>
      <c r="J156" s="588"/>
      <c r="K156" s="665" t="e">
        <f t="shared" si="10"/>
        <v>#DIV/0!</v>
      </c>
      <c r="M156" s="1002">
        <v>741.1</v>
      </c>
      <c r="N156" s="11">
        <f t="shared" si="13"/>
        <v>101.81000000000006</v>
      </c>
      <c r="O156" s="911"/>
      <c r="P156" s="926"/>
      <c r="Q156" s="926"/>
      <c r="R156" s="912"/>
    </row>
    <row r="157" spans="2:18" ht="15" customHeight="1" x14ac:dyDescent="0.25">
      <c r="B157" s="577">
        <v>2014</v>
      </c>
      <c r="C157" s="930">
        <v>41662.583333333336</v>
      </c>
      <c r="D157" s="932">
        <v>713.56</v>
      </c>
      <c r="E157" s="650">
        <f t="shared" si="11"/>
        <v>728.12244897959181</v>
      </c>
      <c r="F157" s="644">
        <f t="shared" si="12"/>
        <v>0.11617575748095542</v>
      </c>
      <c r="G157" s="658"/>
      <c r="H157" s="658"/>
      <c r="I157" s="581"/>
      <c r="J157" s="588"/>
      <c r="K157" s="665" t="e">
        <f t="shared" si="10"/>
        <v>#DIV/0!</v>
      </c>
      <c r="M157" s="1002">
        <v>805.89</v>
      </c>
      <c r="N157" s="11">
        <f t="shared" si="13"/>
        <v>92.330000000000041</v>
      </c>
      <c r="O157" s="911"/>
      <c r="P157" s="926"/>
      <c r="Q157" s="926"/>
      <c r="R157" s="912"/>
    </row>
    <row r="158" spans="2:18" ht="15" customHeight="1" x14ac:dyDescent="0.25">
      <c r="B158" s="577">
        <v>2015</v>
      </c>
      <c r="C158" s="930">
        <v>42030.572916666664</v>
      </c>
      <c r="D158" s="932">
        <v>742.07</v>
      </c>
      <c r="E158" s="650">
        <f t="shared" si="11"/>
        <v>757.21428571428578</v>
      </c>
      <c r="F158" s="644">
        <f t="shared" si="12"/>
        <v>3.9954593867369395E-2</v>
      </c>
      <c r="G158" s="658"/>
      <c r="H158" s="658"/>
      <c r="I158" s="581"/>
      <c r="J158" s="588"/>
      <c r="K158" s="592" t="e">
        <f t="shared" si="10"/>
        <v>#DIV/0!</v>
      </c>
      <c r="M158" s="1002">
        <v>767.91889400000002</v>
      </c>
      <c r="N158" s="11">
        <f t="shared" si="13"/>
        <v>25.848893999999973</v>
      </c>
      <c r="O158" s="911"/>
      <c r="P158" s="926"/>
      <c r="Q158" s="926"/>
      <c r="R158" s="912"/>
    </row>
    <row r="159" spans="2:18" ht="15" customHeight="1" x14ac:dyDescent="0.25">
      <c r="B159" s="577">
        <v>2016</v>
      </c>
      <c r="C159" s="930">
        <v>42412.614583333336</v>
      </c>
      <c r="D159" s="932">
        <v>736.15</v>
      </c>
      <c r="E159" s="650">
        <f t="shared" si="11"/>
        <v>751.17346938775506</v>
      </c>
      <c r="F159" s="644">
        <f t="shared" si="12"/>
        <v>-7.977684045979587E-3</v>
      </c>
      <c r="G159" s="658"/>
      <c r="H159" s="658"/>
      <c r="I159" s="581"/>
      <c r="J159" s="588"/>
      <c r="K159" s="665" t="e">
        <f t="shared" si="10"/>
        <v>#DIV/0!</v>
      </c>
      <c r="M159" s="1002">
        <v>811.85396700000001</v>
      </c>
      <c r="N159" s="11">
        <f t="shared" si="13"/>
        <v>75.703967000000034</v>
      </c>
      <c r="O159" s="911"/>
      <c r="P159" s="926"/>
      <c r="Q159" s="926"/>
      <c r="R159" s="912"/>
    </row>
    <row r="160" spans="2:18" ht="15" customHeight="1" x14ac:dyDescent="0.25">
      <c r="B160" s="577">
        <v>2017</v>
      </c>
      <c r="C160" s="931">
        <v>42789.604166666664</v>
      </c>
      <c r="D160" s="932">
        <v>771.4</v>
      </c>
      <c r="E160" s="650">
        <f t="shared" si="11"/>
        <v>787.14285714285711</v>
      </c>
      <c r="F160" s="644">
        <f t="shared" si="12"/>
        <v>4.788426271819602E-2</v>
      </c>
      <c r="G160" s="658"/>
      <c r="H160" s="658">
        <f>E160</f>
        <v>787.14285714285711</v>
      </c>
      <c r="I160" s="581"/>
      <c r="J160" s="588"/>
      <c r="K160" s="665" t="e">
        <f t="shared" si="10"/>
        <v>#DIV/0!</v>
      </c>
      <c r="M160" s="234">
        <v>771.4</v>
      </c>
      <c r="N160" s="11">
        <f t="shared" si="13"/>
        <v>0</v>
      </c>
      <c r="O160" s="913"/>
      <c r="P160" s="927"/>
      <c r="Q160" s="927"/>
      <c r="R160" s="912"/>
    </row>
    <row r="161" spans="2:14" ht="15" customHeight="1" x14ac:dyDescent="0.25">
      <c r="B161" s="583">
        <v>2018</v>
      </c>
      <c r="C161" s="720">
        <v>2018</v>
      </c>
      <c r="D161" s="651"/>
      <c r="E161" s="652"/>
      <c r="F161" s="645"/>
      <c r="G161" s="660">
        <f>21.534*B161-42664</f>
        <v>791.61200000000099</v>
      </c>
      <c r="H161" s="661">
        <f>21.534+H160</f>
        <v>808.6768571428571</v>
      </c>
      <c r="I161" s="584"/>
      <c r="J161" s="589"/>
      <c r="K161" s="687" t="e">
        <f>H161/I161</f>
        <v>#DIV/0!</v>
      </c>
      <c r="M161" s="234"/>
      <c r="N161" s="11"/>
    </row>
    <row r="162" spans="2:14" ht="15" customHeight="1" x14ac:dyDescent="0.25">
      <c r="B162" s="583">
        <v>2019</v>
      </c>
      <c r="C162" s="720">
        <v>2019</v>
      </c>
      <c r="D162" s="651"/>
      <c r="E162" s="652"/>
      <c r="F162" s="645"/>
      <c r="G162" s="660">
        <f t="shared" ref="G162:G170" si="14">21.534*B162-42664</f>
        <v>813.14600000000064</v>
      </c>
      <c r="H162" s="661">
        <f t="shared" ref="H162:H170" si="15">21.534+H161</f>
        <v>830.21085714285709</v>
      </c>
      <c r="I162" s="584"/>
      <c r="J162" s="589"/>
      <c r="K162" s="687" t="e">
        <f t="shared" ref="K162:K170" si="16">H162/I162</f>
        <v>#DIV/0!</v>
      </c>
      <c r="M162" s="234"/>
      <c r="N162" s="11"/>
    </row>
    <row r="163" spans="2:14" ht="15" customHeight="1" x14ac:dyDescent="0.25">
      <c r="B163" s="583">
        <v>2020</v>
      </c>
      <c r="C163" s="720">
        <v>2020</v>
      </c>
      <c r="D163" s="651"/>
      <c r="E163" s="652"/>
      <c r="F163" s="645"/>
      <c r="G163" s="660">
        <f t="shared" si="14"/>
        <v>834.68000000000029</v>
      </c>
      <c r="H163" s="661">
        <f t="shared" si="15"/>
        <v>851.74485714285709</v>
      </c>
      <c r="I163" s="584"/>
      <c r="J163" s="589"/>
      <c r="K163" s="687" t="e">
        <f t="shared" si="16"/>
        <v>#DIV/0!</v>
      </c>
      <c r="M163" s="234"/>
      <c r="N163" s="11"/>
    </row>
    <row r="164" spans="2:14" ht="15" customHeight="1" x14ac:dyDescent="0.25">
      <c r="B164" s="583">
        <v>2021</v>
      </c>
      <c r="C164" s="720">
        <v>2021</v>
      </c>
      <c r="D164" s="651"/>
      <c r="E164" s="652"/>
      <c r="F164" s="645"/>
      <c r="G164" s="660">
        <f t="shared" si="14"/>
        <v>856.21399999999994</v>
      </c>
      <c r="H164" s="661">
        <f t="shared" si="15"/>
        <v>873.27885714285708</v>
      </c>
      <c r="I164" s="584"/>
      <c r="J164" s="589"/>
      <c r="K164" s="687" t="e">
        <f t="shared" si="16"/>
        <v>#DIV/0!</v>
      </c>
      <c r="M164" s="234"/>
      <c r="N164" s="11"/>
    </row>
    <row r="165" spans="2:14" ht="15" customHeight="1" x14ac:dyDescent="0.25">
      <c r="B165" s="583">
        <v>2022</v>
      </c>
      <c r="C165" s="720">
        <v>2022</v>
      </c>
      <c r="D165" s="651"/>
      <c r="E165" s="652"/>
      <c r="F165" s="645"/>
      <c r="G165" s="660">
        <f t="shared" si="14"/>
        <v>877.74799999999959</v>
      </c>
      <c r="H165" s="661">
        <f t="shared" si="15"/>
        <v>894.81285714285707</v>
      </c>
      <c r="I165" s="584"/>
      <c r="J165" s="589"/>
      <c r="K165" s="687" t="e">
        <f t="shared" si="16"/>
        <v>#DIV/0!</v>
      </c>
      <c r="M165" s="234"/>
      <c r="N165" s="11"/>
    </row>
    <row r="166" spans="2:14" ht="15" customHeight="1" x14ac:dyDescent="0.25">
      <c r="B166" s="583">
        <v>2023</v>
      </c>
      <c r="C166" s="720">
        <v>2023</v>
      </c>
      <c r="D166" s="651"/>
      <c r="E166" s="652"/>
      <c r="F166" s="645"/>
      <c r="G166" s="660">
        <f t="shared" si="14"/>
        <v>899.28199999999924</v>
      </c>
      <c r="H166" s="661">
        <f t="shared" si="15"/>
        <v>916.34685714285706</v>
      </c>
      <c r="I166" s="584"/>
      <c r="J166" s="589"/>
      <c r="K166" s="687" t="e">
        <f t="shared" si="16"/>
        <v>#DIV/0!</v>
      </c>
      <c r="M166" s="234"/>
      <c r="N166" s="11"/>
    </row>
    <row r="167" spans="2:14" ht="15" customHeight="1" x14ac:dyDescent="0.25">
      <c r="B167" s="583">
        <v>2024</v>
      </c>
      <c r="C167" s="721">
        <v>2024</v>
      </c>
      <c r="D167" s="651"/>
      <c r="E167" s="652"/>
      <c r="F167" s="645"/>
      <c r="G167" s="660">
        <f t="shared" si="14"/>
        <v>920.81599999999889</v>
      </c>
      <c r="H167" s="661">
        <f t="shared" si="15"/>
        <v>937.88085714285705</v>
      </c>
      <c r="I167" s="584"/>
      <c r="J167" s="589"/>
      <c r="K167" s="687" t="e">
        <f t="shared" si="16"/>
        <v>#DIV/0!</v>
      </c>
      <c r="M167" s="234"/>
      <c r="N167" s="11"/>
    </row>
    <row r="168" spans="2:14" ht="15" customHeight="1" x14ac:dyDescent="0.25">
      <c r="B168" s="583">
        <v>2025</v>
      </c>
      <c r="C168" s="721">
        <v>2025</v>
      </c>
      <c r="D168" s="651"/>
      <c r="E168" s="652"/>
      <c r="F168" s="645"/>
      <c r="G168" s="660">
        <f t="shared" si="14"/>
        <v>942.34999999999854</v>
      </c>
      <c r="H168" s="661">
        <f t="shared" si="15"/>
        <v>959.41485714285704</v>
      </c>
      <c r="I168" s="584"/>
      <c r="J168" s="589"/>
      <c r="K168" s="687" t="e">
        <f t="shared" si="16"/>
        <v>#DIV/0!</v>
      </c>
      <c r="M168" s="234"/>
      <c r="N168" s="11"/>
    </row>
    <row r="169" spans="2:14" ht="15" customHeight="1" x14ac:dyDescent="0.25">
      <c r="B169" s="585">
        <v>2026</v>
      </c>
      <c r="C169" s="721">
        <v>2026</v>
      </c>
      <c r="D169" s="651"/>
      <c r="E169" s="652"/>
      <c r="F169" s="645"/>
      <c r="G169" s="660">
        <f t="shared" si="14"/>
        <v>963.8839999999982</v>
      </c>
      <c r="H169" s="661">
        <f t="shared" si="15"/>
        <v>980.94885714285704</v>
      </c>
      <c r="I169" s="584"/>
      <c r="J169" s="589"/>
      <c r="K169" s="687" t="e">
        <f t="shared" si="16"/>
        <v>#DIV/0!</v>
      </c>
      <c r="M169" s="234"/>
      <c r="N169" s="11"/>
    </row>
    <row r="170" spans="2:14" ht="15" customHeight="1" thickBot="1" x14ac:dyDescent="0.3">
      <c r="B170" s="585">
        <v>2027</v>
      </c>
      <c r="C170" s="722">
        <v>2027</v>
      </c>
      <c r="D170" s="655"/>
      <c r="E170" s="656"/>
      <c r="F170" s="646"/>
      <c r="G170" s="660">
        <f t="shared" si="14"/>
        <v>985.41799999999785</v>
      </c>
      <c r="H170" s="661">
        <f t="shared" si="15"/>
        <v>1002.482857142857</v>
      </c>
      <c r="I170" s="586"/>
      <c r="J170" s="590"/>
      <c r="K170" s="735" t="e">
        <f t="shared" si="16"/>
        <v>#DIV/0!</v>
      </c>
      <c r="M170" s="230"/>
      <c r="N170" s="11"/>
    </row>
    <row r="171" spans="2:14" ht="15" customHeight="1" x14ac:dyDescent="0.25">
      <c r="C171" t="s">
        <v>345</v>
      </c>
      <c r="D171">
        <f>(D160-D148)/12</f>
        <v>20.2</v>
      </c>
      <c r="E171" s="14"/>
      <c r="F171" s="14">
        <f>AVERAGE(F149:F160)</f>
        <v>3.2680347373027906E-2</v>
      </c>
      <c r="G171" s="14"/>
    </row>
    <row r="172" spans="2:14" ht="15" customHeight="1" x14ac:dyDescent="0.25">
      <c r="D172">
        <f>12*20.2+D148</f>
        <v>771.4</v>
      </c>
    </row>
    <row r="173" spans="2:14" ht="15" customHeight="1" x14ac:dyDescent="0.25"/>
    <row r="174" spans="2:14" ht="15" customHeight="1" x14ac:dyDescent="0.25"/>
    <row r="175" spans="2:14" ht="15" customHeight="1" x14ac:dyDescent="0.25"/>
    <row r="176" spans="2:14" ht="15" customHeight="1" x14ac:dyDescent="0.25"/>
    <row r="178" spans="15:17" ht="49.5" customHeight="1" x14ac:dyDescent="0.25">
      <c r="O178" s="1006" t="s">
        <v>386</v>
      </c>
      <c r="P178" s="1007" t="s">
        <v>391</v>
      </c>
      <c r="Q178" s="1011" t="s">
        <v>387</v>
      </c>
    </row>
    <row r="179" spans="15:17" x14ac:dyDescent="0.25">
      <c r="O179" s="502" t="s">
        <v>383</v>
      </c>
      <c r="P179" s="1008">
        <v>1.8</v>
      </c>
      <c r="Q179" s="1009"/>
    </row>
    <row r="180" spans="15:17" x14ac:dyDescent="0.25">
      <c r="O180" s="502" t="s">
        <v>13</v>
      </c>
      <c r="P180" s="1008">
        <v>1.6</v>
      </c>
      <c r="Q180" s="1009"/>
    </row>
    <row r="181" spans="15:17" x14ac:dyDescent="0.25">
      <c r="O181" s="502" t="s">
        <v>1</v>
      </c>
      <c r="P181" s="1008">
        <v>1.51</v>
      </c>
      <c r="Q181" s="1009"/>
    </row>
    <row r="182" spans="15:17" x14ac:dyDescent="0.25">
      <c r="O182" s="502" t="s">
        <v>384</v>
      </c>
      <c r="P182" s="1010" t="s">
        <v>392</v>
      </c>
      <c r="Q182" s="1009"/>
    </row>
    <row r="183" spans="15:17" x14ac:dyDescent="0.25">
      <c r="O183" s="502" t="s">
        <v>3</v>
      </c>
      <c r="P183" s="1008">
        <v>1.1499999999999999</v>
      </c>
      <c r="Q183" s="1009"/>
    </row>
    <row r="184" spans="15:17" x14ac:dyDescent="0.25">
      <c r="O184" s="502" t="s">
        <v>385</v>
      </c>
      <c r="P184" s="1008">
        <v>0.2</v>
      </c>
      <c r="Q184" s="1009"/>
    </row>
    <row r="185" spans="15:17" x14ac:dyDescent="0.25">
      <c r="O185" s="502" t="s">
        <v>290</v>
      </c>
      <c r="P185" s="1008">
        <v>2.2200000000000002</v>
      </c>
      <c r="Q185" s="1009"/>
    </row>
    <row r="186" spans="15:17" x14ac:dyDescent="0.25">
      <c r="O186" s="502" t="s">
        <v>4</v>
      </c>
      <c r="P186" s="1008">
        <v>1.02</v>
      </c>
      <c r="Q186" s="1009"/>
    </row>
    <row r="187" spans="15:17" x14ac:dyDescent="0.25">
      <c r="O187" s="502" t="s">
        <v>153</v>
      </c>
      <c r="P187" s="1008">
        <v>0.34</v>
      </c>
      <c r="Q187" s="1009"/>
    </row>
    <row r="188" spans="15:17" x14ac:dyDescent="0.25">
      <c r="O188" s="502" t="s">
        <v>8</v>
      </c>
      <c r="P188" s="1008">
        <v>2.6</v>
      </c>
      <c r="Q188" s="1009"/>
    </row>
    <row r="189" spans="15:17" x14ac:dyDescent="0.25">
      <c r="O189" s="502" t="s">
        <v>5</v>
      </c>
      <c r="P189" s="1008">
        <v>1.25</v>
      </c>
      <c r="Q189" s="1009"/>
    </row>
    <row r="190" spans="15:17" x14ac:dyDescent="0.25">
      <c r="O190" s="502" t="s">
        <v>388</v>
      </c>
      <c r="P190" s="1008">
        <v>2.27</v>
      </c>
      <c r="Q190" s="1009"/>
    </row>
    <row r="191" spans="15:17" x14ac:dyDescent="0.25">
      <c r="O191" s="502" t="s">
        <v>2</v>
      </c>
      <c r="P191" s="1008">
        <v>0.72</v>
      </c>
      <c r="Q191" s="1009"/>
    </row>
    <row r="192" spans="15:17" x14ac:dyDescent="0.25">
      <c r="O192" s="502" t="s">
        <v>389</v>
      </c>
      <c r="P192" s="1008">
        <v>1.22</v>
      </c>
      <c r="Q192" s="1009"/>
    </row>
    <row r="193" spans="15:17" x14ac:dyDescent="0.25">
      <c r="O193" s="502" t="s">
        <v>258</v>
      </c>
      <c r="P193" s="1008">
        <v>1.93</v>
      </c>
      <c r="Q193" s="1009"/>
    </row>
    <row r="194" spans="15:17" x14ac:dyDescent="0.25">
      <c r="O194" s="502" t="s">
        <v>6</v>
      </c>
      <c r="P194" s="1008">
        <v>0.1</v>
      </c>
      <c r="Q194" s="1009"/>
    </row>
    <row r="195" spans="15:17" x14ac:dyDescent="0.25">
      <c r="O195" s="502" t="s">
        <v>9</v>
      </c>
      <c r="P195" s="1008">
        <v>0.15</v>
      </c>
      <c r="Q195" s="1009"/>
    </row>
    <row r="196" spans="15:17" x14ac:dyDescent="0.25">
      <c r="O196" s="502" t="s">
        <v>235</v>
      </c>
      <c r="P196" s="1010" t="s">
        <v>393</v>
      </c>
      <c r="Q196" s="1009"/>
    </row>
    <row r="197" spans="15:17" x14ac:dyDescent="0.25">
      <c r="O197" s="502" t="s">
        <v>236</v>
      </c>
      <c r="P197" s="1010" t="s">
        <v>393</v>
      </c>
      <c r="Q197" s="1009"/>
    </row>
    <row r="198" spans="15:17" x14ac:dyDescent="0.25">
      <c r="O198" s="502" t="s">
        <v>390</v>
      </c>
      <c r="P198" s="1010" t="s">
        <v>394</v>
      </c>
      <c r="Q198" s="1009"/>
    </row>
    <row r="199" spans="15:17" x14ac:dyDescent="0.25">
      <c r="O199" s="502" t="s">
        <v>237</v>
      </c>
      <c r="P199" s="1010" t="s">
        <v>393</v>
      </c>
      <c r="Q199" s="1009"/>
    </row>
    <row r="200" spans="15:17" x14ac:dyDescent="0.25">
      <c r="O200" s="502" t="s">
        <v>148</v>
      </c>
      <c r="P200" s="1008">
        <v>7.3400000000000007E-2</v>
      </c>
      <c r="Q200" s="1009"/>
    </row>
    <row r="201" spans="15:17" x14ac:dyDescent="0.25">
      <c r="P201" s="9">
        <f>SUM(P179:P200)</f>
        <v>20.153399999999998</v>
      </c>
    </row>
    <row r="202" spans="15:17" x14ac:dyDescent="0.25">
      <c r="P202" s="9"/>
    </row>
    <row r="203" spans="15:17" x14ac:dyDescent="0.25">
      <c r="P203" s="9"/>
    </row>
    <row r="204" spans="15:17" x14ac:dyDescent="0.25">
      <c r="P204" s="9"/>
    </row>
    <row r="205" spans="15:17" x14ac:dyDescent="0.25">
      <c r="P205" s="9"/>
    </row>
  </sheetData>
  <mergeCells count="29">
    <mergeCell ref="B140:B141"/>
    <mergeCell ref="B71:L73"/>
    <mergeCell ref="B3:H4"/>
    <mergeCell ref="B5:B6"/>
    <mergeCell ref="C5:C6"/>
    <mergeCell ref="D5:D6"/>
    <mergeCell ref="E5:H5"/>
    <mergeCell ref="B76:B78"/>
    <mergeCell ref="C76:C78"/>
    <mergeCell ref="D76:D78"/>
    <mergeCell ref="E76:E78"/>
    <mergeCell ref="F76:F78"/>
    <mergeCell ref="C100:K100"/>
    <mergeCell ref="C101:K101"/>
    <mergeCell ref="B102:B103"/>
    <mergeCell ref="C102:C103"/>
    <mergeCell ref="D102:F102"/>
    <mergeCell ref="G102:H102"/>
    <mergeCell ref="I102:I103"/>
    <mergeCell ref="J102:J103"/>
    <mergeCell ref="K102:K103"/>
    <mergeCell ref="C138:K138"/>
    <mergeCell ref="C139:K139"/>
    <mergeCell ref="C140:C141"/>
    <mergeCell ref="D140:F140"/>
    <mergeCell ref="G140:H140"/>
    <mergeCell ref="I140:I141"/>
    <mergeCell ref="J140:J141"/>
    <mergeCell ref="K140:K141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theme="9" tint="0.39997558519241921"/>
  </sheetPr>
  <dimension ref="A2:X85"/>
  <sheetViews>
    <sheetView workbookViewId="0">
      <selection activeCell="P33" sqref="P33"/>
    </sheetView>
  </sheetViews>
  <sheetFormatPr baseColWidth="10" defaultRowHeight="15" x14ac:dyDescent="0.25"/>
  <cols>
    <col min="1" max="2" width="5.7109375" customWidth="1"/>
    <col min="3" max="3" width="7.7109375" customWidth="1"/>
    <col min="4" max="5" width="10.7109375" style="11" customWidth="1"/>
    <col min="6" max="6" width="11.7109375" customWidth="1"/>
    <col min="7" max="7" width="12.7109375" style="11" customWidth="1"/>
    <col min="8" max="8" width="12.7109375" customWidth="1"/>
    <col min="9" max="9" width="12.7109375" style="11" customWidth="1"/>
    <col min="10" max="11" width="10.7109375" style="11" customWidth="1"/>
    <col min="12" max="12" width="11.42578125" style="7"/>
  </cols>
  <sheetData>
    <row r="2" spans="2:16" ht="15.75" thickBot="1" x14ac:dyDescent="0.3"/>
    <row r="3" spans="2:16" ht="15.95" customHeight="1" x14ac:dyDescent="0.25">
      <c r="B3" s="1112" t="s">
        <v>219</v>
      </c>
      <c r="C3" s="1113"/>
      <c r="D3" s="1113"/>
      <c r="E3" s="1113"/>
      <c r="F3" s="1113"/>
      <c r="G3" s="1113"/>
      <c r="H3" s="1113"/>
      <c r="I3" s="1113"/>
      <c r="J3" s="1113"/>
      <c r="K3" s="1114"/>
    </row>
    <row r="4" spans="2:16" ht="15.95" customHeight="1" thickBot="1" x14ac:dyDescent="0.3">
      <c r="B4" s="1115" t="s">
        <v>54</v>
      </c>
      <c r="C4" s="1116"/>
      <c r="D4" s="1116"/>
      <c r="E4" s="1116"/>
      <c r="F4" s="1116"/>
      <c r="G4" s="1116"/>
      <c r="H4" s="1116"/>
      <c r="I4" s="1116"/>
      <c r="J4" s="1116"/>
      <c r="K4" s="1117"/>
    </row>
    <row r="5" spans="2:16" ht="15.95" customHeight="1" x14ac:dyDescent="0.25">
      <c r="B5" s="1166" t="s">
        <v>124</v>
      </c>
      <c r="C5" s="1181" t="s">
        <v>26</v>
      </c>
      <c r="D5" s="1169" t="s">
        <v>110</v>
      </c>
      <c r="E5" s="1167"/>
      <c r="F5" s="1168"/>
      <c r="G5" s="1169" t="s">
        <v>74</v>
      </c>
      <c r="H5" s="1167"/>
      <c r="I5" s="1168"/>
      <c r="J5" s="1262" t="s">
        <v>105</v>
      </c>
      <c r="K5" s="1264" t="s">
        <v>177</v>
      </c>
    </row>
    <row r="6" spans="2:16" ht="39.950000000000003" customHeight="1" x14ac:dyDescent="0.25">
      <c r="B6" s="1119"/>
      <c r="C6" s="1032"/>
      <c r="D6" s="490" t="s">
        <v>103</v>
      </c>
      <c r="E6" s="490" t="s">
        <v>102</v>
      </c>
      <c r="F6" s="330" t="s">
        <v>178</v>
      </c>
      <c r="G6" s="257" t="s">
        <v>243</v>
      </c>
      <c r="H6" s="38" t="s">
        <v>232</v>
      </c>
      <c r="I6" s="257" t="s">
        <v>238</v>
      </c>
      <c r="J6" s="1263"/>
      <c r="K6" s="1265"/>
      <c r="L6" s="6" t="s">
        <v>206</v>
      </c>
      <c r="M6" s="85" t="s">
        <v>73</v>
      </c>
      <c r="N6" s="38" t="s">
        <v>240</v>
      </c>
    </row>
    <row r="7" spans="2:16" ht="15" customHeight="1" x14ac:dyDescent="0.25">
      <c r="B7" s="201"/>
      <c r="C7" s="68">
        <v>2014</v>
      </c>
      <c r="D7" s="62"/>
      <c r="E7" s="100"/>
      <c r="F7" s="175"/>
      <c r="G7" s="40"/>
      <c r="H7" s="40"/>
      <c r="I7" s="40"/>
      <c r="J7" s="119">
        <v>80</v>
      </c>
      <c r="K7" s="179">
        <f t="shared" ref="K7:K20" si="0">J7-40</f>
        <v>40</v>
      </c>
      <c r="L7" s="263"/>
      <c r="M7" s="175"/>
      <c r="N7" s="50"/>
      <c r="O7" s="73"/>
      <c r="P7" s="73"/>
    </row>
    <row r="8" spans="2:16" ht="15" customHeight="1" x14ac:dyDescent="0.25">
      <c r="B8" s="201"/>
      <c r="C8" s="68">
        <v>2015</v>
      </c>
      <c r="D8" s="62"/>
      <c r="E8" s="138"/>
      <c r="F8" s="175"/>
      <c r="G8" s="40"/>
      <c r="H8" s="40"/>
      <c r="I8" s="40"/>
      <c r="J8" s="119">
        <v>80</v>
      </c>
      <c r="K8" s="179">
        <f t="shared" si="0"/>
        <v>40</v>
      </c>
      <c r="L8" s="263"/>
      <c r="M8" s="50"/>
      <c r="N8" s="50"/>
      <c r="O8" s="73"/>
      <c r="P8" s="73"/>
    </row>
    <row r="9" spans="2:16" ht="15" customHeight="1" x14ac:dyDescent="0.25">
      <c r="B9" s="201"/>
      <c r="C9" s="68">
        <v>2016</v>
      </c>
      <c r="D9" s="62"/>
      <c r="E9" s="40"/>
      <c r="F9" s="175"/>
      <c r="G9" s="40"/>
      <c r="H9" s="40"/>
      <c r="I9" s="40"/>
      <c r="J9" s="119">
        <v>80</v>
      </c>
      <c r="K9" s="179">
        <f t="shared" si="0"/>
        <v>40</v>
      </c>
      <c r="L9" s="273"/>
      <c r="M9" s="175"/>
      <c r="N9" s="50"/>
      <c r="O9" s="73"/>
      <c r="P9" s="73"/>
    </row>
    <row r="10" spans="2:16" ht="15" customHeight="1" x14ac:dyDescent="0.25">
      <c r="B10" s="201"/>
      <c r="C10" s="68">
        <v>2017</v>
      </c>
      <c r="D10" s="62"/>
      <c r="E10" s="40"/>
      <c r="F10" s="175"/>
      <c r="G10" s="40"/>
      <c r="H10" s="40"/>
      <c r="I10" s="40"/>
      <c r="J10" s="119">
        <v>80</v>
      </c>
      <c r="K10" s="179">
        <f t="shared" si="0"/>
        <v>40</v>
      </c>
      <c r="L10" s="40"/>
      <c r="M10" s="50"/>
      <c r="N10" s="50"/>
      <c r="O10" s="73"/>
      <c r="P10" s="73"/>
    </row>
    <row r="11" spans="2:16" ht="15" customHeight="1" x14ac:dyDescent="0.25">
      <c r="B11" s="202"/>
      <c r="C11" s="69">
        <v>2018</v>
      </c>
      <c r="D11" s="109"/>
      <c r="E11" s="55"/>
      <c r="F11" s="187"/>
      <c r="G11" s="419"/>
      <c r="H11" s="421"/>
      <c r="I11" s="423"/>
      <c r="J11" s="119">
        <v>80</v>
      </c>
      <c r="K11" s="179">
        <f t="shared" si="0"/>
        <v>40</v>
      </c>
      <c r="L11" s="40"/>
      <c r="M11" s="175"/>
      <c r="N11" s="390"/>
      <c r="O11" s="73"/>
      <c r="P11" s="73"/>
    </row>
    <row r="12" spans="2:16" ht="15" customHeight="1" x14ac:dyDescent="0.25">
      <c r="B12" s="202"/>
      <c r="C12" s="69">
        <v>2019</v>
      </c>
      <c r="D12" s="109"/>
      <c r="E12" s="55"/>
      <c r="F12" s="187"/>
      <c r="G12" s="419"/>
      <c r="H12" s="421"/>
      <c r="I12" s="423"/>
      <c r="J12" s="119">
        <v>80</v>
      </c>
      <c r="K12" s="179">
        <f t="shared" si="0"/>
        <v>40</v>
      </c>
      <c r="L12" s="40"/>
      <c r="M12" s="402"/>
      <c r="N12" s="390"/>
      <c r="O12" s="73"/>
      <c r="P12" s="73"/>
    </row>
    <row r="13" spans="2:16" ht="15" customHeight="1" x14ac:dyDescent="0.25">
      <c r="B13" s="202"/>
      <c r="C13" s="69">
        <v>2020</v>
      </c>
      <c r="D13" s="109"/>
      <c r="E13" s="55"/>
      <c r="F13" s="187"/>
      <c r="G13" s="419"/>
      <c r="H13" s="421"/>
      <c r="I13" s="423"/>
      <c r="J13" s="119">
        <v>80</v>
      </c>
      <c r="K13" s="179">
        <f t="shared" si="0"/>
        <v>40</v>
      </c>
      <c r="L13" s="40"/>
      <c r="M13" s="402"/>
      <c r="N13" s="390" t="e">
        <f>(F13-F12)/F12</f>
        <v>#DIV/0!</v>
      </c>
      <c r="O13" s="73"/>
      <c r="P13" s="73"/>
    </row>
    <row r="14" spans="2:16" ht="15" customHeight="1" x14ac:dyDescent="0.25">
      <c r="B14" s="202"/>
      <c r="C14" s="69">
        <v>2021</v>
      </c>
      <c r="D14" s="109"/>
      <c r="E14" s="55"/>
      <c r="F14" s="187"/>
      <c r="G14" s="419"/>
      <c r="H14" s="421"/>
      <c r="I14" s="423"/>
      <c r="J14" s="119">
        <v>80</v>
      </c>
      <c r="K14" s="179">
        <f t="shared" si="0"/>
        <v>40</v>
      </c>
      <c r="L14" s="40"/>
      <c r="M14" s="402" t="e">
        <f t="shared" ref="M14:M22" si="1">(E14-E13)/E13</f>
        <v>#DIV/0!</v>
      </c>
      <c r="N14" s="390" t="e">
        <f>(F14-F13)/F13</f>
        <v>#DIV/0!</v>
      </c>
      <c r="O14" s="73"/>
      <c r="P14" s="73"/>
    </row>
    <row r="15" spans="2:16" ht="15" customHeight="1" x14ac:dyDescent="0.25">
      <c r="B15" s="202"/>
      <c r="C15" s="69">
        <v>2022</v>
      </c>
      <c r="D15" s="109"/>
      <c r="E15" s="55"/>
      <c r="F15" s="187"/>
      <c r="G15" s="419"/>
      <c r="H15" s="421"/>
      <c r="I15" s="423"/>
      <c r="J15" s="119">
        <v>80</v>
      </c>
      <c r="K15" s="179">
        <f t="shared" si="0"/>
        <v>40</v>
      </c>
      <c r="L15" s="40"/>
      <c r="M15" s="402" t="e">
        <f t="shared" si="1"/>
        <v>#DIV/0!</v>
      </c>
      <c r="N15" s="390" t="e">
        <f>(F15-F14)/F14</f>
        <v>#DIV/0!</v>
      </c>
      <c r="O15" s="73"/>
      <c r="P15" s="73"/>
    </row>
    <row r="16" spans="2:16" ht="15" customHeight="1" x14ac:dyDescent="0.25">
      <c r="B16" s="202"/>
      <c r="C16" s="69">
        <v>2023</v>
      </c>
      <c r="D16" s="109"/>
      <c r="E16" s="55"/>
      <c r="F16" s="187"/>
      <c r="G16" s="419"/>
      <c r="H16" s="421"/>
      <c r="I16" s="423"/>
      <c r="J16" s="119">
        <v>80</v>
      </c>
      <c r="K16" s="179">
        <f t="shared" si="0"/>
        <v>40</v>
      </c>
      <c r="L16" s="258"/>
      <c r="M16" s="402" t="e">
        <f t="shared" si="1"/>
        <v>#DIV/0!</v>
      </c>
      <c r="N16" s="390" t="e">
        <f>(F16-F15)/F15</f>
        <v>#DIV/0!</v>
      </c>
      <c r="O16" s="73"/>
      <c r="P16" s="73"/>
    </row>
    <row r="17" spans="2:16" ht="15" customHeight="1" x14ac:dyDescent="0.25">
      <c r="B17" s="202"/>
      <c r="C17" s="69">
        <v>2024</v>
      </c>
      <c r="D17" s="109"/>
      <c r="E17" s="55"/>
      <c r="F17" s="187"/>
      <c r="G17" s="419"/>
      <c r="H17" s="421"/>
      <c r="I17" s="423"/>
      <c r="J17" s="119">
        <v>80</v>
      </c>
      <c r="K17" s="179">
        <f t="shared" si="0"/>
        <v>40</v>
      </c>
      <c r="L17" s="40"/>
      <c r="M17" s="402" t="e">
        <f t="shared" si="1"/>
        <v>#DIV/0!</v>
      </c>
      <c r="N17" s="390" t="e">
        <f>(F17-F16)/F16</f>
        <v>#DIV/0!</v>
      </c>
      <c r="O17" s="73"/>
      <c r="P17" s="73"/>
    </row>
    <row r="18" spans="2:16" ht="15" customHeight="1" x14ac:dyDescent="0.25">
      <c r="B18" s="202"/>
      <c r="C18" s="69">
        <v>2025</v>
      </c>
      <c r="D18" s="109"/>
      <c r="E18" s="55"/>
      <c r="F18" s="187"/>
      <c r="G18" s="419"/>
      <c r="H18" s="421"/>
      <c r="I18" s="423"/>
      <c r="J18" s="119">
        <v>80</v>
      </c>
      <c r="K18" s="179">
        <f t="shared" si="0"/>
        <v>40</v>
      </c>
      <c r="L18" s="40"/>
      <c r="M18" s="402" t="e">
        <f t="shared" si="1"/>
        <v>#DIV/0!</v>
      </c>
      <c r="N18" s="390"/>
      <c r="O18" s="73"/>
      <c r="P18" s="73"/>
    </row>
    <row r="19" spans="2:16" x14ac:dyDescent="0.25">
      <c r="B19" s="202"/>
      <c r="C19" s="69">
        <v>2026</v>
      </c>
      <c r="D19" s="109"/>
      <c r="E19" s="55"/>
      <c r="F19" s="187"/>
      <c r="G19" s="419"/>
      <c r="H19" s="421"/>
      <c r="I19" s="423"/>
      <c r="J19" s="119">
        <v>80</v>
      </c>
      <c r="K19" s="179">
        <f t="shared" si="0"/>
        <v>40</v>
      </c>
      <c r="L19" s="40"/>
      <c r="M19" s="402" t="e">
        <f t="shared" si="1"/>
        <v>#DIV/0!</v>
      </c>
      <c r="N19" s="390"/>
      <c r="O19" s="73"/>
      <c r="P19" s="73"/>
    </row>
    <row r="20" spans="2:16" ht="15.75" thickBot="1" x14ac:dyDescent="0.3">
      <c r="B20" s="203"/>
      <c r="C20" s="252">
        <v>2027</v>
      </c>
      <c r="D20" s="247"/>
      <c r="E20" s="208"/>
      <c r="F20" s="253"/>
      <c r="G20" s="420"/>
      <c r="H20" s="422"/>
      <c r="I20" s="424"/>
      <c r="J20" s="193">
        <v>80</v>
      </c>
      <c r="K20" s="181">
        <f t="shared" si="0"/>
        <v>40</v>
      </c>
      <c r="L20" s="40"/>
      <c r="M20" s="402" t="e">
        <f t="shared" si="1"/>
        <v>#DIV/0!</v>
      </c>
      <c r="N20" s="390"/>
      <c r="O20" s="73"/>
      <c r="P20" s="73"/>
    </row>
    <row r="21" spans="2:16" x14ac:dyDescent="0.25">
      <c r="M21" s="402" t="e">
        <f t="shared" si="1"/>
        <v>#DIV/0!</v>
      </c>
      <c r="N21" s="75"/>
    </row>
    <row r="22" spans="2:16" x14ac:dyDescent="0.25">
      <c r="M22" s="402" t="e">
        <f t="shared" si="1"/>
        <v>#DIV/0!</v>
      </c>
      <c r="N22" s="250"/>
    </row>
    <row r="23" spans="2:16" x14ac:dyDescent="0.25">
      <c r="M23" s="430" t="e">
        <f>AVERAGE(M14:M22)</f>
        <v>#DIV/0!</v>
      </c>
      <c r="N23" s="397" t="e">
        <f>AVERAGE(N14:N17)</f>
        <v>#DIV/0!</v>
      </c>
    </row>
    <row r="24" spans="2:16" x14ac:dyDescent="0.25">
      <c r="M24" s="5"/>
      <c r="N24" s="5"/>
    </row>
    <row r="25" spans="2:16" x14ac:dyDescent="0.25">
      <c r="M25" s="5"/>
      <c r="N25" s="5"/>
    </row>
    <row r="26" spans="2:16" x14ac:dyDescent="0.25">
      <c r="M26" s="5"/>
      <c r="N26" s="5"/>
    </row>
    <row r="27" spans="2:16" x14ac:dyDescent="0.25">
      <c r="M27" s="5"/>
      <c r="N27" s="5"/>
    </row>
    <row r="28" spans="2:16" x14ac:dyDescent="0.25">
      <c r="M28" s="5"/>
      <c r="N28" s="5"/>
    </row>
    <row r="29" spans="2:16" x14ac:dyDescent="0.25">
      <c r="M29" s="5"/>
      <c r="N29" s="5"/>
    </row>
    <row r="30" spans="2:16" x14ac:dyDescent="0.25">
      <c r="M30" s="5"/>
      <c r="N30" s="5"/>
    </row>
    <row r="31" spans="2:16" x14ac:dyDescent="0.25">
      <c r="M31" s="5"/>
      <c r="N31" s="5"/>
    </row>
    <row r="32" spans="2:16" x14ac:dyDescent="0.25">
      <c r="M32" s="5"/>
      <c r="N32" s="5"/>
    </row>
    <row r="33" spans="13:15" x14ac:dyDescent="0.25">
      <c r="M33" s="5"/>
      <c r="N33" s="5"/>
    </row>
    <row r="34" spans="13:15" x14ac:dyDescent="0.25">
      <c r="M34" s="5"/>
      <c r="N34" s="5"/>
    </row>
    <row r="35" spans="13:15" x14ac:dyDescent="0.25">
      <c r="M35" s="5"/>
      <c r="N35" s="5"/>
    </row>
    <row r="36" spans="13:15" x14ac:dyDescent="0.25">
      <c r="M36" s="5"/>
      <c r="N36" s="5"/>
    </row>
    <row r="37" spans="13:15" x14ac:dyDescent="0.25">
      <c r="M37" s="5"/>
      <c r="N37" s="5"/>
    </row>
    <row r="38" spans="13:15" x14ac:dyDescent="0.25">
      <c r="M38" s="5"/>
      <c r="N38" s="5"/>
    </row>
    <row r="39" spans="13:15" x14ac:dyDescent="0.25">
      <c r="M39" s="5"/>
      <c r="N39" s="5"/>
    </row>
    <row r="40" spans="13:15" x14ac:dyDescent="0.25">
      <c r="M40" s="5"/>
      <c r="N40" s="5"/>
    </row>
    <row r="41" spans="13:15" x14ac:dyDescent="0.25">
      <c r="M41" s="5"/>
      <c r="N41" s="5"/>
    </row>
    <row r="42" spans="13:15" x14ac:dyDescent="0.25">
      <c r="N42">
        <v>2023</v>
      </c>
      <c r="O42">
        <v>0</v>
      </c>
    </row>
    <row r="43" spans="13:15" x14ac:dyDescent="0.25">
      <c r="N43">
        <v>2023</v>
      </c>
      <c r="O43">
        <v>10</v>
      </c>
    </row>
    <row r="44" spans="13:15" x14ac:dyDescent="0.25">
      <c r="N44">
        <v>2023</v>
      </c>
      <c r="O44">
        <v>20</v>
      </c>
    </row>
    <row r="45" spans="13:15" x14ac:dyDescent="0.25">
      <c r="N45">
        <v>2023</v>
      </c>
      <c r="O45">
        <v>30</v>
      </c>
    </row>
    <row r="46" spans="13:15" x14ac:dyDescent="0.25">
      <c r="N46">
        <v>2023</v>
      </c>
      <c r="O46">
        <v>40</v>
      </c>
    </row>
    <row r="47" spans="13:15" x14ac:dyDescent="0.25">
      <c r="N47">
        <v>2023</v>
      </c>
      <c r="O47">
        <v>50</v>
      </c>
    </row>
    <row r="48" spans="13:15" x14ac:dyDescent="0.25">
      <c r="N48">
        <v>2023</v>
      </c>
      <c r="O48">
        <v>60</v>
      </c>
    </row>
    <row r="49" spans="1:24" x14ac:dyDescent="0.25">
      <c r="N49">
        <v>2023</v>
      </c>
      <c r="O49">
        <v>70</v>
      </c>
    </row>
    <row r="50" spans="1:24" x14ac:dyDescent="0.25">
      <c r="N50">
        <v>2023</v>
      </c>
      <c r="O50">
        <v>80</v>
      </c>
    </row>
    <row r="51" spans="1:24" x14ac:dyDescent="0.25">
      <c r="N51">
        <v>2023</v>
      </c>
      <c r="O51">
        <v>90</v>
      </c>
    </row>
    <row r="54" spans="1:24" x14ac:dyDescent="0.25">
      <c r="A54" s="224" t="s">
        <v>158</v>
      </c>
      <c r="B54" s="25" t="s">
        <v>50</v>
      </c>
      <c r="C54" s="221" t="s">
        <v>24</v>
      </c>
      <c r="D54" s="235"/>
      <c r="F54" s="234"/>
      <c r="H54" s="235">
        <v>0</v>
      </c>
      <c r="I54" s="236">
        <v>0</v>
      </c>
      <c r="J54"/>
      <c r="K54"/>
      <c r="L54"/>
    </row>
    <row r="55" spans="1:24" ht="15.75" customHeight="1" x14ac:dyDescent="0.25">
      <c r="D55"/>
      <c r="E55"/>
      <c r="G55"/>
      <c r="I55"/>
      <c r="J55"/>
      <c r="K55"/>
      <c r="L55"/>
    </row>
    <row r="56" spans="1:24" ht="15.75" thickBot="1" x14ac:dyDescent="0.3"/>
    <row r="57" spans="1:24" ht="16.5" thickBot="1" x14ac:dyDescent="0.3">
      <c r="A57" s="1271" t="s">
        <v>201</v>
      </c>
      <c r="B57" s="1272"/>
      <c r="C57" s="1272"/>
      <c r="D57" s="1272"/>
      <c r="E57" s="1272"/>
      <c r="F57" s="1272"/>
      <c r="G57" s="1272"/>
      <c r="H57" s="1272"/>
      <c r="I57" s="1272"/>
      <c r="J57" s="1272"/>
      <c r="K57" s="1272"/>
      <c r="L57" s="1272"/>
      <c r="M57" s="1272"/>
      <c r="N57" s="1272"/>
      <c r="O57" s="1272"/>
      <c r="P57" s="1272"/>
      <c r="Q57" s="1272"/>
      <c r="R57" s="1272"/>
      <c r="S57" s="1272"/>
      <c r="T57" s="1272"/>
      <c r="U57" s="1272"/>
      <c r="V57" s="1272"/>
      <c r="W57" s="1272"/>
      <c r="X57" s="1273"/>
    </row>
    <row r="58" spans="1:24" ht="15.75" thickBot="1" x14ac:dyDescent="0.3">
      <c r="A58" s="286"/>
      <c r="B58" s="286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6"/>
      <c r="N58" s="286"/>
      <c r="O58" s="286"/>
      <c r="P58" s="286"/>
      <c r="Q58" s="286"/>
      <c r="R58" s="286"/>
      <c r="S58" s="286"/>
      <c r="T58" s="286"/>
      <c r="U58" s="286"/>
      <c r="V58" s="286"/>
      <c r="W58" s="286"/>
      <c r="X58" s="286"/>
    </row>
    <row r="59" spans="1:24" ht="15.75" thickBot="1" x14ac:dyDescent="0.3">
      <c r="A59" s="287"/>
      <c r="B59" s="287"/>
      <c r="C59" s="288"/>
      <c r="D59" s="1274" t="s">
        <v>202</v>
      </c>
      <c r="E59" s="1277">
        <v>2016</v>
      </c>
      <c r="F59" s="1278"/>
      <c r="G59" s="1278"/>
      <c r="H59" s="1279"/>
      <c r="I59" s="1277">
        <f>+E59+1</f>
        <v>2017</v>
      </c>
      <c r="J59" s="1278"/>
      <c r="K59" s="1278"/>
      <c r="L59" s="1279"/>
      <c r="M59" s="1277">
        <f>+I59+1</f>
        <v>2018</v>
      </c>
      <c r="N59" s="1278"/>
      <c r="O59" s="1278"/>
      <c r="P59" s="1279"/>
      <c r="Q59" s="1277">
        <f>+M59+1</f>
        <v>2019</v>
      </c>
      <c r="R59" s="1278"/>
      <c r="S59" s="1278"/>
      <c r="T59" s="1279"/>
      <c r="U59" s="1277">
        <f>+Q59+1</f>
        <v>2020</v>
      </c>
      <c r="V59" s="1278"/>
      <c r="W59" s="1278"/>
      <c r="X59" s="1279"/>
    </row>
    <row r="60" spans="1:24" x14ac:dyDescent="0.25">
      <c r="A60" s="1280" t="s">
        <v>203</v>
      </c>
      <c r="B60" s="1282" t="s">
        <v>204</v>
      </c>
      <c r="C60" s="1284" t="s">
        <v>88</v>
      </c>
      <c r="D60" s="1275"/>
      <c r="E60" s="1286" t="s">
        <v>197</v>
      </c>
      <c r="F60" s="1287"/>
      <c r="G60" s="1286" t="s">
        <v>198</v>
      </c>
      <c r="H60" s="1288"/>
      <c r="I60" s="1286" t="s">
        <v>197</v>
      </c>
      <c r="J60" s="1288"/>
      <c r="K60" s="1289" t="s">
        <v>198</v>
      </c>
      <c r="L60" s="1288"/>
      <c r="M60" s="1286" t="s">
        <v>197</v>
      </c>
      <c r="N60" s="1288"/>
      <c r="O60" s="1286" t="s">
        <v>198</v>
      </c>
      <c r="P60" s="1288"/>
      <c r="Q60" s="1267" t="s">
        <v>197</v>
      </c>
      <c r="R60" s="1268"/>
      <c r="S60" s="1267" t="s">
        <v>198</v>
      </c>
      <c r="T60" s="1268"/>
      <c r="U60" s="1267" t="s">
        <v>197</v>
      </c>
      <c r="V60" s="1269"/>
      <c r="W60" s="1267" t="s">
        <v>198</v>
      </c>
      <c r="X60" s="1268"/>
    </row>
    <row r="61" spans="1:24" ht="15.75" thickBot="1" x14ac:dyDescent="0.3">
      <c r="A61" s="1281"/>
      <c r="B61" s="1283"/>
      <c r="C61" s="1285"/>
      <c r="D61" s="1276"/>
      <c r="E61" s="274" t="s">
        <v>199</v>
      </c>
      <c r="F61" s="275" t="s">
        <v>200</v>
      </c>
      <c r="G61" s="274" t="s">
        <v>199</v>
      </c>
      <c r="H61" s="276" t="s">
        <v>200</v>
      </c>
      <c r="I61" s="274" t="s">
        <v>199</v>
      </c>
      <c r="J61" s="276" t="s">
        <v>200</v>
      </c>
      <c r="K61" s="277" t="s">
        <v>199</v>
      </c>
      <c r="L61" s="276" t="s">
        <v>200</v>
      </c>
      <c r="M61" s="274" t="s">
        <v>199</v>
      </c>
      <c r="N61" s="276" t="s">
        <v>200</v>
      </c>
      <c r="O61" s="274" t="s">
        <v>199</v>
      </c>
      <c r="P61" s="276" t="s">
        <v>200</v>
      </c>
      <c r="Q61" s="274" t="s">
        <v>199</v>
      </c>
      <c r="R61" s="276" t="s">
        <v>200</v>
      </c>
      <c r="S61" s="274" t="s">
        <v>199</v>
      </c>
      <c r="T61" s="276" t="s">
        <v>200</v>
      </c>
      <c r="U61" s="274" t="s">
        <v>199</v>
      </c>
      <c r="V61" s="275" t="s">
        <v>200</v>
      </c>
      <c r="W61" s="274" t="s">
        <v>199</v>
      </c>
      <c r="X61" s="276" t="s">
        <v>200</v>
      </c>
    </row>
    <row r="62" spans="1:24" x14ac:dyDescent="0.25">
      <c r="A62" s="289" t="s">
        <v>205</v>
      </c>
      <c r="B62" s="290"/>
      <c r="C62" s="289" t="s">
        <v>235</v>
      </c>
      <c r="D62" s="292" t="s">
        <v>24</v>
      </c>
      <c r="E62" s="293" t="s">
        <v>207</v>
      </c>
      <c r="F62" s="294" t="s">
        <v>207</v>
      </c>
      <c r="G62" s="293" t="s">
        <v>207</v>
      </c>
      <c r="H62" s="294" t="s">
        <v>207</v>
      </c>
      <c r="I62" s="293">
        <v>29.857323894973639</v>
      </c>
      <c r="J62" s="295">
        <v>6.0725252854789531</v>
      </c>
      <c r="K62" s="296">
        <v>7.8205175998889311</v>
      </c>
      <c r="L62" s="295">
        <v>3.3583091092924757</v>
      </c>
      <c r="M62" s="293">
        <v>31.04896943546122</v>
      </c>
      <c r="N62" s="294">
        <v>6.3148878529144516</v>
      </c>
      <c r="O62" s="293">
        <v>7.9664314932224825</v>
      </c>
      <c r="P62" s="295">
        <v>3.4209678720783763</v>
      </c>
      <c r="Q62" s="293">
        <v>32.283669622695356</v>
      </c>
      <c r="R62" s="295">
        <v>6.5660070802550869</v>
      </c>
      <c r="S62" s="296">
        <v>8.1111928610367734</v>
      </c>
      <c r="T62" s="295">
        <v>3.4831317140485387</v>
      </c>
      <c r="U62" s="293">
        <v>33.562528672924181</v>
      </c>
      <c r="V62" s="294">
        <v>6.826107548280806</v>
      </c>
      <c r="W62" s="293">
        <v>8.2543521463379879</v>
      </c>
      <c r="X62" s="295">
        <v>3.5446075851486434</v>
      </c>
    </row>
    <row r="65" spans="1:20" x14ac:dyDescent="0.25">
      <c r="C65" s="68">
        <v>2010</v>
      </c>
      <c r="D65" s="62"/>
      <c r="E65" s="74"/>
    </row>
    <row r="66" spans="1:20" x14ac:dyDescent="0.25">
      <c r="C66" s="68">
        <v>2011</v>
      </c>
      <c r="D66" s="42"/>
      <c r="E66" s="74"/>
    </row>
    <row r="67" spans="1:20" x14ac:dyDescent="0.25">
      <c r="C67" s="68">
        <v>2012</v>
      </c>
      <c r="D67" s="62"/>
      <c r="E67" s="74"/>
    </row>
    <row r="68" spans="1:20" x14ac:dyDescent="0.25">
      <c r="C68" s="68">
        <v>2013</v>
      </c>
      <c r="D68" s="42"/>
      <c r="E68" s="74"/>
    </row>
    <row r="69" spans="1:20" x14ac:dyDescent="0.25">
      <c r="C69" s="68">
        <v>2014</v>
      </c>
      <c r="D69" s="100"/>
      <c r="E69" s="74"/>
    </row>
    <row r="70" spans="1:20" x14ac:dyDescent="0.25">
      <c r="C70" s="68">
        <v>2015</v>
      </c>
      <c r="D70" s="138"/>
      <c r="E70" s="74"/>
    </row>
    <row r="71" spans="1:20" x14ac:dyDescent="0.25">
      <c r="C71" s="69">
        <v>2016</v>
      </c>
      <c r="D71" s="45"/>
      <c r="E71" s="74"/>
    </row>
    <row r="72" spans="1:20" x14ac:dyDescent="0.25">
      <c r="C72" s="69">
        <v>2017</v>
      </c>
      <c r="D72" s="45"/>
      <c r="E72" s="74"/>
    </row>
    <row r="73" spans="1:20" x14ac:dyDescent="0.25">
      <c r="C73" s="69">
        <v>2018</v>
      </c>
      <c r="D73" s="45"/>
      <c r="E73" s="74"/>
    </row>
    <row r="74" spans="1:20" x14ac:dyDescent="0.25">
      <c r="C74" s="69">
        <v>2019</v>
      </c>
      <c r="D74" s="45"/>
      <c r="E74" s="74"/>
    </row>
    <row r="75" spans="1:20" x14ac:dyDescent="0.25">
      <c r="C75" s="69">
        <v>2020</v>
      </c>
      <c r="D75" s="45"/>
      <c r="E75" s="74"/>
    </row>
    <row r="80" spans="1:20" ht="18" x14ac:dyDescent="0.25">
      <c r="A80" s="1093" t="s">
        <v>247</v>
      </c>
      <c r="B80" s="1093"/>
      <c r="C80" s="1093"/>
      <c r="D80" s="1093"/>
      <c r="E80" s="1093"/>
      <c r="F80" s="1093"/>
      <c r="G80" s="1093"/>
      <c r="H80" s="1093"/>
      <c r="I80" s="1093"/>
      <c r="J80" s="1093"/>
      <c r="K80" s="1093"/>
      <c r="L80" s="1093"/>
      <c r="M80" s="1093"/>
      <c r="N80" s="1093"/>
      <c r="O80" s="1093"/>
      <c r="P80" s="1093"/>
      <c r="Q80" s="1093"/>
      <c r="R80" s="1093"/>
      <c r="S80" s="1093"/>
      <c r="T80" s="1093"/>
    </row>
    <row r="81" spans="1:20" ht="18" x14ac:dyDescent="0.25">
      <c r="A81" s="1094" t="s">
        <v>248</v>
      </c>
      <c r="B81" s="1094"/>
      <c r="C81" s="1094"/>
      <c r="D81" s="1094"/>
      <c r="E81" s="1094"/>
      <c r="F81" s="1094"/>
      <c r="G81" s="1094"/>
      <c r="H81" s="1094"/>
      <c r="I81" s="1094"/>
      <c r="J81" s="1094"/>
      <c r="K81" s="1094"/>
      <c r="L81" s="1094"/>
      <c r="M81" s="1094"/>
      <c r="N81" s="1094"/>
      <c r="O81" s="1094"/>
      <c r="P81" s="1094"/>
      <c r="Q81" s="1094"/>
      <c r="R81" s="1094"/>
      <c r="S81" s="1094"/>
      <c r="T81" s="1094"/>
    </row>
    <row r="82" spans="1:20" ht="15.75" thickBot="1" x14ac:dyDescent="0.3">
      <c r="A82" s="452"/>
      <c r="B82" s="452"/>
      <c r="C82" s="452"/>
      <c r="D82" s="452"/>
      <c r="E82" s="452"/>
      <c r="F82" s="452"/>
      <c r="G82" s="452"/>
      <c r="H82" s="453"/>
      <c r="I82" s="452"/>
      <c r="J82" s="454"/>
      <c r="K82" s="453"/>
      <c r="L82" s="452"/>
      <c r="M82" s="454"/>
      <c r="N82" s="453"/>
      <c r="O82" s="452"/>
      <c r="P82" s="454"/>
      <c r="Q82" s="453"/>
      <c r="R82" s="452"/>
      <c r="S82" s="449"/>
      <c r="T82" s="450"/>
    </row>
    <row r="83" spans="1:20" x14ac:dyDescent="0.25">
      <c r="A83" s="1095" t="s">
        <v>249</v>
      </c>
      <c r="B83" s="1098" t="s">
        <v>250</v>
      </c>
      <c r="C83" s="1101" t="s">
        <v>251</v>
      </c>
      <c r="D83" s="1063" t="s">
        <v>252</v>
      </c>
      <c r="E83" s="1065"/>
      <c r="F83" s="1066">
        <v>2016</v>
      </c>
      <c r="G83" s="1064"/>
      <c r="H83" s="1106"/>
      <c r="I83" s="1063">
        <f>+F83+1</f>
        <v>2017</v>
      </c>
      <c r="J83" s="1064"/>
      <c r="K83" s="1065"/>
      <c r="L83" s="1066">
        <f>+I83+1</f>
        <v>2018</v>
      </c>
      <c r="M83" s="1064"/>
      <c r="N83" s="1106"/>
      <c r="O83" s="1063">
        <f>+L83+1</f>
        <v>2019</v>
      </c>
      <c r="P83" s="1064"/>
      <c r="Q83" s="1065"/>
      <c r="R83" s="1066">
        <f>+O83+1</f>
        <v>2020</v>
      </c>
      <c r="S83" s="1064"/>
      <c r="T83" s="1065"/>
    </row>
    <row r="84" spans="1:20" x14ac:dyDescent="0.25">
      <c r="A84" s="1096"/>
      <c r="B84" s="1099"/>
      <c r="C84" s="1102"/>
      <c r="D84" s="1104"/>
      <c r="E84" s="1105"/>
      <c r="F84" s="455" t="s">
        <v>253</v>
      </c>
      <c r="G84" s="1067" t="s">
        <v>254</v>
      </c>
      <c r="H84" s="1068"/>
      <c r="I84" s="456" t="s">
        <v>253</v>
      </c>
      <c r="J84" s="1067" t="s">
        <v>254</v>
      </c>
      <c r="K84" s="1069"/>
      <c r="L84" s="455" t="s">
        <v>253</v>
      </c>
      <c r="M84" s="1067" t="s">
        <v>254</v>
      </c>
      <c r="N84" s="1068"/>
      <c r="O84" s="456" t="s">
        <v>253</v>
      </c>
      <c r="P84" s="1067" t="s">
        <v>254</v>
      </c>
      <c r="Q84" s="1069"/>
      <c r="R84" s="455" t="s">
        <v>253</v>
      </c>
      <c r="S84" s="1067" t="s">
        <v>254</v>
      </c>
      <c r="T84" s="1069"/>
    </row>
    <row r="85" spans="1:20" ht="15.75" thickBot="1" x14ac:dyDescent="0.3">
      <c r="A85" s="1097"/>
      <c r="B85" s="1100"/>
      <c r="C85" s="1103"/>
      <c r="D85" s="1091" t="s">
        <v>255</v>
      </c>
      <c r="E85" s="1092"/>
      <c r="F85" s="457" t="s">
        <v>255</v>
      </c>
      <c r="G85" s="458" t="s">
        <v>255</v>
      </c>
      <c r="H85" s="459" t="s">
        <v>256</v>
      </c>
      <c r="I85" s="460" t="s">
        <v>255</v>
      </c>
      <c r="J85" s="461" t="s">
        <v>255</v>
      </c>
      <c r="K85" s="462" t="s">
        <v>256</v>
      </c>
      <c r="L85" s="457" t="s">
        <v>255</v>
      </c>
      <c r="M85" s="461" t="s">
        <v>255</v>
      </c>
      <c r="N85" s="459" t="s">
        <v>256</v>
      </c>
      <c r="O85" s="460" t="s">
        <v>255</v>
      </c>
      <c r="P85" s="461" t="s">
        <v>255</v>
      </c>
      <c r="Q85" s="462" t="s">
        <v>256</v>
      </c>
      <c r="R85" s="457" t="s">
        <v>255</v>
      </c>
      <c r="S85" s="461" t="s">
        <v>255</v>
      </c>
      <c r="T85" s="462" t="s">
        <v>256</v>
      </c>
    </row>
  </sheetData>
  <mergeCells count="45">
    <mergeCell ref="B3:K3"/>
    <mergeCell ref="B4:K4"/>
    <mergeCell ref="B5:B6"/>
    <mergeCell ref="C5:C6"/>
    <mergeCell ref="D5:F5"/>
    <mergeCell ref="G5:I5"/>
    <mergeCell ref="J5:J6"/>
    <mergeCell ref="K5:K6"/>
    <mergeCell ref="A57:X57"/>
    <mergeCell ref="D59:D61"/>
    <mergeCell ref="E59:H59"/>
    <mergeCell ref="I59:L59"/>
    <mergeCell ref="M59:P59"/>
    <mergeCell ref="Q59:T59"/>
    <mergeCell ref="U59:X59"/>
    <mergeCell ref="A60:A61"/>
    <mergeCell ref="B60:B61"/>
    <mergeCell ref="C60:C61"/>
    <mergeCell ref="E60:F60"/>
    <mergeCell ref="G60:H60"/>
    <mergeCell ref="I60:J60"/>
    <mergeCell ref="K60:L60"/>
    <mergeCell ref="M60:N60"/>
    <mergeCell ref="O60:P60"/>
    <mergeCell ref="S84:T84"/>
    <mergeCell ref="Q60:R60"/>
    <mergeCell ref="S60:T60"/>
    <mergeCell ref="U60:V60"/>
    <mergeCell ref="W60:X60"/>
    <mergeCell ref="D85:E85"/>
    <mergeCell ref="A80:T80"/>
    <mergeCell ref="A81:T81"/>
    <mergeCell ref="A83:A85"/>
    <mergeCell ref="B83:B85"/>
    <mergeCell ref="C83:C85"/>
    <mergeCell ref="D83:E84"/>
    <mergeCell ref="F83:H83"/>
    <mergeCell ref="I83:K83"/>
    <mergeCell ref="L83:N83"/>
    <mergeCell ref="O83:Q83"/>
    <mergeCell ref="R83:T83"/>
    <mergeCell ref="G84:H84"/>
    <mergeCell ref="J84:K84"/>
    <mergeCell ref="M84:N84"/>
    <mergeCell ref="P84:Q84"/>
  </mergeCells>
  <printOptions gridLines="1"/>
  <pageMargins left="0.11811023622047245" right="0.11811023622047245" top="0.55118110236220474" bottom="0.15748031496062992" header="0" footer="0"/>
  <pageSetup paperSize="9" scale="120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theme="9" tint="0.39997558519241921"/>
  </sheetPr>
  <dimension ref="A2:X82"/>
  <sheetViews>
    <sheetView topLeftCell="A10" workbookViewId="0">
      <selection activeCell="I22" sqref="I22"/>
    </sheetView>
  </sheetViews>
  <sheetFormatPr baseColWidth="10" defaultRowHeight="15" x14ac:dyDescent="0.25"/>
  <cols>
    <col min="1" max="2" width="5.7109375" customWidth="1"/>
    <col min="3" max="3" width="7.7109375" customWidth="1"/>
    <col min="4" max="5" width="10.7109375" style="11" customWidth="1"/>
    <col min="6" max="6" width="11.7109375" customWidth="1"/>
    <col min="7" max="7" width="12.7109375" style="11" customWidth="1"/>
    <col min="8" max="8" width="12.7109375" customWidth="1"/>
    <col min="9" max="9" width="12.7109375" style="11" customWidth="1"/>
    <col min="10" max="11" width="10.7109375" style="11" customWidth="1"/>
    <col min="12" max="12" width="11.42578125" style="7"/>
  </cols>
  <sheetData>
    <row r="2" spans="2:16" ht="15.75" thickBot="1" x14ac:dyDescent="0.3"/>
    <row r="3" spans="2:16" ht="15.95" customHeight="1" x14ac:dyDescent="0.25">
      <c r="B3" s="1112" t="s">
        <v>220</v>
      </c>
      <c r="C3" s="1113"/>
      <c r="D3" s="1113"/>
      <c r="E3" s="1113"/>
      <c r="F3" s="1113"/>
      <c r="G3" s="1113"/>
      <c r="H3" s="1113"/>
      <c r="I3" s="1113"/>
      <c r="J3" s="1113"/>
      <c r="K3" s="1114"/>
    </row>
    <row r="4" spans="2:16" ht="15.95" customHeight="1" thickBot="1" x14ac:dyDescent="0.3">
      <c r="B4" s="1115" t="s">
        <v>54</v>
      </c>
      <c r="C4" s="1116"/>
      <c r="D4" s="1116"/>
      <c r="E4" s="1116"/>
      <c r="F4" s="1116"/>
      <c r="G4" s="1116"/>
      <c r="H4" s="1116"/>
      <c r="I4" s="1116"/>
      <c r="J4" s="1116"/>
      <c r="K4" s="1117"/>
    </row>
    <row r="5" spans="2:16" ht="15.95" customHeight="1" x14ac:dyDescent="0.25">
      <c r="B5" s="1166" t="s">
        <v>124</v>
      </c>
      <c r="C5" s="1181" t="s">
        <v>26</v>
      </c>
      <c r="D5" s="1169" t="s">
        <v>110</v>
      </c>
      <c r="E5" s="1167"/>
      <c r="F5" s="1168"/>
      <c r="G5" s="1169" t="s">
        <v>74</v>
      </c>
      <c r="H5" s="1167"/>
      <c r="I5" s="1168"/>
      <c r="J5" s="1262" t="s">
        <v>105</v>
      </c>
      <c r="K5" s="1264" t="s">
        <v>177</v>
      </c>
    </row>
    <row r="6" spans="2:16" ht="39.950000000000003" customHeight="1" x14ac:dyDescent="0.25">
      <c r="B6" s="1119"/>
      <c r="C6" s="1032"/>
      <c r="D6" s="490" t="s">
        <v>103</v>
      </c>
      <c r="E6" s="490" t="s">
        <v>102</v>
      </c>
      <c r="F6" s="330" t="s">
        <v>178</v>
      </c>
      <c r="G6" s="257" t="s">
        <v>243</v>
      </c>
      <c r="H6" s="38" t="s">
        <v>232</v>
      </c>
      <c r="I6" s="257" t="s">
        <v>238</v>
      </c>
      <c r="J6" s="1263"/>
      <c r="K6" s="1265"/>
      <c r="L6" s="6" t="s">
        <v>206</v>
      </c>
      <c r="M6" s="85" t="s">
        <v>73</v>
      </c>
      <c r="N6" s="38" t="s">
        <v>240</v>
      </c>
    </row>
    <row r="7" spans="2:16" ht="15" customHeight="1" x14ac:dyDescent="0.25">
      <c r="B7" s="201"/>
      <c r="C7" s="68">
        <v>2014</v>
      </c>
      <c r="D7" s="62"/>
      <c r="E7" s="100"/>
      <c r="F7" s="175"/>
      <c r="G7" s="40"/>
      <c r="H7" s="40"/>
      <c r="I7" s="40"/>
      <c r="J7" s="119">
        <v>80</v>
      </c>
      <c r="K7" s="179">
        <f t="shared" ref="K7:K18" si="0">J7-40</f>
        <v>40</v>
      </c>
      <c r="L7" s="263"/>
      <c r="M7" s="175"/>
      <c r="N7" s="50"/>
      <c r="O7" s="73"/>
      <c r="P7" s="73"/>
    </row>
    <row r="8" spans="2:16" ht="15" customHeight="1" x14ac:dyDescent="0.25">
      <c r="B8" s="201"/>
      <c r="C8" s="68">
        <v>2015</v>
      </c>
      <c r="D8" s="62"/>
      <c r="E8" s="138"/>
      <c r="F8" s="175"/>
      <c r="G8" s="40"/>
      <c r="H8" s="40"/>
      <c r="I8" s="40"/>
      <c r="J8" s="119">
        <v>80</v>
      </c>
      <c r="K8" s="179">
        <f t="shared" si="0"/>
        <v>40</v>
      </c>
      <c r="L8" s="263"/>
      <c r="M8" s="50"/>
      <c r="N8" s="50"/>
      <c r="O8" s="73"/>
      <c r="P8" s="73"/>
    </row>
    <row r="9" spans="2:16" ht="15" customHeight="1" x14ac:dyDescent="0.25">
      <c r="B9" s="201"/>
      <c r="C9" s="68">
        <v>2016</v>
      </c>
      <c r="D9" s="62"/>
      <c r="E9" s="40"/>
      <c r="F9" s="175"/>
      <c r="G9" s="40"/>
      <c r="H9" s="40"/>
      <c r="I9" s="40"/>
      <c r="J9" s="119">
        <v>80</v>
      </c>
      <c r="K9" s="179">
        <f t="shared" si="0"/>
        <v>40</v>
      </c>
      <c r="L9" s="273"/>
      <c r="M9" s="175"/>
      <c r="N9" s="50"/>
      <c r="O9" s="73"/>
      <c r="P9" s="73"/>
    </row>
    <row r="10" spans="2:16" ht="15" customHeight="1" x14ac:dyDescent="0.25">
      <c r="B10" s="201"/>
      <c r="C10" s="68">
        <v>2017</v>
      </c>
      <c r="D10" s="62"/>
      <c r="E10" s="40"/>
      <c r="F10" s="175"/>
      <c r="G10" s="40"/>
      <c r="H10" s="40"/>
      <c r="I10" s="40"/>
      <c r="J10" s="119">
        <v>80</v>
      </c>
      <c r="K10" s="179">
        <f t="shared" si="0"/>
        <v>40</v>
      </c>
      <c r="L10" s="40"/>
      <c r="M10" s="50"/>
      <c r="N10" s="50"/>
      <c r="O10" s="73"/>
      <c r="P10" s="73"/>
    </row>
    <row r="11" spans="2:16" ht="15" customHeight="1" x14ac:dyDescent="0.25">
      <c r="B11" s="202"/>
      <c r="C11" s="69">
        <v>2018</v>
      </c>
      <c r="D11" s="109"/>
      <c r="E11" s="55"/>
      <c r="F11" s="187"/>
      <c r="G11" s="419"/>
      <c r="H11" s="421"/>
      <c r="I11" s="423"/>
      <c r="J11" s="119">
        <v>80</v>
      </c>
      <c r="K11" s="179">
        <f t="shared" si="0"/>
        <v>40</v>
      </c>
      <c r="L11" s="40"/>
      <c r="M11" s="175"/>
      <c r="N11" s="390"/>
      <c r="O11" s="73"/>
      <c r="P11" s="73"/>
    </row>
    <row r="12" spans="2:16" ht="15" customHeight="1" x14ac:dyDescent="0.25">
      <c r="B12" s="202"/>
      <c r="C12" s="69">
        <v>2019</v>
      </c>
      <c r="D12" s="109"/>
      <c r="E12" s="55"/>
      <c r="F12" s="187"/>
      <c r="G12" s="419"/>
      <c r="H12" s="421"/>
      <c r="I12" s="423"/>
      <c r="J12" s="119">
        <v>80</v>
      </c>
      <c r="K12" s="179">
        <f t="shared" si="0"/>
        <v>40</v>
      </c>
      <c r="L12" s="40"/>
      <c r="M12" s="402"/>
      <c r="N12" s="390"/>
      <c r="O12" s="73"/>
      <c r="P12" s="73"/>
    </row>
    <row r="13" spans="2:16" ht="15" customHeight="1" x14ac:dyDescent="0.25">
      <c r="B13" s="202"/>
      <c r="C13" s="69">
        <v>2020</v>
      </c>
      <c r="D13" s="109"/>
      <c r="E13" s="55"/>
      <c r="F13" s="187"/>
      <c r="G13" s="419"/>
      <c r="H13" s="421"/>
      <c r="I13" s="423"/>
      <c r="J13" s="119">
        <v>80</v>
      </c>
      <c r="K13" s="179">
        <f t="shared" si="0"/>
        <v>40</v>
      </c>
      <c r="L13" s="40"/>
      <c r="M13" s="402"/>
      <c r="N13" s="390" t="e">
        <f>(F13-F12)/F12</f>
        <v>#DIV/0!</v>
      </c>
      <c r="O13" s="73"/>
      <c r="P13" s="73"/>
    </row>
    <row r="14" spans="2:16" ht="15" customHeight="1" x14ac:dyDescent="0.25">
      <c r="B14" s="202"/>
      <c r="C14" s="69">
        <v>2021</v>
      </c>
      <c r="D14" s="109"/>
      <c r="E14" s="55"/>
      <c r="F14" s="187"/>
      <c r="G14" s="419"/>
      <c r="H14" s="421"/>
      <c r="I14" s="423"/>
      <c r="J14" s="119">
        <v>80</v>
      </c>
      <c r="K14" s="179">
        <f t="shared" si="0"/>
        <v>40</v>
      </c>
      <c r="L14" s="40"/>
      <c r="M14" s="402" t="e">
        <f t="shared" ref="M14:M22" si="1">(E14-E13)/E13</f>
        <v>#DIV/0!</v>
      </c>
      <c r="N14" s="390" t="e">
        <f>(F14-F13)/F13</f>
        <v>#DIV/0!</v>
      </c>
      <c r="O14" s="73"/>
      <c r="P14" s="73"/>
    </row>
    <row r="15" spans="2:16" ht="15" customHeight="1" x14ac:dyDescent="0.25">
      <c r="B15" s="202"/>
      <c r="C15" s="69">
        <v>2022</v>
      </c>
      <c r="D15" s="109"/>
      <c r="E15" s="55"/>
      <c r="F15" s="187"/>
      <c r="G15" s="419"/>
      <c r="H15" s="421"/>
      <c r="I15" s="423"/>
      <c r="J15" s="119">
        <v>80</v>
      </c>
      <c r="K15" s="179">
        <f t="shared" si="0"/>
        <v>40</v>
      </c>
      <c r="L15" s="40"/>
      <c r="M15" s="402" t="e">
        <f t="shared" si="1"/>
        <v>#DIV/0!</v>
      </c>
      <c r="N15" s="390" t="e">
        <f>(F15-F14)/F14</f>
        <v>#DIV/0!</v>
      </c>
      <c r="O15" s="73"/>
      <c r="P15" s="73"/>
    </row>
    <row r="16" spans="2:16" ht="15" customHeight="1" x14ac:dyDescent="0.25">
      <c r="B16" s="202"/>
      <c r="C16" s="69">
        <v>2023</v>
      </c>
      <c r="D16" s="109"/>
      <c r="E16" s="55"/>
      <c r="F16" s="187"/>
      <c r="G16" s="419"/>
      <c r="H16" s="421"/>
      <c r="I16" s="423"/>
      <c r="J16" s="119">
        <v>80</v>
      </c>
      <c r="K16" s="179">
        <f t="shared" si="0"/>
        <v>40</v>
      </c>
      <c r="L16" s="258"/>
      <c r="M16" s="402" t="e">
        <f t="shared" si="1"/>
        <v>#DIV/0!</v>
      </c>
      <c r="N16" s="390" t="e">
        <f>(F16-F15)/F15</f>
        <v>#DIV/0!</v>
      </c>
      <c r="O16" s="73"/>
      <c r="P16" s="73"/>
    </row>
    <row r="17" spans="2:16" ht="15" customHeight="1" x14ac:dyDescent="0.25">
      <c r="B17" s="202"/>
      <c r="C17" s="69">
        <v>2024</v>
      </c>
      <c r="D17" s="109"/>
      <c r="E17" s="55"/>
      <c r="F17" s="187"/>
      <c r="G17" s="419"/>
      <c r="H17" s="421"/>
      <c r="I17" s="423"/>
      <c r="J17" s="119">
        <v>80</v>
      </c>
      <c r="K17" s="179">
        <f t="shared" si="0"/>
        <v>40</v>
      </c>
      <c r="L17" s="40"/>
      <c r="M17" s="402" t="e">
        <f t="shared" si="1"/>
        <v>#DIV/0!</v>
      </c>
      <c r="N17" s="390" t="e">
        <f>(F17-F16)/F16</f>
        <v>#DIV/0!</v>
      </c>
      <c r="O17" s="73"/>
      <c r="P17" s="73"/>
    </row>
    <row r="18" spans="2:16" ht="15" customHeight="1" x14ac:dyDescent="0.25">
      <c r="B18" s="202"/>
      <c r="C18" s="69">
        <v>2025</v>
      </c>
      <c r="D18" s="109"/>
      <c r="E18" s="55"/>
      <c r="F18" s="187"/>
      <c r="G18" s="419"/>
      <c r="H18" s="421"/>
      <c r="I18" s="423"/>
      <c r="J18" s="119">
        <v>80</v>
      </c>
      <c r="K18" s="179">
        <f t="shared" si="0"/>
        <v>40</v>
      </c>
      <c r="L18" s="40"/>
      <c r="M18" s="402" t="e">
        <f t="shared" si="1"/>
        <v>#DIV/0!</v>
      </c>
      <c r="N18" s="390"/>
      <c r="O18" s="73"/>
      <c r="P18" s="73"/>
    </row>
    <row r="19" spans="2:16" x14ac:dyDescent="0.25">
      <c r="B19" s="202"/>
      <c r="C19" s="69">
        <v>2026</v>
      </c>
      <c r="D19" s="109"/>
      <c r="E19" s="55"/>
      <c r="F19" s="187"/>
      <c r="G19" s="419"/>
      <c r="H19" s="421"/>
      <c r="I19" s="423"/>
      <c r="J19" s="119">
        <v>80</v>
      </c>
      <c r="K19" s="179">
        <f>J19-40</f>
        <v>40</v>
      </c>
      <c r="L19" s="40"/>
      <c r="M19" s="402" t="e">
        <f t="shared" si="1"/>
        <v>#DIV/0!</v>
      </c>
      <c r="N19" s="390"/>
      <c r="O19" s="73"/>
      <c r="P19" s="73"/>
    </row>
    <row r="20" spans="2:16" ht="15.75" thickBot="1" x14ac:dyDescent="0.3">
      <c r="B20" s="203"/>
      <c r="C20" s="252">
        <v>2027</v>
      </c>
      <c r="D20" s="247"/>
      <c r="E20" s="208"/>
      <c r="F20" s="253"/>
      <c r="G20" s="420"/>
      <c r="H20" s="422"/>
      <c r="I20" s="424"/>
      <c r="J20" s="193">
        <v>80</v>
      </c>
      <c r="K20" s="181">
        <f>J20-40</f>
        <v>40</v>
      </c>
      <c r="L20" s="40"/>
      <c r="M20" s="402" t="e">
        <f t="shared" si="1"/>
        <v>#DIV/0!</v>
      </c>
      <c r="N20" s="390"/>
      <c r="O20" s="73"/>
      <c r="P20" s="73"/>
    </row>
    <row r="21" spans="2:16" x14ac:dyDescent="0.25">
      <c r="M21" s="402" t="e">
        <f t="shared" si="1"/>
        <v>#DIV/0!</v>
      </c>
      <c r="N21" s="75"/>
    </row>
    <row r="22" spans="2:16" x14ac:dyDescent="0.25">
      <c r="M22" s="402" t="e">
        <f t="shared" si="1"/>
        <v>#DIV/0!</v>
      </c>
      <c r="N22" s="250"/>
    </row>
    <row r="23" spans="2:16" x14ac:dyDescent="0.25">
      <c r="M23" s="430" t="e">
        <f>AVERAGE(M14:M22)</f>
        <v>#DIV/0!</v>
      </c>
      <c r="N23" s="397" t="e">
        <f>AVERAGE(N14:N17)</f>
        <v>#DIV/0!</v>
      </c>
    </row>
    <row r="24" spans="2:16" x14ac:dyDescent="0.25">
      <c r="M24" s="5"/>
      <c r="N24" s="5"/>
    </row>
    <row r="25" spans="2:16" x14ac:dyDescent="0.25">
      <c r="M25" s="5"/>
      <c r="N25" s="5"/>
    </row>
    <row r="26" spans="2:16" x14ac:dyDescent="0.25">
      <c r="M26" s="5"/>
      <c r="N26" s="5"/>
    </row>
    <row r="27" spans="2:16" x14ac:dyDescent="0.25">
      <c r="M27" s="5"/>
      <c r="N27" s="5"/>
    </row>
    <row r="28" spans="2:16" x14ac:dyDescent="0.25">
      <c r="M28" s="5"/>
      <c r="N28" s="5"/>
    </row>
    <row r="29" spans="2:16" x14ac:dyDescent="0.25">
      <c r="M29" s="5"/>
      <c r="N29" s="5"/>
    </row>
    <row r="30" spans="2:16" x14ac:dyDescent="0.25">
      <c r="M30" s="5"/>
      <c r="N30" s="5"/>
    </row>
    <row r="31" spans="2:16" x14ac:dyDescent="0.25">
      <c r="M31" s="5"/>
      <c r="N31" s="5"/>
    </row>
    <row r="32" spans="2:16" x14ac:dyDescent="0.25">
      <c r="M32" s="5"/>
      <c r="N32" s="5"/>
    </row>
    <row r="33" spans="13:15" x14ac:dyDescent="0.25">
      <c r="M33" s="5"/>
      <c r="N33" s="5"/>
    </row>
    <row r="34" spans="13:15" x14ac:dyDescent="0.25">
      <c r="M34" s="5"/>
      <c r="N34" s="5"/>
    </row>
    <row r="35" spans="13:15" x14ac:dyDescent="0.25">
      <c r="M35" s="5"/>
      <c r="N35" s="5"/>
    </row>
    <row r="36" spans="13:15" x14ac:dyDescent="0.25">
      <c r="M36" s="5"/>
      <c r="N36" s="5"/>
    </row>
    <row r="37" spans="13:15" x14ac:dyDescent="0.25">
      <c r="M37" s="5"/>
      <c r="N37" s="5"/>
    </row>
    <row r="38" spans="13:15" x14ac:dyDescent="0.25">
      <c r="M38" s="5"/>
      <c r="N38" s="5"/>
    </row>
    <row r="39" spans="13:15" x14ac:dyDescent="0.25">
      <c r="M39" s="5"/>
      <c r="N39" s="5"/>
    </row>
    <row r="40" spans="13:15" x14ac:dyDescent="0.25">
      <c r="M40" s="5"/>
      <c r="N40" s="5"/>
    </row>
    <row r="41" spans="13:15" x14ac:dyDescent="0.25">
      <c r="M41" s="5"/>
      <c r="N41" s="5"/>
    </row>
    <row r="42" spans="13:15" x14ac:dyDescent="0.25">
      <c r="N42">
        <v>2023</v>
      </c>
      <c r="O42">
        <v>0</v>
      </c>
    </row>
    <row r="43" spans="13:15" x14ac:dyDescent="0.25">
      <c r="N43">
        <v>2023</v>
      </c>
      <c r="O43">
        <v>10</v>
      </c>
    </row>
    <row r="44" spans="13:15" x14ac:dyDescent="0.25">
      <c r="N44">
        <v>2023</v>
      </c>
      <c r="O44">
        <v>20</v>
      </c>
    </row>
    <row r="45" spans="13:15" x14ac:dyDescent="0.25">
      <c r="N45">
        <v>2023</v>
      </c>
      <c r="O45">
        <v>30</v>
      </c>
    </row>
    <row r="46" spans="13:15" x14ac:dyDescent="0.25">
      <c r="N46">
        <v>2023</v>
      </c>
      <c r="O46">
        <v>40</v>
      </c>
    </row>
    <row r="47" spans="13:15" x14ac:dyDescent="0.25">
      <c r="N47">
        <v>2023</v>
      </c>
      <c r="O47">
        <v>50</v>
      </c>
    </row>
    <row r="48" spans="13:15" x14ac:dyDescent="0.25">
      <c r="N48">
        <v>2023</v>
      </c>
      <c r="O48">
        <v>60</v>
      </c>
    </row>
    <row r="49" spans="1:24" x14ac:dyDescent="0.25">
      <c r="N49">
        <v>2023</v>
      </c>
      <c r="O49">
        <v>70</v>
      </c>
    </row>
    <row r="50" spans="1:24" x14ac:dyDescent="0.25">
      <c r="N50">
        <v>2023</v>
      </c>
      <c r="O50">
        <v>80</v>
      </c>
    </row>
    <row r="51" spans="1:24" x14ac:dyDescent="0.25">
      <c r="N51">
        <v>2023</v>
      </c>
      <c r="O51">
        <v>90</v>
      </c>
    </row>
    <row r="53" spans="1:24" x14ac:dyDescent="0.25">
      <c r="A53" s="224" t="s">
        <v>159</v>
      </c>
      <c r="B53" s="25" t="s">
        <v>50</v>
      </c>
      <c r="C53" s="221" t="s">
        <v>24</v>
      </c>
      <c r="D53" s="235"/>
      <c r="F53" s="234"/>
      <c r="H53" s="235">
        <v>0</v>
      </c>
      <c r="I53" s="236">
        <v>0</v>
      </c>
    </row>
    <row r="54" spans="1:24" x14ac:dyDescent="0.25">
      <c r="D54"/>
      <c r="E54"/>
      <c r="G54"/>
      <c r="I54"/>
      <c r="J54"/>
      <c r="K54"/>
      <c r="L54"/>
    </row>
    <row r="55" spans="1:24" ht="15.75" thickBot="1" x14ac:dyDescent="0.3"/>
    <row r="56" spans="1:24" ht="16.5" thickBot="1" x14ac:dyDescent="0.3">
      <c r="A56" s="1271" t="s">
        <v>201</v>
      </c>
      <c r="B56" s="1272"/>
      <c r="C56" s="1272"/>
      <c r="D56" s="1272"/>
      <c r="E56" s="1272"/>
      <c r="F56" s="1272"/>
      <c r="G56" s="1272"/>
      <c r="H56" s="1272"/>
      <c r="I56" s="1272"/>
      <c r="J56" s="1272"/>
      <c r="K56" s="1272"/>
      <c r="L56" s="1272"/>
      <c r="M56" s="1272"/>
      <c r="N56" s="1272"/>
      <c r="O56" s="1272"/>
      <c r="P56" s="1272"/>
      <c r="Q56" s="1272"/>
      <c r="R56" s="1272"/>
      <c r="S56" s="1272"/>
      <c r="T56" s="1272"/>
      <c r="U56" s="1272"/>
      <c r="V56" s="1272"/>
      <c r="W56" s="1272"/>
      <c r="X56" s="1273"/>
    </row>
    <row r="57" spans="1:24" ht="15.75" thickBot="1" x14ac:dyDescent="0.3">
      <c r="A57" s="286"/>
      <c r="B57" s="286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6"/>
      <c r="N57" s="286"/>
      <c r="O57" s="286"/>
      <c r="P57" s="286"/>
      <c r="Q57" s="286"/>
      <c r="R57" s="286"/>
      <c r="S57" s="286"/>
      <c r="T57" s="286"/>
      <c r="U57" s="286"/>
      <c r="V57" s="286"/>
      <c r="W57" s="286"/>
      <c r="X57" s="286"/>
    </row>
    <row r="58" spans="1:24" ht="15.75" thickBot="1" x14ac:dyDescent="0.3">
      <c r="A58" s="287"/>
      <c r="B58" s="287"/>
      <c r="C58" s="288"/>
      <c r="D58" s="1274" t="s">
        <v>202</v>
      </c>
      <c r="E58" s="1277">
        <v>2016</v>
      </c>
      <c r="F58" s="1278"/>
      <c r="G58" s="1278"/>
      <c r="H58" s="1279"/>
      <c r="I58" s="1277">
        <f>+E58+1</f>
        <v>2017</v>
      </c>
      <c r="J58" s="1278"/>
      <c r="K58" s="1278"/>
      <c r="L58" s="1279"/>
      <c r="M58" s="1277">
        <f>+I58+1</f>
        <v>2018</v>
      </c>
      <c r="N58" s="1278"/>
      <c r="O58" s="1278"/>
      <c r="P58" s="1279"/>
      <c r="Q58" s="1277">
        <f>+M58+1</f>
        <v>2019</v>
      </c>
      <c r="R58" s="1278"/>
      <c r="S58" s="1278"/>
      <c r="T58" s="1279"/>
      <c r="U58" s="1277">
        <f>+Q58+1</f>
        <v>2020</v>
      </c>
      <c r="V58" s="1278"/>
      <c r="W58" s="1278"/>
      <c r="X58" s="1279"/>
    </row>
    <row r="59" spans="1:24" x14ac:dyDescent="0.25">
      <c r="A59" s="1280" t="s">
        <v>203</v>
      </c>
      <c r="B59" s="1282" t="s">
        <v>204</v>
      </c>
      <c r="C59" s="1284" t="s">
        <v>88</v>
      </c>
      <c r="D59" s="1275"/>
      <c r="E59" s="1286" t="s">
        <v>197</v>
      </c>
      <c r="F59" s="1287"/>
      <c r="G59" s="1286" t="s">
        <v>198</v>
      </c>
      <c r="H59" s="1288"/>
      <c r="I59" s="1286" t="s">
        <v>197</v>
      </c>
      <c r="J59" s="1288"/>
      <c r="K59" s="1289" t="s">
        <v>198</v>
      </c>
      <c r="L59" s="1288"/>
      <c r="M59" s="1286" t="s">
        <v>197</v>
      </c>
      <c r="N59" s="1288"/>
      <c r="O59" s="1286" t="s">
        <v>198</v>
      </c>
      <c r="P59" s="1288"/>
      <c r="Q59" s="1267" t="s">
        <v>197</v>
      </c>
      <c r="R59" s="1268"/>
      <c r="S59" s="1267" t="s">
        <v>198</v>
      </c>
      <c r="T59" s="1268"/>
      <c r="U59" s="1267" t="s">
        <v>197</v>
      </c>
      <c r="V59" s="1269"/>
      <c r="W59" s="1267" t="s">
        <v>198</v>
      </c>
      <c r="X59" s="1268"/>
    </row>
    <row r="60" spans="1:24" ht="15.75" thickBot="1" x14ac:dyDescent="0.3">
      <c r="A60" s="1281"/>
      <c r="B60" s="1283"/>
      <c r="C60" s="1285"/>
      <c r="D60" s="1276"/>
      <c r="E60" s="274" t="s">
        <v>199</v>
      </c>
      <c r="F60" s="275" t="s">
        <v>200</v>
      </c>
      <c r="G60" s="274" t="s">
        <v>199</v>
      </c>
      <c r="H60" s="276" t="s">
        <v>200</v>
      </c>
      <c r="I60" s="274" t="s">
        <v>199</v>
      </c>
      <c r="J60" s="276" t="s">
        <v>200</v>
      </c>
      <c r="K60" s="277" t="s">
        <v>199</v>
      </c>
      <c r="L60" s="276" t="s">
        <v>200</v>
      </c>
      <c r="M60" s="274" t="s">
        <v>199</v>
      </c>
      <c r="N60" s="276" t="s">
        <v>200</v>
      </c>
      <c r="O60" s="274" t="s">
        <v>199</v>
      </c>
      <c r="P60" s="276" t="s">
        <v>200</v>
      </c>
      <c r="Q60" s="274" t="s">
        <v>199</v>
      </c>
      <c r="R60" s="276" t="s">
        <v>200</v>
      </c>
      <c r="S60" s="274" t="s">
        <v>199</v>
      </c>
      <c r="T60" s="276" t="s">
        <v>200</v>
      </c>
      <c r="U60" s="274" t="s">
        <v>199</v>
      </c>
      <c r="V60" s="275" t="s">
        <v>200</v>
      </c>
      <c r="W60" s="274" t="s">
        <v>199</v>
      </c>
      <c r="X60" s="276" t="s">
        <v>200</v>
      </c>
    </row>
    <row r="61" spans="1:24" x14ac:dyDescent="0.25">
      <c r="A61" s="289" t="s">
        <v>205</v>
      </c>
      <c r="B61" s="290"/>
      <c r="C61" s="289" t="s">
        <v>236</v>
      </c>
      <c r="D61" s="292" t="s">
        <v>24</v>
      </c>
      <c r="E61" s="293" t="s">
        <v>207</v>
      </c>
      <c r="F61" s="294" t="s">
        <v>207</v>
      </c>
      <c r="G61" s="293" t="s">
        <v>207</v>
      </c>
      <c r="H61" s="294" t="s">
        <v>207</v>
      </c>
      <c r="I61" s="293" t="s">
        <v>207</v>
      </c>
      <c r="J61" s="294" t="s">
        <v>207</v>
      </c>
      <c r="K61" s="293" t="s">
        <v>207</v>
      </c>
      <c r="L61" s="294" t="s">
        <v>207</v>
      </c>
      <c r="M61" s="293">
        <v>24.878981919440076</v>
      </c>
      <c r="N61" s="294">
        <v>5.0600062923993985</v>
      </c>
      <c r="O61" s="293">
        <v>6.3833585682872451</v>
      </c>
      <c r="P61" s="295">
        <v>2.7411601539089547</v>
      </c>
      <c r="Q61" s="293">
        <v>25.868325018185374</v>
      </c>
      <c r="R61" s="295">
        <v>5.2612236219992665</v>
      </c>
      <c r="S61" s="296">
        <v>6.4993532540358752</v>
      </c>
      <c r="T61" s="295">
        <v>2.7909709247183798</v>
      </c>
      <c r="U61" s="293">
        <v>26.893051821253341</v>
      </c>
      <c r="V61" s="294">
        <v>5.4696374585583358</v>
      </c>
      <c r="W61" s="293">
        <v>6.6140642198221054</v>
      </c>
      <c r="X61" s="295">
        <v>2.8402304368178228</v>
      </c>
    </row>
    <row r="64" spans="1:24" x14ac:dyDescent="0.25">
      <c r="C64" s="68">
        <v>2010</v>
      </c>
      <c r="D64" s="62"/>
      <c r="E64" s="74"/>
    </row>
    <row r="65" spans="1:20" x14ac:dyDescent="0.25">
      <c r="C65" s="68">
        <v>2011</v>
      </c>
      <c r="D65" s="42"/>
      <c r="E65" s="74"/>
    </row>
    <row r="66" spans="1:20" x14ac:dyDescent="0.25">
      <c r="C66" s="68">
        <v>2012</v>
      </c>
      <c r="D66" s="62"/>
      <c r="E66" s="74"/>
    </row>
    <row r="67" spans="1:20" x14ac:dyDescent="0.25">
      <c r="C67" s="68">
        <v>2013</v>
      </c>
      <c r="D67" s="42"/>
      <c r="E67" s="74"/>
    </row>
    <row r="68" spans="1:20" x14ac:dyDescent="0.25">
      <c r="C68" s="68">
        <v>2014</v>
      </c>
      <c r="D68" s="100"/>
      <c r="E68" s="74"/>
    </row>
    <row r="69" spans="1:20" x14ac:dyDescent="0.25">
      <c r="C69" s="68">
        <v>2015</v>
      </c>
      <c r="D69" s="138"/>
      <c r="E69" s="74"/>
    </row>
    <row r="70" spans="1:20" x14ac:dyDescent="0.25">
      <c r="C70" s="69">
        <v>2016</v>
      </c>
      <c r="D70" s="45"/>
      <c r="E70" s="74"/>
    </row>
    <row r="71" spans="1:20" x14ac:dyDescent="0.25">
      <c r="C71" s="69">
        <v>2017</v>
      </c>
      <c r="D71" s="45"/>
      <c r="E71" s="74"/>
    </row>
    <row r="72" spans="1:20" x14ac:dyDescent="0.25">
      <c r="C72" s="69">
        <v>2018</v>
      </c>
      <c r="D72" s="45"/>
      <c r="E72" s="74"/>
    </row>
    <row r="73" spans="1:20" x14ac:dyDescent="0.25">
      <c r="C73" s="69">
        <v>2019</v>
      </c>
      <c r="D73" s="45"/>
      <c r="E73" s="74"/>
    </row>
    <row r="74" spans="1:20" x14ac:dyDescent="0.25">
      <c r="C74" s="69">
        <v>2020</v>
      </c>
      <c r="D74" s="45"/>
      <c r="E74" s="74"/>
    </row>
    <row r="77" spans="1:20" ht="18" x14ac:dyDescent="0.25">
      <c r="A77" s="1093" t="s">
        <v>247</v>
      </c>
      <c r="B77" s="1093"/>
      <c r="C77" s="1093"/>
      <c r="D77" s="1093"/>
      <c r="E77" s="1093"/>
      <c r="F77" s="1093"/>
      <c r="G77" s="1093"/>
      <c r="H77" s="1093"/>
      <c r="I77" s="1093"/>
      <c r="J77" s="1093"/>
      <c r="K77" s="1093"/>
      <c r="L77" s="1093"/>
      <c r="M77" s="1093"/>
      <c r="N77" s="1093"/>
      <c r="O77" s="1093"/>
      <c r="P77" s="1093"/>
      <c r="Q77" s="1093"/>
      <c r="R77" s="1093"/>
      <c r="S77" s="1093"/>
      <c r="T77" s="1093"/>
    </row>
    <row r="78" spans="1:20" ht="18" x14ac:dyDescent="0.25">
      <c r="A78" s="1094" t="s">
        <v>248</v>
      </c>
      <c r="B78" s="1094"/>
      <c r="C78" s="1094"/>
      <c r="D78" s="1094"/>
      <c r="E78" s="1094"/>
      <c r="F78" s="1094"/>
      <c r="G78" s="1094"/>
      <c r="H78" s="1094"/>
      <c r="I78" s="1094"/>
      <c r="J78" s="1094"/>
      <c r="K78" s="1094"/>
      <c r="L78" s="1094"/>
      <c r="M78" s="1094"/>
      <c r="N78" s="1094"/>
      <c r="O78" s="1094"/>
      <c r="P78" s="1094"/>
      <c r="Q78" s="1094"/>
      <c r="R78" s="1094"/>
      <c r="S78" s="1094"/>
      <c r="T78" s="1094"/>
    </row>
    <row r="79" spans="1:20" ht="15.75" thickBot="1" x14ac:dyDescent="0.3">
      <c r="A79" s="452"/>
      <c r="B79" s="452"/>
      <c r="C79" s="452"/>
      <c r="D79" s="452"/>
      <c r="E79" s="452"/>
      <c r="F79" s="452"/>
      <c r="G79" s="452"/>
      <c r="H79" s="453"/>
      <c r="I79" s="452"/>
      <c r="J79" s="454"/>
      <c r="K79" s="453"/>
      <c r="L79" s="452"/>
      <c r="M79" s="454"/>
      <c r="N79" s="453"/>
      <c r="O79" s="452"/>
      <c r="P79" s="454"/>
      <c r="Q79" s="453"/>
      <c r="R79" s="452"/>
      <c r="S79" s="449"/>
      <c r="T79" s="450"/>
    </row>
    <row r="80" spans="1:20" x14ac:dyDescent="0.25">
      <c r="A80" s="1095" t="s">
        <v>249</v>
      </c>
      <c r="B80" s="1098" t="s">
        <v>250</v>
      </c>
      <c r="C80" s="1101" t="s">
        <v>251</v>
      </c>
      <c r="D80" s="1063" t="s">
        <v>252</v>
      </c>
      <c r="E80" s="1065"/>
      <c r="F80" s="1066">
        <v>2016</v>
      </c>
      <c r="G80" s="1064"/>
      <c r="H80" s="1106"/>
      <c r="I80" s="1063">
        <f>+F80+1</f>
        <v>2017</v>
      </c>
      <c r="J80" s="1064"/>
      <c r="K80" s="1065"/>
      <c r="L80" s="1066">
        <f>+I80+1</f>
        <v>2018</v>
      </c>
      <c r="M80" s="1064"/>
      <c r="N80" s="1106"/>
      <c r="O80" s="1063">
        <f>+L80+1</f>
        <v>2019</v>
      </c>
      <c r="P80" s="1064"/>
      <c r="Q80" s="1065"/>
      <c r="R80" s="1066">
        <f>+O80+1</f>
        <v>2020</v>
      </c>
      <c r="S80" s="1064"/>
      <c r="T80" s="1065"/>
    </row>
    <row r="81" spans="1:20" x14ac:dyDescent="0.25">
      <c r="A81" s="1096"/>
      <c r="B81" s="1099"/>
      <c r="C81" s="1102"/>
      <c r="D81" s="1104"/>
      <c r="E81" s="1105"/>
      <c r="F81" s="455" t="s">
        <v>253</v>
      </c>
      <c r="G81" s="1067" t="s">
        <v>254</v>
      </c>
      <c r="H81" s="1068"/>
      <c r="I81" s="456" t="s">
        <v>253</v>
      </c>
      <c r="J81" s="1067" t="s">
        <v>254</v>
      </c>
      <c r="K81" s="1069"/>
      <c r="L81" s="455" t="s">
        <v>253</v>
      </c>
      <c r="M81" s="1067" t="s">
        <v>254</v>
      </c>
      <c r="N81" s="1068"/>
      <c r="O81" s="456" t="s">
        <v>253</v>
      </c>
      <c r="P81" s="1067" t="s">
        <v>254</v>
      </c>
      <c r="Q81" s="1069"/>
      <c r="R81" s="455" t="s">
        <v>253</v>
      </c>
      <c r="S81" s="1067" t="s">
        <v>254</v>
      </c>
      <c r="T81" s="1069"/>
    </row>
    <row r="82" spans="1:20" ht="15.75" thickBot="1" x14ac:dyDescent="0.3">
      <c r="A82" s="1097"/>
      <c r="B82" s="1100"/>
      <c r="C82" s="1103"/>
      <c r="D82" s="1091" t="s">
        <v>255</v>
      </c>
      <c r="E82" s="1092"/>
      <c r="F82" s="457" t="s">
        <v>255</v>
      </c>
      <c r="G82" s="458" t="s">
        <v>255</v>
      </c>
      <c r="H82" s="459" t="s">
        <v>256</v>
      </c>
      <c r="I82" s="460" t="s">
        <v>255</v>
      </c>
      <c r="J82" s="461" t="s">
        <v>255</v>
      </c>
      <c r="K82" s="462" t="s">
        <v>256</v>
      </c>
      <c r="L82" s="457" t="s">
        <v>255</v>
      </c>
      <c r="M82" s="461" t="s">
        <v>255</v>
      </c>
      <c r="N82" s="459" t="s">
        <v>256</v>
      </c>
      <c r="O82" s="460" t="s">
        <v>255</v>
      </c>
      <c r="P82" s="461" t="s">
        <v>255</v>
      </c>
      <c r="Q82" s="462" t="s">
        <v>256</v>
      </c>
      <c r="R82" s="457" t="s">
        <v>255</v>
      </c>
      <c r="S82" s="461" t="s">
        <v>255</v>
      </c>
      <c r="T82" s="462" t="s">
        <v>256</v>
      </c>
    </row>
  </sheetData>
  <mergeCells count="45">
    <mergeCell ref="B3:K3"/>
    <mergeCell ref="B4:K4"/>
    <mergeCell ref="B5:B6"/>
    <mergeCell ref="C5:C6"/>
    <mergeCell ref="D5:F5"/>
    <mergeCell ref="G5:I5"/>
    <mergeCell ref="J5:J6"/>
    <mergeCell ref="K5:K6"/>
    <mergeCell ref="A56:X56"/>
    <mergeCell ref="D58:D60"/>
    <mergeCell ref="E58:H58"/>
    <mergeCell ref="I58:L58"/>
    <mergeCell ref="M58:P58"/>
    <mergeCell ref="Q58:T58"/>
    <mergeCell ref="U58:X58"/>
    <mergeCell ref="A59:A60"/>
    <mergeCell ref="B59:B60"/>
    <mergeCell ref="C59:C60"/>
    <mergeCell ref="E59:F59"/>
    <mergeCell ref="G59:H59"/>
    <mergeCell ref="I59:J59"/>
    <mergeCell ref="K59:L59"/>
    <mergeCell ref="M59:N59"/>
    <mergeCell ref="O59:P59"/>
    <mergeCell ref="S81:T81"/>
    <mergeCell ref="Q59:R59"/>
    <mergeCell ref="S59:T59"/>
    <mergeCell ref="U59:V59"/>
    <mergeCell ref="W59:X59"/>
    <mergeCell ref="D82:E82"/>
    <mergeCell ref="A77:T77"/>
    <mergeCell ref="A78:T78"/>
    <mergeCell ref="A80:A82"/>
    <mergeCell ref="B80:B82"/>
    <mergeCell ref="C80:C82"/>
    <mergeCell ref="D80:E81"/>
    <mergeCell ref="F80:H80"/>
    <mergeCell ref="I80:K80"/>
    <mergeCell ref="L80:N80"/>
    <mergeCell ref="O80:Q80"/>
    <mergeCell ref="R80:T80"/>
    <mergeCell ref="G81:H81"/>
    <mergeCell ref="J81:K81"/>
    <mergeCell ref="M81:N81"/>
    <mergeCell ref="P81:Q81"/>
  </mergeCells>
  <printOptions gridLines="1"/>
  <pageMargins left="0.11811023622047245" right="0.11811023622047245" top="0.55118110236220474" bottom="0.15748031496062992" header="0" footer="0"/>
  <pageSetup paperSize="9" scale="120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theme="9" tint="0.59999389629810485"/>
  </sheetPr>
  <dimension ref="A2:X82"/>
  <sheetViews>
    <sheetView topLeftCell="A19" workbookViewId="0">
      <selection activeCell="Q21" sqref="Q21"/>
    </sheetView>
  </sheetViews>
  <sheetFormatPr baseColWidth="10" defaultRowHeight="15" x14ac:dyDescent="0.25"/>
  <cols>
    <col min="1" max="2" width="5.7109375" customWidth="1"/>
    <col min="3" max="3" width="7.7109375" customWidth="1"/>
    <col min="4" max="5" width="10.7109375" style="11" customWidth="1"/>
    <col min="6" max="6" width="11.7109375" customWidth="1"/>
    <col min="7" max="7" width="12.7109375" style="11" customWidth="1"/>
    <col min="8" max="8" width="12.7109375" customWidth="1"/>
    <col min="9" max="9" width="12.7109375" style="11" customWidth="1"/>
    <col min="10" max="11" width="10.7109375" style="11" customWidth="1"/>
    <col min="12" max="12" width="11.42578125" style="7"/>
  </cols>
  <sheetData>
    <row r="2" spans="2:16" ht="15.75" thickBot="1" x14ac:dyDescent="0.3"/>
    <row r="3" spans="2:16" ht="15.95" customHeight="1" x14ac:dyDescent="0.25">
      <c r="B3" s="1112" t="s">
        <v>221</v>
      </c>
      <c r="C3" s="1113"/>
      <c r="D3" s="1113"/>
      <c r="E3" s="1113"/>
      <c r="F3" s="1113"/>
      <c r="G3" s="1113"/>
      <c r="H3" s="1113"/>
      <c r="I3" s="1113"/>
      <c r="J3" s="1113"/>
      <c r="K3" s="1114"/>
    </row>
    <row r="4" spans="2:16" ht="15.95" customHeight="1" thickBot="1" x14ac:dyDescent="0.3">
      <c r="B4" s="1115" t="s">
        <v>245</v>
      </c>
      <c r="C4" s="1116"/>
      <c r="D4" s="1116"/>
      <c r="E4" s="1116"/>
      <c r="F4" s="1116"/>
      <c r="G4" s="1116"/>
      <c r="H4" s="1116"/>
      <c r="I4" s="1116"/>
      <c r="J4" s="1116"/>
      <c r="K4" s="1117"/>
    </row>
    <row r="5" spans="2:16" ht="15.95" customHeight="1" x14ac:dyDescent="0.25">
      <c r="B5" s="1166" t="s">
        <v>124</v>
      </c>
      <c r="C5" s="1181" t="s">
        <v>26</v>
      </c>
      <c r="D5" s="1169" t="s">
        <v>110</v>
      </c>
      <c r="E5" s="1167"/>
      <c r="F5" s="1168"/>
      <c r="G5" s="1169" t="s">
        <v>74</v>
      </c>
      <c r="H5" s="1167"/>
      <c r="I5" s="1168"/>
      <c r="J5" s="1262" t="s">
        <v>105</v>
      </c>
      <c r="K5" s="1264" t="s">
        <v>177</v>
      </c>
    </row>
    <row r="6" spans="2:16" ht="39.950000000000003" customHeight="1" x14ac:dyDescent="0.25">
      <c r="B6" s="1119"/>
      <c r="C6" s="1032"/>
      <c r="D6" s="490" t="s">
        <v>103</v>
      </c>
      <c r="E6" s="490" t="s">
        <v>102</v>
      </c>
      <c r="F6" s="330" t="s">
        <v>178</v>
      </c>
      <c r="G6" s="257" t="s">
        <v>243</v>
      </c>
      <c r="H6" s="38" t="s">
        <v>232</v>
      </c>
      <c r="I6" s="257" t="s">
        <v>238</v>
      </c>
      <c r="J6" s="1263"/>
      <c r="K6" s="1265"/>
      <c r="L6" s="6" t="s">
        <v>206</v>
      </c>
      <c r="M6" s="85" t="s">
        <v>73</v>
      </c>
      <c r="N6" s="38" t="s">
        <v>240</v>
      </c>
    </row>
    <row r="7" spans="2:16" ht="15" customHeight="1" x14ac:dyDescent="0.25">
      <c r="B7" s="201"/>
      <c r="C7" s="68">
        <v>2014</v>
      </c>
      <c r="D7" s="62"/>
      <c r="E7" s="100"/>
      <c r="F7" s="175"/>
      <c r="G7" s="40"/>
      <c r="H7" s="40"/>
      <c r="I7" s="40"/>
      <c r="J7" s="119">
        <v>80</v>
      </c>
      <c r="K7" s="179">
        <f t="shared" ref="K7:K18" si="0">J7-40</f>
        <v>40</v>
      </c>
      <c r="L7" s="263"/>
      <c r="M7" s="175"/>
      <c r="N7" s="50"/>
      <c r="O7" s="73"/>
      <c r="P7" s="73"/>
    </row>
    <row r="8" spans="2:16" ht="15" customHeight="1" x14ac:dyDescent="0.25">
      <c r="B8" s="201"/>
      <c r="C8" s="68">
        <v>2015</v>
      </c>
      <c r="D8" s="62"/>
      <c r="E8" s="138"/>
      <c r="F8" s="175"/>
      <c r="G8" s="40"/>
      <c r="H8" s="40"/>
      <c r="I8" s="40"/>
      <c r="J8" s="119">
        <v>80</v>
      </c>
      <c r="K8" s="179">
        <f t="shared" si="0"/>
        <v>40</v>
      </c>
      <c r="L8" s="263"/>
      <c r="M8" s="50"/>
      <c r="N8" s="50"/>
      <c r="O8" s="73"/>
      <c r="P8" s="73"/>
    </row>
    <row r="9" spans="2:16" ht="15" customHeight="1" x14ac:dyDescent="0.25">
      <c r="B9" s="201"/>
      <c r="C9" s="68">
        <v>2016</v>
      </c>
      <c r="D9" s="62"/>
      <c r="E9" s="40"/>
      <c r="F9" s="175"/>
      <c r="G9" s="40"/>
      <c r="H9" s="40"/>
      <c r="I9" s="40"/>
      <c r="J9" s="119">
        <v>80</v>
      </c>
      <c r="K9" s="179">
        <f t="shared" si="0"/>
        <v>40</v>
      </c>
      <c r="L9" s="273" t="e">
        <f>AVERAGE(L7:L8)</f>
        <v>#DIV/0!</v>
      </c>
      <c r="M9" s="175"/>
      <c r="N9" s="50"/>
      <c r="O9" s="73"/>
      <c r="P9" s="73"/>
    </row>
    <row r="10" spans="2:16" ht="15" customHeight="1" x14ac:dyDescent="0.25">
      <c r="B10" s="201"/>
      <c r="C10" s="68">
        <v>2017</v>
      </c>
      <c r="D10" s="62"/>
      <c r="E10" s="40"/>
      <c r="F10" s="175"/>
      <c r="G10" s="40"/>
      <c r="H10" s="40"/>
      <c r="I10" s="40"/>
      <c r="J10" s="119">
        <v>80</v>
      </c>
      <c r="K10" s="179">
        <f t="shared" si="0"/>
        <v>40</v>
      </c>
      <c r="L10" s="40"/>
      <c r="M10" s="50"/>
      <c r="N10" s="50"/>
      <c r="O10" s="73"/>
      <c r="P10" s="73"/>
    </row>
    <row r="11" spans="2:16" ht="15" customHeight="1" x14ac:dyDescent="0.25">
      <c r="B11" s="202"/>
      <c r="C11" s="69">
        <v>2018</v>
      </c>
      <c r="D11" s="109"/>
      <c r="E11" s="55"/>
      <c r="F11" s="187"/>
      <c r="G11" s="419"/>
      <c r="H11" s="421"/>
      <c r="I11" s="423"/>
      <c r="J11" s="119">
        <v>80</v>
      </c>
      <c r="K11" s="179">
        <f t="shared" si="0"/>
        <v>40</v>
      </c>
      <c r="L11" s="40"/>
      <c r="M11" s="175"/>
      <c r="N11" s="390"/>
      <c r="O11" s="73"/>
      <c r="P11" s="73"/>
    </row>
    <row r="12" spans="2:16" ht="15" customHeight="1" x14ac:dyDescent="0.25">
      <c r="B12" s="202"/>
      <c r="C12" s="69">
        <v>2019</v>
      </c>
      <c r="D12" s="109"/>
      <c r="E12" s="55"/>
      <c r="F12" s="187"/>
      <c r="G12" s="419"/>
      <c r="H12" s="421"/>
      <c r="I12" s="423"/>
      <c r="J12" s="119">
        <v>80</v>
      </c>
      <c r="K12" s="179">
        <f t="shared" si="0"/>
        <v>40</v>
      </c>
      <c r="L12" s="40"/>
      <c r="M12" s="402"/>
      <c r="N12" s="390"/>
      <c r="O12" s="73"/>
      <c r="P12" s="73"/>
    </row>
    <row r="13" spans="2:16" ht="15" customHeight="1" x14ac:dyDescent="0.25">
      <c r="B13" s="202"/>
      <c r="C13" s="69">
        <v>2020</v>
      </c>
      <c r="D13" s="109"/>
      <c r="E13" s="55"/>
      <c r="F13" s="187"/>
      <c r="G13" s="419"/>
      <c r="H13" s="421"/>
      <c r="I13" s="423"/>
      <c r="J13" s="119">
        <v>80</v>
      </c>
      <c r="K13" s="179">
        <f t="shared" si="0"/>
        <v>40</v>
      </c>
      <c r="L13" s="40"/>
      <c r="M13" s="402"/>
      <c r="N13" s="390" t="e">
        <f>(F13-F12)/F12</f>
        <v>#DIV/0!</v>
      </c>
      <c r="O13" s="73"/>
      <c r="P13" s="73"/>
    </row>
    <row r="14" spans="2:16" ht="15" customHeight="1" x14ac:dyDescent="0.25">
      <c r="B14" s="202"/>
      <c r="C14" s="69">
        <v>2021</v>
      </c>
      <c r="D14" s="109"/>
      <c r="E14" s="55"/>
      <c r="F14" s="187"/>
      <c r="G14" s="419"/>
      <c r="H14" s="421"/>
      <c r="I14" s="423"/>
      <c r="J14" s="119">
        <v>80</v>
      </c>
      <c r="K14" s="179">
        <f t="shared" si="0"/>
        <v>40</v>
      </c>
      <c r="L14" s="40"/>
      <c r="M14" s="402" t="e">
        <f t="shared" ref="M14:M22" si="1">(E14-E13)/E13</f>
        <v>#DIV/0!</v>
      </c>
      <c r="N14" s="390" t="e">
        <f>(F14-F13)/F13</f>
        <v>#DIV/0!</v>
      </c>
      <c r="O14" s="73"/>
      <c r="P14" s="73"/>
    </row>
    <row r="15" spans="2:16" ht="15" customHeight="1" x14ac:dyDescent="0.25">
      <c r="B15" s="202"/>
      <c r="C15" s="69">
        <v>2022</v>
      </c>
      <c r="D15" s="109"/>
      <c r="E15" s="55"/>
      <c r="F15" s="187"/>
      <c r="G15" s="419"/>
      <c r="H15" s="421"/>
      <c r="I15" s="423"/>
      <c r="J15" s="119">
        <v>80</v>
      </c>
      <c r="K15" s="179">
        <f t="shared" si="0"/>
        <v>40</v>
      </c>
      <c r="L15" s="40"/>
      <c r="M15" s="402" t="e">
        <f t="shared" si="1"/>
        <v>#DIV/0!</v>
      </c>
      <c r="N15" s="390" t="e">
        <f>(F15-F14)/F14</f>
        <v>#DIV/0!</v>
      </c>
      <c r="O15" s="73"/>
      <c r="P15" s="73"/>
    </row>
    <row r="16" spans="2:16" ht="15" customHeight="1" x14ac:dyDescent="0.25">
      <c r="B16" s="202"/>
      <c r="C16" s="69">
        <v>2023</v>
      </c>
      <c r="D16" s="109"/>
      <c r="E16" s="55"/>
      <c r="F16" s="187"/>
      <c r="G16" s="419"/>
      <c r="H16" s="421"/>
      <c r="I16" s="423"/>
      <c r="J16" s="119">
        <v>80</v>
      </c>
      <c r="K16" s="179">
        <f t="shared" si="0"/>
        <v>40</v>
      </c>
      <c r="L16" s="258"/>
      <c r="M16" s="402" t="e">
        <f t="shared" si="1"/>
        <v>#DIV/0!</v>
      </c>
      <c r="N16" s="390" t="e">
        <f>(F16-F15)/F15</f>
        <v>#DIV/0!</v>
      </c>
      <c r="O16" s="73"/>
      <c r="P16" s="73"/>
    </row>
    <row r="17" spans="2:16" ht="15" customHeight="1" x14ac:dyDescent="0.25">
      <c r="B17" s="202"/>
      <c r="C17" s="69">
        <v>2024</v>
      </c>
      <c r="D17" s="109"/>
      <c r="E17" s="55"/>
      <c r="F17" s="187"/>
      <c r="G17" s="419"/>
      <c r="H17" s="421"/>
      <c r="I17" s="423"/>
      <c r="J17" s="119">
        <v>80</v>
      </c>
      <c r="K17" s="179">
        <f t="shared" si="0"/>
        <v>40</v>
      </c>
      <c r="L17" s="40"/>
      <c r="M17" s="402" t="e">
        <f t="shared" si="1"/>
        <v>#DIV/0!</v>
      </c>
      <c r="N17" s="390" t="e">
        <f>(F17-F16)/F16</f>
        <v>#DIV/0!</v>
      </c>
      <c r="O17" s="73"/>
      <c r="P17" s="73"/>
    </row>
    <row r="18" spans="2:16" ht="15" customHeight="1" x14ac:dyDescent="0.25">
      <c r="B18" s="202"/>
      <c r="C18" s="69">
        <v>2025</v>
      </c>
      <c r="D18" s="109"/>
      <c r="E18" s="55"/>
      <c r="F18" s="187"/>
      <c r="G18" s="419"/>
      <c r="H18" s="421"/>
      <c r="I18" s="423"/>
      <c r="J18" s="119">
        <v>80</v>
      </c>
      <c r="K18" s="179">
        <f t="shared" si="0"/>
        <v>40</v>
      </c>
      <c r="L18" s="40"/>
      <c r="M18" s="402" t="e">
        <f t="shared" si="1"/>
        <v>#DIV/0!</v>
      </c>
      <c r="N18" s="390"/>
      <c r="O18" s="73"/>
      <c r="P18" s="73"/>
    </row>
    <row r="19" spans="2:16" x14ac:dyDescent="0.25">
      <c r="B19" s="202"/>
      <c r="C19" s="69">
        <v>2026</v>
      </c>
      <c r="D19" s="109"/>
      <c r="E19" s="55"/>
      <c r="F19" s="187"/>
      <c r="G19" s="419"/>
      <c r="H19" s="421"/>
      <c r="I19" s="423"/>
      <c r="J19" s="119">
        <v>80</v>
      </c>
      <c r="K19" s="179">
        <f>J19-40</f>
        <v>40</v>
      </c>
      <c r="L19" s="40"/>
      <c r="M19" s="402" t="e">
        <f t="shared" si="1"/>
        <v>#DIV/0!</v>
      </c>
      <c r="N19" s="390"/>
      <c r="O19" s="73"/>
      <c r="P19" s="73"/>
    </row>
    <row r="20" spans="2:16" ht="15.75" thickBot="1" x14ac:dyDescent="0.3">
      <c r="B20" s="203"/>
      <c r="C20" s="252">
        <v>2027</v>
      </c>
      <c r="D20" s="247"/>
      <c r="E20" s="208"/>
      <c r="F20" s="253"/>
      <c r="G20" s="420"/>
      <c r="H20" s="422"/>
      <c r="I20" s="424"/>
      <c r="J20" s="193">
        <v>80</v>
      </c>
      <c r="K20" s="181">
        <f>J20-40</f>
        <v>40</v>
      </c>
      <c r="L20" s="40"/>
      <c r="M20" s="402" t="e">
        <f t="shared" si="1"/>
        <v>#DIV/0!</v>
      </c>
      <c r="N20" s="390"/>
      <c r="O20" s="73"/>
      <c r="P20" s="73"/>
    </row>
    <row r="21" spans="2:16" x14ac:dyDescent="0.25">
      <c r="M21" s="402" t="e">
        <f t="shared" si="1"/>
        <v>#DIV/0!</v>
      </c>
      <c r="N21" s="75"/>
    </row>
    <row r="22" spans="2:16" x14ac:dyDescent="0.25">
      <c r="M22" s="402" t="e">
        <f t="shared" si="1"/>
        <v>#DIV/0!</v>
      </c>
      <c r="N22" s="250"/>
    </row>
    <row r="23" spans="2:16" x14ac:dyDescent="0.25">
      <c r="M23" s="430" t="e">
        <f>AVERAGE(M14:M22)</f>
        <v>#DIV/0!</v>
      </c>
      <c r="N23" s="397" t="e">
        <f>AVERAGE(N14:N17)</f>
        <v>#DIV/0!</v>
      </c>
    </row>
    <row r="24" spans="2:16" x14ac:dyDescent="0.25">
      <c r="M24" s="5"/>
      <c r="N24" s="5"/>
    </row>
    <row r="25" spans="2:16" x14ac:dyDescent="0.25">
      <c r="M25" s="5"/>
      <c r="N25" s="5"/>
    </row>
    <row r="26" spans="2:16" x14ac:dyDescent="0.25">
      <c r="M26" s="5"/>
      <c r="N26" s="5"/>
    </row>
    <row r="27" spans="2:16" x14ac:dyDescent="0.25">
      <c r="M27" s="5"/>
      <c r="N27" s="5"/>
    </row>
    <row r="28" spans="2:16" x14ac:dyDescent="0.25">
      <c r="M28" s="5"/>
      <c r="N28" s="5"/>
    </row>
    <row r="29" spans="2:16" x14ac:dyDescent="0.25">
      <c r="M29" s="5"/>
      <c r="N29" s="5"/>
    </row>
    <row r="30" spans="2:16" x14ac:dyDescent="0.25">
      <c r="M30" s="5"/>
      <c r="N30" s="5"/>
    </row>
    <row r="31" spans="2:16" x14ac:dyDescent="0.25">
      <c r="M31" s="5"/>
      <c r="N31" s="5"/>
    </row>
    <row r="32" spans="2:16" x14ac:dyDescent="0.25">
      <c r="M32" s="5"/>
      <c r="N32" s="5"/>
    </row>
    <row r="33" spans="13:15" x14ac:dyDescent="0.25">
      <c r="M33" s="5"/>
      <c r="N33" s="5"/>
    </row>
    <row r="34" spans="13:15" x14ac:dyDescent="0.25">
      <c r="M34" s="5"/>
      <c r="N34" s="5"/>
    </row>
    <row r="35" spans="13:15" x14ac:dyDescent="0.25">
      <c r="M35" s="5"/>
      <c r="N35" s="5"/>
    </row>
    <row r="36" spans="13:15" x14ac:dyDescent="0.25">
      <c r="M36" s="5"/>
      <c r="N36" s="5"/>
    </row>
    <row r="37" spans="13:15" x14ac:dyDescent="0.25">
      <c r="M37" s="5"/>
      <c r="N37" s="5"/>
    </row>
    <row r="38" spans="13:15" x14ac:dyDescent="0.25">
      <c r="M38" s="5"/>
      <c r="N38" s="5"/>
    </row>
    <row r="39" spans="13:15" x14ac:dyDescent="0.25">
      <c r="M39" s="5"/>
      <c r="N39" s="5"/>
    </row>
    <row r="40" spans="13:15" x14ac:dyDescent="0.25">
      <c r="M40" s="5"/>
      <c r="N40" s="5"/>
    </row>
    <row r="41" spans="13:15" x14ac:dyDescent="0.25">
      <c r="M41" s="5"/>
      <c r="N41" s="5"/>
    </row>
    <row r="42" spans="13:15" x14ac:dyDescent="0.25">
      <c r="N42">
        <v>2023</v>
      </c>
      <c r="O42">
        <v>0</v>
      </c>
    </row>
    <row r="43" spans="13:15" x14ac:dyDescent="0.25">
      <c r="N43">
        <v>2023</v>
      </c>
      <c r="O43">
        <v>10</v>
      </c>
    </row>
    <row r="44" spans="13:15" x14ac:dyDescent="0.25">
      <c r="N44">
        <v>2023</v>
      </c>
      <c r="O44">
        <v>20</v>
      </c>
    </row>
    <row r="45" spans="13:15" x14ac:dyDescent="0.25">
      <c r="N45">
        <v>2023</v>
      </c>
      <c r="O45">
        <v>30</v>
      </c>
    </row>
    <row r="46" spans="13:15" x14ac:dyDescent="0.25">
      <c r="N46">
        <v>2023</v>
      </c>
      <c r="O46">
        <v>40</v>
      </c>
    </row>
    <row r="47" spans="13:15" x14ac:dyDescent="0.25">
      <c r="N47">
        <v>2023</v>
      </c>
      <c r="O47">
        <v>50</v>
      </c>
    </row>
    <row r="48" spans="13:15" x14ac:dyDescent="0.25">
      <c r="N48">
        <v>2023</v>
      </c>
      <c r="O48">
        <v>60</v>
      </c>
    </row>
    <row r="49" spans="1:24" x14ac:dyDescent="0.25">
      <c r="N49">
        <v>2023</v>
      </c>
      <c r="O49">
        <v>70</v>
      </c>
    </row>
    <row r="50" spans="1:24" x14ac:dyDescent="0.25">
      <c r="N50">
        <v>2023</v>
      </c>
      <c r="O50">
        <v>80</v>
      </c>
    </row>
    <row r="51" spans="1:24" x14ac:dyDescent="0.25">
      <c r="N51">
        <v>2023</v>
      </c>
      <c r="O51">
        <v>90</v>
      </c>
    </row>
    <row r="53" spans="1:24" x14ac:dyDescent="0.25">
      <c r="A53" s="224" t="s">
        <v>160</v>
      </c>
      <c r="B53" s="25" t="s">
        <v>50</v>
      </c>
      <c r="C53" s="221" t="s">
        <v>24</v>
      </c>
      <c r="D53" s="235"/>
      <c r="F53" s="234"/>
      <c r="H53" s="235">
        <v>0</v>
      </c>
      <c r="I53" s="236">
        <v>0</v>
      </c>
    </row>
    <row r="54" spans="1:24" x14ac:dyDescent="0.25">
      <c r="D54"/>
      <c r="E54"/>
      <c r="G54"/>
      <c r="I54"/>
      <c r="J54"/>
      <c r="K54"/>
      <c r="L54"/>
    </row>
    <row r="55" spans="1:24" ht="15.75" thickBot="1" x14ac:dyDescent="0.3"/>
    <row r="56" spans="1:24" ht="16.5" thickBot="1" x14ac:dyDescent="0.3">
      <c r="A56" s="1271" t="s">
        <v>201</v>
      </c>
      <c r="B56" s="1272"/>
      <c r="C56" s="1272"/>
      <c r="D56" s="1272"/>
      <c r="E56" s="1272"/>
      <c r="F56" s="1272"/>
      <c r="G56" s="1272"/>
      <c r="H56" s="1272"/>
      <c r="I56" s="1272"/>
      <c r="J56" s="1272"/>
      <c r="K56" s="1272"/>
      <c r="L56" s="1272"/>
      <c r="M56" s="1272"/>
      <c r="N56" s="1272"/>
      <c r="O56" s="1272"/>
      <c r="P56" s="1272"/>
      <c r="Q56" s="1272"/>
      <c r="R56" s="1272"/>
      <c r="S56" s="1272"/>
      <c r="T56" s="1272"/>
      <c r="U56" s="1272"/>
      <c r="V56" s="1272"/>
      <c r="W56" s="1272"/>
      <c r="X56" s="1273"/>
    </row>
    <row r="57" spans="1:24" ht="15.75" thickBot="1" x14ac:dyDescent="0.3">
      <c r="A57" s="286"/>
      <c r="B57" s="286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6"/>
      <c r="N57" s="286"/>
      <c r="O57" s="286"/>
      <c r="P57" s="286"/>
      <c r="Q57" s="286"/>
      <c r="R57" s="286"/>
      <c r="S57" s="286"/>
      <c r="T57" s="286"/>
      <c r="U57" s="286"/>
      <c r="V57" s="286"/>
      <c r="W57" s="286"/>
      <c r="X57" s="286"/>
    </row>
    <row r="58" spans="1:24" ht="15.75" thickBot="1" x14ac:dyDescent="0.3">
      <c r="A58" s="287"/>
      <c r="B58" s="287"/>
      <c r="C58" s="288"/>
      <c r="D58" s="1274" t="s">
        <v>202</v>
      </c>
      <c r="E58" s="1277">
        <v>2016</v>
      </c>
      <c r="F58" s="1278"/>
      <c r="G58" s="1278"/>
      <c r="H58" s="1279"/>
      <c r="I58" s="1277">
        <f>+E58+1</f>
        <v>2017</v>
      </c>
      <c r="J58" s="1278"/>
      <c r="K58" s="1278"/>
      <c r="L58" s="1279"/>
      <c r="M58" s="1277">
        <f>+I58+1</f>
        <v>2018</v>
      </c>
      <c r="N58" s="1278"/>
      <c r="O58" s="1278"/>
      <c r="P58" s="1279"/>
      <c r="Q58" s="1277">
        <f>+M58+1</f>
        <v>2019</v>
      </c>
      <c r="R58" s="1278"/>
      <c r="S58" s="1278"/>
      <c r="T58" s="1279"/>
      <c r="U58" s="1277">
        <f>+Q58+1</f>
        <v>2020</v>
      </c>
      <c r="V58" s="1278"/>
      <c r="W58" s="1278"/>
      <c r="X58" s="1279"/>
    </row>
    <row r="59" spans="1:24" x14ac:dyDescent="0.25">
      <c r="A59" s="1280" t="s">
        <v>203</v>
      </c>
      <c r="B59" s="1282" t="s">
        <v>204</v>
      </c>
      <c r="C59" s="1284" t="s">
        <v>88</v>
      </c>
      <c r="D59" s="1275"/>
      <c r="E59" s="1286" t="s">
        <v>197</v>
      </c>
      <c r="F59" s="1287"/>
      <c r="G59" s="1286" t="s">
        <v>198</v>
      </c>
      <c r="H59" s="1288"/>
      <c r="I59" s="1286" t="s">
        <v>197</v>
      </c>
      <c r="J59" s="1288"/>
      <c r="K59" s="1289" t="s">
        <v>198</v>
      </c>
      <c r="L59" s="1288"/>
      <c r="M59" s="1286" t="s">
        <v>197</v>
      </c>
      <c r="N59" s="1288"/>
      <c r="O59" s="1286" t="s">
        <v>198</v>
      </c>
      <c r="P59" s="1288"/>
      <c r="Q59" s="1267" t="s">
        <v>197</v>
      </c>
      <c r="R59" s="1268"/>
      <c r="S59" s="1267" t="s">
        <v>198</v>
      </c>
      <c r="T59" s="1268"/>
      <c r="U59" s="1267" t="s">
        <v>197</v>
      </c>
      <c r="V59" s="1269"/>
      <c r="W59" s="1267" t="s">
        <v>198</v>
      </c>
      <c r="X59" s="1268"/>
    </row>
    <row r="60" spans="1:24" ht="15.75" thickBot="1" x14ac:dyDescent="0.3">
      <c r="A60" s="1281"/>
      <c r="B60" s="1283"/>
      <c r="C60" s="1285"/>
      <c r="D60" s="1276"/>
      <c r="E60" s="274" t="s">
        <v>199</v>
      </c>
      <c r="F60" s="275" t="s">
        <v>200</v>
      </c>
      <c r="G60" s="274" t="s">
        <v>199</v>
      </c>
      <c r="H60" s="276" t="s">
        <v>200</v>
      </c>
      <c r="I60" s="274" t="s">
        <v>199</v>
      </c>
      <c r="J60" s="276" t="s">
        <v>200</v>
      </c>
      <c r="K60" s="277" t="s">
        <v>199</v>
      </c>
      <c r="L60" s="276" t="s">
        <v>200</v>
      </c>
      <c r="M60" s="274" t="s">
        <v>199</v>
      </c>
      <c r="N60" s="276" t="s">
        <v>200</v>
      </c>
      <c r="O60" s="274" t="s">
        <v>199</v>
      </c>
      <c r="P60" s="276" t="s">
        <v>200</v>
      </c>
      <c r="Q60" s="274" t="s">
        <v>199</v>
      </c>
      <c r="R60" s="276" t="s">
        <v>200</v>
      </c>
      <c r="S60" s="274" t="s">
        <v>199</v>
      </c>
      <c r="T60" s="276" t="s">
        <v>200</v>
      </c>
      <c r="U60" s="274" t="s">
        <v>199</v>
      </c>
      <c r="V60" s="275" t="s">
        <v>200</v>
      </c>
      <c r="W60" s="274" t="s">
        <v>199</v>
      </c>
      <c r="X60" s="276" t="s">
        <v>200</v>
      </c>
    </row>
    <row r="61" spans="1:24" x14ac:dyDescent="0.25">
      <c r="A61" s="289" t="s">
        <v>205</v>
      </c>
      <c r="B61" s="290"/>
      <c r="C61" s="289" t="s">
        <v>237</v>
      </c>
      <c r="D61" s="292" t="s">
        <v>24</v>
      </c>
      <c r="E61" s="293" t="s">
        <v>207</v>
      </c>
      <c r="F61" s="294" t="s">
        <v>207</v>
      </c>
      <c r="G61" s="293" t="s">
        <v>207</v>
      </c>
      <c r="H61" s="294" t="s">
        <v>207</v>
      </c>
      <c r="I61" s="293" t="s">
        <v>207</v>
      </c>
      <c r="J61" s="294" t="s">
        <v>207</v>
      </c>
      <c r="K61" s="293" t="s">
        <v>207</v>
      </c>
      <c r="L61" s="294" t="s">
        <v>207</v>
      </c>
      <c r="M61" s="293" t="s">
        <v>207</v>
      </c>
      <c r="N61" s="294" t="s">
        <v>207</v>
      </c>
      <c r="O61" s="293" t="s">
        <v>207</v>
      </c>
      <c r="P61" s="294" t="s">
        <v>207</v>
      </c>
      <c r="Q61" s="293" t="s">
        <v>207</v>
      </c>
      <c r="R61" s="294" t="s">
        <v>207</v>
      </c>
      <c r="S61" s="293" t="s">
        <v>207</v>
      </c>
      <c r="T61" s="294" t="s">
        <v>207</v>
      </c>
      <c r="U61" s="293">
        <v>14.91848288900888</v>
      </c>
      <c r="V61" s="294">
        <v>3.3414700954467969</v>
      </c>
      <c r="W61" s="293">
        <v>3.8236581981504134</v>
      </c>
      <c r="X61" s="295">
        <v>1.4026899358082296</v>
      </c>
    </row>
    <row r="64" spans="1:24" x14ac:dyDescent="0.25">
      <c r="C64" s="68">
        <v>2010</v>
      </c>
      <c r="D64" s="62"/>
      <c r="E64" s="74"/>
    </row>
    <row r="65" spans="1:20" x14ac:dyDescent="0.25">
      <c r="C65" s="68">
        <v>2011</v>
      </c>
      <c r="D65" s="42"/>
      <c r="E65" s="74"/>
    </row>
    <row r="66" spans="1:20" x14ac:dyDescent="0.25">
      <c r="C66" s="68">
        <v>2012</v>
      </c>
      <c r="D66" s="62"/>
      <c r="E66" s="74"/>
    </row>
    <row r="67" spans="1:20" x14ac:dyDescent="0.25">
      <c r="C67" s="68">
        <v>2013</v>
      </c>
      <c r="D67" s="42"/>
      <c r="E67" s="74"/>
    </row>
    <row r="68" spans="1:20" x14ac:dyDescent="0.25">
      <c r="C68" s="68">
        <v>2014</v>
      </c>
      <c r="D68" s="100"/>
      <c r="E68" s="74"/>
    </row>
    <row r="69" spans="1:20" x14ac:dyDescent="0.25">
      <c r="C69" s="68">
        <v>2015</v>
      </c>
      <c r="D69" s="138"/>
      <c r="E69" s="74"/>
    </row>
    <row r="70" spans="1:20" x14ac:dyDescent="0.25">
      <c r="C70" s="69">
        <v>2016</v>
      </c>
      <c r="D70" s="45"/>
      <c r="E70" s="74"/>
    </row>
    <row r="71" spans="1:20" x14ac:dyDescent="0.25">
      <c r="C71" s="69">
        <v>2017</v>
      </c>
      <c r="D71" s="45"/>
      <c r="E71" s="74"/>
    </row>
    <row r="72" spans="1:20" x14ac:dyDescent="0.25">
      <c r="C72" s="69">
        <v>2018</v>
      </c>
      <c r="D72" s="45"/>
      <c r="E72" s="74"/>
    </row>
    <row r="73" spans="1:20" x14ac:dyDescent="0.25">
      <c r="C73" s="69">
        <v>2019</v>
      </c>
      <c r="D73" s="45"/>
      <c r="E73" s="74"/>
    </row>
    <row r="74" spans="1:20" x14ac:dyDescent="0.25">
      <c r="C74" s="69">
        <v>2020</v>
      </c>
      <c r="D74" s="45"/>
      <c r="E74" s="74"/>
    </row>
    <row r="77" spans="1:20" ht="18" x14ac:dyDescent="0.25">
      <c r="A77" s="1093" t="s">
        <v>247</v>
      </c>
      <c r="B77" s="1093"/>
      <c r="C77" s="1093"/>
      <c r="D77" s="1093"/>
      <c r="E77" s="1093"/>
      <c r="F77" s="1093"/>
      <c r="G77" s="1093"/>
      <c r="H77" s="1093"/>
      <c r="I77" s="1093"/>
      <c r="J77" s="1093"/>
      <c r="K77" s="1093"/>
      <c r="L77" s="1093"/>
      <c r="M77" s="1093"/>
      <c r="N77" s="1093"/>
      <c r="O77" s="1093"/>
      <c r="P77" s="1093"/>
      <c r="Q77" s="1093"/>
      <c r="R77" s="1093"/>
      <c r="S77" s="1093"/>
      <c r="T77" s="1093"/>
    </row>
    <row r="78" spans="1:20" ht="18" x14ac:dyDescent="0.25">
      <c r="A78" s="1094" t="s">
        <v>248</v>
      </c>
      <c r="B78" s="1094"/>
      <c r="C78" s="1094"/>
      <c r="D78" s="1094"/>
      <c r="E78" s="1094"/>
      <c r="F78" s="1094"/>
      <c r="G78" s="1094"/>
      <c r="H78" s="1094"/>
      <c r="I78" s="1094"/>
      <c r="J78" s="1094"/>
      <c r="K78" s="1094"/>
      <c r="L78" s="1094"/>
      <c r="M78" s="1094"/>
      <c r="N78" s="1094"/>
      <c r="O78" s="1094"/>
      <c r="P78" s="1094"/>
      <c r="Q78" s="1094"/>
      <c r="R78" s="1094"/>
      <c r="S78" s="1094"/>
      <c r="T78" s="1094"/>
    </row>
    <row r="79" spans="1:20" ht="15.75" thickBot="1" x14ac:dyDescent="0.3">
      <c r="A79" s="452"/>
      <c r="B79" s="452"/>
      <c r="C79" s="452"/>
      <c r="D79" s="452"/>
      <c r="E79" s="452"/>
      <c r="F79" s="452"/>
      <c r="G79" s="452"/>
      <c r="H79" s="453"/>
      <c r="I79" s="452"/>
      <c r="J79" s="454"/>
      <c r="K79" s="453"/>
      <c r="L79" s="452"/>
      <c r="M79" s="454"/>
      <c r="N79" s="453"/>
      <c r="O79" s="452"/>
      <c r="P79" s="454"/>
      <c r="Q79" s="453"/>
      <c r="R79" s="452"/>
      <c r="S79" s="449"/>
      <c r="T79" s="450"/>
    </row>
    <row r="80" spans="1:20" x14ac:dyDescent="0.25">
      <c r="A80" s="1095" t="s">
        <v>249</v>
      </c>
      <c r="B80" s="1098" t="s">
        <v>250</v>
      </c>
      <c r="C80" s="1101" t="s">
        <v>251</v>
      </c>
      <c r="D80" s="1063" t="s">
        <v>252</v>
      </c>
      <c r="E80" s="1065"/>
      <c r="F80" s="1066">
        <v>2016</v>
      </c>
      <c r="G80" s="1064"/>
      <c r="H80" s="1106"/>
      <c r="I80" s="1063">
        <f>+F80+1</f>
        <v>2017</v>
      </c>
      <c r="J80" s="1064"/>
      <c r="K80" s="1065"/>
      <c r="L80" s="1066">
        <f>+I80+1</f>
        <v>2018</v>
      </c>
      <c r="M80" s="1064"/>
      <c r="N80" s="1106"/>
      <c r="O80" s="1063">
        <f>+L80+1</f>
        <v>2019</v>
      </c>
      <c r="P80" s="1064"/>
      <c r="Q80" s="1065"/>
      <c r="R80" s="1066">
        <f>+O80+1</f>
        <v>2020</v>
      </c>
      <c r="S80" s="1064"/>
      <c r="T80" s="1065"/>
    </row>
    <row r="81" spans="1:20" x14ac:dyDescent="0.25">
      <c r="A81" s="1096"/>
      <c r="B81" s="1099"/>
      <c r="C81" s="1102"/>
      <c r="D81" s="1104"/>
      <c r="E81" s="1105"/>
      <c r="F81" s="455" t="s">
        <v>253</v>
      </c>
      <c r="G81" s="1067" t="s">
        <v>254</v>
      </c>
      <c r="H81" s="1068"/>
      <c r="I81" s="456" t="s">
        <v>253</v>
      </c>
      <c r="J81" s="1067" t="s">
        <v>254</v>
      </c>
      <c r="K81" s="1069"/>
      <c r="L81" s="455" t="s">
        <v>253</v>
      </c>
      <c r="M81" s="1067" t="s">
        <v>254</v>
      </c>
      <c r="N81" s="1068"/>
      <c r="O81" s="456" t="s">
        <v>253</v>
      </c>
      <c r="P81" s="1067" t="s">
        <v>254</v>
      </c>
      <c r="Q81" s="1069"/>
      <c r="R81" s="455" t="s">
        <v>253</v>
      </c>
      <c r="S81" s="1067" t="s">
        <v>254</v>
      </c>
      <c r="T81" s="1069"/>
    </row>
    <row r="82" spans="1:20" ht="15.75" thickBot="1" x14ac:dyDescent="0.3">
      <c r="A82" s="1097"/>
      <c r="B82" s="1100"/>
      <c r="C82" s="1103"/>
      <c r="D82" s="1091" t="s">
        <v>255</v>
      </c>
      <c r="E82" s="1092"/>
      <c r="F82" s="457" t="s">
        <v>255</v>
      </c>
      <c r="G82" s="458" t="s">
        <v>255</v>
      </c>
      <c r="H82" s="459" t="s">
        <v>256</v>
      </c>
      <c r="I82" s="460" t="s">
        <v>255</v>
      </c>
      <c r="J82" s="461" t="s">
        <v>255</v>
      </c>
      <c r="K82" s="462" t="s">
        <v>256</v>
      </c>
      <c r="L82" s="457" t="s">
        <v>255</v>
      </c>
      <c r="M82" s="461" t="s">
        <v>255</v>
      </c>
      <c r="N82" s="459" t="s">
        <v>256</v>
      </c>
      <c r="O82" s="460" t="s">
        <v>255</v>
      </c>
      <c r="P82" s="461" t="s">
        <v>255</v>
      </c>
      <c r="Q82" s="462" t="s">
        <v>256</v>
      </c>
      <c r="R82" s="457" t="s">
        <v>255</v>
      </c>
      <c r="S82" s="461" t="s">
        <v>255</v>
      </c>
      <c r="T82" s="462" t="s">
        <v>256</v>
      </c>
    </row>
  </sheetData>
  <mergeCells count="45">
    <mergeCell ref="B3:K3"/>
    <mergeCell ref="B4:K4"/>
    <mergeCell ref="B5:B6"/>
    <mergeCell ref="C5:C6"/>
    <mergeCell ref="D5:F5"/>
    <mergeCell ref="G5:I5"/>
    <mergeCell ref="J5:J6"/>
    <mergeCell ref="K5:K6"/>
    <mergeCell ref="A56:X56"/>
    <mergeCell ref="D58:D60"/>
    <mergeCell ref="E58:H58"/>
    <mergeCell ref="I58:L58"/>
    <mergeCell ref="M58:P58"/>
    <mergeCell ref="Q58:T58"/>
    <mergeCell ref="U58:X58"/>
    <mergeCell ref="A59:A60"/>
    <mergeCell ref="B59:B60"/>
    <mergeCell ref="C59:C60"/>
    <mergeCell ref="E59:F59"/>
    <mergeCell ref="G59:H59"/>
    <mergeCell ref="I59:J59"/>
    <mergeCell ref="K59:L59"/>
    <mergeCell ref="M59:N59"/>
    <mergeCell ref="O59:P59"/>
    <mergeCell ref="S81:T81"/>
    <mergeCell ref="Q59:R59"/>
    <mergeCell ref="S59:T59"/>
    <mergeCell ref="U59:V59"/>
    <mergeCell ref="W59:X59"/>
    <mergeCell ref="D82:E82"/>
    <mergeCell ref="A77:T77"/>
    <mergeCell ref="A78:T78"/>
    <mergeCell ref="A80:A82"/>
    <mergeCell ref="B80:B82"/>
    <mergeCell ref="C80:C82"/>
    <mergeCell ref="D80:E81"/>
    <mergeCell ref="F80:H80"/>
    <mergeCell ref="I80:K80"/>
    <mergeCell ref="L80:N80"/>
    <mergeCell ref="O80:Q80"/>
    <mergeCell ref="R80:T80"/>
    <mergeCell ref="G81:H81"/>
    <mergeCell ref="J81:K81"/>
    <mergeCell ref="M81:N81"/>
    <mergeCell ref="P81:Q81"/>
  </mergeCells>
  <printOptions gridLines="1"/>
  <pageMargins left="0.11811023622047245" right="0.11811023622047245" top="0.55118110236220474" bottom="0.15748031496062992" header="0" footer="0"/>
  <pageSetup paperSize="9" scale="120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theme="9" tint="0.39997558519241921"/>
  </sheetPr>
  <dimension ref="B2:K60"/>
  <sheetViews>
    <sheetView workbookViewId="0">
      <selection activeCell="B26" sqref="B26"/>
    </sheetView>
  </sheetViews>
  <sheetFormatPr baseColWidth="10" defaultRowHeight="15" x14ac:dyDescent="0.25"/>
  <cols>
    <col min="1" max="1" width="3" customWidth="1"/>
    <col min="2" max="2" width="6.7109375" customWidth="1"/>
    <col min="3" max="3" width="14.7109375" customWidth="1"/>
    <col min="4" max="5" width="10.7109375" customWidth="1"/>
    <col min="6" max="6" width="11.7109375" customWidth="1"/>
    <col min="7" max="8" width="12.7109375" customWidth="1"/>
    <col min="9" max="11" width="10.7109375" customWidth="1"/>
  </cols>
  <sheetData>
    <row r="2" spans="2:11" ht="15.75" thickBot="1" x14ac:dyDescent="0.3"/>
    <row r="3" spans="2:11" ht="20.100000000000001" customHeight="1" thickBot="1" x14ac:dyDescent="0.3">
      <c r="C3" s="1037" t="s">
        <v>306</v>
      </c>
      <c r="D3" s="1038"/>
      <c r="E3" s="1038"/>
      <c r="F3" s="1038"/>
      <c r="G3" s="1038"/>
      <c r="H3" s="1038"/>
      <c r="I3" s="1038"/>
      <c r="J3" s="1038"/>
      <c r="K3" s="1039"/>
    </row>
    <row r="4" spans="2:11" ht="15.95" customHeight="1" thickBot="1" x14ac:dyDescent="0.3">
      <c r="C4" s="1201" t="s">
        <v>109</v>
      </c>
      <c r="D4" s="1202"/>
      <c r="E4" s="1202"/>
      <c r="F4" s="1202"/>
      <c r="G4" s="1202"/>
      <c r="H4" s="1202"/>
      <c r="I4" s="1202"/>
      <c r="J4" s="1202"/>
      <c r="K4" s="1203"/>
    </row>
    <row r="5" spans="2:11" ht="15.95" customHeight="1" thickBot="1" x14ac:dyDescent="0.3">
      <c r="B5" s="1051" t="s">
        <v>26</v>
      </c>
      <c r="C5" s="1043" t="s">
        <v>35</v>
      </c>
      <c r="D5" s="1045" t="s">
        <v>110</v>
      </c>
      <c r="E5" s="1046"/>
      <c r="F5" s="1047"/>
      <c r="G5" s="1045" t="s">
        <v>74</v>
      </c>
      <c r="H5" s="1047"/>
      <c r="I5" s="1043" t="s">
        <v>180</v>
      </c>
      <c r="J5" s="1043" t="s">
        <v>268</v>
      </c>
      <c r="K5" s="1049" t="s">
        <v>269</v>
      </c>
    </row>
    <row r="6" spans="2:11" ht="35.1" customHeight="1" thickBot="1" x14ac:dyDescent="0.3">
      <c r="B6" s="1051"/>
      <c r="C6" s="1044"/>
      <c r="D6" s="541" t="s">
        <v>174</v>
      </c>
      <c r="E6" s="541" t="s">
        <v>122</v>
      </c>
      <c r="F6" s="541" t="s">
        <v>81</v>
      </c>
      <c r="G6" s="537" t="s">
        <v>170</v>
      </c>
      <c r="H6" s="538" t="s">
        <v>270</v>
      </c>
      <c r="I6" s="1044"/>
      <c r="J6" s="1044"/>
      <c r="K6" s="1175"/>
    </row>
    <row r="7" spans="2:11" ht="15" customHeight="1" x14ac:dyDescent="0.25">
      <c r="B7" s="49">
        <v>1999</v>
      </c>
      <c r="C7" s="578"/>
      <c r="D7" s="647"/>
      <c r="E7" s="648"/>
      <c r="F7" s="643"/>
      <c r="G7" s="657"/>
      <c r="H7" s="657"/>
      <c r="I7" s="579"/>
      <c r="J7" s="579"/>
      <c r="K7" s="679" t="e">
        <f>E7/I7</f>
        <v>#DIV/0!</v>
      </c>
    </row>
    <row r="8" spans="2:11" ht="15" customHeight="1" x14ac:dyDescent="0.25">
      <c r="B8" s="49">
        <v>2000</v>
      </c>
      <c r="C8" s="580"/>
      <c r="D8" s="649"/>
      <c r="E8" s="650"/>
      <c r="F8" s="644"/>
      <c r="G8" s="658"/>
      <c r="H8" s="658"/>
      <c r="I8" s="581"/>
      <c r="J8" s="581"/>
      <c r="K8" s="680" t="e">
        <f t="shared" ref="K8:K25" si="0">E8/I8</f>
        <v>#DIV/0!</v>
      </c>
    </row>
    <row r="9" spans="2:11" ht="15" customHeight="1" x14ac:dyDescent="0.25">
      <c r="B9" s="49">
        <v>2001</v>
      </c>
      <c r="C9" s="580"/>
      <c r="D9" s="649"/>
      <c r="E9" s="650"/>
      <c r="F9" s="644"/>
      <c r="G9" s="658"/>
      <c r="H9" s="658"/>
      <c r="I9" s="581"/>
      <c r="J9" s="581"/>
      <c r="K9" s="680" t="e">
        <f t="shared" si="0"/>
        <v>#DIV/0!</v>
      </c>
    </row>
    <row r="10" spans="2:11" ht="15" customHeight="1" x14ac:dyDescent="0.25">
      <c r="B10" s="49">
        <v>2002</v>
      </c>
      <c r="C10" s="580"/>
      <c r="D10" s="649"/>
      <c r="E10" s="650"/>
      <c r="F10" s="644"/>
      <c r="G10" s="658"/>
      <c r="H10" s="658"/>
      <c r="I10" s="581"/>
      <c r="J10" s="581"/>
      <c r="K10" s="680" t="e">
        <f t="shared" si="0"/>
        <v>#DIV/0!</v>
      </c>
    </row>
    <row r="11" spans="2:11" ht="15" customHeight="1" x14ac:dyDescent="0.25">
      <c r="B11" s="49">
        <v>2003</v>
      </c>
      <c r="C11" s="582"/>
      <c r="D11" s="649"/>
      <c r="E11" s="650"/>
      <c r="F11" s="644"/>
      <c r="G11" s="658"/>
      <c r="H11" s="658"/>
      <c r="I11" s="581"/>
      <c r="J11" s="581"/>
      <c r="K11" s="680" t="e">
        <f t="shared" si="0"/>
        <v>#DIV/0!</v>
      </c>
    </row>
    <row r="12" spans="2:11" ht="15" customHeight="1" x14ac:dyDescent="0.25">
      <c r="B12" s="49">
        <v>2004</v>
      </c>
      <c r="C12" s="582"/>
      <c r="D12" s="649"/>
      <c r="E12" s="650"/>
      <c r="F12" s="644"/>
      <c r="G12" s="658"/>
      <c r="H12" s="658"/>
      <c r="I12" s="581"/>
      <c r="J12" s="581"/>
      <c r="K12" s="680" t="e">
        <f t="shared" si="0"/>
        <v>#DIV/0!</v>
      </c>
    </row>
    <row r="13" spans="2:11" ht="15" customHeight="1" x14ac:dyDescent="0.25">
      <c r="B13" s="49">
        <v>2005</v>
      </c>
      <c r="C13" s="582"/>
      <c r="D13" s="649"/>
      <c r="E13" s="650"/>
      <c r="F13" s="644"/>
      <c r="G13" s="658"/>
      <c r="H13" s="658"/>
      <c r="I13" s="581"/>
      <c r="J13" s="581"/>
      <c r="K13" s="680" t="e">
        <f t="shared" si="0"/>
        <v>#DIV/0!</v>
      </c>
    </row>
    <row r="14" spans="2:11" ht="15" customHeight="1" x14ac:dyDescent="0.25">
      <c r="B14" s="49">
        <v>2006</v>
      </c>
      <c r="C14" s="582"/>
      <c r="D14" s="649"/>
      <c r="E14" s="650"/>
      <c r="F14" s="644"/>
      <c r="G14" s="658"/>
      <c r="H14" s="658"/>
      <c r="I14" s="581"/>
      <c r="J14" s="581"/>
      <c r="K14" s="680" t="e">
        <f t="shared" si="0"/>
        <v>#DIV/0!</v>
      </c>
    </row>
    <row r="15" spans="2:11" ht="15" customHeight="1" x14ac:dyDescent="0.25">
      <c r="B15" s="49">
        <v>2007</v>
      </c>
      <c r="C15" s="582"/>
      <c r="D15" s="649"/>
      <c r="E15" s="650"/>
      <c r="F15" s="644"/>
      <c r="G15" s="658"/>
      <c r="H15" s="658"/>
      <c r="I15" s="581"/>
      <c r="J15" s="581"/>
      <c r="K15" s="680" t="e">
        <f t="shared" si="0"/>
        <v>#DIV/0!</v>
      </c>
    </row>
    <row r="16" spans="2:11" ht="15" customHeight="1" x14ac:dyDescent="0.25">
      <c r="B16" s="49">
        <v>2008</v>
      </c>
      <c r="C16" s="582"/>
      <c r="D16" s="649"/>
      <c r="E16" s="650"/>
      <c r="F16" s="644"/>
      <c r="G16" s="658"/>
      <c r="H16" s="658"/>
      <c r="I16" s="581"/>
      <c r="J16" s="581"/>
      <c r="K16" s="680" t="e">
        <f t="shared" si="0"/>
        <v>#DIV/0!</v>
      </c>
    </row>
    <row r="17" spans="2:11" ht="15" customHeight="1" x14ac:dyDescent="0.25">
      <c r="B17" s="49">
        <v>2009</v>
      </c>
      <c r="C17" s="582"/>
      <c r="D17" s="649"/>
      <c r="E17" s="650"/>
      <c r="F17" s="644"/>
      <c r="G17" s="658"/>
      <c r="H17" s="658"/>
      <c r="I17" s="581"/>
      <c r="J17" s="581"/>
      <c r="K17" s="680" t="e">
        <f t="shared" si="0"/>
        <v>#DIV/0!</v>
      </c>
    </row>
    <row r="18" spans="2:11" ht="15" customHeight="1" x14ac:dyDescent="0.25">
      <c r="B18" s="49">
        <v>2010</v>
      </c>
      <c r="C18" s="582"/>
      <c r="D18" s="649"/>
      <c r="E18" s="650"/>
      <c r="F18" s="644"/>
      <c r="G18" s="658"/>
      <c r="H18" s="658"/>
      <c r="I18" s="581"/>
      <c r="J18" s="581"/>
      <c r="K18" s="680" t="e">
        <f t="shared" si="0"/>
        <v>#DIV/0!</v>
      </c>
    </row>
    <row r="19" spans="2:11" ht="15" customHeight="1" x14ac:dyDescent="0.25">
      <c r="B19" s="49">
        <v>2011</v>
      </c>
      <c r="C19" s="582"/>
      <c r="D19" s="649"/>
      <c r="E19" s="650"/>
      <c r="F19" s="644"/>
      <c r="G19" s="658"/>
      <c r="H19" s="658"/>
      <c r="I19" s="581"/>
      <c r="J19" s="581"/>
      <c r="K19" s="680" t="e">
        <f t="shared" si="0"/>
        <v>#DIV/0!</v>
      </c>
    </row>
    <row r="20" spans="2:11" ht="15" customHeight="1" x14ac:dyDescent="0.25">
      <c r="B20" s="49">
        <v>2012</v>
      </c>
      <c r="C20" s="582"/>
      <c r="D20" s="649"/>
      <c r="E20" s="650"/>
      <c r="F20" s="644"/>
      <c r="G20" s="659"/>
      <c r="H20" s="658"/>
      <c r="I20" s="581"/>
      <c r="J20" s="581"/>
      <c r="K20" s="680" t="e">
        <f t="shared" si="0"/>
        <v>#DIV/0!</v>
      </c>
    </row>
    <row r="21" spans="2:11" ht="15" customHeight="1" x14ac:dyDescent="0.25">
      <c r="B21" s="49">
        <v>2013</v>
      </c>
      <c r="C21" s="582"/>
      <c r="D21" s="649"/>
      <c r="E21" s="650"/>
      <c r="F21" s="644"/>
      <c r="G21" s="659"/>
      <c r="H21" s="658"/>
      <c r="I21" s="581"/>
      <c r="J21" s="581"/>
      <c r="K21" s="680" t="e">
        <f t="shared" si="0"/>
        <v>#DIV/0!</v>
      </c>
    </row>
    <row r="22" spans="2:11" ht="15" customHeight="1" x14ac:dyDescent="0.25">
      <c r="B22" s="49">
        <v>2014</v>
      </c>
      <c r="C22" s="580"/>
      <c r="D22" s="649"/>
      <c r="E22" s="650"/>
      <c r="F22" s="644"/>
      <c r="G22" s="658"/>
      <c r="H22" s="658"/>
      <c r="I22" s="581"/>
      <c r="J22" s="581"/>
      <c r="K22" s="680" t="e">
        <f t="shared" si="0"/>
        <v>#DIV/0!</v>
      </c>
    </row>
    <row r="23" spans="2:11" ht="15" customHeight="1" x14ac:dyDescent="0.25">
      <c r="B23" s="49">
        <v>2015</v>
      </c>
      <c r="C23" s="580"/>
      <c r="D23" s="649"/>
      <c r="E23" s="650"/>
      <c r="F23" s="644"/>
      <c r="G23" s="658"/>
      <c r="H23" s="658"/>
      <c r="I23" s="581"/>
      <c r="J23" s="581"/>
      <c r="K23" s="680" t="e">
        <f t="shared" si="0"/>
        <v>#DIV/0!</v>
      </c>
    </row>
    <row r="24" spans="2:11" ht="15" customHeight="1" x14ac:dyDescent="0.25">
      <c r="B24" s="49">
        <v>2016</v>
      </c>
      <c r="C24" s="580"/>
      <c r="D24" s="649"/>
      <c r="E24" s="650"/>
      <c r="F24" s="644"/>
      <c r="G24" s="658"/>
      <c r="H24" s="658"/>
      <c r="I24" s="581"/>
      <c r="J24" s="581"/>
      <c r="K24" s="680" t="e">
        <f t="shared" si="0"/>
        <v>#DIV/0!</v>
      </c>
    </row>
    <row r="25" spans="2:11" ht="15" customHeight="1" x14ac:dyDescent="0.25">
      <c r="B25" s="49">
        <v>2017</v>
      </c>
      <c r="C25" s="580"/>
      <c r="D25" s="649"/>
      <c r="E25" s="650"/>
      <c r="F25" s="644"/>
      <c r="G25" s="658"/>
      <c r="H25" s="658"/>
      <c r="I25" s="581"/>
      <c r="J25" s="581"/>
      <c r="K25" s="680" t="e">
        <f t="shared" si="0"/>
        <v>#DIV/0!</v>
      </c>
    </row>
    <row r="26" spans="2:11" ht="15" customHeight="1" x14ac:dyDescent="0.25">
      <c r="B26" s="54">
        <v>2018</v>
      </c>
      <c r="C26" s="767"/>
      <c r="D26" s="651"/>
      <c r="E26" s="652"/>
      <c r="F26" s="645"/>
      <c r="G26" s="660"/>
      <c r="H26" s="661"/>
      <c r="I26" s="584"/>
      <c r="J26" s="584"/>
      <c r="K26" s="684" t="e">
        <f>H26/I26</f>
        <v>#DIV/0!</v>
      </c>
    </row>
    <row r="27" spans="2:11" ht="15" customHeight="1" x14ac:dyDescent="0.25">
      <c r="B27" s="54">
        <v>2019</v>
      </c>
      <c r="C27" s="767"/>
      <c r="D27" s="651"/>
      <c r="E27" s="652"/>
      <c r="F27" s="645"/>
      <c r="G27" s="660"/>
      <c r="H27" s="661"/>
      <c r="I27" s="584"/>
      <c r="J27" s="584"/>
      <c r="K27" s="684" t="e">
        <f t="shared" ref="K27:K35" si="1">H27/I27</f>
        <v>#DIV/0!</v>
      </c>
    </row>
    <row r="28" spans="2:11" ht="15" customHeight="1" x14ac:dyDescent="0.25">
      <c r="B28" s="54">
        <v>2020</v>
      </c>
      <c r="C28" s="767"/>
      <c r="D28" s="651"/>
      <c r="E28" s="652"/>
      <c r="F28" s="645"/>
      <c r="G28" s="660"/>
      <c r="H28" s="661"/>
      <c r="I28" s="584"/>
      <c r="J28" s="584"/>
      <c r="K28" s="684" t="e">
        <f t="shared" si="1"/>
        <v>#DIV/0!</v>
      </c>
    </row>
    <row r="29" spans="2:11" ht="15" customHeight="1" x14ac:dyDescent="0.25">
      <c r="B29" s="54">
        <v>2021</v>
      </c>
      <c r="C29" s="767"/>
      <c r="D29" s="651"/>
      <c r="E29" s="652"/>
      <c r="F29" s="645"/>
      <c r="G29" s="660"/>
      <c r="H29" s="661"/>
      <c r="I29" s="584"/>
      <c r="J29" s="584"/>
      <c r="K29" s="684" t="e">
        <f t="shared" si="1"/>
        <v>#DIV/0!</v>
      </c>
    </row>
    <row r="30" spans="2:11" ht="15" customHeight="1" x14ac:dyDescent="0.25">
      <c r="B30" s="54">
        <v>2022</v>
      </c>
      <c r="C30" s="767"/>
      <c r="D30" s="651"/>
      <c r="E30" s="652"/>
      <c r="F30" s="645"/>
      <c r="G30" s="660"/>
      <c r="H30" s="661"/>
      <c r="I30" s="584"/>
      <c r="J30" s="584"/>
      <c r="K30" s="684" t="e">
        <f t="shared" si="1"/>
        <v>#DIV/0!</v>
      </c>
    </row>
    <row r="31" spans="2:11" ht="15" customHeight="1" x14ac:dyDescent="0.25">
      <c r="B31" s="54">
        <v>2023</v>
      </c>
      <c r="C31" s="767"/>
      <c r="D31" s="651"/>
      <c r="E31" s="652"/>
      <c r="F31" s="645"/>
      <c r="G31" s="660"/>
      <c r="H31" s="661"/>
      <c r="I31" s="584"/>
      <c r="J31" s="584"/>
      <c r="K31" s="684" t="e">
        <f t="shared" si="1"/>
        <v>#DIV/0!</v>
      </c>
    </row>
    <row r="32" spans="2:11" ht="15" customHeight="1" x14ac:dyDescent="0.25">
      <c r="B32" s="54">
        <v>2024</v>
      </c>
      <c r="C32" s="768"/>
      <c r="D32" s="769"/>
      <c r="E32" s="770"/>
      <c r="F32" s="771"/>
      <c r="G32" s="772"/>
      <c r="H32" s="661"/>
      <c r="I32" s="584"/>
      <c r="J32" s="584"/>
      <c r="K32" s="684" t="e">
        <f t="shared" si="1"/>
        <v>#DIV/0!</v>
      </c>
    </row>
    <row r="33" spans="2:11" ht="15" customHeight="1" x14ac:dyDescent="0.25">
      <c r="B33" s="54">
        <v>2025</v>
      </c>
      <c r="C33" s="768"/>
      <c r="D33" s="769"/>
      <c r="E33" s="770"/>
      <c r="F33" s="771"/>
      <c r="G33" s="772"/>
      <c r="H33" s="661"/>
      <c r="I33" s="584"/>
      <c r="J33" s="584"/>
      <c r="K33" s="684" t="e">
        <f t="shared" si="1"/>
        <v>#DIV/0!</v>
      </c>
    </row>
    <row r="34" spans="2:11" ht="15" customHeight="1" x14ac:dyDescent="0.25">
      <c r="B34" s="54">
        <v>2026</v>
      </c>
      <c r="C34" s="768"/>
      <c r="D34" s="769"/>
      <c r="E34" s="770"/>
      <c r="F34" s="771"/>
      <c r="G34" s="772"/>
      <c r="H34" s="661"/>
      <c r="I34" s="584"/>
      <c r="J34" s="584"/>
      <c r="K34" s="684" t="e">
        <f t="shared" si="1"/>
        <v>#DIV/0!</v>
      </c>
    </row>
    <row r="35" spans="2:11" ht="15" customHeight="1" thickBot="1" x14ac:dyDescent="0.3">
      <c r="B35" s="209">
        <v>2027</v>
      </c>
      <c r="C35" s="773"/>
      <c r="D35" s="774"/>
      <c r="E35" s="775"/>
      <c r="F35" s="776"/>
      <c r="G35" s="777"/>
      <c r="H35" s="663"/>
      <c r="I35" s="586"/>
      <c r="J35" s="586"/>
      <c r="K35" s="686" t="e">
        <f t="shared" si="1"/>
        <v>#DIV/0!</v>
      </c>
    </row>
    <row r="36" spans="2:11" ht="15" customHeight="1" x14ac:dyDescent="0.25">
      <c r="C36" s="5"/>
      <c r="D36" s="215"/>
      <c r="E36" s="7"/>
      <c r="F36" s="11"/>
      <c r="G36" s="7"/>
      <c r="H36" s="11"/>
      <c r="I36" s="11"/>
      <c r="J36" s="11"/>
    </row>
    <row r="37" spans="2:11" ht="15" customHeight="1" x14ac:dyDescent="0.25">
      <c r="C37" s="5"/>
      <c r="D37" s="215"/>
      <c r="E37" s="7"/>
      <c r="F37" s="11"/>
      <c r="G37" s="7"/>
      <c r="H37" s="11"/>
      <c r="I37" s="11"/>
      <c r="J37" s="11"/>
    </row>
    <row r="38" spans="2:11" ht="15" customHeight="1" x14ac:dyDescent="0.25">
      <c r="C38" s="5"/>
      <c r="D38" s="215"/>
      <c r="E38" s="7"/>
      <c r="F38" s="11"/>
      <c r="G38" s="7"/>
      <c r="H38" s="11"/>
      <c r="I38" s="11"/>
      <c r="J38" s="11"/>
    </row>
    <row r="39" spans="2:11" ht="15" customHeight="1" x14ac:dyDescent="0.25">
      <c r="C39" s="5"/>
      <c r="D39" s="215"/>
      <c r="E39" s="7"/>
      <c r="F39" s="11"/>
      <c r="G39" s="7"/>
      <c r="H39" s="11"/>
      <c r="I39" s="11"/>
      <c r="J39" s="11"/>
    </row>
    <row r="40" spans="2:11" ht="15" customHeight="1" x14ac:dyDescent="0.25">
      <c r="C40" s="338"/>
      <c r="D40" s="215"/>
      <c r="E40" s="7"/>
      <c r="F40" s="11"/>
      <c r="G40" s="7"/>
      <c r="H40" s="11"/>
      <c r="I40" s="11"/>
      <c r="J40" s="11"/>
    </row>
    <row r="41" spans="2:11" x14ac:dyDescent="0.25">
      <c r="C41" s="5"/>
      <c r="D41" s="215"/>
      <c r="E41" s="7"/>
      <c r="F41" s="11"/>
      <c r="G41" s="7"/>
      <c r="H41" s="11"/>
      <c r="I41" s="11"/>
      <c r="J41" s="11"/>
    </row>
    <row r="42" spans="2:11" x14ac:dyDescent="0.25">
      <c r="C42" s="5"/>
      <c r="D42" s="215"/>
      <c r="E42" s="7"/>
      <c r="F42" s="11"/>
      <c r="G42" s="7"/>
      <c r="H42" s="11"/>
      <c r="I42" s="11"/>
      <c r="J42" s="11"/>
    </row>
    <row r="43" spans="2:11" x14ac:dyDescent="0.25">
      <c r="C43" s="5"/>
      <c r="D43" s="215"/>
      <c r="E43" s="7"/>
      <c r="F43" s="11"/>
      <c r="G43" s="7"/>
      <c r="H43" s="11"/>
      <c r="I43" s="11"/>
      <c r="J43" s="11"/>
    </row>
    <row r="44" spans="2:11" x14ac:dyDescent="0.25">
      <c r="C44" s="5"/>
      <c r="D44" s="215"/>
      <c r="E44" s="7"/>
      <c r="F44" s="11"/>
      <c r="G44" s="7"/>
      <c r="H44" s="11"/>
      <c r="I44" s="11"/>
      <c r="J44" s="11"/>
    </row>
    <row r="45" spans="2:11" x14ac:dyDescent="0.25">
      <c r="C45" s="5"/>
      <c r="D45" s="215"/>
      <c r="E45" s="7"/>
      <c r="F45" s="11"/>
      <c r="G45" s="7"/>
      <c r="H45" s="11"/>
      <c r="I45" s="11"/>
      <c r="J45" s="11"/>
    </row>
    <row r="46" spans="2:11" x14ac:dyDescent="0.25">
      <c r="C46" s="5"/>
      <c r="D46" s="215"/>
      <c r="E46" s="7"/>
      <c r="F46" s="11"/>
      <c r="G46" s="7"/>
      <c r="H46" s="11"/>
      <c r="I46" s="11"/>
      <c r="J46" s="11"/>
    </row>
    <row r="47" spans="2:11" x14ac:dyDescent="0.25">
      <c r="C47" s="5"/>
      <c r="D47" s="215"/>
      <c r="E47" s="7"/>
      <c r="F47" s="11"/>
      <c r="G47" s="7"/>
      <c r="H47" s="11"/>
      <c r="I47" s="11"/>
      <c r="J47" s="11"/>
    </row>
    <row r="48" spans="2:11" x14ac:dyDescent="0.25">
      <c r="C48" s="5"/>
      <c r="D48" s="215"/>
      <c r="E48" s="7"/>
      <c r="F48" s="11"/>
      <c r="G48" s="7"/>
      <c r="H48" s="11"/>
      <c r="I48" s="11"/>
      <c r="J48" s="11"/>
    </row>
    <row r="49" spans="2:10" x14ac:dyDescent="0.25">
      <c r="C49" s="5"/>
      <c r="D49" s="215"/>
      <c r="E49" s="7"/>
      <c r="F49" s="11"/>
      <c r="G49" s="7"/>
      <c r="H49" s="11"/>
      <c r="I49" s="11"/>
      <c r="J49" s="11"/>
    </row>
    <row r="50" spans="2:10" x14ac:dyDescent="0.25">
      <c r="C50" s="5"/>
      <c r="D50" s="215"/>
      <c r="E50" s="7"/>
      <c r="F50" s="11"/>
      <c r="G50" s="7"/>
      <c r="H50" s="11"/>
      <c r="I50" s="11"/>
      <c r="J50" s="11"/>
    </row>
    <row r="51" spans="2:10" x14ac:dyDescent="0.25">
      <c r="C51" s="5"/>
      <c r="D51" s="215"/>
      <c r="E51" s="7"/>
      <c r="F51" s="11"/>
      <c r="G51" s="7"/>
      <c r="H51" s="11"/>
      <c r="I51" s="11"/>
      <c r="J51" s="11"/>
    </row>
    <row r="52" spans="2:10" x14ac:dyDescent="0.25">
      <c r="C52" s="5"/>
      <c r="D52" s="215"/>
      <c r="E52" s="7"/>
      <c r="F52" s="11"/>
      <c r="G52" s="7"/>
      <c r="H52" s="11"/>
      <c r="I52" s="11"/>
      <c r="J52" s="11"/>
    </row>
    <row r="53" spans="2:10" x14ac:dyDescent="0.25">
      <c r="C53" s="5"/>
      <c r="D53" s="215"/>
      <c r="E53" s="11"/>
      <c r="F53" s="11"/>
      <c r="G53" s="7"/>
      <c r="H53" s="11"/>
      <c r="I53" s="11"/>
      <c r="J53" s="11"/>
    </row>
    <row r="54" spans="2:10" x14ac:dyDescent="0.25">
      <c r="C54" s="5"/>
      <c r="D54" s="215"/>
      <c r="E54" s="11"/>
      <c r="F54" s="11"/>
      <c r="G54" s="7"/>
      <c r="H54" s="11"/>
      <c r="I54" s="11"/>
      <c r="J54" s="11"/>
    </row>
    <row r="55" spans="2:10" x14ac:dyDescent="0.25">
      <c r="C55" s="5"/>
      <c r="D55" s="215"/>
      <c r="E55" s="11"/>
      <c r="F55" s="11"/>
      <c r="G55" s="7"/>
      <c r="H55" s="11"/>
      <c r="I55" s="11"/>
      <c r="J55" s="11"/>
    </row>
    <row r="56" spans="2:10" x14ac:dyDescent="0.25">
      <c r="C56" s="5"/>
      <c r="D56" s="215"/>
      <c r="E56" s="11"/>
      <c r="F56" s="11"/>
      <c r="G56" s="7"/>
      <c r="H56" s="11"/>
      <c r="I56" s="11"/>
      <c r="J56" s="11"/>
    </row>
    <row r="57" spans="2:10" x14ac:dyDescent="0.25">
      <c r="C57" s="5"/>
      <c r="D57" s="215"/>
      <c r="E57" s="11"/>
      <c r="F57" s="11"/>
      <c r="G57" s="7"/>
      <c r="H57" s="11"/>
      <c r="I57" s="11"/>
      <c r="J57" s="11"/>
    </row>
    <row r="58" spans="2:10" x14ac:dyDescent="0.25">
      <c r="C58" s="5"/>
      <c r="D58" s="215"/>
      <c r="E58" s="11"/>
      <c r="F58" s="11"/>
      <c r="G58" s="7"/>
      <c r="H58" s="11"/>
      <c r="I58" s="11"/>
      <c r="J58" s="11"/>
    </row>
    <row r="59" spans="2:10" x14ac:dyDescent="0.25">
      <c r="B59" s="14"/>
    </row>
    <row r="60" spans="2:10" x14ac:dyDescent="0.25">
      <c r="B60" s="14"/>
    </row>
  </sheetData>
  <mergeCells count="9">
    <mergeCell ref="C3:K3"/>
    <mergeCell ref="C4:K4"/>
    <mergeCell ref="B5:B6"/>
    <mergeCell ref="C5:C6"/>
    <mergeCell ref="D5:F5"/>
    <mergeCell ref="G5:H5"/>
    <mergeCell ref="I5:I6"/>
    <mergeCell ref="J5:J6"/>
    <mergeCell ref="K5:K6"/>
  </mergeCells>
  <printOptions horizontalCentered="1" verticalCentered="1" gridLines="1"/>
  <pageMargins left="0.11811023622047245" right="0.11811023622047245" top="0.15748031496062992" bottom="0.15748031496062992" header="0" footer="0"/>
  <pageSetup paperSize="9" scale="140" fitToWidth="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tabColor theme="9" tint="0.39997558519241921"/>
  </sheetPr>
  <dimension ref="B1:J31"/>
  <sheetViews>
    <sheetView topLeftCell="A7" workbookViewId="0">
      <selection activeCell="F37" sqref="F37"/>
    </sheetView>
  </sheetViews>
  <sheetFormatPr baseColWidth="10" defaultRowHeight="15" x14ac:dyDescent="0.25"/>
  <cols>
    <col min="1" max="1" width="4.28515625" customWidth="1"/>
    <col min="2" max="2" width="25.7109375" customWidth="1"/>
    <col min="3" max="3" width="13.85546875" customWidth="1"/>
    <col min="4" max="4" width="10.7109375" style="10" customWidth="1"/>
    <col min="5" max="10" width="12.7109375" customWidth="1"/>
  </cols>
  <sheetData>
    <row r="1" spans="2:10" ht="15.75" thickBot="1" x14ac:dyDescent="0.3"/>
    <row r="2" spans="2:10" x14ac:dyDescent="0.25">
      <c r="B2" s="211"/>
      <c r="C2" s="212" t="s">
        <v>136</v>
      </c>
      <c r="D2" s="334" t="s">
        <v>137</v>
      </c>
      <c r="G2" s="10"/>
    </row>
    <row r="3" spans="2:10" x14ac:dyDescent="0.25">
      <c r="B3" s="213" t="s">
        <v>88</v>
      </c>
      <c r="C3" s="214" t="s">
        <v>138</v>
      </c>
      <c r="D3" s="10" t="s">
        <v>139</v>
      </c>
      <c r="E3" s="225">
        <v>2010</v>
      </c>
      <c r="F3" s="226">
        <v>2011</v>
      </c>
      <c r="G3" s="227">
        <v>2012</v>
      </c>
      <c r="H3" s="226">
        <v>2013</v>
      </c>
      <c r="I3" s="228">
        <v>2014</v>
      </c>
      <c r="J3" s="229">
        <v>2015</v>
      </c>
    </row>
    <row r="4" spans="2:10" ht="15.75" thickBot="1" x14ac:dyDescent="0.3">
      <c r="B4" s="216"/>
      <c r="C4" s="217" t="s">
        <v>140</v>
      </c>
      <c r="D4" s="335"/>
      <c r="E4" s="230" t="s">
        <v>162</v>
      </c>
      <c r="F4" s="231" t="s">
        <v>162</v>
      </c>
      <c r="G4" s="230" t="s">
        <v>162</v>
      </c>
      <c r="H4" s="231" t="s">
        <v>162</v>
      </c>
      <c r="I4" s="232" t="s">
        <v>162</v>
      </c>
      <c r="J4" s="233" t="s">
        <v>162</v>
      </c>
    </row>
    <row r="5" spans="2:10" x14ac:dyDescent="0.25">
      <c r="B5" s="218" t="s">
        <v>1</v>
      </c>
      <c r="C5" s="219" t="s">
        <v>141</v>
      </c>
      <c r="D5" s="336" t="s">
        <v>24</v>
      </c>
      <c r="E5" s="234">
        <v>58.977064905605481</v>
      </c>
      <c r="F5" s="11">
        <v>69.925832935371119</v>
      </c>
      <c r="G5" s="234">
        <v>71.952314891538876</v>
      </c>
      <c r="H5" s="11">
        <v>69.46348896255229</v>
      </c>
      <c r="I5" s="235">
        <v>73.931127338979849</v>
      </c>
      <c r="J5" s="236">
        <v>70.293095854534627</v>
      </c>
    </row>
    <row r="6" spans="2:10" x14ac:dyDescent="0.25">
      <c r="B6" s="218" t="s">
        <v>2</v>
      </c>
      <c r="C6" s="25" t="s">
        <v>21</v>
      </c>
      <c r="D6" s="300" t="s">
        <v>24</v>
      </c>
      <c r="E6" s="234">
        <v>47.652507532226458</v>
      </c>
      <c r="F6" s="11">
        <v>51.553668589905072</v>
      </c>
      <c r="G6" s="234">
        <v>46.315523818894327</v>
      </c>
      <c r="H6" s="11">
        <v>46.417662533213722</v>
      </c>
      <c r="I6" s="235">
        <v>41.767231484941938</v>
      </c>
      <c r="J6" s="236">
        <v>43.713834275696222</v>
      </c>
    </row>
    <row r="7" spans="2:10" x14ac:dyDescent="0.25">
      <c r="B7" s="218" t="s">
        <v>3</v>
      </c>
      <c r="C7" s="25" t="s">
        <v>20</v>
      </c>
      <c r="D7" s="300" t="s">
        <v>24</v>
      </c>
      <c r="E7" s="234">
        <v>57.318762545392879</v>
      </c>
      <c r="F7" s="11">
        <v>61.145573919949435</v>
      </c>
      <c r="G7" s="234">
        <v>66.164155979654154</v>
      </c>
      <c r="H7" s="11">
        <v>69.64498681886586</v>
      </c>
      <c r="I7" s="235">
        <v>70.711360684829145</v>
      </c>
      <c r="J7" s="236">
        <v>69.465646639774405</v>
      </c>
    </row>
    <row r="8" spans="2:10" x14ac:dyDescent="0.25">
      <c r="B8" s="218" t="s">
        <v>4</v>
      </c>
      <c r="C8" s="25" t="s">
        <v>49</v>
      </c>
      <c r="D8" s="300" t="s">
        <v>24</v>
      </c>
      <c r="E8" s="234">
        <v>110.91723614183002</v>
      </c>
      <c r="F8" s="11">
        <v>98.463908496398446</v>
      </c>
      <c r="G8" s="234">
        <v>102.6527351451964</v>
      </c>
      <c r="H8" s="11">
        <v>108.09479326377067</v>
      </c>
      <c r="I8" s="235">
        <v>115.05162020672945</v>
      </c>
      <c r="J8" s="236">
        <v>107.40654200752692</v>
      </c>
    </row>
    <row r="9" spans="2:10" x14ac:dyDescent="0.25">
      <c r="B9" s="218" t="s">
        <v>5</v>
      </c>
      <c r="C9" s="25" t="s">
        <v>142</v>
      </c>
      <c r="D9" s="300" t="s">
        <v>24</v>
      </c>
      <c r="E9" s="234">
        <v>66.789502277354032</v>
      </c>
      <c r="F9" s="11">
        <v>71.486681405804276</v>
      </c>
      <c r="G9" s="234">
        <v>72.0274784993765</v>
      </c>
      <c r="H9" s="11">
        <v>74.065603418714815</v>
      </c>
      <c r="I9" s="235">
        <v>71.731660522514176</v>
      </c>
      <c r="J9" s="236">
        <v>78.318192278183304</v>
      </c>
    </row>
    <row r="10" spans="2:10" x14ac:dyDescent="0.25">
      <c r="B10" s="218" t="s">
        <v>6</v>
      </c>
      <c r="C10" s="25" t="s">
        <v>22</v>
      </c>
      <c r="D10" s="300" t="s">
        <v>24</v>
      </c>
      <c r="E10" s="234" t="e">
        <v>#VALUE!</v>
      </c>
      <c r="F10" s="11" t="e">
        <v>#VALUE!</v>
      </c>
      <c r="G10" s="234" t="e">
        <v>#VALUE!</v>
      </c>
      <c r="H10" s="11" t="e">
        <v>#VALUE!</v>
      </c>
      <c r="I10" s="235" t="e">
        <v>#VALUE!</v>
      </c>
      <c r="J10" s="236" t="e">
        <v>#VALUE!</v>
      </c>
    </row>
    <row r="11" spans="2:10" x14ac:dyDescent="0.25">
      <c r="B11" s="218" t="s">
        <v>143</v>
      </c>
      <c r="C11" s="25" t="s">
        <v>144</v>
      </c>
      <c r="D11" s="300" t="s">
        <v>24</v>
      </c>
      <c r="E11" s="234">
        <v>41.100514255031626</v>
      </c>
      <c r="F11" s="11">
        <v>44.091812149069874</v>
      </c>
      <c r="G11" s="234">
        <v>53.208700416379273</v>
      </c>
      <c r="H11" s="11">
        <v>53.594030451161252</v>
      </c>
      <c r="I11" s="235">
        <v>60.24919584525589</v>
      </c>
      <c r="J11" s="236">
        <v>56.709248804758474</v>
      </c>
    </row>
    <row r="12" spans="2:10" x14ac:dyDescent="0.25">
      <c r="B12" s="218" t="s">
        <v>8</v>
      </c>
      <c r="C12" s="222" t="s">
        <v>142</v>
      </c>
      <c r="D12" s="300" t="s">
        <v>24</v>
      </c>
      <c r="E12" s="234">
        <v>63.68576942238748</v>
      </c>
      <c r="F12" s="11">
        <v>60.513864206404556</v>
      </c>
      <c r="G12" s="234">
        <v>79.287015330380555</v>
      </c>
      <c r="H12" s="11">
        <v>76.424087242073398</v>
      </c>
      <c r="I12" s="235">
        <v>74.179817067960968</v>
      </c>
      <c r="J12" s="236">
        <v>69.68904450745076</v>
      </c>
    </row>
    <row r="13" spans="2:10" x14ac:dyDescent="0.25">
      <c r="B13" s="218" t="s">
        <v>9</v>
      </c>
      <c r="C13" s="25" t="s">
        <v>22</v>
      </c>
      <c r="D13" s="300" t="s">
        <v>24</v>
      </c>
      <c r="E13" s="234">
        <v>2.9265344436722422</v>
      </c>
      <c r="F13" s="11">
        <v>4.7722929792166999</v>
      </c>
      <c r="G13" s="234">
        <v>4.08289324234629</v>
      </c>
      <c r="H13" s="11">
        <v>4.1635504026031676</v>
      </c>
      <c r="I13" s="235">
        <v>4.377732175186714</v>
      </c>
      <c r="J13" s="236">
        <v>4.3813690298793597</v>
      </c>
    </row>
    <row r="14" spans="2:10" x14ac:dyDescent="0.25">
      <c r="B14" s="218" t="s">
        <v>10</v>
      </c>
      <c r="C14" s="25" t="s">
        <v>142</v>
      </c>
      <c r="D14" s="300" t="s">
        <v>24</v>
      </c>
      <c r="E14" s="234">
        <v>66.961959242521971</v>
      </c>
      <c r="F14" s="11">
        <v>68.897379870401579</v>
      </c>
      <c r="G14" s="234">
        <v>71.359760369552816</v>
      </c>
      <c r="H14" s="11">
        <v>73.726921447276538</v>
      </c>
      <c r="I14" s="235">
        <v>80.994189114451842</v>
      </c>
      <c r="J14" s="236">
        <v>73.414759719510144</v>
      </c>
    </row>
    <row r="15" spans="2:10" x14ac:dyDescent="0.25">
      <c r="B15" s="218" t="s">
        <v>11</v>
      </c>
      <c r="C15" s="25" t="s">
        <v>23</v>
      </c>
      <c r="D15" s="300" t="s">
        <v>25</v>
      </c>
      <c r="E15" s="234">
        <v>32.982802232942632</v>
      </c>
      <c r="F15" s="11">
        <v>35.578085543431719</v>
      </c>
      <c r="G15" s="234">
        <v>36.973417882149896</v>
      </c>
      <c r="H15" s="11">
        <v>19.728417756547078</v>
      </c>
      <c r="I15" s="235">
        <v>18.491987722325607</v>
      </c>
      <c r="J15" s="236">
        <v>20.223389852437894</v>
      </c>
    </row>
    <row r="16" spans="2:10" x14ac:dyDescent="0.25">
      <c r="B16" s="218" t="s">
        <v>12</v>
      </c>
      <c r="C16" s="25" t="s">
        <v>50</v>
      </c>
      <c r="D16" s="300" t="s">
        <v>24</v>
      </c>
      <c r="E16" s="234">
        <v>51.319750544600311</v>
      </c>
      <c r="F16" s="11">
        <v>50.802378157709924</v>
      </c>
      <c r="G16" s="234">
        <v>46.728021747555331</v>
      </c>
      <c r="H16" s="11">
        <v>46.774353115997243</v>
      </c>
      <c r="I16" s="235">
        <v>51.408192926808887</v>
      </c>
      <c r="J16" s="236">
        <v>45.354235949908841</v>
      </c>
    </row>
    <row r="17" spans="2:10" x14ac:dyDescent="0.25">
      <c r="B17" s="218" t="s">
        <v>145</v>
      </c>
      <c r="C17" s="25" t="s">
        <v>146</v>
      </c>
      <c r="D17" s="300" t="s">
        <v>24</v>
      </c>
      <c r="E17" s="234">
        <v>22.215544229456835</v>
      </c>
      <c r="F17" s="11">
        <v>22.329985617163775</v>
      </c>
      <c r="G17" s="234">
        <v>22.144869320121558</v>
      </c>
      <c r="H17" s="11">
        <v>26.253044764910317</v>
      </c>
      <c r="I17" s="235">
        <v>24.803521105451075</v>
      </c>
      <c r="J17" s="236">
        <v>30.490236142083255</v>
      </c>
    </row>
    <row r="18" spans="2:10" x14ac:dyDescent="0.25">
      <c r="B18" s="218" t="s">
        <v>147</v>
      </c>
      <c r="C18" s="25" t="s">
        <v>50</v>
      </c>
      <c r="D18" s="300" t="s">
        <v>24</v>
      </c>
      <c r="E18" s="234">
        <v>48.666246170721543</v>
      </c>
      <c r="F18" s="11">
        <v>50.992327078387248</v>
      </c>
      <c r="G18" s="234">
        <v>55.218395008039749</v>
      </c>
      <c r="H18" s="11">
        <v>57.157809333902819</v>
      </c>
      <c r="I18" s="235">
        <v>51.98263853416659</v>
      </c>
      <c r="J18" s="236">
        <v>48.26229195260882</v>
      </c>
    </row>
    <row r="19" spans="2:10" x14ac:dyDescent="0.25">
      <c r="B19" s="218" t="s">
        <v>15</v>
      </c>
      <c r="C19" s="25" t="s">
        <v>21</v>
      </c>
      <c r="D19" s="300" t="s">
        <v>24</v>
      </c>
      <c r="E19" s="234">
        <v>37.950143306712299</v>
      </c>
      <c r="F19" s="11">
        <v>39.793322872763667</v>
      </c>
      <c r="G19" s="234">
        <v>42.546175623433051</v>
      </c>
      <c r="H19" s="11">
        <v>43.754960152398731</v>
      </c>
      <c r="I19" s="235">
        <v>45.848508334208688</v>
      </c>
      <c r="J19" s="236">
        <v>41.384108631164267</v>
      </c>
    </row>
    <row r="20" spans="2:10" x14ac:dyDescent="0.25">
      <c r="B20" s="218" t="s">
        <v>148</v>
      </c>
      <c r="C20" s="25" t="s">
        <v>149</v>
      </c>
      <c r="D20" s="300" t="s">
        <v>25</v>
      </c>
      <c r="E20" s="234">
        <v>1.4670529475969842</v>
      </c>
      <c r="F20" s="11">
        <v>1.2917778129082416</v>
      </c>
      <c r="G20" s="234">
        <v>1.8961524466740536</v>
      </c>
      <c r="H20" s="11">
        <v>1.8195712129669452</v>
      </c>
      <c r="I20" s="235">
        <v>1.2550436536379921</v>
      </c>
      <c r="J20" s="236">
        <v>1.5474678188951136</v>
      </c>
    </row>
    <row r="21" spans="2:10" x14ac:dyDescent="0.25">
      <c r="B21" s="218" t="s">
        <v>17</v>
      </c>
      <c r="C21" s="25" t="s">
        <v>22</v>
      </c>
      <c r="D21" s="300" t="s">
        <v>24</v>
      </c>
      <c r="E21" s="234">
        <v>13.865586897062814</v>
      </c>
      <c r="F21" s="11">
        <v>13.929224457930529</v>
      </c>
      <c r="G21" s="234">
        <v>14.467425256022096</v>
      </c>
      <c r="H21" s="11">
        <v>14.670161927800148</v>
      </c>
      <c r="I21" s="235">
        <v>9.9727499382451175</v>
      </c>
      <c r="J21" s="236">
        <v>8.615973446647395</v>
      </c>
    </row>
    <row r="22" spans="2:10" x14ac:dyDescent="0.25">
      <c r="B22" s="223" t="s">
        <v>150</v>
      </c>
      <c r="C22" s="25"/>
      <c r="D22" s="300">
        <v>132</v>
      </c>
      <c r="E22" s="234">
        <v>13.668015927789119</v>
      </c>
      <c r="F22" s="11">
        <v>12.897873462153209</v>
      </c>
      <c r="G22" s="234">
        <v>13.118750524661296</v>
      </c>
      <c r="H22" s="11">
        <v>6.1022497541242116</v>
      </c>
      <c r="I22" s="235">
        <v>4.9233119622792545</v>
      </c>
      <c r="J22" s="236">
        <v>6.5868381245852703</v>
      </c>
    </row>
    <row r="23" spans="2:10" x14ac:dyDescent="0.25">
      <c r="B23" s="223" t="s">
        <v>151</v>
      </c>
      <c r="C23" s="25" t="s">
        <v>152</v>
      </c>
      <c r="D23" s="300">
        <v>132</v>
      </c>
      <c r="E23" s="234">
        <v>18.783347802242282</v>
      </c>
      <c r="F23" s="11">
        <v>17.969957820170674</v>
      </c>
      <c r="G23" s="234">
        <v>19.65959562147706</v>
      </c>
      <c r="H23" s="11">
        <v>18.632086680696421</v>
      </c>
      <c r="I23" s="235">
        <v>19.255641904727298</v>
      </c>
      <c r="J23" s="236">
        <v>19.365141631071872</v>
      </c>
    </row>
    <row r="24" spans="2:10" x14ac:dyDescent="0.25">
      <c r="B24" s="223" t="s">
        <v>153</v>
      </c>
      <c r="C24" s="25" t="s">
        <v>50</v>
      </c>
      <c r="D24" s="300" t="s">
        <v>24</v>
      </c>
      <c r="E24" s="234">
        <v>40.728135238431918</v>
      </c>
      <c r="F24" s="11">
        <v>40.238243435816152</v>
      </c>
      <c r="G24" s="234">
        <v>36.395534066695603</v>
      </c>
      <c r="H24" s="11">
        <v>36.826213489849863</v>
      </c>
      <c r="I24" s="235">
        <v>40.58423339179884</v>
      </c>
      <c r="J24" s="236">
        <v>39.543147320363865</v>
      </c>
    </row>
    <row r="25" spans="2:10" x14ac:dyDescent="0.25">
      <c r="B25" s="223" t="s">
        <v>154</v>
      </c>
      <c r="C25" s="25" t="s">
        <v>155</v>
      </c>
      <c r="D25" s="300" t="s">
        <v>24</v>
      </c>
      <c r="E25" s="235"/>
      <c r="F25" s="11"/>
      <c r="G25" s="234"/>
      <c r="I25" s="235">
        <v>0</v>
      </c>
      <c r="J25" s="236">
        <v>26.292394337526584</v>
      </c>
    </row>
    <row r="26" spans="2:10" x14ac:dyDescent="0.25">
      <c r="B26" s="224" t="s">
        <v>156</v>
      </c>
      <c r="C26" s="25" t="s">
        <v>157</v>
      </c>
      <c r="D26" s="300" t="s">
        <v>24</v>
      </c>
      <c r="E26" s="235"/>
      <c r="F26" s="11"/>
      <c r="G26" s="234"/>
      <c r="H26" s="11" t="e">
        <v>#VALUE!</v>
      </c>
      <c r="I26" s="235">
        <v>0</v>
      </c>
      <c r="J26" s="236">
        <v>0</v>
      </c>
    </row>
    <row r="27" spans="2:10" x14ac:dyDescent="0.25">
      <c r="B27" s="224" t="s">
        <v>158</v>
      </c>
      <c r="C27" s="25" t="s">
        <v>50</v>
      </c>
      <c r="D27" s="300" t="s">
        <v>24</v>
      </c>
      <c r="E27" s="235"/>
      <c r="F27" s="11"/>
      <c r="G27" s="234"/>
      <c r="H27" s="11"/>
      <c r="I27" s="235">
        <v>0</v>
      </c>
      <c r="J27" s="236">
        <v>0</v>
      </c>
    </row>
    <row r="28" spans="2:10" x14ac:dyDescent="0.25">
      <c r="B28" s="224" t="s">
        <v>159</v>
      </c>
      <c r="C28" s="25" t="s">
        <v>50</v>
      </c>
      <c r="D28" s="300" t="s">
        <v>24</v>
      </c>
      <c r="E28" s="235"/>
      <c r="F28" s="11"/>
      <c r="G28" s="234"/>
      <c r="H28" s="11"/>
      <c r="I28" s="235">
        <v>0</v>
      </c>
      <c r="J28" s="236">
        <v>0</v>
      </c>
    </row>
    <row r="29" spans="2:10" x14ac:dyDescent="0.25">
      <c r="B29" s="224" t="s">
        <v>160</v>
      </c>
      <c r="C29" s="25" t="s">
        <v>50</v>
      </c>
      <c r="D29" s="300" t="s">
        <v>24</v>
      </c>
      <c r="E29" s="235"/>
      <c r="F29" s="11"/>
      <c r="G29" s="234"/>
      <c r="H29" s="11"/>
      <c r="I29" s="235">
        <v>0</v>
      </c>
      <c r="J29" s="236">
        <v>0</v>
      </c>
    </row>
    <row r="30" spans="2:10" x14ac:dyDescent="0.25">
      <c r="B30" s="218" t="s">
        <v>161</v>
      </c>
      <c r="C30" s="25"/>
      <c r="D30" s="300">
        <v>66</v>
      </c>
      <c r="E30" s="235"/>
      <c r="F30" s="11"/>
      <c r="G30" s="234"/>
      <c r="H30" s="11">
        <v>19.505398322748217</v>
      </c>
      <c r="I30" s="235">
        <v>19.111886927513069</v>
      </c>
      <c r="J30" s="236">
        <v>18.367497252772246</v>
      </c>
    </row>
    <row r="31" spans="2:10" x14ac:dyDescent="0.25">
      <c r="B31" s="332" t="s">
        <v>230</v>
      </c>
      <c r="C31" s="333"/>
      <c r="D31" s="337"/>
      <c r="E31" s="232"/>
      <c r="F31" s="231"/>
      <c r="G31" s="230"/>
      <c r="H31" s="231"/>
      <c r="I31" s="232"/>
      <c r="J31" s="23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U140"/>
  <sheetViews>
    <sheetView topLeftCell="A87" zoomScaleNormal="100" workbookViewId="0">
      <selection activeCell="C53" sqref="C53"/>
    </sheetView>
  </sheetViews>
  <sheetFormatPr baseColWidth="10" defaultRowHeight="15" x14ac:dyDescent="0.25"/>
  <cols>
    <col min="1" max="1" width="5.7109375" customWidth="1"/>
    <col min="2" max="2" width="6.7109375" customWidth="1"/>
    <col min="3" max="3" width="14.7109375" style="5" customWidth="1"/>
    <col min="4" max="5" width="10.7109375" style="5" customWidth="1"/>
    <col min="6" max="6" width="11.7109375" style="5" customWidth="1"/>
    <col min="7" max="8" width="12.7109375" style="5" customWidth="1"/>
    <col min="9" max="9" width="10.7109375" style="5" customWidth="1"/>
    <col min="10" max="11" width="10.7109375" customWidth="1"/>
    <col min="13" max="13" width="12.7109375" customWidth="1"/>
    <col min="14" max="14" width="12.7109375" style="10" customWidth="1"/>
    <col min="15" max="16" width="10.7109375" customWidth="1"/>
  </cols>
  <sheetData>
    <row r="2" spans="2:17" ht="15.75" thickBot="1" x14ac:dyDescent="0.3"/>
    <row r="3" spans="2:17" ht="15.95" customHeight="1" x14ac:dyDescent="0.25">
      <c r="B3" s="1112" t="s">
        <v>272</v>
      </c>
      <c r="C3" s="1113"/>
      <c r="D3" s="1113"/>
      <c r="E3" s="1113"/>
      <c r="F3" s="1113"/>
      <c r="G3" s="1113"/>
      <c r="H3" s="1113"/>
      <c r="I3" s="1113"/>
      <c r="J3" s="1113"/>
      <c r="K3" s="1114"/>
    </row>
    <row r="4" spans="2:17" ht="15.95" customHeight="1" thickBot="1" x14ac:dyDescent="0.3">
      <c r="B4" s="1115" t="s">
        <v>273</v>
      </c>
      <c r="C4" s="1116"/>
      <c r="D4" s="1116"/>
      <c r="E4" s="1116"/>
      <c r="F4" s="1116"/>
      <c r="G4" s="1116"/>
      <c r="H4" s="1116"/>
      <c r="I4" s="1116"/>
      <c r="J4" s="1116"/>
      <c r="K4" s="1117"/>
      <c r="L4" s="1125" t="s">
        <v>274</v>
      </c>
      <c r="M4" s="1125"/>
      <c r="O4" t="s">
        <v>267</v>
      </c>
    </row>
    <row r="5" spans="2:17" s="8" customFormat="1" ht="15.95" customHeight="1" x14ac:dyDescent="0.25">
      <c r="B5" s="1166" t="s">
        <v>26</v>
      </c>
      <c r="C5" s="1181" t="s">
        <v>35</v>
      </c>
      <c r="D5" s="1169" t="s">
        <v>110</v>
      </c>
      <c r="E5" s="1167"/>
      <c r="F5" s="1168"/>
      <c r="G5" s="1169" t="s">
        <v>74</v>
      </c>
      <c r="H5" s="1167"/>
      <c r="I5" s="1168"/>
      <c r="J5" s="1182" t="s">
        <v>105</v>
      </c>
      <c r="K5" s="1183" t="s">
        <v>175</v>
      </c>
      <c r="N5" s="35"/>
    </row>
    <row r="6" spans="2:17" s="8" customFormat="1" ht="39.950000000000003" customHeight="1" thickBot="1" x14ac:dyDescent="0.3">
      <c r="B6" s="1118"/>
      <c r="C6" s="1031"/>
      <c r="D6" s="307" t="s">
        <v>174</v>
      </c>
      <c r="E6" s="306" t="s">
        <v>116</v>
      </c>
      <c r="F6" s="307" t="s">
        <v>134</v>
      </c>
      <c r="G6" s="306" t="s">
        <v>113</v>
      </c>
      <c r="H6" s="306" t="s">
        <v>275</v>
      </c>
      <c r="I6" s="306" t="s">
        <v>173</v>
      </c>
      <c r="J6" s="1122"/>
      <c r="K6" s="1123"/>
      <c r="L6" s="200" t="s">
        <v>210</v>
      </c>
      <c r="M6" s="116"/>
      <c r="N6" s="200"/>
      <c r="O6" s="116"/>
      <c r="P6" s="116"/>
      <c r="Q6" s="116"/>
    </row>
    <row r="7" spans="2:17" x14ac:dyDescent="0.25">
      <c r="B7" s="593">
        <v>2003</v>
      </c>
      <c r="C7" s="594">
        <v>37653.885416666664</v>
      </c>
      <c r="D7" s="545">
        <v>6.04</v>
      </c>
      <c r="E7" s="539">
        <v>6.44</v>
      </c>
      <c r="F7" s="595"/>
      <c r="G7" s="545"/>
      <c r="H7" s="596"/>
      <c r="I7" s="540"/>
      <c r="J7" s="545">
        <f>1*10+1*6.3</f>
        <v>16.3</v>
      </c>
      <c r="K7" s="597">
        <f>J7-10</f>
        <v>6.3000000000000007</v>
      </c>
      <c r="L7" s="261">
        <v>0.98650000000000004</v>
      </c>
      <c r="M7" s="1126" t="s">
        <v>212</v>
      </c>
      <c r="N7" s="1126"/>
      <c r="O7" s="119">
        <v>75</v>
      </c>
      <c r="P7" s="179">
        <f t="shared" ref="P7:P21" si="0">O7-25</f>
        <v>50</v>
      </c>
      <c r="Q7" s="73"/>
    </row>
    <row r="8" spans="2:17" x14ac:dyDescent="0.25">
      <c r="B8" s="598">
        <v>2004</v>
      </c>
      <c r="C8" s="599">
        <v>38010.895833333336</v>
      </c>
      <c r="D8" s="119">
        <v>6.75</v>
      </c>
      <c r="E8" s="62">
        <v>7.19</v>
      </c>
      <c r="F8" s="486">
        <f>(E8-E7)/E7</f>
        <v>0.11645962732919254</v>
      </c>
      <c r="G8" s="119"/>
      <c r="H8" s="60"/>
      <c r="I8" s="40"/>
      <c r="J8" s="119">
        <f t="shared" ref="J8:J31" si="1">1*10+1*6.3</f>
        <v>16.3</v>
      </c>
      <c r="K8" s="179">
        <f t="shared" ref="K8:K31" si="2">J8-10</f>
        <v>6.3000000000000007</v>
      </c>
      <c r="L8" s="261">
        <v>0.98570000000000002</v>
      </c>
      <c r="M8" s="1127" t="s">
        <v>213</v>
      </c>
      <c r="N8" s="1127"/>
      <c r="O8" s="119">
        <v>75</v>
      </c>
      <c r="P8" s="179">
        <f t="shared" si="0"/>
        <v>50</v>
      </c>
      <c r="Q8" s="73"/>
    </row>
    <row r="9" spans="2:17" x14ac:dyDescent="0.25">
      <c r="B9" s="598">
        <v>2005</v>
      </c>
      <c r="C9" s="599">
        <v>38374.895833333336</v>
      </c>
      <c r="D9" s="119">
        <v>7.31</v>
      </c>
      <c r="E9" s="62">
        <v>7.71</v>
      </c>
      <c r="F9" s="486">
        <f t="shared" ref="F9:F21" si="3">(E9-E8)/E8</f>
        <v>7.2322670375521494E-2</v>
      </c>
      <c r="G9" s="119"/>
      <c r="H9" s="60"/>
      <c r="I9" s="40"/>
      <c r="J9" s="119">
        <f t="shared" si="1"/>
        <v>16.3</v>
      </c>
      <c r="K9" s="179">
        <f t="shared" si="2"/>
        <v>6.3000000000000007</v>
      </c>
      <c r="L9" s="261">
        <v>0.99729999999999996</v>
      </c>
      <c r="M9" s="1128" t="s">
        <v>211</v>
      </c>
      <c r="N9" s="1128"/>
      <c r="O9" s="119">
        <v>75</v>
      </c>
      <c r="P9" s="179">
        <f t="shared" si="0"/>
        <v>50</v>
      </c>
      <c r="Q9" s="73"/>
    </row>
    <row r="10" spans="2:17" x14ac:dyDescent="0.25">
      <c r="B10" s="598">
        <v>2006</v>
      </c>
      <c r="C10" s="599">
        <v>38745.895833333336</v>
      </c>
      <c r="D10" s="119">
        <v>7.76</v>
      </c>
      <c r="E10" s="62">
        <v>8.11</v>
      </c>
      <c r="F10" s="486">
        <f t="shared" si="3"/>
        <v>5.1880674448767768E-2</v>
      </c>
      <c r="G10" s="119"/>
      <c r="H10" s="60"/>
      <c r="I10" s="40"/>
      <c r="J10" s="119">
        <f t="shared" si="1"/>
        <v>16.3</v>
      </c>
      <c r="K10" s="179">
        <f t="shared" si="2"/>
        <v>6.3000000000000007</v>
      </c>
      <c r="L10" s="261">
        <v>0.99729999999999996</v>
      </c>
      <c r="M10" s="250"/>
      <c r="N10" s="39"/>
      <c r="O10" s="119">
        <v>75</v>
      </c>
      <c r="P10" s="179">
        <f t="shared" si="0"/>
        <v>50</v>
      </c>
      <c r="Q10" s="73"/>
    </row>
    <row r="11" spans="2:17" x14ac:dyDescent="0.25">
      <c r="B11" s="598">
        <v>2007</v>
      </c>
      <c r="C11" s="599">
        <v>39104.895833333336</v>
      </c>
      <c r="D11" s="119">
        <v>8.3000000000000007</v>
      </c>
      <c r="E11" s="62">
        <v>8.57</v>
      </c>
      <c r="F11" s="486">
        <f t="shared" si="3"/>
        <v>5.6720098643649922E-2</v>
      </c>
      <c r="G11" s="119"/>
      <c r="H11" s="60"/>
      <c r="I11" s="40"/>
      <c r="J11" s="119">
        <f t="shared" si="1"/>
        <v>16.3</v>
      </c>
      <c r="K11" s="179">
        <f t="shared" si="2"/>
        <v>6.3000000000000007</v>
      </c>
      <c r="L11" s="261">
        <v>0.99629999999999996</v>
      </c>
      <c r="M11" s="250"/>
      <c r="N11" s="39"/>
      <c r="O11" s="119">
        <v>75</v>
      </c>
      <c r="P11" s="179">
        <f t="shared" si="0"/>
        <v>50</v>
      </c>
      <c r="Q11" s="73"/>
    </row>
    <row r="12" spans="2:17" ht="15" customHeight="1" x14ac:dyDescent="0.25">
      <c r="B12" s="598">
        <v>2008</v>
      </c>
      <c r="C12" s="599">
        <v>39462.927083333336</v>
      </c>
      <c r="D12" s="119">
        <v>8.92</v>
      </c>
      <c r="E12" s="62">
        <v>9.34</v>
      </c>
      <c r="F12" s="486">
        <f t="shared" si="3"/>
        <v>8.9848308051341835E-2</v>
      </c>
      <c r="G12" s="119"/>
      <c r="H12" s="60"/>
      <c r="I12" s="40"/>
      <c r="J12" s="119">
        <f t="shared" si="1"/>
        <v>16.3</v>
      </c>
      <c r="K12" s="179">
        <f t="shared" si="2"/>
        <v>6.3000000000000007</v>
      </c>
      <c r="L12" s="261">
        <v>0.99770000000000003</v>
      </c>
      <c r="M12" s="250"/>
      <c r="N12" s="600"/>
      <c r="O12" s="119">
        <v>75</v>
      </c>
      <c r="P12" s="179">
        <f t="shared" si="0"/>
        <v>50</v>
      </c>
      <c r="Q12" s="73"/>
    </row>
    <row r="13" spans="2:17" x14ac:dyDescent="0.25">
      <c r="B13" s="598">
        <v>2009</v>
      </c>
      <c r="C13" s="599">
        <v>39837.916666666664</v>
      </c>
      <c r="D13" s="119">
        <v>9.5399999999999991</v>
      </c>
      <c r="E13" s="62">
        <v>9.9600000000000009</v>
      </c>
      <c r="F13" s="486">
        <f t="shared" si="3"/>
        <v>6.6381156316916601E-2</v>
      </c>
      <c r="G13" s="119"/>
      <c r="H13" s="60"/>
      <c r="I13" s="40"/>
      <c r="J13" s="119">
        <f t="shared" si="1"/>
        <v>16.3</v>
      </c>
      <c r="K13" s="179">
        <f t="shared" si="2"/>
        <v>6.3000000000000007</v>
      </c>
      <c r="L13" s="261">
        <v>0.99750000000000005</v>
      </c>
      <c r="M13" s="250"/>
      <c r="N13" s="600"/>
      <c r="O13" s="119">
        <v>75</v>
      </c>
      <c r="P13" s="179">
        <f t="shared" si="0"/>
        <v>50</v>
      </c>
      <c r="Q13" s="73"/>
    </row>
    <row r="14" spans="2:17" x14ac:dyDescent="0.25">
      <c r="B14" s="598">
        <v>2010</v>
      </c>
      <c r="C14" s="599">
        <v>40207.885416666664</v>
      </c>
      <c r="D14" s="119">
        <v>9.8000000000000007</v>
      </c>
      <c r="E14" s="62">
        <v>10.039999999999999</v>
      </c>
      <c r="F14" s="486">
        <f t="shared" si="3"/>
        <v>8.0321285140560524E-3</v>
      </c>
      <c r="G14" s="119"/>
      <c r="H14" s="60"/>
      <c r="I14" s="40"/>
      <c r="J14" s="119">
        <f t="shared" si="1"/>
        <v>16.3</v>
      </c>
      <c r="K14" s="179">
        <f t="shared" si="2"/>
        <v>6.3000000000000007</v>
      </c>
      <c r="L14" s="261"/>
      <c r="M14" s="1110" t="s">
        <v>239</v>
      </c>
      <c r="N14" s="1111" t="s">
        <v>240</v>
      </c>
      <c r="O14" s="119">
        <v>75</v>
      </c>
      <c r="P14" s="179">
        <f t="shared" si="0"/>
        <v>50</v>
      </c>
      <c r="Q14" s="73"/>
    </row>
    <row r="15" spans="2:17" ht="15" customHeight="1" x14ac:dyDescent="0.25">
      <c r="B15" s="598">
        <v>2011</v>
      </c>
      <c r="C15" s="599">
        <v>40567.895833333336</v>
      </c>
      <c r="D15" s="601">
        <v>10.08</v>
      </c>
      <c r="E15" s="602">
        <v>10.43</v>
      </c>
      <c r="F15" s="486">
        <f t="shared" si="3"/>
        <v>3.8844621513944286E-2</v>
      </c>
      <c r="G15" s="119"/>
      <c r="H15" s="60"/>
      <c r="I15" s="40"/>
      <c r="J15" s="119">
        <f t="shared" si="1"/>
        <v>16.3</v>
      </c>
      <c r="K15" s="179">
        <f t="shared" si="2"/>
        <v>6.3000000000000007</v>
      </c>
      <c r="L15" s="261"/>
      <c r="M15" s="1110"/>
      <c r="N15" s="1111"/>
      <c r="O15" s="119">
        <v>75</v>
      </c>
      <c r="P15" s="179">
        <f t="shared" si="0"/>
        <v>50</v>
      </c>
      <c r="Q15" s="73"/>
    </row>
    <row r="16" spans="2:17" x14ac:dyDescent="0.25">
      <c r="B16" s="598">
        <v>2012</v>
      </c>
      <c r="C16" s="599">
        <v>40917.90625</v>
      </c>
      <c r="D16" s="601">
        <v>10.650391000000001</v>
      </c>
      <c r="E16" s="602">
        <v>11.133896188566741</v>
      </c>
      <c r="F16" s="486">
        <f t="shared" si="3"/>
        <v>6.7487649910521683E-2</v>
      </c>
      <c r="G16" s="119"/>
      <c r="H16" s="60"/>
      <c r="I16" s="40"/>
      <c r="J16" s="119">
        <f t="shared" si="1"/>
        <v>16.3</v>
      </c>
      <c r="K16" s="179">
        <f t="shared" si="2"/>
        <v>6.3000000000000007</v>
      </c>
      <c r="L16" s="261"/>
      <c r="M16" s="1110"/>
      <c r="N16" s="1111"/>
      <c r="O16" s="119">
        <v>75</v>
      </c>
      <c r="P16" s="179">
        <f t="shared" si="0"/>
        <v>50</v>
      </c>
      <c r="Q16" s="73"/>
    </row>
    <row r="17" spans="2:17" ht="15" customHeight="1" x14ac:dyDescent="0.25">
      <c r="B17" s="598">
        <v>2013</v>
      </c>
      <c r="C17" s="599">
        <v>41478.854166666664</v>
      </c>
      <c r="D17" s="601">
        <v>11.2</v>
      </c>
      <c r="E17" s="602">
        <v>11.2</v>
      </c>
      <c r="F17" s="486">
        <f t="shared" si="3"/>
        <v>5.9371679341809888E-3</v>
      </c>
      <c r="G17" s="119"/>
      <c r="H17" s="60"/>
      <c r="I17" s="40"/>
      <c r="J17" s="119">
        <f t="shared" si="1"/>
        <v>16.3</v>
      </c>
      <c r="K17" s="179">
        <f t="shared" si="2"/>
        <v>6.3000000000000007</v>
      </c>
      <c r="L17" s="261"/>
      <c r="M17" s="250"/>
      <c r="N17" s="40"/>
      <c r="O17" s="119">
        <v>75</v>
      </c>
      <c r="P17" s="179">
        <f t="shared" si="0"/>
        <v>50</v>
      </c>
      <c r="Q17" s="73"/>
    </row>
    <row r="18" spans="2:17" x14ac:dyDescent="0.25">
      <c r="B18" s="598">
        <v>2014</v>
      </c>
      <c r="C18" s="599">
        <v>41662.90625</v>
      </c>
      <c r="D18" s="601">
        <v>13.39</v>
      </c>
      <c r="E18" s="602">
        <v>14.26</v>
      </c>
      <c r="F18" s="486">
        <f t="shared" si="3"/>
        <v>0.2732142857142858</v>
      </c>
      <c r="G18" s="119"/>
      <c r="H18" s="40"/>
      <c r="I18" s="40"/>
      <c r="J18" s="119">
        <f t="shared" si="1"/>
        <v>16.3</v>
      </c>
      <c r="K18" s="179">
        <f t="shared" si="2"/>
        <v>6.3000000000000007</v>
      </c>
      <c r="L18" s="261"/>
      <c r="M18" s="50"/>
      <c r="N18" s="50"/>
      <c r="O18" s="119">
        <v>75</v>
      </c>
      <c r="P18" s="179">
        <f t="shared" si="0"/>
        <v>50</v>
      </c>
      <c r="Q18" s="73"/>
    </row>
    <row r="19" spans="2:17" x14ac:dyDescent="0.25">
      <c r="B19" s="598">
        <v>2015</v>
      </c>
      <c r="C19" s="599">
        <v>42028.90625</v>
      </c>
      <c r="D19" s="601">
        <v>13.18</v>
      </c>
      <c r="E19" s="602">
        <v>13.71</v>
      </c>
      <c r="F19" s="486">
        <f t="shared" si="3"/>
        <v>-3.8569424964936809E-2</v>
      </c>
      <c r="G19" s="119"/>
      <c r="H19" s="42"/>
      <c r="I19" s="40"/>
      <c r="J19" s="119">
        <f t="shared" si="1"/>
        <v>16.3</v>
      </c>
      <c r="K19" s="179">
        <f t="shared" si="2"/>
        <v>6.3000000000000007</v>
      </c>
      <c r="L19" s="261"/>
      <c r="M19" s="50"/>
      <c r="N19" s="50"/>
      <c r="O19" s="119">
        <v>75</v>
      </c>
      <c r="P19" s="179">
        <f t="shared" si="0"/>
        <v>50</v>
      </c>
      <c r="Q19" s="73"/>
    </row>
    <row r="20" spans="2:17" x14ac:dyDescent="0.25">
      <c r="B20" s="598">
        <v>2016</v>
      </c>
      <c r="C20" s="599">
        <v>42391.895833333336</v>
      </c>
      <c r="D20" s="601">
        <v>13.78</v>
      </c>
      <c r="E20" s="602">
        <v>14.3</v>
      </c>
      <c r="F20" s="486">
        <f t="shared" si="3"/>
        <v>4.3034281546316541E-2</v>
      </c>
      <c r="G20" s="119"/>
      <c r="H20" s="42"/>
      <c r="I20" s="40"/>
      <c r="J20" s="119">
        <f t="shared" si="1"/>
        <v>16.3</v>
      </c>
      <c r="K20" s="179">
        <f t="shared" si="2"/>
        <v>6.3000000000000007</v>
      </c>
      <c r="L20" s="269">
        <f>AVERAGE(L7:L19)</f>
        <v>0.99404285714285712</v>
      </c>
      <c r="M20" s="50"/>
      <c r="N20" s="390"/>
      <c r="O20" s="119">
        <v>75</v>
      </c>
      <c r="P20" s="179">
        <f t="shared" si="0"/>
        <v>50</v>
      </c>
      <c r="Q20" s="73"/>
    </row>
    <row r="21" spans="2:17" x14ac:dyDescent="0.25">
      <c r="B21" s="598">
        <v>2017</v>
      </c>
      <c r="C21" s="599">
        <v>42756.888888888891</v>
      </c>
      <c r="D21" s="601">
        <v>13.87</v>
      </c>
      <c r="E21" s="602">
        <v>14.29</v>
      </c>
      <c r="F21" s="486">
        <f t="shared" si="3"/>
        <v>-6.9930069930080859E-4</v>
      </c>
      <c r="G21" s="119"/>
      <c r="H21" s="42">
        <f>E21</f>
        <v>14.29</v>
      </c>
      <c r="I21" s="40">
        <f>E21</f>
        <v>14.29</v>
      </c>
      <c r="J21" s="119">
        <f t="shared" si="1"/>
        <v>16.3</v>
      </c>
      <c r="K21" s="179">
        <f t="shared" si="2"/>
        <v>6.3000000000000007</v>
      </c>
      <c r="L21" s="73"/>
      <c r="M21" s="383"/>
      <c r="N21" s="390"/>
      <c r="O21" s="119">
        <v>75</v>
      </c>
      <c r="P21" s="179">
        <f t="shared" si="0"/>
        <v>50</v>
      </c>
      <c r="Q21" s="73"/>
    </row>
    <row r="22" spans="2:17" x14ac:dyDescent="0.25">
      <c r="B22" s="603">
        <v>2018</v>
      </c>
      <c r="C22" s="604"/>
      <c r="D22" s="120"/>
      <c r="E22" s="109"/>
      <c r="F22" s="476"/>
      <c r="G22" s="605">
        <f>0.5863*B22-1168</f>
        <v>15.153400000000147</v>
      </c>
      <c r="H22" s="606">
        <v>15.583025083971767</v>
      </c>
      <c r="I22" s="423">
        <f t="shared" ref="I22:I31" si="4">1.045*I21</f>
        <v>14.933049999999998</v>
      </c>
      <c r="J22" s="119">
        <f t="shared" si="1"/>
        <v>16.3</v>
      </c>
      <c r="K22" s="179">
        <f t="shared" si="2"/>
        <v>6.3000000000000007</v>
      </c>
      <c r="L22" s="73"/>
      <c r="M22" s="383">
        <f>(G22-E21)/E21</f>
        <v>6.0419874037799012E-2</v>
      </c>
      <c r="N22" s="390">
        <f>(H22-H21)/H21</f>
        <v>9.0484610494875328E-2</v>
      </c>
      <c r="O22" s="73"/>
      <c r="P22" s="73"/>
      <c r="Q22" s="73"/>
    </row>
    <row r="23" spans="2:17" x14ac:dyDescent="0.25">
      <c r="B23" s="603">
        <v>2019</v>
      </c>
      <c r="C23" s="604"/>
      <c r="D23" s="120"/>
      <c r="E23" s="109"/>
      <c r="F23" s="476"/>
      <c r="G23" s="605">
        <f t="shared" ref="G23:G31" si="5">0.5863*B23-1168</f>
        <v>15.739700000000084</v>
      </c>
      <c r="H23" s="606">
        <v>16.253095162582554</v>
      </c>
      <c r="I23" s="423">
        <f t="shared" si="4"/>
        <v>15.605037249999997</v>
      </c>
      <c r="J23" s="119">
        <f t="shared" si="1"/>
        <v>16.3</v>
      </c>
      <c r="K23" s="179">
        <f t="shared" si="2"/>
        <v>6.3000000000000007</v>
      </c>
      <c r="L23" s="73"/>
      <c r="M23" s="383">
        <f t="shared" ref="M23:M31" si="6">(G23-G22)/G22</f>
        <v>3.8690986841232448E-2</v>
      </c>
      <c r="N23" s="390">
        <f>(H23-H22)/H22</f>
        <v>4.3000000000000017E-2</v>
      </c>
      <c r="O23" s="73"/>
      <c r="P23" s="73"/>
      <c r="Q23" s="73"/>
    </row>
    <row r="24" spans="2:17" x14ac:dyDescent="0.25">
      <c r="B24" s="603">
        <v>2020</v>
      </c>
      <c r="C24" s="604"/>
      <c r="D24" s="120"/>
      <c r="E24" s="109"/>
      <c r="F24" s="476"/>
      <c r="G24" s="605">
        <f t="shared" si="5"/>
        <v>16.326000000000022</v>
      </c>
      <c r="H24" s="606">
        <v>16.951978254573604</v>
      </c>
      <c r="I24" s="423">
        <f t="shared" si="4"/>
        <v>16.307263926249995</v>
      </c>
      <c r="J24" s="119">
        <f t="shared" si="1"/>
        <v>16.3</v>
      </c>
      <c r="K24" s="179">
        <f t="shared" si="2"/>
        <v>6.3000000000000007</v>
      </c>
      <c r="L24" s="73"/>
      <c r="M24" s="383">
        <f t="shared" si="6"/>
        <v>3.7249756983928177E-2</v>
      </c>
      <c r="N24" s="390">
        <f>(H24-H23)/H23</f>
        <v>4.2999999999999997E-2</v>
      </c>
      <c r="O24" s="73"/>
      <c r="P24" s="73"/>
      <c r="Q24" s="73"/>
    </row>
    <row r="25" spans="2:17" x14ac:dyDescent="0.25">
      <c r="B25" s="603">
        <v>2021</v>
      </c>
      <c r="C25" s="604"/>
      <c r="D25" s="120"/>
      <c r="E25" s="109"/>
      <c r="F25" s="476"/>
      <c r="G25" s="605">
        <f t="shared" si="5"/>
        <v>16.912300000000187</v>
      </c>
      <c r="H25" s="606">
        <v>17.680913319520268</v>
      </c>
      <c r="I25" s="423">
        <f t="shared" si="4"/>
        <v>17.041090802931244</v>
      </c>
      <c r="J25" s="119">
        <f t="shared" si="1"/>
        <v>16.3</v>
      </c>
      <c r="K25" s="179">
        <f t="shared" si="2"/>
        <v>6.3000000000000007</v>
      </c>
      <c r="L25" s="73"/>
      <c r="M25" s="383">
        <f t="shared" si="6"/>
        <v>3.5912042141379642E-2</v>
      </c>
      <c r="N25" s="390">
        <f>(H25-H24)/H24</f>
        <v>4.299999999999999E-2</v>
      </c>
      <c r="O25" s="73"/>
      <c r="P25" s="73"/>
      <c r="Q25" s="73"/>
    </row>
    <row r="26" spans="2:17" x14ac:dyDescent="0.25">
      <c r="B26" s="603">
        <v>2022</v>
      </c>
      <c r="C26" s="604"/>
      <c r="D26" s="120"/>
      <c r="E26" s="109"/>
      <c r="F26" s="476"/>
      <c r="G26" s="605">
        <f t="shared" si="5"/>
        <v>17.498600000000124</v>
      </c>
      <c r="H26" s="421"/>
      <c r="I26" s="423">
        <f t="shared" si="4"/>
        <v>17.80793988906315</v>
      </c>
      <c r="J26" s="119">
        <f t="shared" si="1"/>
        <v>16.3</v>
      </c>
      <c r="K26" s="179">
        <f t="shared" si="2"/>
        <v>6.3000000000000007</v>
      </c>
      <c r="L26" s="73"/>
      <c r="M26" s="383">
        <f t="shared" si="6"/>
        <v>3.4667076624701011E-2</v>
      </c>
      <c r="N26" s="390"/>
      <c r="O26" s="73"/>
      <c r="P26" s="73"/>
      <c r="Q26" s="73"/>
    </row>
    <row r="27" spans="2:17" x14ac:dyDescent="0.25">
      <c r="B27" s="603">
        <v>2023</v>
      </c>
      <c r="C27" s="604"/>
      <c r="D27" s="120"/>
      <c r="E27" s="109"/>
      <c r="F27" s="476"/>
      <c r="G27" s="605">
        <f t="shared" si="5"/>
        <v>18.084900000000061</v>
      </c>
      <c r="H27" s="421"/>
      <c r="I27" s="423">
        <f t="shared" si="4"/>
        <v>18.609297184070989</v>
      </c>
      <c r="J27" s="119">
        <f t="shared" si="1"/>
        <v>16.3</v>
      </c>
      <c r="K27" s="179">
        <f t="shared" si="2"/>
        <v>6.3000000000000007</v>
      </c>
      <c r="L27" s="73"/>
      <c r="M27" s="383">
        <f t="shared" si="6"/>
        <v>3.3505537585860196E-2</v>
      </c>
      <c r="N27" s="390"/>
      <c r="O27" s="73"/>
      <c r="P27" s="73"/>
      <c r="Q27" s="73"/>
    </row>
    <row r="28" spans="2:17" x14ac:dyDescent="0.25">
      <c r="B28" s="603">
        <v>2024</v>
      </c>
      <c r="C28" s="604"/>
      <c r="D28" s="120"/>
      <c r="E28" s="109"/>
      <c r="F28" s="476"/>
      <c r="G28" s="605">
        <f t="shared" si="5"/>
        <v>18.671199999999999</v>
      </c>
      <c r="H28" s="421"/>
      <c r="I28" s="423">
        <f t="shared" si="4"/>
        <v>19.446715557354182</v>
      </c>
      <c r="J28" s="119">
        <f t="shared" si="1"/>
        <v>16.3</v>
      </c>
      <c r="K28" s="179">
        <f t="shared" si="2"/>
        <v>6.3000000000000007</v>
      </c>
      <c r="L28" s="73"/>
      <c r="M28" s="383">
        <f t="shared" si="6"/>
        <v>3.2419311138017652E-2</v>
      </c>
      <c r="N28" s="390"/>
      <c r="O28" s="200"/>
      <c r="P28" s="73"/>
      <c r="Q28" s="73"/>
    </row>
    <row r="29" spans="2:17" x14ac:dyDescent="0.25">
      <c r="B29" s="603">
        <v>2025</v>
      </c>
      <c r="C29" s="604"/>
      <c r="D29" s="120"/>
      <c r="E29" s="109"/>
      <c r="F29" s="476"/>
      <c r="G29" s="605">
        <f t="shared" si="5"/>
        <v>19.257500000000164</v>
      </c>
      <c r="H29" s="421"/>
      <c r="I29" s="423">
        <f t="shared" si="4"/>
        <v>20.32181775743512</v>
      </c>
      <c r="J29" s="119">
        <f t="shared" si="1"/>
        <v>16.3</v>
      </c>
      <c r="K29" s="179">
        <f t="shared" si="2"/>
        <v>6.3000000000000007</v>
      </c>
      <c r="L29" s="73"/>
      <c r="M29" s="383">
        <f t="shared" si="6"/>
        <v>3.1401302540820346E-2</v>
      </c>
      <c r="N29" s="390"/>
      <c r="O29" s="43"/>
      <c r="P29" s="73"/>
      <c r="Q29" s="73"/>
    </row>
    <row r="30" spans="2:17" x14ac:dyDescent="0.25">
      <c r="B30" s="607">
        <v>2026</v>
      </c>
      <c r="C30" s="604"/>
      <c r="D30" s="608"/>
      <c r="E30" s="115"/>
      <c r="F30" s="46"/>
      <c r="G30" s="605">
        <f t="shared" si="5"/>
        <v>19.843800000000101</v>
      </c>
      <c r="H30" s="609"/>
      <c r="I30" s="423">
        <f t="shared" si="4"/>
        <v>21.2362995565197</v>
      </c>
      <c r="J30" s="119">
        <f t="shared" si="1"/>
        <v>16.3</v>
      </c>
      <c r="K30" s="179">
        <f t="shared" si="2"/>
        <v>6.3000000000000007</v>
      </c>
      <c r="M30" s="383">
        <f t="shared" si="6"/>
        <v>3.0445281059324026E-2</v>
      </c>
      <c r="N30" s="387"/>
      <c r="O30" s="5"/>
    </row>
    <row r="31" spans="2:17" ht="15.75" thickBot="1" x14ac:dyDescent="0.3">
      <c r="B31" s="610">
        <v>2027</v>
      </c>
      <c r="C31" s="611"/>
      <c r="D31" s="612"/>
      <c r="E31" s="487"/>
      <c r="F31" s="480"/>
      <c r="G31" s="613">
        <f t="shared" si="5"/>
        <v>20.430100000000039</v>
      </c>
      <c r="H31" s="614"/>
      <c r="I31" s="424">
        <f t="shared" si="4"/>
        <v>22.191933036563086</v>
      </c>
      <c r="J31" s="193">
        <f t="shared" si="1"/>
        <v>16.3</v>
      </c>
      <c r="K31" s="181">
        <f t="shared" si="2"/>
        <v>6.3000000000000007</v>
      </c>
      <c r="M31" s="383">
        <f t="shared" si="6"/>
        <v>2.9545752325660129E-2</v>
      </c>
      <c r="N31" s="387"/>
      <c r="O31" s="5"/>
    </row>
    <row r="32" spans="2:17" x14ac:dyDescent="0.25">
      <c r="D32" s="9"/>
      <c r="E32" s="9"/>
      <c r="F32" s="439">
        <f>AVERAGE(F7:F21)</f>
        <v>6.0778138902461289E-2</v>
      </c>
      <c r="G32" s="12"/>
      <c r="H32" s="12"/>
      <c r="I32" s="9"/>
      <c r="J32" s="11"/>
      <c r="K32" s="11"/>
      <c r="M32" s="363">
        <f>AVERAGE(M22:M31)</f>
        <v>3.6425692127872264E-2</v>
      </c>
      <c r="N32" s="615">
        <f>AVERAGE(N22:N31)</f>
        <v>5.4871152623718833E-2</v>
      </c>
      <c r="O32" s="5"/>
    </row>
    <row r="33" spans="2:15" x14ac:dyDescent="0.25">
      <c r="D33" s="9"/>
      <c r="E33" s="9"/>
      <c r="F33" s="12"/>
      <c r="G33" s="12"/>
      <c r="H33" s="12"/>
      <c r="I33" s="9"/>
      <c r="J33" s="11"/>
      <c r="K33" s="11"/>
      <c r="M33" s="386"/>
      <c r="N33" s="386"/>
      <c r="O33" s="5"/>
    </row>
    <row r="34" spans="2:15" ht="15.75" thickBot="1" x14ac:dyDescent="0.3">
      <c r="D34" s="9"/>
      <c r="E34" s="9"/>
      <c r="F34" s="12"/>
      <c r="G34" s="12"/>
      <c r="H34" s="12"/>
      <c r="I34" s="9"/>
      <c r="J34" s="11"/>
      <c r="K34" s="11"/>
      <c r="M34" s="386"/>
      <c r="N34" s="386"/>
      <c r="O34" s="5"/>
    </row>
    <row r="35" spans="2:15" ht="15.75" thickBot="1" x14ac:dyDescent="0.3">
      <c r="C35" s="1040" t="s">
        <v>272</v>
      </c>
      <c r="D35" s="1041"/>
      <c r="E35" s="1041"/>
      <c r="F35" s="1041"/>
      <c r="G35" s="1041"/>
      <c r="H35" s="1041"/>
      <c r="I35" s="1041"/>
      <c r="J35" s="1041"/>
      <c r="K35" s="1042"/>
      <c r="M35" s="386"/>
      <c r="N35" s="386"/>
      <c r="O35" s="5"/>
    </row>
    <row r="36" spans="2:15" ht="15.75" thickBot="1" x14ac:dyDescent="0.3">
      <c r="C36" s="1317" t="s">
        <v>273</v>
      </c>
      <c r="D36" s="1318"/>
      <c r="E36" s="1318"/>
      <c r="F36" s="1318"/>
      <c r="G36" s="1318"/>
      <c r="H36" s="1318"/>
      <c r="I36" s="1318"/>
      <c r="J36" s="1318"/>
      <c r="K36" s="1319"/>
      <c r="M36" s="386"/>
      <c r="N36" s="386"/>
      <c r="O36" s="5"/>
    </row>
    <row r="37" spans="2:15" ht="15.75" thickBot="1" x14ac:dyDescent="0.3">
      <c r="B37" s="1051" t="s">
        <v>26</v>
      </c>
      <c r="C37" s="1043" t="s">
        <v>35</v>
      </c>
      <c r="D37" s="1320" t="s">
        <v>110</v>
      </c>
      <c r="E37" s="1321"/>
      <c r="F37" s="1322"/>
      <c r="G37" s="1320" t="s">
        <v>74</v>
      </c>
      <c r="H37" s="1322"/>
      <c r="I37" s="1043" t="s">
        <v>180</v>
      </c>
      <c r="J37" s="1221" t="s">
        <v>268</v>
      </c>
      <c r="K37" s="1049" t="s">
        <v>269</v>
      </c>
      <c r="M37" s="386"/>
      <c r="N37" s="386"/>
      <c r="O37" s="5"/>
    </row>
    <row r="38" spans="2:15" ht="34.5" thickBot="1" x14ac:dyDescent="0.3">
      <c r="B38" s="1051"/>
      <c r="C38" s="1048"/>
      <c r="D38" s="547" t="s">
        <v>174</v>
      </c>
      <c r="E38" s="616" t="s">
        <v>122</v>
      </c>
      <c r="F38" s="548" t="s">
        <v>81</v>
      </c>
      <c r="G38" s="547" t="s">
        <v>170</v>
      </c>
      <c r="H38" s="548" t="s">
        <v>270</v>
      </c>
      <c r="I38" s="1048"/>
      <c r="J38" s="1323"/>
      <c r="K38" s="1050"/>
      <c r="M38" s="386"/>
      <c r="N38" s="386"/>
      <c r="O38" s="5"/>
    </row>
    <row r="39" spans="2:15" x14ac:dyDescent="0.25">
      <c r="B39" s="438">
        <v>2003</v>
      </c>
      <c r="C39" s="617">
        <v>37653.885416666664</v>
      </c>
      <c r="D39" s="545">
        <v>6.04</v>
      </c>
      <c r="E39" s="539">
        <v>6.44</v>
      </c>
      <c r="F39" s="618"/>
      <c r="G39" s="545"/>
      <c r="H39" s="540"/>
      <c r="I39" s="619">
        <f>1*10+1*6.3</f>
        <v>16.3</v>
      </c>
      <c r="J39" s="619">
        <f>I39-10</f>
        <v>6.3000000000000007</v>
      </c>
      <c r="K39" s="542">
        <f>E39/I39</f>
        <v>0.3950920245398773</v>
      </c>
      <c r="M39" s="386"/>
      <c r="N39" s="386"/>
      <c r="O39" s="5"/>
    </row>
    <row r="40" spans="2:15" x14ac:dyDescent="0.25">
      <c r="B40" s="438">
        <v>2004</v>
      </c>
      <c r="C40" s="620">
        <v>38010.895833333336</v>
      </c>
      <c r="D40" s="119">
        <v>6.75</v>
      </c>
      <c r="E40" s="62">
        <v>7.19</v>
      </c>
      <c r="F40" s="50">
        <f>(E40-E39)/E39</f>
        <v>0.11645962732919254</v>
      </c>
      <c r="G40" s="119"/>
      <c r="H40" s="40"/>
      <c r="I40" s="621">
        <f t="shared" ref="I40:I63" si="7">1*10+1*6.3</f>
        <v>16.3</v>
      </c>
      <c r="J40" s="621">
        <f t="shared" ref="J40:J63" si="8">I40-10</f>
        <v>6.3000000000000007</v>
      </c>
      <c r="K40" s="543">
        <f t="shared" ref="K40:K53" si="9">E40/I40</f>
        <v>0.44110429447852761</v>
      </c>
      <c r="M40" s="386"/>
      <c r="N40" s="386"/>
      <c r="O40" s="5"/>
    </row>
    <row r="41" spans="2:15" x14ac:dyDescent="0.25">
      <c r="B41" s="438">
        <v>2005</v>
      </c>
      <c r="C41" s="620">
        <v>38374.895833333336</v>
      </c>
      <c r="D41" s="119">
        <v>7.31</v>
      </c>
      <c r="E41" s="62">
        <v>7.71</v>
      </c>
      <c r="F41" s="50">
        <f t="shared" ref="F41:F53" si="10">(E41-E40)/E40</f>
        <v>7.2322670375521494E-2</v>
      </c>
      <c r="G41" s="119"/>
      <c r="H41" s="40"/>
      <c r="I41" s="621">
        <f t="shared" si="7"/>
        <v>16.3</v>
      </c>
      <c r="J41" s="621">
        <f t="shared" si="8"/>
        <v>6.3000000000000007</v>
      </c>
      <c r="K41" s="543">
        <f t="shared" si="9"/>
        <v>0.47300613496932514</v>
      </c>
      <c r="M41" s="386"/>
      <c r="N41" s="386"/>
      <c r="O41" s="5"/>
    </row>
    <row r="42" spans="2:15" x14ac:dyDescent="0.25">
      <c r="B42" s="438">
        <v>2006</v>
      </c>
      <c r="C42" s="620">
        <v>38745.895833333336</v>
      </c>
      <c r="D42" s="119">
        <v>7.76</v>
      </c>
      <c r="E42" s="62">
        <v>8.11</v>
      </c>
      <c r="F42" s="50">
        <f t="shared" si="10"/>
        <v>5.1880674448767768E-2</v>
      </c>
      <c r="G42" s="119"/>
      <c r="H42" s="40"/>
      <c r="I42" s="621">
        <f t="shared" si="7"/>
        <v>16.3</v>
      </c>
      <c r="J42" s="621">
        <f t="shared" si="8"/>
        <v>6.3000000000000007</v>
      </c>
      <c r="K42" s="543">
        <f t="shared" si="9"/>
        <v>0.49754601226993861</v>
      </c>
      <c r="M42" s="386"/>
      <c r="N42" s="386"/>
      <c r="O42" s="5"/>
    </row>
    <row r="43" spans="2:15" x14ac:dyDescent="0.25">
      <c r="B43" s="438">
        <v>2007</v>
      </c>
      <c r="C43" s="620">
        <v>39104.895833333336</v>
      </c>
      <c r="D43" s="119">
        <v>8.3000000000000007</v>
      </c>
      <c r="E43" s="62">
        <v>8.57</v>
      </c>
      <c r="F43" s="50">
        <f t="shared" si="10"/>
        <v>5.6720098643649922E-2</v>
      </c>
      <c r="G43" s="119"/>
      <c r="H43" s="40"/>
      <c r="I43" s="621">
        <f t="shared" si="7"/>
        <v>16.3</v>
      </c>
      <c r="J43" s="621">
        <f t="shared" si="8"/>
        <v>6.3000000000000007</v>
      </c>
      <c r="K43" s="543">
        <f t="shared" si="9"/>
        <v>0.52576687116564413</v>
      </c>
      <c r="M43" s="386"/>
      <c r="N43" s="386"/>
      <c r="O43" s="5"/>
    </row>
    <row r="44" spans="2:15" x14ac:dyDescent="0.25">
      <c r="B44" s="438">
        <v>2008</v>
      </c>
      <c r="C44" s="620">
        <v>39462.927083333336</v>
      </c>
      <c r="D44" s="119">
        <v>8.92</v>
      </c>
      <c r="E44" s="62">
        <v>9.34</v>
      </c>
      <c r="F44" s="50">
        <f t="shared" si="10"/>
        <v>8.9848308051341835E-2</v>
      </c>
      <c r="G44" s="119"/>
      <c r="H44" s="40"/>
      <c r="I44" s="621">
        <f t="shared" si="7"/>
        <v>16.3</v>
      </c>
      <c r="J44" s="621">
        <f t="shared" si="8"/>
        <v>6.3000000000000007</v>
      </c>
      <c r="K44" s="543">
        <f t="shared" si="9"/>
        <v>0.57300613496932506</v>
      </c>
      <c r="M44" s="386"/>
      <c r="N44" s="386"/>
      <c r="O44" s="5"/>
    </row>
    <row r="45" spans="2:15" x14ac:dyDescent="0.25">
      <c r="B45" s="438">
        <v>2009</v>
      </c>
      <c r="C45" s="620">
        <v>39837.916666666664</v>
      </c>
      <c r="D45" s="119">
        <v>9.5399999999999991</v>
      </c>
      <c r="E45" s="62">
        <v>9.9600000000000009</v>
      </c>
      <c r="F45" s="50">
        <f t="shared" si="10"/>
        <v>6.6381156316916601E-2</v>
      </c>
      <c r="G45" s="119"/>
      <c r="H45" s="40"/>
      <c r="I45" s="621">
        <f t="shared" si="7"/>
        <v>16.3</v>
      </c>
      <c r="J45" s="621">
        <f t="shared" si="8"/>
        <v>6.3000000000000007</v>
      </c>
      <c r="K45" s="543">
        <f t="shared" si="9"/>
        <v>0.6110429447852761</v>
      </c>
      <c r="M45" s="386"/>
      <c r="N45" s="386"/>
      <c r="O45" s="5"/>
    </row>
    <row r="46" spans="2:15" x14ac:dyDescent="0.25">
      <c r="B46" s="438">
        <v>2010</v>
      </c>
      <c r="C46" s="620">
        <v>40207.885416666664</v>
      </c>
      <c r="D46" s="119">
        <v>9.8000000000000007</v>
      </c>
      <c r="E46" s="62">
        <v>10.039999999999999</v>
      </c>
      <c r="F46" s="50">
        <f t="shared" si="10"/>
        <v>8.0321285140560524E-3</v>
      </c>
      <c r="G46" s="119"/>
      <c r="H46" s="40"/>
      <c r="I46" s="621">
        <f t="shared" si="7"/>
        <v>16.3</v>
      </c>
      <c r="J46" s="621">
        <f t="shared" si="8"/>
        <v>6.3000000000000007</v>
      </c>
      <c r="K46" s="543">
        <f t="shared" si="9"/>
        <v>0.61595092024539866</v>
      </c>
      <c r="M46" s="386"/>
      <c r="N46" s="386"/>
      <c r="O46" s="5"/>
    </row>
    <row r="47" spans="2:15" x14ac:dyDescent="0.25">
      <c r="B47" s="438">
        <v>2011</v>
      </c>
      <c r="C47" s="620">
        <v>40567.895833333336</v>
      </c>
      <c r="D47" s="601">
        <v>10.08</v>
      </c>
      <c r="E47" s="602">
        <v>10.43</v>
      </c>
      <c r="F47" s="50">
        <f t="shared" si="10"/>
        <v>3.8844621513944286E-2</v>
      </c>
      <c r="G47" s="119"/>
      <c r="H47" s="40"/>
      <c r="I47" s="621">
        <f t="shared" si="7"/>
        <v>16.3</v>
      </c>
      <c r="J47" s="621">
        <f t="shared" si="8"/>
        <v>6.3000000000000007</v>
      </c>
      <c r="K47" s="543">
        <f t="shared" si="9"/>
        <v>0.6398773006134969</v>
      </c>
      <c r="M47" s="386"/>
      <c r="N47" s="386"/>
      <c r="O47" s="5"/>
    </row>
    <row r="48" spans="2:15" x14ac:dyDescent="0.25">
      <c r="B48" s="438">
        <v>2012</v>
      </c>
      <c r="C48" s="620">
        <v>40917.90625</v>
      </c>
      <c r="D48" s="601">
        <v>10.650391000000001</v>
      </c>
      <c r="E48" s="602">
        <v>11.133896188566741</v>
      </c>
      <c r="F48" s="50">
        <f t="shared" si="10"/>
        <v>6.7487649910521683E-2</v>
      </c>
      <c r="G48" s="119"/>
      <c r="H48" s="40"/>
      <c r="I48" s="621">
        <f t="shared" si="7"/>
        <v>16.3</v>
      </c>
      <c r="J48" s="621">
        <f t="shared" si="8"/>
        <v>6.3000000000000007</v>
      </c>
      <c r="K48" s="543">
        <f t="shared" si="9"/>
        <v>0.68306111586299023</v>
      </c>
      <c r="M48" s="386"/>
      <c r="N48" s="386"/>
      <c r="O48" s="5"/>
    </row>
    <row r="49" spans="2:15" x14ac:dyDescent="0.25">
      <c r="B49" s="438">
        <v>2013</v>
      </c>
      <c r="C49" s="620">
        <v>41478.854166666664</v>
      </c>
      <c r="D49" s="601">
        <v>11.2</v>
      </c>
      <c r="E49" s="602">
        <v>11.2</v>
      </c>
      <c r="F49" s="50">
        <f t="shared" si="10"/>
        <v>5.9371679341809888E-3</v>
      </c>
      <c r="G49" s="119"/>
      <c r="H49" s="40"/>
      <c r="I49" s="621">
        <f t="shared" si="7"/>
        <v>16.3</v>
      </c>
      <c r="J49" s="621">
        <f t="shared" si="8"/>
        <v>6.3000000000000007</v>
      </c>
      <c r="K49" s="543">
        <f t="shared" si="9"/>
        <v>0.68711656441717783</v>
      </c>
      <c r="M49" s="386"/>
      <c r="N49" s="386"/>
      <c r="O49" s="5"/>
    </row>
    <row r="50" spans="2:15" x14ac:dyDescent="0.25">
      <c r="B50" s="438">
        <v>2014</v>
      </c>
      <c r="C50" s="620">
        <v>41662.90625</v>
      </c>
      <c r="D50" s="601">
        <v>13.39</v>
      </c>
      <c r="E50" s="602">
        <v>14.26</v>
      </c>
      <c r="F50" s="50">
        <f t="shared" si="10"/>
        <v>0.2732142857142858</v>
      </c>
      <c r="G50" s="119"/>
      <c r="H50" s="40"/>
      <c r="I50" s="621">
        <f t="shared" si="7"/>
        <v>16.3</v>
      </c>
      <c r="J50" s="621">
        <f t="shared" si="8"/>
        <v>6.3000000000000007</v>
      </c>
      <c r="K50" s="543">
        <f t="shared" si="9"/>
        <v>0.87484662576687111</v>
      </c>
      <c r="M50" s="386"/>
      <c r="N50" s="386"/>
      <c r="O50" s="5"/>
    </row>
    <row r="51" spans="2:15" x14ac:dyDescent="0.25">
      <c r="B51" s="438">
        <v>2015</v>
      </c>
      <c r="C51" s="620">
        <v>42028.90625</v>
      </c>
      <c r="D51" s="601">
        <v>13.18</v>
      </c>
      <c r="E51" s="602">
        <v>13.71</v>
      </c>
      <c r="F51" s="50">
        <f t="shared" si="10"/>
        <v>-3.8569424964936809E-2</v>
      </c>
      <c r="G51" s="119"/>
      <c r="H51" s="40"/>
      <c r="I51" s="621">
        <f t="shared" si="7"/>
        <v>16.3</v>
      </c>
      <c r="J51" s="621">
        <f t="shared" si="8"/>
        <v>6.3000000000000007</v>
      </c>
      <c r="K51" s="543">
        <f t="shared" si="9"/>
        <v>0.84110429447852764</v>
      </c>
      <c r="M51" s="386"/>
      <c r="N51" s="386"/>
      <c r="O51" s="5"/>
    </row>
    <row r="52" spans="2:15" x14ac:dyDescent="0.25">
      <c r="B52" s="438">
        <v>2016</v>
      </c>
      <c r="C52" s="620">
        <v>42391.895833333336</v>
      </c>
      <c r="D52" s="601">
        <v>13.78</v>
      </c>
      <c r="E52" s="602">
        <v>14.3</v>
      </c>
      <c r="F52" s="50">
        <f t="shared" si="10"/>
        <v>4.3034281546316541E-2</v>
      </c>
      <c r="G52" s="503"/>
      <c r="H52" s="40"/>
      <c r="I52" s="621">
        <f t="shared" si="7"/>
        <v>16.3</v>
      </c>
      <c r="J52" s="621">
        <f t="shared" si="8"/>
        <v>6.3000000000000007</v>
      </c>
      <c r="K52" s="543">
        <f t="shared" si="9"/>
        <v>0.87730061349693256</v>
      </c>
      <c r="M52" s="386"/>
      <c r="N52" s="386"/>
      <c r="O52" s="5"/>
    </row>
    <row r="53" spans="2:15" x14ac:dyDescent="0.25">
      <c r="B53" s="438">
        <v>2017</v>
      </c>
      <c r="C53" s="620">
        <v>42756.888888888891</v>
      </c>
      <c r="D53" s="601">
        <v>13.87</v>
      </c>
      <c r="E53" s="602">
        <v>14.29</v>
      </c>
      <c r="F53" s="50">
        <f t="shared" si="10"/>
        <v>-6.9930069930080859E-4</v>
      </c>
      <c r="G53" s="503"/>
      <c r="H53" s="42">
        <f>E53</f>
        <v>14.29</v>
      </c>
      <c r="I53" s="621">
        <f t="shared" si="7"/>
        <v>16.3</v>
      </c>
      <c r="J53" s="621">
        <f t="shared" si="8"/>
        <v>6.3000000000000007</v>
      </c>
      <c r="K53" s="543">
        <f t="shared" si="9"/>
        <v>0.87668711656441711</v>
      </c>
      <c r="M53" s="386"/>
      <c r="N53" s="386"/>
      <c r="O53" s="5"/>
    </row>
    <row r="54" spans="2:15" x14ac:dyDescent="0.25">
      <c r="B54" s="568">
        <v>2018</v>
      </c>
      <c r="C54" s="622">
        <v>2018</v>
      </c>
      <c r="D54" s="109"/>
      <c r="E54" s="109"/>
      <c r="F54" s="476"/>
      <c r="G54" s="605">
        <f>0.5863*B54-1168</f>
        <v>15.153400000000147</v>
      </c>
      <c r="H54" s="606">
        <v>15.583025083971767</v>
      </c>
      <c r="I54" s="623">
        <f t="shared" si="7"/>
        <v>16.3</v>
      </c>
      <c r="J54" s="623">
        <f t="shared" si="8"/>
        <v>6.3000000000000007</v>
      </c>
      <c r="K54" s="624">
        <f>H54/I54</f>
        <v>0.95601380883262377</v>
      </c>
      <c r="M54" s="386"/>
      <c r="N54" s="386"/>
      <c r="O54" s="5"/>
    </row>
    <row r="55" spans="2:15" x14ac:dyDescent="0.25">
      <c r="B55" s="568">
        <v>2019</v>
      </c>
      <c r="C55" s="622">
        <v>2019</v>
      </c>
      <c r="D55" s="114"/>
      <c r="E55" s="114"/>
      <c r="F55" s="476"/>
      <c r="G55" s="605">
        <f t="shared" ref="G55:G63" si="11">0.5863*B55-1168</f>
        <v>15.739700000000084</v>
      </c>
      <c r="H55" s="606">
        <v>16.253095162582554</v>
      </c>
      <c r="I55" s="623">
        <f t="shared" si="7"/>
        <v>16.3</v>
      </c>
      <c r="J55" s="623">
        <f t="shared" si="8"/>
        <v>6.3000000000000007</v>
      </c>
      <c r="K55" s="544">
        <f t="shared" ref="K55:K63" si="12">H55/I55</f>
        <v>0.99712240261242657</v>
      </c>
      <c r="M55" s="386"/>
      <c r="N55" s="386"/>
      <c r="O55" s="5"/>
    </row>
    <row r="56" spans="2:15" x14ac:dyDescent="0.25">
      <c r="B56" s="568">
        <v>2020</v>
      </c>
      <c r="C56" s="622">
        <v>2020</v>
      </c>
      <c r="D56" s="114"/>
      <c r="E56" s="114"/>
      <c r="F56" s="476"/>
      <c r="G56" s="605">
        <f t="shared" si="11"/>
        <v>16.326000000000022</v>
      </c>
      <c r="H56" s="606">
        <v>16.951978254573604</v>
      </c>
      <c r="I56" s="623">
        <f t="shared" si="7"/>
        <v>16.3</v>
      </c>
      <c r="J56" s="623">
        <f t="shared" si="8"/>
        <v>6.3000000000000007</v>
      </c>
      <c r="K56" s="544">
        <f t="shared" si="12"/>
        <v>1.0399986659247609</v>
      </c>
      <c r="M56" s="386"/>
      <c r="N56" s="386"/>
      <c r="O56" s="5"/>
    </row>
    <row r="57" spans="2:15" x14ac:dyDescent="0.25">
      <c r="B57" s="568">
        <v>2021</v>
      </c>
      <c r="C57" s="622">
        <v>2021</v>
      </c>
      <c r="D57" s="109"/>
      <c r="E57" s="109"/>
      <c r="F57" s="476"/>
      <c r="G57" s="605">
        <f t="shared" si="11"/>
        <v>16.912300000000187</v>
      </c>
      <c r="H57" s="606">
        <v>17.680913319520268</v>
      </c>
      <c r="I57" s="623">
        <f t="shared" si="7"/>
        <v>16.3</v>
      </c>
      <c r="J57" s="623">
        <f t="shared" si="8"/>
        <v>6.3000000000000007</v>
      </c>
      <c r="K57" s="544">
        <f t="shared" si="12"/>
        <v>1.0847186085595255</v>
      </c>
      <c r="M57" s="386"/>
      <c r="N57" s="386"/>
      <c r="O57" s="5"/>
    </row>
    <row r="58" spans="2:15" x14ac:dyDescent="0.25">
      <c r="B58" s="568">
        <v>2022</v>
      </c>
      <c r="C58" s="622">
        <v>2022</v>
      </c>
      <c r="D58" s="109"/>
      <c r="E58" s="109"/>
      <c r="F58" s="476"/>
      <c r="G58" s="605">
        <f t="shared" si="11"/>
        <v>17.498600000000124</v>
      </c>
      <c r="H58" s="421">
        <f t="shared" ref="H58:H63" si="13">1.043*H57</f>
        <v>18.44119259225964</v>
      </c>
      <c r="I58" s="623">
        <f t="shared" si="7"/>
        <v>16.3</v>
      </c>
      <c r="J58" s="623">
        <f t="shared" si="8"/>
        <v>6.3000000000000007</v>
      </c>
      <c r="K58" s="544">
        <f t="shared" si="12"/>
        <v>1.1313615087275852</v>
      </c>
      <c r="M58" s="386"/>
      <c r="N58" s="386"/>
      <c r="O58" s="5"/>
    </row>
    <row r="59" spans="2:15" x14ac:dyDescent="0.25">
      <c r="B59" s="568">
        <v>2023</v>
      </c>
      <c r="C59" s="622">
        <v>2023</v>
      </c>
      <c r="D59" s="109"/>
      <c r="E59" s="109"/>
      <c r="F59" s="476"/>
      <c r="G59" s="605">
        <f t="shared" si="11"/>
        <v>18.084900000000061</v>
      </c>
      <c r="H59" s="421">
        <f t="shared" si="13"/>
        <v>19.234163873726803</v>
      </c>
      <c r="I59" s="623">
        <f t="shared" si="7"/>
        <v>16.3</v>
      </c>
      <c r="J59" s="623">
        <f t="shared" si="8"/>
        <v>6.3000000000000007</v>
      </c>
      <c r="K59" s="544">
        <f t="shared" si="12"/>
        <v>1.1800100536028713</v>
      </c>
      <c r="M59" s="386"/>
      <c r="N59" s="386"/>
      <c r="O59" s="5"/>
    </row>
    <row r="60" spans="2:15" x14ac:dyDescent="0.25">
      <c r="B60" s="568">
        <v>2024</v>
      </c>
      <c r="C60" s="622">
        <v>2024</v>
      </c>
      <c r="D60" s="109"/>
      <c r="E60" s="109"/>
      <c r="F60" s="476"/>
      <c r="G60" s="605">
        <f t="shared" si="11"/>
        <v>18.671199999999999</v>
      </c>
      <c r="H60" s="421">
        <f t="shared" si="13"/>
        <v>20.061232920297055</v>
      </c>
      <c r="I60" s="623">
        <f t="shared" si="7"/>
        <v>16.3</v>
      </c>
      <c r="J60" s="623">
        <f t="shared" si="8"/>
        <v>6.3000000000000007</v>
      </c>
      <c r="K60" s="544">
        <f t="shared" si="12"/>
        <v>1.2307504859077947</v>
      </c>
      <c r="M60" s="386"/>
      <c r="N60" s="386"/>
      <c r="O60" s="5"/>
    </row>
    <row r="61" spans="2:15" x14ac:dyDescent="0.25">
      <c r="B61" s="568">
        <v>2025</v>
      </c>
      <c r="C61" s="622">
        <v>2025</v>
      </c>
      <c r="D61" s="109"/>
      <c r="E61" s="109"/>
      <c r="F61" s="476"/>
      <c r="G61" s="605">
        <f t="shared" si="11"/>
        <v>19.257500000000164</v>
      </c>
      <c r="H61" s="421">
        <f t="shared" si="13"/>
        <v>20.923865935869827</v>
      </c>
      <c r="I61" s="623">
        <f t="shared" si="7"/>
        <v>16.3</v>
      </c>
      <c r="J61" s="623">
        <f t="shared" si="8"/>
        <v>6.3000000000000007</v>
      </c>
      <c r="K61" s="544">
        <f t="shared" si="12"/>
        <v>1.2836727568018298</v>
      </c>
      <c r="M61" s="386"/>
      <c r="N61" s="386"/>
      <c r="O61" s="5"/>
    </row>
    <row r="62" spans="2:15" x14ac:dyDescent="0.25">
      <c r="B62" s="568">
        <v>2026</v>
      </c>
      <c r="C62" s="622">
        <v>2026</v>
      </c>
      <c r="D62" s="102"/>
      <c r="E62" s="102"/>
      <c r="F62" s="251"/>
      <c r="G62" s="605">
        <f t="shared" si="11"/>
        <v>19.843800000000101</v>
      </c>
      <c r="H62" s="421">
        <f t="shared" si="13"/>
        <v>21.823592171112228</v>
      </c>
      <c r="I62" s="623">
        <f t="shared" si="7"/>
        <v>16.3</v>
      </c>
      <c r="J62" s="623">
        <f t="shared" si="8"/>
        <v>6.3000000000000007</v>
      </c>
      <c r="K62" s="544">
        <f t="shared" si="12"/>
        <v>1.3388706853443084</v>
      </c>
      <c r="M62" s="386"/>
      <c r="N62" s="386"/>
      <c r="O62" s="5"/>
    </row>
    <row r="63" spans="2:15" ht="15.75" thickBot="1" x14ac:dyDescent="0.3">
      <c r="B63" s="568">
        <v>2027</v>
      </c>
      <c r="C63" s="625">
        <v>2027</v>
      </c>
      <c r="D63" s="254"/>
      <c r="E63" s="254"/>
      <c r="F63" s="255"/>
      <c r="G63" s="613">
        <f t="shared" si="11"/>
        <v>20.430100000000039</v>
      </c>
      <c r="H63" s="422">
        <f t="shared" si="13"/>
        <v>22.762006634470051</v>
      </c>
      <c r="I63" s="626">
        <f t="shared" si="7"/>
        <v>16.3</v>
      </c>
      <c r="J63" s="626">
        <f t="shared" si="8"/>
        <v>6.3000000000000007</v>
      </c>
      <c r="K63" s="627">
        <f t="shared" si="12"/>
        <v>1.3964421248141135</v>
      </c>
      <c r="M63" s="386"/>
      <c r="N63" s="386"/>
      <c r="O63" s="5"/>
    </row>
    <row r="64" spans="2:15" ht="15" customHeight="1" x14ac:dyDescent="0.25">
      <c r="M64" s="10"/>
      <c r="O64" s="5"/>
    </row>
    <row r="65" spans="1:20" ht="15.75" thickBot="1" x14ac:dyDescent="0.3"/>
    <row r="66" spans="1:20" x14ac:dyDescent="0.25">
      <c r="A66" s="218" t="s">
        <v>1</v>
      </c>
      <c r="B66" s="219"/>
      <c r="C66" s="220"/>
      <c r="D66" s="234"/>
      <c r="E66" s="11"/>
      <c r="F66" s="234"/>
      <c r="G66" s="11"/>
      <c r="H66" s="235"/>
      <c r="I66" s="236"/>
    </row>
    <row r="67" spans="1:20" ht="15.75" thickBot="1" x14ac:dyDescent="0.3"/>
    <row r="68" spans="1:20" ht="15.75" thickBot="1" x14ac:dyDescent="0.3">
      <c r="A68" s="1277">
        <v>2017</v>
      </c>
      <c r="B68" s="1278"/>
      <c r="C68" s="1278"/>
      <c r="D68" s="1279"/>
      <c r="E68" s="1277">
        <f>+A68+1</f>
        <v>2018</v>
      </c>
      <c r="F68" s="1278"/>
      <c r="G68" s="1278"/>
      <c r="H68" s="1279"/>
      <c r="I68" s="1277">
        <f>+E68+1</f>
        <v>2019</v>
      </c>
      <c r="J68" s="1278"/>
      <c r="K68" s="1278"/>
      <c r="L68" s="1279"/>
      <c r="M68" s="1277">
        <f>+I68+1</f>
        <v>2020</v>
      </c>
      <c r="N68" s="1278"/>
      <c r="O68" s="1278"/>
      <c r="P68" s="1279"/>
      <c r="Q68" s="1277">
        <f>+M68+1</f>
        <v>2021</v>
      </c>
      <c r="R68" s="1278"/>
      <c r="S68" s="1278"/>
      <c r="T68" s="1279"/>
    </row>
    <row r="69" spans="1:20" ht="15" customHeight="1" x14ac:dyDescent="0.25">
      <c r="A69" s="1286" t="s">
        <v>197</v>
      </c>
      <c r="B69" s="1287"/>
      <c r="C69" s="1286" t="s">
        <v>198</v>
      </c>
      <c r="D69" s="1288"/>
      <c r="E69" s="1286" t="s">
        <v>197</v>
      </c>
      <c r="F69" s="1288"/>
      <c r="G69" s="1289" t="s">
        <v>198</v>
      </c>
      <c r="H69" s="1288"/>
      <c r="I69" s="1286" t="s">
        <v>197</v>
      </c>
      <c r="J69" s="1288"/>
      <c r="K69" s="1286" t="s">
        <v>198</v>
      </c>
      <c r="L69" s="1288"/>
      <c r="M69" s="1267" t="s">
        <v>197</v>
      </c>
      <c r="N69" s="1268"/>
      <c r="O69" s="1267" t="s">
        <v>198</v>
      </c>
      <c r="P69" s="1268"/>
      <c r="Q69" s="1267" t="s">
        <v>197</v>
      </c>
      <c r="R69" s="1269"/>
      <c r="S69" s="1267" t="s">
        <v>198</v>
      </c>
      <c r="T69" s="1268"/>
    </row>
    <row r="70" spans="1:20" ht="15.75" thickBot="1" x14ac:dyDescent="0.3">
      <c r="A70" s="274" t="s">
        <v>199</v>
      </c>
      <c r="B70" s="275" t="s">
        <v>200</v>
      </c>
      <c r="C70" s="274" t="s">
        <v>199</v>
      </c>
      <c r="D70" s="276" t="s">
        <v>200</v>
      </c>
      <c r="E70" s="274" t="s">
        <v>199</v>
      </c>
      <c r="F70" s="276" t="s">
        <v>200</v>
      </c>
      <c r="G70" s="277" t="s">
        <v>199</v>
      </c>
      <c r="H70" s="276" t="s">
        <v>200</v>
      </c>
      <c r="I70" s="274" t="s">
        <v>199</v>
      </c>
      <c r="J70" s="276" t="s">
        <v>200</v>
      </c>
      <c r="K70" s="274" t="s">
        <v>199</v>
      </c>
      <c r="L70" s="276" t="s">
        <v>200</v>
      </c>
      <c r="M70" s="274" t="s">
        <v>199</v>
      </c>
      <c r="N70" s="340" t="s">
        <v>200</v>
      </c>
      <c r="O70" s="274" t="s">
        <v>199</v>
      </c>
      <c r="P70" s="276" t="s">
        <v>200</v>
      </c>
      <c r="Q70" s="274" t="s">
        <v>199</v>
      </c>
      <c r="R70" s="275" t="s">
        <v>200</v>
      </c>
      <c r="S70" s="274" t="s">
        <v>199</v>
      </c>
      <c r="T70" s="276" t="s">
        <v>200</v>
      </c>
    </row>
    <row r="71" spans="1:20" x14ac:dyDescent="0.25">
      <c r="A71" s="278"/>
      <c r="B71" s="279"/>
      <c r="C71" s="278"/>
      <c r="D71" s="280"/>
      <c r="E71" s="278"/>
      <c r="F71" s="280"/>
      <c r="G71" s="281"/>
      <c r="H71" s="280"/>
      <c r="I71" s="278"/>
      <c r="J71" s="279"/>
      <c r="K71" s="282"/>
      <c r="L71" s="283"/>
      <c r="M71" s="282"/>
      <c r="N71" s="628"/>
      <c r="O71" s="281"/>
      <c r="P71" s="280"/>
      <c r="Q71" s="278"/>
      <c r="R71" s="279"/>
      <c r="S71" s="278"/>
      <c r="T71" s="280"/>
    </row>
    <row r="72" spans="1:20" x14ac:dyDescent="0.25">
      <c r="C72"/>
      <c r="D72" s="215"/>
      <c r="E72" s="7"/>
      <c r="F72" s="11"/>
      <c r="G72" s="7"/>
      <c r="H72" s="11"/>
      <c r="I72" s="11"/>
      <c r="J72" s="11"/>
      <c r="K72" s="237"/>
      <c r="L72" s="237"/>
      <c r="M72" s="237"/>
      <c r="N72" s="629"/>
      <c r="O72" s="237"/>
      <c r="P72" s="237"/>
    </row>
    <row r="73" spans="1:20" x14ac:dyDescent="0.25">
      <c r="E73" s="5" t="e">
        <f>ATAN(B71/A71)</f>
        <v>#DIV/0!</v>
      </c>
      <c r="F73" s="5" t="e">
        <f>E73*180/3.1415</f>
        <v>#DIV/0!</v>
      </c>
      <c r="G73" s="5" t="e">
        <f>COS(F73)</f>
        <v>#DIV/0!</v>
      </c>
      <c r="H73" s="5" t="e">
        <f>COS(E73)</f>
        <v>#DIV/0!</v>
      </c>
    </row>
    <row r="74" spans="1:20" x14ac:dyDescent="0.25">
      <c r="K74">
        <f>SQRT(50)</f>
        <v>7.0710678118654755</v>
      </c>
      <c r="L74">
        <f>1.045*5</f>
        <v>5.2249999999999996</v>
      </c>
    </row>
    <row r="75" spans="1:20" x14ac:dyDescent="0.25">
      <c r="L75">
        <f>L74*L74</f>
        <v>27.300624999999997</v>
      </c>
      <c r="M75">
        <f>POWER(L74,2)</f>
        <v>27.300624999999997</v>
      </c>
    </row>
    <row r="76" spans="1:20" x14ac:dyDescent="0.25">
      <c r="K76">
        <f>1.045*K74</f>
        <v>7.3892658633994213</v>
      </c>
      <c r="L76">
        <f>SQRT(L75+M75)</f>
        <v>7.3892658633994213</v>
      </c>
    </row>
    <row r="77" spans="1:20" x14ac:dyDescent="0.25">
      <c r="C77" s="5">
        <v>2010</v>
      </c>
      <c r="D77" s="297"/>
      <c r="E77" s="9"/>
    </row>
    <row r="78" spans="1:20" x14ac:dyDescent="0.25">
      <c r="C78" s="5">
        <v>2011</v>
      </c>
      <c r="D78" s="284"/>
      <c r="E78" s="9"/>
    </row>
    <row r="79" spans="1:20" x14ac:dyDescent="0.25">
      <c r="C79" s="5">
        <v>2012</v>
      </c>
      <c r="D79" s="234"/>
      <c r="E79" s="9"/>
    </row>
    <row r="80" spans="1:20" ht="15.75" thickBot="1" x14ac:dyDescent="0.3">
      <c r="C80" s="5">
        <v>2013</v>
      </c>
      <c r="D80" s="284"/>
      <c r="E80" s="9"/>
      <c r="J80" s="218"/>
    </row>
    <row r="81" spans="3:13" ht="15.75" thickBot="1" x14ac:dyDescent="0.3">
      <c r="C81" s="5">
        <v>2014</v>
      </c>
      <c r="D81" s="284"/>
      <c r="E81" s="9"/>
      <c r="J81" s="219"/>
    </row>
    <row r="82" spans="3:13" x14ac:dyDescent="0.25">
      <c r="C82" s="5">
        <v>2015</v>
      </c>
      <c r="D82" s="298"/>
      <c r="F82" s="42"/>
      <c r="J82" s="220"/>
    </row>
    <row r="83" spans="3:13" x14ac:dyDescent="0.25">
      <c r="C83" s="5">
        <v>2016</v>
      </c>
      <c r="D83" s="299"/>
      <c r="E83" s="9"/>
      <c r="J83" s="234"/>
    </row>
    <row r="84" spans="3:13" x14ac:dyDescent="0.25">
      <c r="C84" s="5">
        <v>2017</v>
      </c>
      <c r="D84" s="299"/>
      <c r="E84" s="9"/>
      <c r="J84" s="11"/>
    </row>
    <row r="85" spans="3:13" x14ac:dyDescent="0.25">
      <c r="C85" s="5">
        <v>2018</v>
      </c>
      <c r="D85" s="299"/>
      <c r="E85" s="9"/>
      <c r="H85">
        <v>2017</v>
      </c>
      <c r="I85">
        <v>75</v>
      </c>
      <c r="J85">
        <v>50</v>
      </c>
    </row>
    <row r="86" spans="3:13" x14ac:dyDescent="0.25">
      <c r="C86" s="5">
        <v>2019</v>
      </c>
      <c r="D86" s="299"/>
      <c r="E86" s="9"/>
      <c r="H86">
        <v>2017</v>
      </c>
      <c r="I86">
        <v>135</v>
      </c>
      <c r="J86">
        <v>80</v>
      </c>
    </row>
    <row r="87" spans="3:13" x14ac:dyDescent="0.25">
      <c r="C87" s="5">
        <v>2020</v>
      </c>
      <c r="D87" s="299"/>
      <c r="E87" s="9"/>
      <c r="J87" s="235"/>
    </row>
    <row r="88" spans="3:13" x14ac:dyDescent="0.25">
      <c r="J88" s="236"/>
    </row>
    <row r="92" spans="3:13" x14ac:dyDescent="0.25">
      <c r="L92" s="1085"/>
      <c r="M92" s="1085"/>
    </row>
    <row r="93" spans="3:13" x14ac:dyDescent="0.25">
      <c r="L93" s="5"/>
      <c r="M93" s="5"/>
    </row>
    <row r="94" spans="3:13" x14ac:dyDescent="0.25">
      <c r="L94" s="10"/>
      <c r="M94" s="7"/>
    </row>
    <row r="95" spans="3:13" x14ac:dyDescent="0.25">
      <c r="L95" s="10"/>
      <c r="M95" s="7"/>
    </row>
    <row r="98" spans="14:15" x14ac:dyDescent="0.25">
      <c r="N98" s="10">
        <v>2019</v>
      </c>
      <c r="O98" s="5">
        <v>0</v>
      </c>
    </row>
    <row r="99" spans="14:15" x14ac:dyDescent="0.25">
      <c r="N99" s="10">
        <v>2019</v>
      </c>
      <c r="O99" s="5">
        <v>5</v>
      </c>
    </row>
    <row r="100" spans="14:15" x14ac:dyDescent="0.25">
      <c r="N100" s="10">
        <v>2019</v>
      </c>
      <c r="O100" s="5">
        <v>10</v>
      </c>
    </row>
    <row r="101" spans="14:15" x14ac:dyDescent="0.25">
      <c r="N101" s="10">
        <v>2019</v>
      </c>
      <c r="O101" s="5">
        <v>15</v>
      </c>
    </row>
    <row r="102" spans="14:15" x14ac:dyDescent="0.25">
      <c r="N102" s="10">
        <v>2019</v>
      </c>
      <c r="O102" s="5">
        <v>20</v>
      </c>
    </row>
    <row r="103" spans="14:15" x14ac:dyDescent="0.25">
      <c r="N103" s="10">
        <v>2019</v>
      </c>
      <c r="O103" s="5">
        <v>25</v>
      </c>
    </row>
    <row r="124" spans="1:21" s="10" customFormat="1" ht="18" x14ac:dyDescent="0.25">
      <c r="A124" s="1093" t="s">
        <v>247</v>
      </c>
      <c r="B124" s="1093"/>
      <c r="C124" s="1093"/>
      <c r="D124" s="1093"/>
      <c r="E124" s="1093"/>
      <c r="F124" s="1093"/>
      <c r="G124" s="1093"/>
      <c r="H124" s="1093"/>
      <c r="I124" s="1093"/>
      <c r="J124" s="1093"/>
      <c r="K124" s="1093"/>
      <c r="L124" s="1093"/>
      <c r="M124" s="1093"/>
      <c r="N124" s="1093"/>
      <c r="O124" s="1093"/>
      <c r="P124" s="1093"/>
      <c r="Q124" s="1093"/>
      <c r="R124" s="1093"/>
      <c r="S124" s="1093"/>
      <c r="T124" s="1093"/>
      <c r="U124" s="451"/>
    </row>
    <row r="125" spans="1:21" s="10" customFormat="1" ht="18" x14ac:dyDescent="0.25">
      <c r="A125" s="1094" t="s">
        <v>248</v>
      </c>
      <c r="B125" s="1094"/>
      <c r="C125" s="1094"/>
      <c r="D125" s="1094"/>
      <c r="E125" s="1094"/>
      <c r="F125" s="1094"/>
      <c r="G125" s="1094"/>
      <c r="H125" s="1094"/>
      <c r="I125" s="1094"/>
      <c r="J125" s="1094"/>
      <c r="K125" s="1094"/>
      <c r="L125" s="1094"/>
      <c r="M125" s="1094"/>
      <c r="N125" s="1094"/>
      <c r="O125" s="1094"/>
      <c r="P125" s="1094"/>
      <c r="Q125" s="1094"/>
      <c r="R125" s="1094"/>
      <c r="S125" s="1094"/>
      <c r="T125" s="1094"/>
      <c r="U125" s="451"/>
    </row>
    <row r="126" spans="1:21" s="10" customFormat="1" ht="12.95" customHeight="1" x14ac:dyDescent="0.25">
      <c r="A126" s="452"/>
      <c r="B126" s="452"/>
      <c r="C126" s="452"/>
      <c r="D126" s="452"/>
      <c r="E126" s="452"/>
      <c r="F126" s="452"/>
      <c r="G126" s="452"/>
      <c r="H126" s="453"/>
      <c r="I126" s="452"/>
      <c r="J126" s="454"/>
      <c r="K126" s="453"/>
      <c r="L126" s="452"/>
      <c r="M126" s="454"/>
      <c r="N126" s="453"/>
      <c r="O126" s="452"/>
      <c r="P126" s="454"/>
      <c r="Q126" s="453"/>
      <c r="R126" s="452"/>
      <c r="S126" s="449"/>
      <c r="T126" s="450"/>
      <c r="U126" s="451"/>
    </row>
    <row r="128" spans="1:21" ht="15.75" thickBot="1" x14ac:dyDescent="0.3"/>
    <row r="129" spans="2:20" x14ac:dyDescent="0.25">
      <c r="B129" s="1326" t="s">
        <v>250</v>
      </c>
      <c r="C129" s="1329" t="s">
        <v>251</v>
      </c>
      <c r="D129" s="1332" t="s">
        <v>252</v>
      </c>
      <c r="E129" s="1333"/>
      <c r="F129" s="1336">
        <v>2017</v>
      </c>
      <c r="G129" s="1337"/>
      <c r="H129" s="1338"/>
      <c r="I129" s="1336">
        <f>+F129+1</f>
        <v>2018</v>
      </c>
      <c r="J129" s="1337"/>
      <c r="K129" s="1338"/>
      <c r="L129" s="1336">
        <f>+I129+1</f>
        <v>2019</v>
      </c>
      <c r="M129" s="1337"/>
      <c r="N129" s="1338"/>
      <c r="O129" s="1336">
        <f>+L129+1</f>
        <v>2020</v>
      </c>
      <c r="P129" s="1337"/>
      <c r="Q129" s="1338"/>
      <c r="R129" s="1332">
        <f>+O129+1</f>
        <v>2021</v>
      </c>
      <c r="S129" s="1339"/>
      <c r="T129" s="1333"/>
    </row>
    <row r="130" spans="2:20" x14ac:dyDescent="0.25">
      <c r="B130" s="1327"/>
      <c r="C130" s="1330"/>
      <c r="D130" s="1334"/>
      <c r="E130" s="1335"/>
      <c r="F130" s="630" t="s">
        <v>276</v>
      </c>
      <c r="G130" s="1340" t="s">
        <v>254</v>
      </c>
      <c r="H130" s="1341"/>
      <c r="I130" s="631" t="s">
        <v>276</v>
      </c>
      <c r="J130" s="1340" t="s">
        <v>254</v>
      </c>
      <c r="K130" s="1138"/>
      <c r="L130" s="630" t="s">
        <v>276</v>
      </c>
      <c r="M130" s="1340" t="s">
        <v>254</v>
      </c>
      <c r="N130" s="1341"/>
      <c r="O130" s="631" t="s">
        <v>276</v>
      </c>
      <c r="P130" s="1340" t="s">
        <v>254</v>
      </c>
      <c r="Q130" s="1138"/>
      <c r="R130" s="630" t="s">
        <v>276</v>
      </c>
      <c r="S130" s="1340" t="s">
        <v>254</v>
      </c>
      <c r="T130" s="1138"/>
    </row>
    <row r="131" spans="2:20" ht="31.5" customHeight="1" thickBot="1" x14ac:dyDescent="0.3">
      <c r="B131" s="1328"/>
      <c r="C131" s="1331"/>
      <c r="D131" s="1324" t="s">
        <v>255</v>
      </c>
      <c r="E131" s="1325"/>
      <c r="F131" s="632" t="s">
        <v>255</v>
      </c>
      <c r="G131" s="633" t="s">
        <v>255</v>
      </c>
      <c r="H131" s="634" t="s">
        <v>256</v>
      </c>
      <c r="I131" s="635" t="s">
        <v>255</v>
      </c>
      <c r="J131" s="636" t="s">
        <v>255</v>
      </c>
      <c r="K131" s="637" t="s">
        <v>256</v>
      </c>
      <c r="L131" s="632" t="s">
        <v>255</v>
      </c>
      <c r="M131" s="636" t="s">
        <v>255</v>
      </c>
      <c r="N131" s="634" t="s">
        <v>256</v>
      </c>
      <c r="O131" s="635" t="s">
        <v>255</v>
      </c>
      <c r="P131" s="636" t="s">
        <v>255</v>
      </c>
      <c r="Q131" s="637" t="s">
        <v>256</v>
      </c>
      <c r="R131" s="632" t="s">
        <v>255</v>
      </c>
      <c r="S131" s="636" t="s">
        <v>255</v>
      </c>
      <c r="T131" s="637" t="s">
        <v>256</v>
      </c>
    </row>
    <row r="132" spans="2:20" ht="24" customHeight="1" x14ac:dyDescent="0.25">
      <c r="B132" s="1190" t="s">
        <v>277</v>
      </c>
      <c r="C132" s="638" t="s">
        <v>25</v>
      </c>
      <c r="D132" s="639">
        <v>10</v>
      </c>
      <c r="E132" s="1138">
        <v>20</v>
      </c>
      <c r="F132" s="1186">
        <v>20</v>
      </c>
      <c r="G132" s="1266">
        <v>14.940580138036211</v>
      </c>
      <c r="H132" s="1185">
        <v>0.74702900690181051</v>
      </c>
      <c r="I132" s="1186">
        <v>20</v>
      </c>
      <c r="J132" s="1266">
        <v>15.583025083971767</v>
      </c>
      <c r="K132" s="1185">
        <v>0.77915125419858833</v>
      </c>
      <c r="L132" s="1139">
        <v>20</v>
      </c>
      <c r="M132" s="1142">
        <v>16.253095162582554</v>
      </c>
      <c r="N132" s="1185">
        <v>0.81265475812912769</v>
      </c>
      <c r="O132" s="1139">
        <v>20</v>
      </c>
      <c r="P132" s="1142">
        <v>16.951978254573604</v>
      </c>
      <c r="Q132" s="1185">
        <v>0.84759891272868015</v>
      </c>
      <c r="R132" s="1187">
        <v>20</v>
      </c>
      <c r="S132" s="1266">
        <v>17.680913319520268</v>
      </c>
      <c r="T132" s="1185">
        <v>0.88404566597601342</v>
      </c>
    </row>
    <row r="133" spans="2:20" x14ac:dyDescent="0.25">
      <c r="B133" s="1148"/>
      <c r="C133" s="640" t="s">
        <v>25</v>
      </c>
      <c r="D133" s="641">
        <v>10</v>
      </c>
      <c r="E133" s="1138"/>
      <c r="F133" s="1186"/>
      <c r="G133" s="1266"/>
      <c r="H133" s="1185"/>
      <c r="I133" s="1186"/>
      <c r="J133" s="1266"/>
      <c r="K133" s="1185"/>
      <c r="L133" s="1141"/>
      <c r="M133" s="1144"/>
      <c r="N133" s="1185"/>
      <c r="O133" s="1141"/>
      <c r="P133" s="1144"/>
      <c r="Q133" s="1185"/>
      <c r="R133" s="1187"/>
      <c r="S133" s="1266"/>
      <c r="T133" s="1185"/>
    </row>
    <row r="137" spans="2:20" x14ac:dyDescent="0.25">
      <c r="E137" s="5">
        <v>2018</v>
      </c>
      <c r="F137" s="642">
        <f>J132</f>
        <v>15.583025083971767</v>
      </c>
    </row>
    <row r="138" spans="2:20" x14ac:dyDescent="0.25">
      <c r="E138" s="5">
        <v>2019</v>
      </c>
      <c r="F138" s="642">
        <f>M132</f>
        <v>16.253095162582554</v>
      </c>
    </row>
    <row r="139" spans="2:20" x14ac:dyDescent="0.25">
      <c r="E139" s="5">
        <v>2020</v>
      </c>
      <c r="F139" s="642">
        <f>P132</f>
        <v>16.951978254573604</v>
      </c>
    </row>
    <row r="140" spans="2:20" x14ac:dyDescent="0.25">
      <c r="E140" s="5">
        <v>2021</v>
      </c>
      <c r="F140" s="642">
        <f>S132</f>
        <v>17.680913319520268</v>
      </c>
    </row>
  </sheetData>
  <mergeCells count="72">
    <mergeCell ref="P132:P133"/>
    <mergeCell ref="Q132:Q133"/>
    <mergeCell ref="R132:R133"/>
    <mergeCell ref="S132:S133"/>
    <mergeCell ref="T132:T133"/>
    <mergeCell ref="O132:O133"/>
    <mergeCell ref="B132:B133"/>
    <mergeCell ref="E132:E133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N132:N133"/>
    <mergeCell ref="D131:E131"/>
    <mergeCell ref="A124:T124"/>
    <mergeCell ref="A125:T125"/>
    <mergeCell ref="B129:B131"/>
    <mergeCell ref="C129:C131"/>
    <mergeCell ref="D129:E130"/>
    <mergeCell ref="F129:H129"/>
    <mergeCell ref="I129:K129"/>
    <mergeCell ref="L129:N129"/>
    <mergeCell ref="O129:Q129"/>
    <mergeCell ref="R129:T129"/>
    <mergeCell ref="G130:H130"/>
    <mergeCell ref="J130:K130"/>
    <mergeCell ref="M130:N130"/>
    <mergeCell ref="P130:Q130"/>
    <mergeCell ref="S130:T130"/>
    <mergeCell ref="L92:M92"/>
    <mergeCell ref="A68:D68"/>
    <mergeCell ref="E68:H68"/>
    <mergeCell ref="I68:L68"/>
    <mergeCell ref="M68:P68"/>
    <mergeCell ref="K69:L69"/>
    <mergeCell ref="M69:N69"/>
    <mergeCell ref="O69:P69"/>
    <mergeCell ref="Q68:T68"/>
    <mergeCell ref="A69:B69"/>
    <mergeCell ref="C69:D69"/>
    <mergeCell ref="E69:F69"/>
    <mergeCell ref="G69:H69"/>
    <mergeCell ref="I69:J69"/>
    <mergeCell ref="Q69:R69"/>
    <mergeCell ref="S69:T69"/>
    <mergeCell ref="C36:K36"/>
    <mergeCell ref="B37:B38"/>
    <mergeCell ref="C37:C38"/>
    <mergeCell ref="D37:F37"/>
    <mergeCell ref="G37:H37"/>
    <mergeCell ref="I37:I38"/>
    <mergeCell ref="J37:J38"/>
    <mergeCell ref="K37:K38"/>
    <mergeCell ref="C35:K35"/>
    <mergeCell ref="B3:K3"/>
    <mergeCell ref="B4:K4"/>
    <mergeCell ref="L4:M4"/>
    <mergeCell ref="B5:B6"/>
    <mergeCell ref="C5:C6"/>
    <mergeCell ref="D5:F5"/>
    <mergeCell ref="G5:I5"/>
    <mergeCell ref="J5:J6"/>
    <mergeCell ref="K5:K6"/>
    <mergeCell ref="M7:N7"/>
    <mergeCell ref="M8:N8"/>
    <mergeCell ref="M9:N9"/>
    <mergeCell ref="M14:M16"/>
    <mergeCell ref="N14:N16"/>
  </mergeCells>
  <conditionalFormatting sqref="Q132:Q133 N132:N133 H132:H133 T132:T133 K132:K133">
    <cfRule type="cellIs" dxfId="0" priority="1" operator="greaterThan">
      <formula>1</formula>
    </cfRule>
  </conditionalFormatting>
  <printOptions gridLines="1"/>
  <pageMargins left="0.11811023622047245" right="0.31496062992125984" top="0.55118110236220474" bottom="0.35433070866141736" header="0" footer="0"/>
  <pageSetup paperSize="9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2:G14"/>
  <sheetViews>
    <sheetView workbookViewId="0">
      <selection activeCell="B17" sqref="B17"/>
    </sheetView>
  </sheetViews>
  <sheetFormatPr baseColWidth="10" defaultRowHeight="15" x14ac:dyDescent="0.25"/>
  <cols>
    <col min="2" max="2" width="21.5703125" customWidth="1"/>
  </cols>
  <sheetData>
    <row r="2" spans="2:7" x14ac:dyDescent="0.25">
      <c r="B2" s="1342" t="s">
        <v>278</v>
      </c>
      <c r="C2" s="1343"/>
      <c r="D2" s="1343"/>
      <c r="E2" s="1343"/>
      <c r="F2" s="1343"/>
      <c r="G2" s="1344"/>
    </row>
    <row r="4" spans="2:7" x14ac:dyDescent="0.25">
      <c r="B4" s="669"/>
      <c r="C4" s="669" t="s">
        <v>279</v>
      </c>
      <c r="D4" s="669" t="s">
        <v>280</v>
      </c>
      <c r="E4" s="669" t="s">
        <v>281</v>
      </c>
      <c r="F4" s="669" t="s">
        <v>282</v>
      </c>
      <c r="G4" s="669" t="s">
        <v>283</v>
      </c>
    </row>
    <row r="5" spans="2:7" x14ac:dyDescent="0.25">
      <c r="B5" s="669" t="s">
        <v>284</v>
      </c>
      <c r="C5" s="670" t="s">
        <v>285</v>
      </c>
      <c r="D5" s="670" t="s">
        <v>286</v>
      </c>
      <c r="E5" s="671">
        <f>(F5^2+G5^2)^0.5</f>
        <v>77.373373566688144</v>
      </c>
      <c r="F5" s="671">
        <v>73.460507000000007</v>
      </c>
      <c r="G5" s="671">
        <v>24.293885</v>
      </c>
    </row>
    <row r="6" spans="2:7" x14ac:dyDescent="0.25">
      <c r="B6" s="669" t="s">
        <v>287</v>
      </c>
      <c r="C6" s="670" t="s">
        <v>288</v>
      </c>
      <c r="D6" s="670" t="s">
        <v>289</v>
      </c>
      <c r="E6" s="671">
        <f>(F6^2+G6^2)^0.5</f>
        <v>112.31319226156066</v>
      </c>
      <c r="F6" s="671">
        <v>110.232888</v>
      </c>
      <c r="G6" s="671">
        <v>21.516587999999999</v>
      </c>
    </row>
    <row r="7" spans="2:7" x14ac:dyDescent="0.25">
      <c r="B7" s="669" t="s">
        <v>290</v>
      </c>
      <c r="C7" s="670" t="s">
        <v>288</v>
      </c>
      <c r="D7" s="670" t="s">
        <v>291</v>
      </c>
      <c r="E7" s="671">
        <f t="shared" ref="E7:E14" si="0">(F7^2+G7^2)^0.5</f>
        <v>43.10381074726461</v>
      </c>
      <c r="F7" s="671">
        <v>40.322000000000003</v>
      </c>
      <c r="G7" s="671">
        <v>15.234002</v>
      </c>
    </row>
    <row r="8" spans="2:7" x14ac:dyDescent="0.25">
      <c r="B8" s="669" t="s">
        <v>5</v>
      </c>
      <c r="C8" s="670" t="s">
        <v>288</v>
      </c>
      <c r="D8" s="670" t="s">
        <v>292</v>
      </c>
      <c r="E8" s="671">
        <f t="shared" si="0"/>
        <v>75.006686303182107</v>
      </c>
      <c r="F8" s="671">
        <v>68.640533000000005</v>
      </c>
      <c r="G8" s="671">
        <v>30.240373999999999</v>
      </c>
    </row>
    <row r="9" spans="2:7" x14ac:dyDescent="0.25">
      <c r="B9" s="669" t="s">
        <v>293</v>
      </c>
      <c r="C9" s="670" t="s">
        <v>288</v>
      </c>
      <c r="D9" s="670" t="s">
        <v>294</v>
      </c>
      <c r="E9" s="671">
        <f t="shared" si="0"/>
        <v>62.679315315437208</v>
      </c>
      <c r="F9" s="671">
        <v>61.706001000000001</v>
      </c>
      <c r="G9" s="671">
        <v>11.003</v>
      </c>
    </row>
    <row r="10" spans="2:7" x14ac:dyDescent="0.25">
      <c r="B10" s="669" t="s">
        <v>2</v>
      </c>
      <c r="C10" s="670" t="s">
        <v>295</v>
      </c>
      <c r="D10" s="670" t="s">
        <v>296</v>
      </c>
      <c r="E10" s="671">
        <f t="shared" si="0"/>
        <v>36.819931617672474</v>
      </c>
      <c r="F10" s="671">
        <v>36.426181</v>
      </c>
      <c r="G10" s="671">
        <v>5.3703539999999998</v>
      </c>
    </row>
    <row r="11" spans="2:7" x14ac:dyDescent="0.25">
      <c r="B11" s="669" t="s">
        <v>258</v>
      </c>
      <c r="C11" s="672">
        <v>42412</v>
      </c>
      <c r="D11" s="673">
        <v>0.61458333333333337</v>
      </c>
      <c r="E11" s="671">
        <f t="shared" si="0"/>
        <v>59.726028664226455</v>
      </c>
      <c r="F11" s="671">
        <v>57.77</v>
      </c>
      <c r="G11" s="671">
        <v>15.16</v>
      </c>
    </row>
    <row r="12" spans="2:7" x14ac:dyDescent="0.25">
      <c r="B12" s="669" t="s">
        <v>8</v>
      </c>
      <c r="C12" s="670" t="s">
        <v>288</v>
      </c>
      <c r="D12" s="670" t="s">
        <v>286</v>
      </c>
      <c r="E12" s="671">
        <f t="shared" si="0"/>
        <v>76.267865801614747</v>
      </c>
      <c r="F12" s="671">
        <v>74.099305999999999</v>
      </c>
      <c r="G12" s="671">
        <v>18.057690999999998</v>
      </c>
    </row>
    <row r="13" spans="2:7" x14ac:dyDescent="0.25">
      <c r="B13" s="669" t="s">
        <v>10</v>
      </c>
      <c r="C13" s="670" t="s">
        <v>288</v>
      </c>
      <c r="D13" s="670" t="s">
        <v>297</v>
      </c>
      <c r="E13" s="671">
        <f t="shared" si="0"/>
        <v>77.177041739942979</v>
      </c>
      <c r="F13" s="671">
        <v>75.193854000000002</v>
      </c>
      <c r="G13" s="671">
        <v>17.383327999999999</v>
      </c>
    </row>
    <row r="14" spans="2:7" x14ac:dyDescent="0.25">
      <c r="B14" s="669" t="s">
        <v>298</v>
      </c>
      <c r="C14" s="670" t="s">
        <v>288</v>
      </c>
      <c r="D14" s="670" t="s">
        <v>299</v>
      </c>
      <c r="E14" s="671">
        <f t="shared" si="0"/>
        <v>44.287950957342787</v>
      </c>
      <c r="F14" s="671">
        <v>43.65</v>
      </c>
      <c r="G14" s="671">
        <v>7.49</v>
      </c>
    </row>
  </sheetData>
  <mergeCells count="1">
    <mergeCell ref="B2:G2"/>
  </mergeCells>
  <printOptions gridLines="1"/>
  <pageMargins left="0" right="0" top="0.74803149606299213" bottom="0.74803149606299213" header="0" footer="0"/>
  <pageSetup paperSize="9" scale="12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2:U130"/>
  <sheetViews>
    <sheetView topLeftCell="A97" zoomScaleNormal="100" workbookViewId="0">
      <selection activeCell="H64" sqref="H64"/>
    </sheetView>
  </sheetViews>
  <sheetFormatPr baseColWidth="10" defaultRowHeight="15" x14ac:dyDescent="0.25"/>
  <cols>
    <col min="1" max="1" width="5.7109375" customWidth="1"/>
    <col min="2" max="2" width="6.7109375" customWidth="1"/>
    <col min="3" max="3" width="14.7109375" style="5" customWidth="1"/>
    <col min="4" max="5" width="10.7109375" style="5" customWidth="1"/>
    <col min="6" max="6" width="11.7109375" style="5" customWidth="1"/>
    <col min="7" max="8" width="12.7109375" style="5" customWidth="1"/>
    <col min="9" max="9" width="10.7109375" style="5" customWidth="1"/>
    <col min="10" max="11" width="10.7109375" customWidth="1"/>
    <col min="13" max="14" width="12.7109375" customWidth="1"/>
    <col min="15" max="16" width="10.7109375" style="136" customWidth="1"/>
  </cols>
  <sheetData>
    <row r="2" spans="2:17" ht="15.75" thickBot="1" x14ac:dyDescent="0.3"/>
    <row r="3" spans="2:17" ht="15.95" customHeight="1" x14ac:dyDescent="0.25">
      <c r="B3" s="1112" t="s">
        <v>208</v>
      </c>
      <c r="C3" s="1113"/>
      <c r="D3" s="1113"/>
      <c r="E3" s="1113"/>
      <c r="F3" s="1113"/>
      <c r="G3" s="1113"/>
      <c r="H3" s="1113"/>
      <c r="I3" s="1113"/>
      <c r="J3" s="1113"/>
      <c r="K3" s="1114"/>
    </row>
    <row r="4" spans="2:17" ht="15.95" customHeight="1" thickBot="1" x14ac:dyDescent="0.3">
      <c r="B4" s="1115" t="s">
        <v>38</v>
      </c>
      <c r="C4" s="1116"/>
      <c r="D4" s="1116"/>
      <c r="E4" s="1116"/>
      <c r="F4" s="1116"/>
      <c r="G4" s="1116"/>
      <c r="H4" s="1116"/>
      <c r="I4" s="1116"/>
      <c r="J4" s="1116"/>
      <c r="K4" s="1117"/>
      <c r="L4" s="1125" t="s">
        <v>266</v>
      </c>
      <c r="M4" s="1125"/>
      <c r="O4" s="136" t="s">
        <v>267</v>
      </c>
    </row>
    <row r="5" spans="2:17" s="8" customFormat="1" ht="15.95" customHeight="1" x14ac:dyDescent="0.25">
      <c r="B5" s="1118" t="s">
        <v>124</v>
      </c>
      <c r="C5" s="1031" t="s">
        <v>26</v>
      </c>
      <c r="D5" s="1033" t="s">
        <v>110</v>
      </c>
      <c r="E5" s="1120"/>
      <c r="F5" s="1121"/>
      <c r="G5" s="1033" t="s">
        <v>74</v>
      </c>
      <c r="H5" s="1120"/>
      <c r="I5" s="1121"/>
      <c r="J5" s="1122" t="s">
        <v>105</v>
      </c>
      <c r="K5" s="1123" t="s">
        <v>175</v>
      </c>
      <c r="O5" s="813"/>
      <c r="P5" s="813"/>
    </row>
    <row r="6" spans="2:17" s="8" customFormat="1" ht="39.950000000000003" customHeight="1" x14ac:dyDescent="0.25">
      <c r="B6" s="1119"/>
      <c r="C6" s="1032"/>
      <c r="D6" s="330" t="s">
        <v>174</v>
      </c>
      <c r="E6" s="38" t="s">
        <v>116</v>
      </c>
      <c r="F6" s="330" t="s">
        <v>134</v>
      </c>
      <c r="G6" s="38" t="s">
        <v>113</v>
      </c>
      <c r="H6" s="38" t="s">
        <v>232</v>
      </c>
      <c r="I6" s="38" t="s">
        <v>173</v>
      </c>
      <c r="J6" s="1033"/>
      <c r="K6" s="1124"/>
      <c r="L6" s="200" t="s">
        <v>210</v>
      </c>
      <c r="M6" s="116"/>
      <c r="N6" s="116"/>
      <c r="O6" s="814"/>
      <c r="P6" s="814"/>
      <c r="Q6" s="116"/>
    </row>
    <row r="7" spans="2:17" s="8" customFormat="1" ht="15" customHeight="1" x14ac:dyDescent="0.25">
      <c r="B7" s="483"/>
      <c r="C7" s="266">
        <v>1999</v>
      </c>
      <c r="D7" s="40">
        <v>40.79</v>
      </c>
      <c r="E7" s="61">
        <f>D7/L24</f>
        <v>41.03444806921231</v>
      </c>
      <c r="F7" s="486"/>
      <c r="G7" s="83"/>
      <c r="H7" s="60"/>
      <c r="I7" s="117"/>
      <c r="J7" s="61">
        <v>75</v>
      </c>
      <c r="K7" s="204">
        <f t="shared" ref="K7:K24" si="0">J7-25</f>
        <v>50</v>
      </c>
      <c r="L7" s="473"/>
      <c r="O7" s="49">
        <v>75</v>
      </c>
      <c r="P7" s="815">
        <f t="shared" ref="P7:P25" si="1">O7-25</f>
        <v>50</v>
      </c>
      <c r="Q7" s="116"/>
    </row>
    <row r="8" spans="2:17" s="8" customFormat="1" ht="15" customHeight="1" x14ac:dyDescent="0.25">
      <c r="B8" s="483"/>
      <c r="C8" s="101">
        <v>2000</v>
      </c>
      <c r="D8" s="40">
        <v>45.7</v>
      </c>
      <c r="E8" s="62">
        <f>D8/L24</f>
        <v>45.973872928732597</v>
      </c>
      <c r="F8" s="486">
        <f t="shared" ref="F8:F25" si="2">(E8-E7)/E7</f>
        <v>0.12037264035302774</v>
      </c>
      <c r="G8" s="77"/>
      <c r="H8" s="60"/>
      <c r="I8" s="194"/>
      <c r="J8" s="62">
        <v>75</v>
      </c>
      <c r="K8" s="204">
        <f t="shared" si="0"/>
        <v>50</v>
      </c>
      <c r="L8" s="262"/>
      <c r="M8" s="1126" t="s">
        <v>212</v>
      </c>
      <c r="N8" s="1126"/>
      <c r="O8" s="49">
        <v>75</v>
      </c>
      <c r="P8" s="815">
        <f t="shared" si="1"/>
        <v>50</v>
      </c>
      <c r="Q8" s="116"/>
    </row>
    <row r="9" spans="2:17" s="8" customFormat="1" ht="15" customHeight="1" x14ac:dyDescent="0.25">
      <c r="B9" s="483"/>
      <c r="C9" s="101">
        <v>2001</v>
      </c>
      <c r="D9" s="40">
        <v>48.12</v>
      </c>
      <c r="E9" s="62">
        <f>D9/L24</f>
        <v>48.408375608984954</v>
      </c>
      <c r="F9" s="486">
        <f t="shared" si="2"/>
        <v>5.2954048140043695E-2</v>
      </c>
      <c r="G9" s="77"/>
      <c r="H9" s="60"/>
      <c r="I9" s="194"/>
      <c r="J9" s="62">
        <v>75</v>
      </c>
      <c r="K9" s="204">
        <f t="shared" si="0"/>
        <v>50</v>
      </c>
      <c r="L9" s="262"/>
      <c r="M9" s="1127" t="s">
        <v>213</v>
      </c>
      <c r="N9" s="1127"/>
      <c r="O9" s="49">
        <v>75</v>
      </c>
      <c r="P9" s="815">
        <f t="shared" si="1"/>
        <v>50</v>
      </c>
      <c r="Q9" s="116"/>
    </row>
    <row r="10" spans="2:17" s="8" customFormat="1" ht="15" customHeight="1" x14ac:dyDescent="0.25">
      <c r="B10" s="483"/>
      <c r="C10" s="101">
        <v>2002</v>
      </c>
      <c r="D10" s="40">
        <v>56.81</v>
      </c>
      <c r="E10" s="62">
        <f>D10/L24</f>
        <v>57.150453415345709</v>
      </c>
      <c r="F10" s="486">
        <f t="shared" si="2"/>
        <v>0.18059019118869504</v>
      </c>
      <c r="G10" s="77"/>
      <c r="H10" s="60"/>
      <c r="I10" s="194"/>
      <c r="J10" s="62">
        <v>75</v>
      </c>
      <c r="K10" s="204">
        <f t="shared" si="0"/>
        <v>50</v>
      </c>
      <c r="L10" s="262"/>
      <c r="M10" s="1128" t="s">
        <v>211</v>
      </c>
      <c r="N10" s="1128"/>
      <c r="O10" s="49">
        <v>75</v>
      </c>
      <c r="P10" s="815">
        <f t="shared" si="1"/>
        <v>50</v>
      </c>
      <c r="Q10" s="116"/>
    </row>
    <row r="11" spans="2:17" x14ac:dyDescent="0.25">
      <c r="B11" s="484">
        <v>6</v>
      </c>
      <c r="C11" s="101">
        <v>2003</v>
      </c>
      <c r="D11" s="40">
        <v>54.2</v>
      </c>
      <c r="E11" s="62">
        <v>54.95</v>
      </c>
      <c r="F11" s="486">
        <f t="shared" si="2"/>
        <v>-3.8502816405562461E-2</v>
      </c>
      <c r="G11" s="119"/>
      <c r="H11" s="60"/>
      <c r="I11" s="52"/>
      <c r="J11" s="62">
        <v>75</v>
      </c>
      <c r="K11" s="204">
        <f t="shared" si="0"/>
        <v>50</v>
      </c>
      <c r="L11" s="261">
        <v>0.98650000000000004</v>
      </c>
      <c r="M11" s="250"/>
      <c r="N11" s="73"/>
      <c r="O11" s="49">
        <v>75</v>
      </c>
      <c r="P11" s="815">
        <f t="shared" si="1"/>
        <v>50</v>
      </c>
      <c r="Q11" s="73"/>
    </row>
    <row r="12" spans="2:17" x14ac:dyDescent="0.25">
      <c r="B12" s="484">
        <v>7</v>
      </c>
      <c r="C12" s="101">
        <v>2004</v>
      </c>
      <c r="D12" s="40">
        <v>53.38</v>
      </c>
      <c r="E12" s="62">
        <v>54.31</v>
      </c>
      <c r="F12" s="486">
        <f t="shared" si="2"/>
        <v>-1.1646951774340318E-2</v>
      </c>
      <c r="G12" s="119"/>
      <c r="H12" s="60"/>
      <c r="I12" s="52"/>
      <c r="J12" s="62">
        <v>75</v>
      </c>
      <c r="K12" s="204">
        <f t="shared" si="0"/>
        <v>50</v>
      </c>
      <c r="L12" s="261">
        <v>0.98570000000000002</v>
      </c>
      <c r="M12" s="250"/>
      <c r="N12" s="73"/>
      <c r="O12" s="49">
        <v>75</v>
      </c>
      <c r="P12" s="815">
        <f t="shared" si="1"/>
        <v>50</v>
      </c>
      <c r="Q12" s="73"/>
    </row>
    <row r="13" spans="2:17" x14ac:dyDescent="0.25">
      <c r="B13" s="484">
        <v>7</v>
      </c>
      <c r="C13" s="101">
        <v>2005</v>
      </c>
      <c r="D13" s="40">
        <v>56.56</v>
      </c>
      <c r="E13" s="62">
        <v>56.71</v>
      </c>
      <c r="F13" s="486">
        <f t="shared" si="2"/>
        <v>4.4190756766709603E-2</v>
      </c>
      <c r="G13" s="119"/>
      <c r="H13" s="60"/>
      <c r="I13" s="52"/>
      <c r="J13" s="62">
        <v>75</v>
      </c>
      <c r="K13" s="204">
        <f t="shared" si="0"/>
        <v>50</v>
      </c>
      <c r="L13" s="261">
        <v>0.99729999999999996</v>
      </c>
      <c r="M13" s="250"/>
      <c r="N13" s="73"/>
      <c r="O13" s="49">
        <v>75</v>
      </c>
      <c r="P13" s="815">
        <f t="shared" si="1"/>
        <v>50</v>
      </c>
      <c r="Q13" s="73"/>
    </row>
    <row r="14" spans="2:17" x14ac:dyDescent="0.25">
      <c r="B14" s="484">
        <v>8</v>
      </c>
      <c r="C14" s="101">
        <v>2006</v>
      </c>
      <c r="D14" s="40">
        <v>56.41</v>
      </c>
      <c r="E14" s="62">
        <v>56.56</v>
      </c>
      <c r="F14" s="486">
        <f t="shared" si="2"/>
        <v>-2.6450361488273423E-3</v>
      </c>
      <c r="G14" s="119"/>
      <c r="H14" s="60"/>
      <c r="I14" s="52"/>
      <c r="J14" s="62">
        <v>75</v>
      </c>
      <c r="K14" s="204">
        <f t="shared" si="0"/>
        <v>50</v>
      </c>
      <c r="L14" s="261">
        <v>0.99729999999999996</v>
      </c>
      <c r="M14" s="250"/>
      <c r="N14" s="73"/>
      <c r="O14" s="49">
        <v>75</v>
      </c>
      <c r="P14" s="815">
        <f t="shared" si="1"/>
        <v>50</v>
      </c>
      <c r="Q14" s="73"/>
    </row>
    <row r="15" spans="2:17" x14ac:dyDescent="0.25">
      <c r="B15" s="484">
        <v>5</v>
      </c>
      <c r="C15" s="101">
        <v>2007</v>
      </c>
      <c r="D15" s="40">
        <v>58.68</v>
      </c>
      <c r="E15" s="62">
        <v>58.9</v>
      </c>
      <c r="F15" s="486">
        <f t="shared" si="2"/>
        <v>4.1371994342291302E-2</v>
      </c>
      <c r="G15" s="119"/>
      <c r="H15" s="60"/>
      <c r="I15" s="52"/>
      <c r="J15" s="62">
        <v>75</v>
      </c>
      <c r="K15" s="204">
        <f t="shared" si="0"/>
        <v>50</v>
      </c>
      <c r="L15" s="261">
        <v>0.99629999999999996</v>
      </c>
      <c r="M15" s="250"/>
      <c r="N15" s="73"/>
      <c r="O15" s="49">
        <v>75</v>
      </c>
      <c r="P15" s="815">
        <f t="shared" si="1"/>
        <v>50</v>
      </c>
      <c r="Q15" s="73"/>
    </row>
    <row r="16" spans="2:17" ht="15" customHeight="1" x14ac:dyDescent="0.25">
      <c r="B16" s="484">
        <v>6</v>
      </c>
      <c r="C16" s="101">
        <v>2008</v>
      </c>
      <c r="D16" s="40">
        <v>56.12</v>
      </c>
      <c r="E16" s="62">
        <v>56.25</v>
      </c>
      <c r="F16" s="486">
        <f t="shared" si="2"/>
        <v>-4.4991511035653624E-2</v>
      </c>
      <c r="G16" s="119"/>
      <c r="H16" s="60"/>
      <c r="I16" s="52"/>
      <c r="J16" s="62">
        <v>75</v>
      </c>
      <c r="K16" s="204">
        <f t="shared" si="0"/>
        <v>50</v>
      </c>
      <c r="L16" s="261">
        <v>0.99770000000000003</v>
      </c>
      <c r="M16" s="250"/>
      <c r="N16" s="361"/>
      <c r="O16" s="49">
        <v>75</v>
      </c>
      <c r="P16" s="815">
        <f t="shared" si="1"/>
        <v>50</v>
      </c>
      <c r="Q16" s="73"/>
    </row>
    <row r="17" spans="2:17" x14ac:dyDescent="0.25">
      <c r="B17" s="484">
        <v>7</v>
      </c>
      <c r="C17" s="101">
        <v>2009</v>
      </c>
      <c r="D17" s="40">
        <v>56.8</v>
      </c>
      <c r="E17" s="62">
        <v>56.94</v>
      </c>
      <c r="F17" s="486">
        <f t="shared" si="2"/>
        <v>1.2266666666666625E-2</v>
      </c>
      <c r="G17" s="119"/>
      <c r="H17" s="60"/>
      <c r="I17" s="52"/>
      <c r="J17" s="62">
        <v>75</v>
      </c>
      <c r="K17" s="204">
        <f t="shared" si="0"/>
        <v>50</v>
      </c>
      <c r="L17" s="261">
        <v>0.99750000000000005</v>
      </c>
      <c r="M17" s="250"/>
      <c r="N17" s="361"/>
      <c r="O17" s="49">
        <v>75</v>
      </c>
      <c r="P17" s="815">
        <f t="shared" si="1"/>
        <v>50</v>
      </c>
      <c r="Q17" s="73"/>
    </row>
    <row r="18" spans="2:17" x14ac:dyDescent="0.25">
      <c r="B18" s="484">
        <v>7</v>
      </c>
      <c r="C18" s="101">
        <v>2010</v>
      </c>
      <c r="D18" s="40">
        <f>E18*L24</f>
        <v>58.625730104667802</v>
      </c>
      <c r="E18" s="62">
        <v>58.977064905605481</v>
      </c>
      <c r="F18" s="486">
        <f t="shared" si="2"/>
        <v>3.577563936785183E-2</v>
      </c>
      <c r="G18" s="119"/>
      <c r="H18" s="60"/>
      <c r="I18" s="52"/>
      <c r="J18" s="62">
        <v>75</v>
      </c>
      <c r="K18" s="204">
        <f t="shared" si="0"/>
        <v>50</v>
      </c>
      <c r="L18" s="261"/>
      <c r="M18" s="1110" t="s">
        <v>239</v>
      </c>
      <c r="N18" s="1111" t="s">
        <v>240</v>
      </c>
      <c r="O18" s="49">
        <v>75</v>
      </c>
      <c r="P18" s="815">
        <f t="shared" si="1"/>
        <v>50</v>
      </c>
      <c r="Q18" s="73"/>
    </row>
    <row r="19" spans="2:17" ht="15" customHeight="1" x14ac:dyDescent="0.25">
      <c r="B19" s="484">
        <v>12</v>
      </c>
      <c r="C19" s="101">
        <v>2011</v>
      </c>
      <c r="D19" s="40">
        <f>E19*L24</f>
        <v>69.50927475917041</v>
      </c>
      <c r="E19" s="62">
        <v>69.925832935371119</v>
      </c>
      <c r="F19" s="486">
        <f t="shared" si="2"/>
        <v>0.18564450515279901</v>
      </c>
      <c r="G19" s="119"/>
      <c r="H19" s="60"/>
      <c r="I19" s="52"/>
      <c r="J19" s="62">
        <v>75</v>
      </c>
      <c r="K19" s="204">
        <f t="shared" si="0"/>
        <v>50</v>
      </c>
      <c r="L19" s="261"/>
      <c r="M19" s="1110"/>
      <c r="N19" s="1111"/>
      <c r="O19" s="49">
        <v>75</v>
      </c>
      <c r="P19" s="815">
        <f t="shared" si="1"/>
        <v>50</v>
      </c>
      <c r="Q19" s="73"/>
    </row>
    <row r="20" spans="2:17" x14ac:dyDescent="0.25">
      <c r="B20" s="484">
        <v>1</v>
      </c>
      <c r="C20" s="101">
        <v>2012</v>
      </c>
      <c r="D20" s="40">
        <f>E20*L24</f>
        <v>71.523684672827855</v>
      </c>
      <c r="E20" s="62">
        <v>71.952314891538876</v>
      </c>
      <c r="F20" s="486">
        <f t="shared" si="2"/>
        <v>2.8980447870256058E-2</v>
      </c>
      <c r="G20" s="119"/>
      <c r="H20" s="60"/>
      <c r="I20" s="52"/>
      <c r="J20" s="62">
        <v>75</v>
      </c>
      <c r="K20" s="204">
        <f t="shared" si="0"/>
        <v>50</v>
      </c>
      <c r="L20" s="261"/>
      <c r="M20" s="1110"/>
      <c r="N20" s="1111"/>
      <c r="O20" s="49">
        <v>75</v>
      </c>
      <c r="P20" s="815">
        <f t="shared" si="1"/>
        <v>50</v>
      </c>
      <c r="Q20" s="73"/>
    </row>
    <row r="21" spans="2:17" ht="15" customHeight="1" x14ac:dyDescent="0.25">
      <c r="B21" s="484">
        <v>12</v>
      </c>
      <c r="C21" s="101">
        <v>2013</v>
      </c>
      <c r="D21" s="40">
        <f>E21*L24</f>
        <v>69.049685035446799</v>
      </c>
      <c r="E21" s="62">
        <v>69.46348896255229</v>
      </c>
      <c r="F21" s="486">
        <f t="shared" si="2"/>
        <v>-3.4589935469598848E-2</v>
      </c>
      <c r="G21" s="119"/>
      <c r="H21" s="60"/>
      <c r="I21" s="52"/>
      <c r="J21" s="62">
        <v>75</v>
      </c>
      <c r="K21" s="204">
        <f t="shared" si="0"/>
        <v>50</v>
      </c>
      <c r="L21" s="261"/>
      <c r="M21" s="250"/>
      <c r="N21" s="40"/>
      <c r="O21" s="49">
        <v>75</v>
      </c>
      <c r="P21" s="815">
        <f t="shared" si="1"/>
        <v>50</v>
      </c>
      <c r="Q21" s="73"/>
    </row>
    <row r="22" spans="2:17" x14ac:dyDescent="0.25">
      <c r="B22" s="484">
        <v>1</v>
      </c>
      <c r="C22" s="101">
        <v>2014</v>
      </c>
      <c r="D22" s="40">
        <f>E22*L24</f>
        <v>73.490709051831928</v>
      </c>
      <c r="E22" s="62">
        <v>73.931127338979849</v>
      </c>
      <c r="F22" s="486">
        <f t="shared" si="2"/>
        <v>6.4316354435292739E-2</v>
      </c>
      <c r="G22" s="119"/>
      <c r="H22" s="40"/>
      <c r="I22" s="52"/>
      <c r="J22" s="62">
        <v>75</v>
      </c>
      <c r="K22" s="204">
        <f t="shared" si="0"/>
        <v>50</v>
      </c>
      <c r="L22" s="261"/>
      <c r="M22" s="50"/>
      <c r="N22" s="50"/>
      <c r="O22" s="49">
        <v>75</v>
      </c>
      <c r="P22" s="815">
        <f t="shared" si="1"/>
        <v>50</v>
      </c>
      <c r="Q22" s="73"/>
    </row>
    <row r="23" spans="2:17" x14ac:dyDescent="0.25">
      <c r="B23" s="484">
        <v>12</v>
      </c>
      <c r="C23" s="101">
        <v>2015</v>
      </c>
      <c r="D23" s="40">
        <f>E23*L24</f>
        <v>69.874349840658326</v>
      </c>
      <c r="E23" s="62">
        <v>70.293095854534627</v>
      </c>
      <c r="F23" s="486">
        <f t="shared" si="2"/>
        <v>-4.9208386445462549E-2</v>
      </c>
      <c r="G23" s="119"/>
      <c r="H23" s="42"/>
      <c r="I23" s="52"/>
      <c r="J23" s="62">
        <v>75</v>
      </c>
      <c r="K23" s="204">
        <f t="shared" si="0"/>
        <v>50</v>
      </c>
      <c r="L23" s="261"/>
      <c r="M23" s="50"/>
      <c r="N23" s="50"/>
      <c r="O23" s="49">
        <v>75</v>
      </c>
      <c r="P23" s="815">
        <f t="shared" si="1"/>
        <v>50</v>
      </c>
      <c r="Q23" s="73"/>
    </row>
    <row r="24" spans="2:17" x14ac:dyDescent="0.25">
      <c r="B24" s="484">
        <v>1</v>
      </c>
      <c r="C24" s="101">
        <v>2016</v>
      </c>
      <c r="D24" s="40">
        <v>73.459999999999994</v>
      </c>
      <c r="E24" s="62">
        <v>77.37</v>
      </c>
      <c r="F24" s="486">
        <f t="shared" si="2"/>
        <v>0.10067708726487744</v>
      </c>
      <c r="G24" s="503"/>
      <c r="H24" s="475"/>
      <c r="I24" s="492"/>
      <c r="J24" s="62">
        <v>75</v>
      </c>
      <c r="K24" s="204">
        <f t="shared" si="0"/>
        <v>50</v>
      </c>
      <c r="L24" s="269">
        <f>AVERAGE(L11:L23)</f>
        <v>0.99404285714285712</v>
      </c>
      <c r="M24" s="50"/>
      <c r="N24" s="384" t="e">
        <f>(H24-H23)/H23</f>
        <v>#DIV/0!</v>
      </c>
      <c r="O24" s="49">
        <v>75</v>
      </c>
      <c r="P24" s="815">
        <f t="shared" si="1"/>
        <v>50</v>
      </c>
      <c r="Q24" s="73"/>
    </row>
    <row r="25" spans="2:17" x14ac:dyDescent="0.25">
      <c r="B25" s="484"/>
      <c r="C25" s="101">
        <v>2017</v>
      </c>
      <c r="D25" s="40"/>
      <c r="E25" s="62">
        <v>100</v>
      </c>
      <c r="F25" s="486">
        <f t="shared" si="2"/>
        <v>0.29249062944293647</v>
      </c>
      <c r="G25" s="503"/>
      <c r="H25" s="475">
        <f>E25</f>
        <v>100</v>
      </c>
      <c r="I25" s="492">
        <f>E25</f>
        <v>100</v>
      </c>
      <c r="J25" s="62">
        <f>2*55+1*25</f>
        <v>135</v>
      </c>
      <c r="K25" s="204">
        <f>J25-55</f>
        <v>80</v>
      </c>
      <c r="L25" s="73"/>
      <c r="M25" s="383" t="e">
        <f>(G25-G24)/G24</f>
        <v>#DIV/0!</v>
      </c>
      <c r="N25" s="384" t="e">
        <f>(H25-H24)/H24</f>
        <v>#DIV/0!</v>
      </c>
      <c r="O25" s="49">
        <v>75</v>
      </c>
      <c r="P25" s="815">
        <f t="shared" si="1"/>
        <v>50</v>
      </c>
      <c r="Q25" s="73"/>
    </row>
    <row r="26" spans="2:17" x14ac:dyDescent="0.25">
      <c r="B26" s="485"/>
      <c r="C26" s="107">
        <v>2018</v>
      </c>
      <c r="D26" s="55"/>
      <c r="E26" s="109"/>
      <c r="F26" s="476"/>
      <c r="G26" s="504"/>
      <c r="H26" s="474"/>
      <c r="I26" s="391">
        <f t="shared" ref="I26:I35" si="3">1.045*I25</f>
        <v>104.5</v>
      </c>
      <c r="J26" s="62">
        <f t="shared" ref="J26:J35" si="4">2*55+1*25</f>
        <v>135</v>
      </c>
      <c r="K26" s="204">
        <f t="shared" ref="K26:K35" si="5">J26-55</f>
        <v>80</v>
      </c>
      <c r="L26" s="73"/>
      <c r="M26" s="383" t="e">
        <f>(G26-G25)/G25</f>
        <v>#DIV/0!</v>
      </c>
      <c r="N26" s="384">
        <f>(H26-H25)/H25</f>
        <v>-1</v>
      </c>
      <c r="O26" s="557">
        <v>105</v>
      </c>
      <c r="P26" s="815">
        <f>O26-55</f>
        <v>50</v>
      </c>
      <c r="Q26" s="73"/>
    </row>
    <row r="27" spans="2:17" x14ac:dyDescent="0.25">
      <c r="B27" s="485"/>
      <c r="C27" s="107">
        <v>2019</v>
      </c>
      <c r="D27" s="55"/>
      <c r="E27" s="109"/>
      <c r="F27" s="476"/>
      <c r="G27" s="504"/>
      <c r="H27" s="474"/>
      <c r="I27" s="391">
        <f t="shared" si="3"/>
        <v>109.20249999999999</v>
      </c>
      <c r="J27" s="62">
        <f t="shared" si="4"/>
        <v>135</v>
      </c>
      <c r="K27" s="204">
        <f t="shared" si="5"/>
        <v>80</v>
      </c>
      <c r="L27" s="73"/>
      <c r="M27" s="383" t="e">
        <f t="shared" ref="M27:M33" si="6">(G27-G26)/G26</f>
        <v>#DIV/0!</v>
      </c>
      <c r="N27" s="384" t="e">
        <f>(H27-H26)/H26</f>
        <v>#DIV/0!</v>
      </c>
      <c r="O27" s="557">
        <v>105</v>
      </c>
      <c r="P27" s="815">
        <f>O27-55</f>
        <v>50</v>
      </c>
      <c r="Q27" s="73"/>
    </row>
    <row r="28" spans="2:17" x14ac:dyDescent="0.25">
      <c r="B28" s="485"/>
      <c r="C28" s="107">
        <v>2020</v>
      </c>
      <c r="D28" s="55"/>
      <c r="E28" s="109"/>
      <c r="F28" s="476"/>
      <c r="G28" s="504"/>
      <c r="H28" s="474"/>
      <c r="I28" s="391">
        <f t="shared" si="3"/>
        <v>114.11661249999997</v>
      </c>
      <c r="J28" s="62">
        <f t="shared" si="4"/>
        <v>135</v>
      </c>
      <c r="K28" s="204">
        <f t="shared" si="5"/>
        <v>80</v>
      </c>
      <c r="L28" s="73"/>
      <c r="M28" s="383" t="e">
        <f t="shared" si="6"/>
        <v>#DIV/0!</v>
      </c>
      <c r="N28" s="384" t="e">
        <f>(H28-H27)/H27</f>
        <v>#DIV/0!</v>
      </c>
      <c r="O28" s="557">
        <v>105</v>
      </c>
      <c r="P28" s="815">
        <f>O28-55</f>
        <v>50</v>
      </c>
      <c r="Q28" s="73"/>
    </row>
    <row r="29" spans="2:17" x14ac:dyDescent="0.25">
      <c r="B29" s="485"/>
      <c r="C29" s="107">
        <v>2021</v>
      </c>
      <c r="D29" s="55"/>
      <c r="E29" s="109"/>
      <c r="F29" s="476"/>
      <c r="G29" s="504"/>
      <c r="H29" s="464"/>
      <c r="I29" s="391">
        <f t="shared" si="3"/>
        <v>119.25186006249996</v>
      </c>
      <c r="J29" s="62">
        <f t="shared" si="4"/>
        <v>135</v>
      </c>
      <c r="K29" s="204">
        <f t="shared" si="5"/>
        <v>80</v>
      </c>
      <c r="L29" s="73"/>
      <c r="M29" s="383" t="e">
        <f t="shared" si="6"/>
        <v>#DIV/0!</v>
      </c>
      <c r="N29" s="384"/>
      <c r="O29" s="557">
        <v>105</v>
      </c>
      <c r="P29" s="815">
        <f>O29-55</f>
        <v>50</v>
      </c>
      <c r="Q29" s="73"/>
    </row>
    <row r="30" spans="2:17" x14ac:dyDescent="0.25">
      <c r="B30" s="485"/>
      <c r="C30" s="107">
        <v>2022</v>
      </c>
      <c r="D30" s="55"/>
      <c r="E30" s="109"/>
      <c r="F30" s="476"/>
      <c r="G30" s="504"/>
      <c r="H30" s="464"/>
      <c r="I30" s="391">
        <f t="shared" si="3"/>
        <v>124.61819376531244</v>
      </c>
      <c r="J30" s="62">
        <f t="shared" si="4"/>
        <v>135</v>
      </c>
      <c r="K30" s="204">
        <f t="shared" si="5"/>
        <v>80</v>
      </c>
      <c r="L30" s="73"/>
      <c r="M30" s="383" t="e">
        <f t="shared" si="6"/>
        <v>#DIV/0!</v>
      </c>
      <c r="N30" s="384"/>
      <c r="O30" s="437"/>
      <c r="P30" s="437"/>
      <c r="Q30" s="73"/>
    </row>
    <row r="31" spans="2:17" x14ac:dyDescent="0.25">
      <c r="B31" s="485"/>
      <c r="C31" s="107">
        <v>2023</v>
      </c>
      <c r="D31" s="55"/>
      <c r="E31" s="109"/>
      <c r="F31" s="476"/>
      <c r="G31" s="504"/>
      <c r="H31" s="464"/>
      <c r="I31" s="391">
        <f t="shared" si="3"/>
        <v>130.22601248475149</v>
      </c>
      <c r="J31" s="62">
        <f t="shared" si="4"/>
        <v>135</v>
      </c>
      <c r="K31" s="204">
        <f t="shared" si="5"/>
        <v>80</v>
      </c>
      <c r="L31" s="73"/>
      <c r="M31" s="383" t="e">
        <f t="shared" si="6"/>
        <v>#DIV/0!</v>
      </c>
      <c r="N31" s="384"/>
      <c r="O31" s="437"/>
      <c r="P31" s="437"/>
      <c r="Q31" s="73"/>
    </row>
    <row r="32" spans="2:17" x14ac:dyDescent="0.25">
      <c r="B32" s="485"/>
      <c r="C32" s="107">
        <v>2024</v>
      </c>
      <c r="D32" s="55"/>
      <c r="E32" s="109"/>
      <c r="F32" s="476"/>
      <c r="G32" s="504"/>
      <c r="H32" s="464"/>
      <c r="I32" s="391">
        <f t="shared" si="3"/>
        <v>136.08618304656531</v>
      </c>
      <c r="J32" s="62">
        <f t="shared" si="4"/>
        <v>135</v>
      </c>
      <c r="K32" s="204">
        <f t="shared" si="5"/>
        <v>80</v>
      </c>
      <c r="L32" s="73"/>
      <c r="M32" s="383" t="e">
        <f t="shared" si="6"/>
        <v>#DIV/0!</v>
      </c>
      <c r="N32" s="384"/>
      <c r="O32" s="816"/>
      <c r="P32" s="437"/>
      <c r="Q32" s="73"/>
    </row>
    <row r="33" spans="2:17" x14ac:dyDescent="0.25">
      <c r="B33" s="485"/>
      <c r="C33" s="107">
        <v>2025</v>
      </c>
      <c r="D33" s="55"/>
      <c r="E33" s="109"/>
      <c r="F33" s="476"/>
      <c r="G33" s="504"/>
      <c r="H33" s="464"/>
      <c r="I33" s="391">
        <f t="shared" si="3"/>
        <v>142.21006128366074</v>
      </c>
      <c r="J33" s="62">
        <f t="shared" si="4"/>
        <v>135</v>
      </c>
      <c r="K33" s="204">
        <f t="shared" si="5"/>
        <v>80</v>
      </c>
      <c r="L33" s="73"/>
      <c r="M33" s="383" t="e">
        <f t="shared" si="6"/>
        <v>#DIV/0!</v>
      </c>
      <c r="N33" s="384"/>
      <c r="O33" s="557"/>
      <c r="P33" s="437"/>
      <c r="Q33" s="73"/>
    </row>
    <row r="34" spans="2:17" x14ac:dyDescent="0.25">
      <c r="B34" s="477"/>
      <c r="C34" s="92">
        <v>2026</v>
      </c>
      <c r="D34" s="45"/>
      <c r="E34" s="115"/>
      <c r="F34" s="46"/>
      <c r="G34" s="504"/>
      <c r="H34" s="481"/>
      <c r="I34" s="391">
        <f t="shared" si="3"/>
        <v>148.60951404142546</v>
      </c>
      <c r="J34" s="62">
        <f t="shared" si="4"/>
        <v>135</v>
      </c>
      <c r="K34" s="204">
        <f t="shared" si="5"/>
        <v>80</v>
      </c>
      <c r="M34" s="363" t="e">
        <f>AVERAGE(M25:M33)</f>
        <v>#DIV/0!</v>
      </c>
      <c r="N34" s="362" t="e">
        <f>AVERAGE(N25:N28)</f>
        <v>#DIV/0!</v>
      </c>
      <c r="O34" s="817"/>
    </row>
    <row r="35" spans="2:17" ht="15.75" thickBot="1" x14ac:dyDescent="0.3">
      <c r="B35" s="478"/>
      <c r="C35" s="195">
        <v>2027</v>
      </c>
      <c r="D35" s="479"/>
      <c r="E35" s="487"/>
      <c r="F35" s="480"/>
      <c r="G35" s="505"/>
      <c r="H35" s="482"/>
      <c r="I35" s="392">
        <f t="shared" si="3"/>
        <v>155.29694217328958</v>
      </c>
      <c r="J35" s="183">
        <f t="shared" si="4"/>
        <v>135</v>
      </c>
      <c r="K35" s="206">
        <f t="shared" si="5"/>
        <v>80</v>
      </c>
      <c r="M35" s="363"/>
      <c r="N35" s="362"/>
      <c r="O35" s="817"/>
    </row>
    <row r="36" spans="2:17" x14ac:dyDescent="0.25">
      <c r="D36" s="9"/>
      <c r="E36" s="9"/>
      <c r="F36" s="439">
        <f>AVERAGE(F8:F25)</f>
        <v>5.4335906872889021E-2</v>
      </c>
      <c r="G36" s="12"/>
      <c r="H36" s="12"/>
      <c r="I36" s="9"/>
      <c r="J36" s="11"/>
      <c r="K36" s="11"/>
      <c r="M36" s="363"/>
      <c r="N36" s="362"/>
      <c r="O36" s="817"/>
    </row>
    <row r="37" spans="2:17" x14ac:dyDescent="0.25">
      <c r="D37" s="9"/>
      <c r="E37" s="9"/>
      <c r="F37" s="12"/>
      <c r="G37" s="12"/>
      <c r="H37" s="12"/>
      <c r="I37" s="9"/>
      <c r="J37" s="11"/>
      <c r="K37" s="11"/>
      <c r="M37" s="386"/>
      <c r="N37" s="12"/>
      <c r="O37" s="817"/>
    </row>
    <row r="38" spans="2:17" ht="15.75" thickBot="1" x14ac:dyDescent="0.3">
      <c r="D38" s="9"/>
      <c r="E38" s="9"/>
      <c r="F38" s="12"/>
      <c r="G38" s="12"/>
      <c r="H38" s="12"/>
      <c r="I38" s="9"/>
      <c r="J38" s="11"/>
      <c r="K38" s="11"/>
      <c r="M38" s="386"/>
      <c r="N38" s="12"/>
      <c r="O38" s="817"/>
    </row>
    <row r="39" spans="2:17" s="10" customFormat="1" ht="20.100000000000001" customHeight="1" thickBot="1" x14ac:dyDescent="0.3">
      <c r="C39" s="1037" t="s">
        <v>208</v>
      </c>
      <c r="D39" s="1038"/>
      <c r="E39" s="1038"/>
      <c r="F39" s="1038"/>
      <c r="G39" s="1038"/>
      <c r="H39" s="1038"/>
      <c r="I39" s="1038"/>
      <c r="J39" s="1038"/>
      <c r="K39" s="1039"/>
      <c r="M39" s="386"/>
      <c r="N39" s="386"/>
      <c r="O39" s="32"/>
      <c r="P39" s="32"/>
    </row>
    <row r="40" spans="2:17" ht="15.95" customHeight="1" thickBot="1" x14ac:dyDescent="0.3">
      <c r="C40" s="1040" t="s">
        <v>325</v>
      </c>
      <c r="D40" s="1041"/>
      <c r="E40" s="1041"/>
      <c r="F40" s="1041"/>
      <c r="G40" s="1041"/>
      <c r="H40" s="1041"/>
      <c r="I40" s="1041"/>
      <c r="J40" s="1041"/>
      <c r="K40" s="1042"/>
      <c r="M40" s="812" t="s">
        <v>317</v>
      </c>
      <c r="N40" s="439"/>
      <c r="O40" s="817"/>
    </row>
    <row r="41" spans="2:17" ht="15.95" customHeight="1" thickBot="1" x14ac:dyDescent="0.3">
      <c r="B41" s="1051" t="s">
        <v>26</v>
      </c>
      <c r="C41" s="1043" t="s">
        <v>35</v>
      </c>
      <c r="D41" s="1045" t="s">
        <v>110</v>
      </c>
      <c r="E41" s="1046"/>
      <c r="F41" s="1047"/>
      <c r="G41" s="1045" t="s">
        <v>74</v>
      </c>
      <c r="H41" s="1047"/>
      <c r="I41" s="1043" t="s">
        <v>180</v>
      </c>
      <c r="J41" s="1043" t="s">
        <v>268</v>
      </c>
      <c r="K41" s="1049" t="s">
        <v>269</v>
      </c>
      <c r="M41" s="812" t="s">
        <v>315</v>
      </c>
      <c r="N41" s="439"/>
      <c r="O41" s="817"/>
    </row>
    <row r="42" spans="2:17" ht="35.1" customHeight="1" thickBot="1" x14ac:dyDescent="0.3">
      <c r="B42" s="1051"/>
      <c r="C42" s="1044"/>
      <c r="D42" s="541" t="s">
        <v>174</v>
      </c>
      <c r="E42" s="541" t="s">
        <v>122</v>
      </c>
      <c r="F42" s="541" t="s">
        <v>343</v>
      </c>
      <c r="G42" s="895" t="s">
        <v>170</v>
      </c>
      <c r="H42" s="737" t="s">
        <v>270</v>
      </c>
      <c r="I42" s="1048"/>
      <c r="J42" s="1044"/>
      <c r="K42" s="1050"/>
      <c r="M42" s="386"/>
      <c r="N42" s="12"/>
      <c r="O42" s="817"/>
    </row>
    <row r="43" spans="2:17" ht="15" customHeight="1" x14ac:dyDescent="0.25">
      <c r="B43" s="577">
        <v>1999</v>
      </c>
      <c r="C43" s="781">
        <v>1999</v>
      </c>
      <c r="D43" s="647">
        <v>40.79</v>
      </c>
      <c r="E43" s="648">
        <v>41.03444806921231</v>
      </c>
      <c r="F43" s="643"/>
      <c r="G43" s="658">
        <f t="shared" ref="G43:G61" si="7">1.5118*B43-2975.8</f>
        <v>46.288199999999961</v>
      </c>
      <c r="H43" s="657"/>
      <c r="I43" s="579">
        <f>3*25</f>
        <v>75</v>
      </c>
      <c r="J43" s="587">
        <f t="shared" ref="J43:J61" si="8">I43-25</f>
        <v>50</v>
      </c>
      <c r="K43" s="591">
        <f>E43/I43</f>
        <v>0.54712597425616416</v>
      </c>
      <c r="L43" s="32"/>
      <c r="M43" s="843">
        <f>E43</f>
        <v>41.03444806921231</v>
      </c>
      <c r="N43" s="9">
        <f>E43</f>
        <v>41.03444806921231</v>
      </c>
      <c r="O43" s="12"/>
      <c r="P43" s="853">
        <f>E43</f>
        <v>41.03444806921231</v>
      </c>
      <c r="Q43" s="853">
        <f>E43</f>
        <v>41.03444806921231</v>
      </c>
    </row>
    <row r="44" spans="2:17" ht="15" customHeight="1" x14ac:dyDescent="0.25">
      <c r="B44" s="577">
        <v>2000</v>
      </c>
      <c r="C44" s="780">
        <v>2000</v>
      </c>
      <c r="D44" s="649">
        <v>45.7</v>
      </c>
      <c r="E44" s="650">
        <v>45.973872928732597</v>
      </c>
      <c r="F44" s="644">
        <f>(E44-E43)/E43</f>
        <v>0.12037264035302774</v>
      </c>
      <c r="G44" s="658">
        <f t="shared" si="7"/>
        <v>47.799999999999727</v>
      </c>
      <c r="H44" s="658"/>
      <c r="I44" s="581">
        <f t="shared" ref="I44:I61" si="9">3*25</f>
        <v>75</v>
      </c>
      <c r="J44" s="588">
        <f t="shared" si="8"/>
        <v>50</v>
      </c>
      <c r="K44" s="592">
        <f t="shared" ref="K44:K61" si="10">E44/I44</f>
        <v>0.61298497238310123</v>
      </c>
      <c r="L44" s="32"/>
      <c r="M44" s="844">
        <f>1.0431*M43</f>
        <v>42.803032780995359</v>
      </c>
      <c r="N44" s="9">
        <f>0.0431*N43+N43</f>
        <v>42.803032780995359</v>
      </c>
      <c r="O44" s="12">
        <f>E44/E43-1</f>
        <v>0.12037264035302764</v>
      </c>
      <c r="P44" s="853">
        <f>0.043*P43+P43</f>
        <v>42.798929336188436</v>
      </c>
      <c r="Q44" s="853">
        <f>1.77+Q43</f>
        <v>42.804448069212313</v>
      </c>
    </row>
    <row r="45" spans="2:17" ht="15" customHeight="1" x14ac:dyDescent="0.25">
      <c r="B45" s="577">
        <v>2001</v>
      </c>
      <c r="C45" s="780">
        <v>2001</v>
      </c>
      <c r="D45" s="649">
        <v>48.12</v>
      </c>
      <c r="E45" s="650">
        <v>48.408375608984954</v>
      </c>
      <c r="F45" s="644">
        <f t="shared" ref="F45:F61" si="11">(E45-E44)/E44</f>
        <v>5.2954048140043695E-2</v>
      </c>
      <c r="G45" s="658">
        <f t="shared" si="7"/>
        <v>49.311799999999948</v>
      </c>
      <c r="H45" s="658"/>
      <c r="I45" s="581">
        <f t="shared" si="9"/>
        <v>75</v>
      </c>
      <c r="J45" s="588">
        <f t="shared" si="8"/>
        <v>50</v>
      </c>
      <c r="K45" s="592">
        <f t="shared" si="10"/>
        <v>0.64544500811979943</v>
      </c>
      <c r="L45" s="32"/>
      <c r="M45" s="844">
        <f t="shared" ref="M45:M61" si="12">1.0431*M44</f>
        <v>44.647843493856257</v>
      </c>
      <c r="N45" s="9">
        <f>2*0.0431*N43+N43</f>
        <v>44.571617492778408</v>
      </c>
      <c r="O45" s="12">
        <f t="shared" ref="O45:O61" si="13">E45/E44-1</f>
        <v>5.2954048140043675E-2</v>
      </c>
      <c r="P45" s="853">
        <f>0.043*P43+P44</f>
        <v>44.563410603164563</v>
      </c>
      <c r="Q45" s="853">
        <f>1.77+Q44</f>
        <v>44.574448069212316</v>
      </c>
    </row>
    <row r="46" spans="2:17" ht="15" customHeight="1" x14ac:dyDescent="0.25">
      <c r="B46" s="577">
        <v>2002</v>
      </c>
      <c r="C46" s="780">
        <v>2002</v>
      </c>
      <c r="D46" s="649">
        <v>56.81</v>
      </c>
      <c r="E46" s="650">
        <v>57.150453415345709</v>
      </c>
      <c r="F46" s="644">
        <f t="shared" si="11"/>
        <v>0.18059019118869504</v>
      </c>
      <c r="G46" s="658">
        <f t="shared" si="7"/>
        <v>50.823599999999715</v>
      </c>
      <c r="H46" s="658"/>
      <c r="I46" s="581">
        <f t="shared" si="9"/>
        <v>75</v>
      </c>
      <c r="J46" s="588">
        <f t="shared" si="8"/>
        <v>50</v>
      </c>
      <c r="K46" s="592">
        <f t="shared" si="10"/>
        <v>0.76200604553794282</v>
      </c>
      <c r="L46" s="32"/>
      <c r="M46" s="844">
        <f t="shared" si="12"/>
        <v>46.572165548441461</v>
      </c>
      <c r="N46" s="9">
        <f>3*0.0431*N43+N43</f>
        <v>46.340202204561464</v>
      </c>
      <c r="O46" s="12">
        <f t="shared" si="13"/>
        <v>0.18059019118869513</v>
      </c>
      <c r="P46" s="853">
        <f>0.043*P43+P45</f>
        <v>46.327891870140689</v>
      </c>
      <c r="Q46" s="853">
        <f t="shared" ref="Q46:Q61" si="14">1.77+Q45</f>
        <v>46.344448069212319</v>
      </c>
    </row>
    <row r="47" spans="2:17" ht="15" customHeight="1" x14ac:dyDescent="0.25">
      <c r="B47" s="577">
        <v>2003</v>
      </c>
      <c r="C47" s="582">
        <v>37781.875</v>
      </c>
      <c r="D47" s="649">
        <v>54.2</v>
      </c>
      <c r="E47" s="650">
        <v>54.95</v>
      </c>
      <c r="F47" s="644">
        <f t="shared" si="11"/>
        <v>-3.8502816405562461E-2</v>
      </c>
      <c r="G47" s="658">
        <f t="shared" si="7"/>
        <v>52.335399999999936</v>
      </c>
      <c r="H47" s="658"/>
      <c r="I47" s="581">
        <f t="shared" si="9"/>
        <v>75</v>
      </c>
      <c r="J47" s="588">
        <f t="shared" si="8"/>
        <v>50</v>
      </c>
      <c r="K47" s="592">
        <f t="shared" si="10"/>
        <v>0.73266666666666669</v>
      </c>
      <c r="L47" s="32"/>
      <c r="M47" s="844">
        <f t="shared" si="12"/>
        <v>48.579425883579283</v>
      </c>
      <c r="N47" s="9">
        <f>4*0.0431*N43+N43</f>
        <v>48.108786916344513</v>
      </c>
      <c r="O47" s="12">
        <f t="shared" si="13"/>
        <v>-3.8502816405562412E-2</v>
      </c>
      <c r="P47" s="853">
        <f>1*0.043*P43+P46</f>
        <v>48.092373137116816</v>
      </c>
      <c r="Q47" s="853">
        <f t="shared" si="14"/>
        <v>48.114448069212322</v>
      </c>
    </row>
    <row r="48" spans="2:17" ht="15" customHeight="1" x14ac:dyDescent="0.25">
      <c r="B48" s="577">
        <v>2004</v>
      </c>
      <c r="C48" s="582">
        <v>38183.854166666664</v>
      </c>
      <c r="D48" s="649">
        <v>53.38</v>
      </c>
      <c r="E48" s="650">
        <v>54.31</v>
      </c>
      <c r="F48" s="644">
        <f t="shared" si="11"/>
        <v>-1.1646951774340318E-2</v>
      </c>
      <c r="G48" s="658">
        <f t="shared" si="7"/>
        <v>53.847199999999702</v>
      </c>
      <c r="H48" s="658"/>
      <c r="I48" s="581">
        <f t="shared" si="9"/>
        <v>75</v>
      </c>
      <c r="J48" s="588">
        <f t="shared" si="8"/>
        <v>50</v>
      </c>
      <c r="K48" s="592">
        <f t="shared" si="10"/>
        <v>0.72413333333333341</v>
      </c>
      <c r="L48" s="32"/>
      <c r="M48" s="844">
        <f t="shared" si="12"/>
        <v>50.673199139161547</v>
      </c>
      <c r="N48" s="9">
        <f>5*0.0431*N43+N43</f>
        <v>49.877371628127563</v>
      </c>
      <c r="O48" s="12">
        <f t="shared" si="13"/>
        <v>-1.1646951774340275E-2</v>
      </c>
      <c r="P48" s="853">
        <f>1*0.043*P43+P47</f>
        <v>49.856854404092942</v>
      </c>
      <c r="Q48" s="853">
        <f t="shared" si="14"/>
        <v>49.884448069212326</v>
      </c>
    </row>
    <row r="49" spans="2:21" ht="15" customHeight="1" x14ac:dyDescent="0.25">
      <c r="B49" s="577">
        <v>2005</v>
      </c>
      <c r="C49" s="582">
        <v>38540.875</v>
      </c>
      <c r="D49" s="649">
        <v>56.56</v>
      </c>
      <c r="E49" s="650">
        <v>56.71</v>
      </c>
      <c r="F49" s="644">
        <f t="shared" si="11"/>
        <v>4.4190756766709603E-2</v>
      </c>
      <c r="G49" s="658">
        <f t="shared" si="7"/>
        <v>55.358999999999924</v>
      </c>
      <c r="H49" s="658"/>
      <c r="I49" s="581">
        <f t="shared" si="9"/>
        <v>75</v>
      </c>
      <c r="J49" s="588">
        <f t="shared" si="8"/>
        <v>50</v>
      </c>
      <c r="K49" s="592">
        <f t="shared" si="10"/>
        <v>0.75613333333333332</v>
      </c>
      <c r="L49" s="32"/>
      <c r="M49" s="844">
        <f t="shared" si="12"/>
        <v>52.857214022059402</v>
      </c>
      <c r="N49" s="9">
        <f>6*0.0431*N43+N43</f>
        <v>51.645956339910612</v>
      </c>
      <c r="O49" s="12">
        <f>E49/E48-1</f>
        <v>4.4190756766709693E-2</v>
      </c>
      <c r="P49" s="853">
        <f>1*0.043*P43+P48</f>
        <v>51.621335671069069</v>
      </c>
      <c r="Q49" s="853">
        <f t="shared" si="14"/>
        <v>51.654448069212329</v>
      </c>
    </row>
    <row r="50" spans="2:21" ht="15" customHeight="1" x14ac:dyDescent="0.25">
      <c r="B50" s="577">
        <v>2006</v>
      </c>
      <c r="C50" s="582">
        <v>38930.885416666664</v>
      </c>
      <c r="D50" s="649">
        <v>56.41</v>
      </c>
      <c r="E50" s="650">
        <v>56.56</v>
      </c>
      <c r="F50" s="644">
        <f t="shared" si="11"/>
        <v>-2.6450361488273423E-3</v>
      </c>
      <c r="G50" s="658">
        <f t="shared" si="7"/>
        <v>56.87079999999969</v>
      </c>
      <c r="H50" s="658"/>
      <c r="I50" s="581">
        <f t="shared" si="9"/>
        <v>75</v>
      </c>
      <c r="J50" s="588">
        <f t="shared" si="8"/>
        <v>50</v>
      </c>
      <c r="K50" s="592">
        <f t="shared" si="10"/>
        <v>0.75413333333333332</v>
      </c>
      <c r="L50" s="32"/>
      <c r="M50" s="844">
        <f t="shared" si="12"/>
        <v>55.135359946410155</v>
      </c>
      <c r="N50" s="9">
        <f>7*0.0431*N43+N43</f>
        <v>53.414541051693661</v>
      </c>
      <c r="O50" s="12">
        <f t="shared" si="13"/>
        <v>-2.6450361488273844E-3</v>
      </c>
      <c r="P50" s="853">
        <f>1*0.043*P43+P49</f>
        <v>53.385816938045195</v>
      </c>
      <c r="Q50" s="853">
        <f t="shared" si="14"/>
        <v>53.424448069212332</v>
      </c>
    </row>
    <row r="51" spans="2:21" ht="15" customHeight="1" x14ac:dyDescent="0.25">
      <c r="B51" s="577">
        <v>2007</v>
      </c>
      <c r="C51" s="582">
        <v>39231.875</v>
      </c>
      <c r="D51" s="649">
        <v>58.68</v>
      </c>
      <c r="E51" s="650">
        <v>58.9</v>
      </c>
      <c r="F51" s="644">
        <f t="shared" si="11"/>
        <v>4.1371994342291302E-2</v>
      </c>
      <c r="G51" s="658">
        <f t="shared" si="7"/>
        <v>58.382599999999911</v>
      </c>
      <c r="H51" s="658"/>
      <c r="I51" s="581">
        <f t="shared" si="9"/>
        <v>75</v>
      </c>
      <c r="J51" s="588">
        <f t="shared" si="8"/>
        <v>50</v>
      </c>
      <c r="K51" s="592">
        <f t="shared" si="10"/>
        <v>0.78533333333333333</v>
      </c>
      <c r="L51" s="32"/>
      <c r="M51" s="844">
        <f t="shared" si="12"/>
        <v>57.51169396010043</v>
      </c>
      <c r="N51" s="9">
        <f>8*0.0431*N43+N43</f>
        <v>55.18312576347671</v>
      </c>
      <c r="O51" s="12">
        <f t="shared" si="13"/>
        <v>4.1371994342291218E-2</v>
      </c>
      <c r="P51" s="853">
        <f>1*0.043*P43+P50</f>
        <v>55.150298205021322</v>
      </c>
      <c r="Q51" s="853">
        <f t="shared" si="14"/>
        <v>55.194448069212335</v>
      </c>
    </row>
    <row r="52" spans="2:21" ht="15" customHeight="1" x14ac:dyDescent="0.25">
      <c r="B52" s="577">
        <v>2008</v>
      </c>
      <c r="C52" s="582">
        <v>39622.885416666664</v>
      </c>
      <c r="D52" s="649">
        <v>56.12</v>
      </c>
      <c r="E52" s="650">
        <v>56.25</v>
      </c>
      <c r="F52" s="644">
        <f t="shared" si="11"/>
        <v>-4.4991511035653624E-2</v>
      </c>
      <c r="G52" s="658">
        <f t="shared" si="7"/>
        <v>59.894399999999678</v>
      </c>
      <c r="H52" s="658"/>
      <c r="I52" s="581">
        <f t="shared" si="9"/>
        <v>75</v>
      </c>
      <c r="J52" s="588">
        <f t="shared" si="8"/>
        <v>50</v>
      </c>
      <c r="K52" s="592">
        <f t="shared" si="10"/>
        <v>0.75</v>
      </c>
      <c r="L52" s="32"/>
      <c r="M52" s="844">
        <f t="shared" si="12"/>
        <v>59.990447969780753</v>
      </c>
      <c r="N52" s="9">
        <f>9*0.0431*N43+N43</f>
        <v>56.951710475259766</v>
      </c>
      <c r="O52" s="12">
        <f t="shared" si="13"/>
        <v>-4.4991511035653575E-2</v>
      </c>
      <c r="P52" s="853">
        <f>1*0.043*P43+P51</f>
        <v>56.914779471997448</v>
      </c>
      <c r="Q52" s="853">
        <f t="shared" si="14"/>
        <v>56.964448069212338</v>
      </c>
    </row>
    <row r="53" spans="2:21" ht="15" customHeight="1" x14ac:dyDescent="0.25">
      <c r="B53" s="577">
        <v>2009</v>
      </c>
      <c r="C53" s="582">
        <v>40016.802083333336</v>
      </c>
      <c r="D53" s="649">
        <v>56.8</v>
      </c>
      <c r="E53" s="650">
        <v>56.94</v>
      </c>
      <c r="F53" s="644">
        <f t="shared" si="11"/>
        <v>1.2266666666666625E-2</v>
      </c>
      <c r="G53" s="658">
        <f t="shared" si="7"/>
        <v>61.406199999999899</v>
      </c>
      <c r="H53" s="658"/>
      <c r="I53" s="581">
        <f t="shared" si="9"/>
        <v>75</v>
      </c>
      <c r="J53" s="588">
        <f t="shared" si="8"/>
        <v>50</v>
      </c>
      <c r="K53" s="592">
        <f t="shared" si="10"/>
        <v>0.75919999999999999</v>
      </c>
      <c r="L53" s="32"/>
      <c r="M53" s="844">
        <f t="shared" si="12"/>
        <v>62.576036277278298</v>
      </c>
      <c r="N53" s="9">
        <f>10*0.0431*N43+N43</f>
        <v>58.720295187042815</v>
      </c>
      <c r="O53" s="12">
        <f t="shared" si="13"/>
        <v>1.2266666666666648E-2</v>
      </c>
      <c r="P53" s="853">
        <f>1*0.043*P43+P52</f>
        <v>58.679260738973575</v>
      </c>
      <c r="Q53" s="853">
        <f t="shared" si="14"/>
        <v>58.734448069212341</v>
      </c>
    </row>
    <row r="54" spans="2:21" ht="15" customHeight="1" x14ac:dyDescent="0.25">
      <c r="B54" s="577">
        <v>2010</v>
      </c>
      <c r="C54" s="582">
        <v>40380.885416666664</v>
      </c>
      <c r="D54" s="649">
        <v>58.625730104667802</v>
      </c>
      <c r="E54" s="650">
        <v>58.977064905605481</v>
      </c>
      <c r="F54" s="644">
        <f t="shared" si="11"/>
        <v>3.577563936785183E-2</v>
      </c>
      <c r="G54" s="658">
        <f t="shared" si="7"/>
        <v>62.917999999999665</v>
      </c>
      <c r="H54" s="658"/>
      <c r="I54" s="581">
        <f t="shared" si="9"/>
        <v>75</v>
      </c>
      <c r="J54" s="588">
        <f t="shared" si="8"/>
        <v>50</v>
      </c>
      <c r="K54" s="592">
        <f t="shared" si="10"/>
        <v>0.78636086540807304</v>
      </c>
      <c r="L54" s="32"/>
      <c r="M54" s="844">
        <f t="shared" si="12"/>
        <v>65.273063440828992</v>
      </c>
      <c r="N54" s="9">
        <f>11*0.0431*N43+N43</f>
        <v>60.488879898825864</v>
      </c>
      <c r="O54" s="12">
        <f t="shared" si="13"/>
        <v>3.5775639367851886E-2</v>
      </c>
      <c r="P54" s="853">
        <f>1*0.043*P43+P53</f>
        <v>60.443742005949701</v>
      </c>
      <c r="Q54" s="853">
        <f t="shared" si="14"/>
        <v>60.504448069212344</v>
      </c>
    </row>
    <row r="55" spans="2:21" ht="15" customHeight="1" x14ac:dyDescent="0.25">
      <c r="B55" s="577">
        <v>2011</v>
      </c>
      <c r="C55" s="582">
        <v>40898.614583333336</v>
      </c>
      <c r="D55" s="649">
        <v>69.50927475917041</v>
      </c>
      <c r="E55" s="650">
        <v>69.925832935371119</v>
      </c>
      <c r="F55" s="644">
        <f t="shared" si="11"/>
        <v>0.18564450515279901</v>
      </c>
      <c r="G55" s="658">
        <f t="shared" si="7"/>
        <v>64.429799999999886</v>
      </c>
      <c r="H55" s="658"/>
      <c r="I55" s="581">
        <f t="shared" si="9"/>
        <v>75</v>
      </c>
      <c r="J55" s="588">
        <f t="shared" si="8"/>
        <v>50</v>
      </c>
      <c r="K55" s="665">
        <f t="shared" si="10"/>
        <v>0.93234443913828158</v>
      </c>
      <c r="L55" s="32"/>
      <c r="M55" s="844">
        <f t="shared" si="12"/>
        <v>68.086332475128714</v>
      </c>
      <c r="N55" s="9">
        <f>12*0.0431*N43+N43</f>
        <v>62.25746461060892</v>
      </c>
      <c r="O55" s="12">
        <f t="shared" si="13"/>
        <v>0.18564450515279907</v>
      </c>
      <c r="P55" s="853">
        <f>1*0.043*P43+P54</f>
        <v>62.208223272925828</v>
      </c>
      <c r="Q55" s="853">
        <f t="shared" si="14"/>
        <v>62.274448069212347</v>
      </c>
    </row>
    <row r="56" spans="2:21" ht="15" customHeight="1" x14ac:dyDescent="0.25">
      <c r="B56" s="577">
        <v>2012</v>
      </c>
      <c r="C56" s="582">
        <v>40938.625</v>
      </c>
      <c r="D56" s="649">
        <v>71.523684672827855</v>
      </c>
      <c r="E56" s="650">
        <v>71.952314891538876</v>
      </c>
      <c r="F56" s="644">
        <f t="shared" si="11"/>
        <v>2.8980447870256058E-2</v>
      </c>
      <c r="G56" s="658">
        <f t="shared" si="7"/>
        <v>65.941600000000108</v>
      </c>
      <c r="H56" s="658"/>
      <c r="I56" s="581">
        <f t="shared" si="9"/>
        <v>75</v>
      </c>
      <c r="J56" s="588">
        <f t="shared" si="8"/>
        <v>50</v>
      </c>
      <c r="K56" s="665">
        <f t="shared" si="10"/>
        <v>0.95936419855385169</v>
      </c>
      <c r="L56" s="32"/>
      <c r="M56" s="844">
        <f t="shared" si="12"/>
        <v>71.020853404806758</v>
      </c>
      <c r="N56" s="9">
        <f>13*0.0431*N43+N43</f>
        <v>64.02604932239197</v>
      </c>
      <c r="O56" s="12">
        <f t="shared" si="13"/>
        <v>2.8980447870255999E-2</v>
      </c>
      <c r="P56" s="853">
        <f>1*0.043*P43+P55</f>
        <v>63.972704539901954</v>
      </c>
      <c r="Q56" s="853">
        <f t="shared" si="14"/>
        <v>64.044448069212351</v>
      </c>
    </row>
    <row r="57" spans="2:21" ht="15" customHeight="1" x14ac:dyDescent="0.25">
      <c r="B57" s="577">
        <v>2013</v>
      </c>
      <c r="C57" s="582">
        <v>41478.895833333336</v>
      </c>
      <c r="D57" s="649">
        <v>69.049685035446799</v>
      </c>
      <c r="E57" s="650">
        <v>69.46348896255229</v>
      </c>
      <c r="F57" s="644">
        <f t="shared" si="11"/>
        <v>-3.4589935469598848E-2</v>
      </c>
      <c r="G57" s="658">
        <f t="shared" si="7"/>
        <v>67.453399999999874</v>
      </c>
      <c r="H57" s="658"/>
      <c r="I57" s="581">
        <f t="shared" si="9"/>
        <v>75</v>
      </c>
      <c r="J57" s="588">
        <f t="shared" si="8"/>
        <v>50</v>
      </c>
      <c r="K57" s="665">
        <f t="shared" si="10"/>
        <v>0.92617985283403048</v>
      </c>
      <c r="L57" s="32"/>
      <c r="M57" s="844">
        <f t="shared" si="12"/>
        <v>74.081852186553917</v>
      </c>
      <c r="N57" s="9">
        <f>14*0.0431*N43+N43</f>
        <v>65.794634034175019</v>
      </c>
      <c r="O57" s="12">
        <f t="shared" si="13"/>
        <v>-3.4589935469598876E-2</v>
      </c>
      <c r="P57" s="853">
        <f>1*0.043*P43+P56</f>
        <v>65.737185806878088</v>
      </c>
      <c r="Q57" s="853">
        <f t="shared" si="14"/>
        <v>65.814448069212347</v>
      </c>
    </row>
    <row r="58" spans="2:21" ht="15" customHeight="1" x14ac:dyDescent="0.25">
      <c r="B58" s="577">
        <v>2014</v>
      </c>
      <c r="C58" s="580">
        <v>41662.645833333336</v>
      </c>
      <c r="D58" s="649">
        <v>73.490709051831928</v>
      </c>
      <c r="E58" s="650">
        <v>73.931127338979849</v>
      </c>
      <c r="F58" s="644">
        <f t="shared" si="11"/>
        <v>6.4316354435292739E-2</v>
      </c>
      <c r="G58" s="658">
        <f t="shared" si="7"/>
        <v>68.965200000000095</v>
      </c>
      <c r="H58" s="658"/>
      <c r="I58" s="581">
        <f t="shared" si="9"/>
        <v>75</v>
      </c>
      <c r="J58" s="588">
        <f t="shared" si="8"/>
        <v>50</v>
      </c>
      <c r="K58" s="665">
        <f t="shared" si="10"/>
        <v>0.98574836451973136</v>
      </c>
      <c r="L58" s="32"/>
      <c r="M58" s="844">
        <f t="shared" si="12"/>
        <v>77.274780015794391</v>
      </c>
      <c r="N58" s="9">
        <f>15*0.0431*N43+N43</f>
        <v>67.563218745958068</v>
      </c>
      <c r="O58" s="12">
        <f t="shared" si="13"/>
        <v>6.4316354435292711E-2</v>
      </c>
      <c r="P58" s="853">
        <f>1*0.043*P43+P57</f>
        <v>67.501667073854222</v>
      </c>
      <c r="Q58" s="853">
        <f t="shared" si="14"/>
        <v>67.584448069212343</v>
      </c>
    </row>
    <row r="59" spans="2:21" ht="15" customHeight="1" x14ac:dyDescent="0.25">
      <c r="B59" s="577">
        <v>2015</v>
      </c>
      <c r="C59" s="580">
        <v>42010.625</v>
      </c>
      <c r="D59" s="649">
        <v>63.69</v>
      </c>
      <c r="E59" s="650">
        <v>64.92</v>
      </c>
      <c r="F59" s="644">
        <f t="shared" si="11"/>
        <v>-0.12188543125635218</v>
      </c>
      <c r="G59" s="658">
        <f t="shared" si="7"/>
        <v>70.476999999999862</v>
      </c>
      <c r="H59" s="658"/>
      <c r="I59" s="581">
        <f t="shared" si="9"/>
        <v>75</v>
      </c>
      <c r="J59" s="588">
        <f t="shared" si="8"/>
        <v>50</v>
      </c>
      <c r="K59" s="592">
        <f t="shared" si="10"/>
        <v>0.86560000000000004</v>
      </c>
      <c r="L59" s="32"/>
      <c r="M59" s="844">
        <f t="shared" si="12"/>
        <v>80.60532303447512</v>
      </c>
      <c r="N59" s="9">
        <f>16*0.0431*N43+N43</f>
        <v>69.331803457741117</v>
      </c>
      <c r="O59" s="12">
        <f t="shared" si="13"/>
        <v>-0.12188543125635221</v>
      </c>
      <c r="P59" s="853">
        <f>1*0.043*P43+P58</f>
        <v>69.266148340830355</v>
      </c>
      <c r="Q59" s="853">
        <f t="shared" si="14"/>
        <v>69.354448069212339</v>
      </c>
    </row>
    <row r="60" spans="2:21" ht="15" customHeight="1" x14ac:dyDescent="0.25">
      <c r="B60" s="577">
        <v>2016</v>
      </c>
      <c r="C60" s="580">
        <v>42548.864583333336</v>
      </c>
      <c r="D60" s="649">
        <v>67.599999999999994</v>
      </c>
      <c r="E60" s="650">
        <v>67.599999999999994</v>
      </c>
      <c r="F60" s="644">
        <f t="shared" si="11"/>
        <v>4.1281577325939504E-2</v>
      </c>
      <c r="G60" s="658">
        <f t="shared" si="7"/>
        <v>71.988800000000083</v>
      </c>
      <c r="H60" s="658"/>
      <c r="I60" s="581">
        <f t="shared" si="9"/>
        <v>75</v>
      </c>
      <c r="J60" s="588">
        <f t="shared" si="8"/>
        <v>50</v>
      </c>
      <c r="K60" s="665">
        <f t="shared" si="10"/>
        <v>0.90133333333333321</v>
      </c>
      <c r="L60" s="32"/>
      <c r="M60" s="844">
        <f t="shared" si="12"/>
        <v>84.079412457260986</v>
      </c>
      <c r="N60" s="9">
        <f>17*0.0431*N43+N43</f>
        <v>71.100388169524166</v>
      </c>
      <c r="O60" s="12">
        <f t="shared" si="13"/>
        <v>4.12815773259394E-2</v>
      </c>
      <c r="P60" s="853">
        <f>1*0.043*P43+P59</f>
        <v>71.030629607806489</v>
      </c>
      <c r="Q60" s="853">
        <f t="shared" si="14"/>
        <v>71.124448069212335</v>
      </c>
    </row>
    <row r="61" spans="2:21" ht="15" customHeight="1" x14ac:dyDescent="0.25">
      <c r="B61" s="577">
        <v>2017</v>
      </c>
      <c r="C61" s="580">
        <v>42766.614583333336</v>
      </c>
      <c r="D61" s="649">
        <v>71.62</v>
      </c>
      <c r="E61" s="650">
        <v>72.900000000000006</v>
      </c>
      <c r="F61" s="644">
        <f t="shared" si="11"/>
        <v>7.8402366863905504E-2</v>
      </c>
      <c r="G61" s="658">
        <f t="shared" si="7"/>
        <v>73.500599999999849</v>
      </c>
      <c r="H61" s="658">
        <f>E61</f>
        <v>72.900000000000006</v>
      </c>
      <c r="I61" s="581">
        <f t="shared" si="9"/>
        <v>75</v>
      </c>
      <c r="J61" s="588">
        <f t="shared" si="8"/>
        <v>50</v>
      </c>
      <c r="K61" s="665">
        <f t="shared" si="10"/>
        <v>0.97200000000000009</v>
      </c>
      <c r="L61" s="32">
        <v>75</v>
      </c>
      <c r="M61" s="844">
        <f t="shared" si="12"/>
        <v>87.703235134168921</v>
      </c>
      <c r="N61" s="9">
        <f>18*0.0431*N43+N43</f>
        <v>72.868972881307229</v>
      </c>
      <c r="O61" s="12">
        <f t="shared" si="13"/>
        <v>7.8402366863905559E-2</v>
      </c>
      <c r="P61" s="853">
        <f>1*0.043*P43+P60</f>
        <v>72.795110874782623</v>
      </c>
      <c r="Q61" s="853">
        <f t="shared" si="14"/>
        <v>72.894448069212331</v>
      </c>
    </row>
    <row r="62" spans="2:21" ht="15" customHeight="1" x14ac:dyDescent="0.25">
      <c r="B62" s="583">
        <v>2018</v>
      </c>
      <c r="C62" s="720">
        <v>2018</v>
      </c>
      <c r="D62" s="651"/>
      <c r="E62" s="652"/>
      <c r="F62" s="645"/>
      <c r="G62" s="660">
        <f>1.5118*B62-2975.8</f>
        <v>75.012400000000071</v>
      </c>
      <c r="H62" s="661">
        <f>0.043*H61+H61+5.55</f>
        <v>81.584699999999998</v>
      </c>
      <c r="I62" s="584">
        <f>1*55+2*25</f>
        <v>105</v>
      </c>
      <c r="J62" s="589">
        <f t="shared" ref="J62:J71" si="15">I62-55</f>
        <v>50</v>
      </c>
      <c r="K62" s="687">
        <f>H62/I62</f>
        <v>0.77699714285714283</v>
      </c>
      <c r="L62" s="32">
        <v>75</v>
      </c>
      <c r="M62" s="844"/>
      <c r="N62" s="846" t="s">
        <v>335</v>
      </c>
      <c r="O62" s="842"/>
      <c r="P62" s="260"/>
      <c r="S62">
        <f>5/0.9</f>
        <v>5.5555555555555554</v>
      </c>
      <c r="T62" s="762">
        <f>1.7703+H61+5.55</f>
        <v>80.220300000000009</v>
      </c>
      <c r="U62" s="36">
        <f>1.518+E61</f>
        <v>74.418000000000006</v>
      </c>
    </row>
    <row r="63" spans="2:21" ht="15" customHeight="1" x14ac:dyDescent="0.25">
      <c r="B63" s="583">
        <v>2019</v>
      </c>
      <c r="C63" s="720">
        <v>2019</v>
      </c>
      <c r="D63" s="651"/>
      <c r="E63" s="652"/>
      <c r="F63" s="645"/>
      <c r="G63" s="660">
        <f t="shared" ref="G63:G71" si="16">1.5118*B63-2975.8</f>
        <v>76.524199999999837</v>
      </c>
      <c r="H63" s="661">
        <f>0.043*H61+H62</f>
        <v>84.719399999999993</v>
      </c>
      <c r="I63" s="584">
        <f>1*55+2*25</f>
        <v>105</v>
      </c>
      <c r="J63" s="589">
        <f t="shared" si="15"/>
        <v>50</v>
      </c>
      <c r="K63" s="687">
        <f t="shared" ref="K63:K71" si="17">H63/I63</f>
        <v>0.80685142857142855</v>
      </c>
      <c r="L63" s="32">
        <v>75</v>
      </c>
      <c r="M63" s="844"/>
      <c r="N63" s="9"/>
      <c r="O63" s="842"/>
      <c r="P63" s="260"/>
      <c r="T63" s="762">
        <f>1.7703+H62</f>
        <v>83.355000000000004</v>
      </c>
      <c r="U63" s="36"/>
    </row>
    <row r="64" spans="2:21" ht="15" customHeight="1" x14ac:dyDescent="0.25">
      <c r="B64" s="583">
        <v>2020</v>
      </c>
      <c r="C64" s="720">
        <v>2020</v>
      </c>
      <c r="D64" s="651"/>
      <c r="E64" s="652"/>
      <c r="F64" s="645"/>
      <c r="G64" s="660">
        <f t="shared" si="16"/>
        <v>78.036000000000058</v>
      </c>
      <c r="H64" s="661">
        <f>0.043*H61+H63</f>
        <v>87.854099999999988</v>
      </c>
      <c r="I64" s="584">
        <f>1*55+2*25</f>
        <v>105</v>
      </c>
      <c r="J64" s="589">
        <f t="shared" si="15"/>
        <v>50</v>
      </c>
      <c r="K64" s="687">
        <f t="shared" si="17"/>
        <v>0.83670571428571416</v>
      </c>
      <c r="L64" s="32">
        <v>75</v>
      </c>
      <c r="M64" s="844"/>
      <c r="N64" s="9"/>
      <c r="O64" s="842"/>
      <c r="P64" s="260"/>
      <c r="T64" s="762">
        <f t="shared" ref="T64:T71" si="18">1.7703+H63</f>
        <v>86.489699999999999</v>
      </c>
      <c r="U64" s="36"/>
    </row>
    <row r="65" spans="2:21" ht="15" customHeight="1" x14ac:dyDescent="0.25">
      <c r="B65" s="583">
        <v>2021</v>
      </c>
      <c r="C65" s="720">
        <v>2021</v>
      </c>
      <c r="D65" s="651"/>
      <c r="E65" s="652"/>
      <c r="F65" s="645"/>
      <c r="G65" s="660">
        <f t="shared" si="16"/>
        <v>79.547799999999825</v>
      </c>
      <c r="H65" s="661">
        <f>0.043*H61+H64</f>
        <v>90.988799999999983</v>
      </c>
      <c r="I65" s="584">
        <f>1*55+2*25</f>
        <v>105</v>
      </c>
      <c r="J65" s="589">
        <f t="shared" si="15"/>
        <v>50</v>
      </c>
      <c r="K65" s="687">
        <f t="shared" si="17"/>
        <v>0.86655999999999989</v>
      </c>
      <c r="L65" s="32">
        <v>75</v>
      </c>
      <c r="M65" s="844"/>
      <c r="N65" s="9"/>
      <c r="O65" s="842"/>
      <c r="P65" s="260"/>
      <c r="T65" s="762">
        <f t="shared" si="18"/>
        <v>89.624399999999994</v>
      </c>
      <c r="U65" s="36"/>
    </row>
    <row r="66" spans="2:21" ht="15" customHeight="1" x14ac:dyDescent="0.25">
      <c r="B66" s="583">
        <v>2022</v>
      </c>
      <c r="C66" s="720">
        <v>2022</v>
      </c>
      <c r="D66" s="653"/>
      <c r="E66" s="654"/>
      <c r="F66" s="645"/>
      <c r="G66" s="660">
        <f t="shared" si="16"/>
        <v>81.059600000000046</v>
      </c>
      <c r="H66" s="661">
        <f>0.043*H61+H65</f>
        <v>94.123499999999979</v>
      </c>
      <c r="I66" s="584">
        <f t="shared" ref="I66:I71" si="19">2*55+1*25</f>
        <v>135</v>
      </c>
      <c r="J66" s="589">
        <f t="shared" si="15"/>
        <v>80</v>
      </c>
      <c r="K66" s="687">
        <f t="shared" si="17"/>
        <v>0.697211111111111</v>
      </c>
      <c r="L66" s="32">
        <v>75</v>
      </c>
      <c r="M66" s="844"/>
      <c r="N66" s="9"/>
      <c r="O66" s="842"/>
      <c r="P66" s="260"/>
      <c r="T66" s="762">
        <f t="shared" si="18"/>
        <v>92.759099999999989</v>
      </c>
      <c r="U66" s="36"/>
    </row>
    <row r="67" spans="2:21" ht="15" customHeight="1" x14ac:dyDescent="0.25">
      <c r="B67" s="583">
        <v>2023</v>
      </c>
      <c r="C67" s="720">
        <v>2023</v>
      </c>
      <c r="D67" s="653"/>
      <c r="E67" s="654"/>
      <c r="F67" s="645"/>
      <c r="G67" s="660">
        <f t="shared" si="16"/>
        <v>82.571399999999812</v>
      </c>
      <c r="H67" s="661">
        <f>0.043*H61+H66</f>
        <v>97.258199999999974</v>
      </c>
      <c r="I67" s="584">
        <f t="shared" si="19"/>
        <v>135</v>
      </c>
      <c r="J67" s="589">
        <f t="shared" si="15"/>
        <v>80</v>
      </c>
      <c r="K67" s="687">
        <f t="shared" si="17"/>
        <v>0.72043111111111091</v>
      </c>
      <c r="L67" s="32">
        <v>75</v>
      </c>
      <c r="M67" s="844"/>
      <c r="N67" s="9"/>
      <c r="O67" s="842"/>
      <c r="P67" s="260"/>
      <c r="T67" s="762">
        <f t="shared" si="18"/>
        <v>95.893799999999985</v>
      </c>
      <c r="U67" s="36"/>
    </row>
    <row r="68" spans="2:21" ht="15" customHeight="1" x14ac:dyDescent="0.25">
      <c r="B68" s="583">
        <v>2024</v>
      </c>
      <c r="C68" s="721">
        <v>2024</v>
      </c>
      <c r="D68" s="651"/>
      <c r="E68" s="652"/>
      <c r="F68" s="645"/>
      <c r="G68" s="660">
        <f t="shared" si="16"/>
        <v>84.083200000000033</v>
      </c>
      <c r="H68" s="661">
        <f>0.043*H61+H67</f>
        <v>100.39289999999997</v>
      </c>
      <c r="I68" s="584">
        <f t="shared" si="19"/>
        <v>135</v>
      </c>
      <c r="J68" s="589">
        <f t="shared" si="15"/>
        <v>80</v>
      </c>
      <c r="K68" s="687">
        <f t="shared" si="17"/>
        <v>0.74365111111111093</v>
      </c>
      <c r="L68" s="32">
        <v>75</v>
      </c>
      <c r="M68" s="844"/>
      <c r="N68" s="9"/>
      <c r="O68" s="845">
        <f>(E61/E43-1)/18</f>
        <v>4.3142006872210356E-2</v>
      </c>
      <c r="P68" s="260">
        <f>18*0.0431</f>
        <v>0.77580000000000005</v>
      </c>
      <c r="Q68">
        <f>0.7758*E43+E43</f>
        <v>72.868972881307229</v>
      </c>
      <c r="T68" s="762">
        <f t="shared" si="18"/>
        <v>99.02849999999998</v>
      </c>
      <c r="U68" s="36"/>
    </row>
    <row r="69" spans="2:21" ht="15" customHeight="1" x14ac:dyDescent="0.25">
      <c r="B69" s="583">
        <v>2025</v>
      </c>
      <c r="C69" s="721">
        <v>2025</v>
      </c>
      <c r="D69" s="651"/>
      <c r="E69" s="652"/>
      <c r="F69" s="645"/>
      <c r="G69" s="660">
        <f t="shared" si="16"/>
        <v>85.5949999999998</v>
      </c>
      <c r="H69" s="661">
        <f>0.043*H61+H68</f>
        <v>103.52759999999996</v>
      </c>
      <c r="I69" s="584">
        <f t="shared" si="19"/>
        <v>135</v>
      </c>
      <c r="J69" s="589">
        <f t="shared" si="15"/>
        <v>80</v>
      </c>
      <c r="K69" s="687">
        <f t="shared" si="17"/>
        <v>0.76687111111111084</v>
      </c>
      <c r="L69" s="32">
        <v>75</v>
      </c>
      <c r="M69" s="844"/>
      <c r="N69" s="9"/>
      <c r="O69" s="842"/>
      <c r="P69" s="260"/>
      <c r="T69" s="762">
        <f t="shared" si="18"/>
        <v>102.16319999999997</v>
      </c>
      <c r="U69" s="36"/>
    </row>
    <row r="70" spans="2:21" ht="15" customHeight="1" x14ac:dyDescent="0.25">
      <c r="B70" s="585">
        <v>2026</v>
      </c>
      <c r="C70" s="721">
        <v>2026</v>
      </c>
      <c r="D70" s="651"/>
      <c r="E70" s="652"/>
      <c r="F70" s="645"/>
      <c r="G70" s="660">
        <f t="shared" si="16"/>
        <v>87.106800000000021</v>
      </c>
      <c r="H70" s="661">
        <f>0.043*H61+H69</f>
        <v>106.66229999999996</v>
      </c>
      <c r="I70" s="584">
        <f t="shared" si="19"/>
        <v>135</v>
      </c>
      <c r="J70" s="589">
        <f t="shared" si="15"/>
        <v>80</v>
      </c>
      <c r="K70" s="687">
        <f t="shared" si="17"/>
        <v>0.79009111111111086</v>
      </c>
      <c r="L70" s="32">
        <v>75</v>
      </c>
      <c r="M70" s="844"/>
      <c r="N70" s="9"/>
      <c r="O70" s="842"/>
      <c r="P70" s="260"/>
      <c r="T70" s="762">
        <f t="shared" si="18"/>
        <v>105.29789999999997</v>
      </c>
      <c r="U70" s="36"/>
    </row>
    <row r="71" spans="2:21" ht="15" customHeight="1" thickBot="1" x14ac:dyDescent="0.3">
      <c r="B71" s="585">
        <v>2027</v>
      </c>
      <c r="C71" s="722">
        <v>2027</v>
      </c>
      <c r="D71" s="655"/>
      <c r="E71" s="656"/>
      <c r="F71" s="646"/>
      <c r="G71" s="662">
        <f t="shared" si="16"/>
        <v>88.618599999999788</v>
      </c>
      <c r="H71" s="663">
        <f>0.043*H61+H70</f>
        <v>109.79699999999995</v>
      </c>
      <c r="I71" s="586">
        <f t="shared" si="19"/>
        <v>135</v>
      </c>
      <c r="J71" s="590">
        <f t="shared" si="15"/>
        <v>80</v>
      </c>
      <c r="K71" s="735">
        <f t="shared" si="17"/>
        <v>0.81331111111111076</v>
      </c>
      <c r="L71" s="32">
        <v>75</v>
      </c>
      <c r="M71" s="844"/>
      <c r="N71" s="9"/>
      <c r="O71" s="842"/>
      <c r="P71" s="260"/>
      <c r="T71" s="762">
        <f t="shared" si="18"/>
        <v>108.43259999999997</v>
      </c>
      <c r="U71" s="36"/>
    </row>
    <row r="72" spans="2:21" ht="15" customHeight="1" x14ac:dyDescent="0.25">
      <c r="D72" s="9"/>
      <c r="E72" s="12">
        <f>(E61-E43)/E43</f>
        <v>0.77655612369978644</v>
      </c>
      <c r="F72" s="439">
        <f>E72/18</f>
        <v>4.3142006872210356E-2</v>
      </c>
      <c r="G72" s="9">
        <f>1.7766*E43</f>
        <v>72.901800439762582</v>
      </c>
      <c r="H72" s="851"/>
      <c r="I72" s="9"/>
      <c r="J72" s="11"/>
      <c r="K72" s="11"/>
      <c r="M72" s="7"/>
      <c r="N72" s="12"/>
      <c r="O72" s="817"/>
    </row>
    <row r="73" spans="2:21" ht="15" customHeight="1" x14ac:dyDescent="0.25">
      <c r="F73" s="12">
        <f>AVERAGE(F44:F61)</f>
        <v>3.5104750354619102E-2</v>
      </c>
      <c r="G73" s="9">
        <f>0.0351*E43</f>
        <v>1.440309127229352</v>
      </c>
      <c r="I73" s="5">
        <f>G73*10</f>
        <v>14.403091272293519</v>
      </c>
      <c r="M73" s="7"/>
      <c r="N73" s="5"/>
      <c r="O73" s="817"/>
    </row>
    <row r="74" spans="2:21" x14ac:dyDescent="0.25">
      <c r="D74" s="5">
        <f>B61-B43</f>
        <v>18</v>
      </c>
      <c r="E74" s="5" t="s">
        <v>344</v>
      </c>
      <c r="F74" s="847">
        <f>(E61-E43)/18</f>
        <v>1.7703084405993164</v>
      </c>
      <c r="G74" s="847">
        <f>0.0431*E43</f>
        <v>1.7685847117830504</v>
      </c>
      <c r="H74" s="5">
        <f>E61/E43</f>
        <v>1.7765561236997864</v>
      </c>
      <c r="I74" s="5">
        <f>F74*10</f>
        <v>17.703084405993163</v>
      </c>
      <c r="J74">
        <f>1.5118/E43</f>
        <v>3.684221601933247E-2</v>
      </c>
      <c r="L74" s="11">
        <f>E61-E51</f>
        <v>14.000000000000007</v>
      </c>
    </row>
    <row r="75" spans="2:21" x14ac:dyDescent="0.25">
      <c r="F75" s="9">
        <f>18*1.77+E43</f>
        <v>72.894448069212302</v>
      </c>
      <c r="I75" s="5">
        <f>I74-I73</f>
        <v>3.299993133699644</v>
      </c>
      <c r="L75">
        <f>L74/10</f>
        <v>1.4000000000000008</v>
      </c>
      <c r="Q75" s="260"/>
    </row>
    <row r="76" spans="2:21" x14ac:dyDescent="0.25">
      <c r="F76" s="9">
        <f>0.0431*E43</f>
        <v>1.7685847117830504</v>
      </c>
      <c r="H76" s="9">
        <f>0.043*E43</f>
        <v>1.7644812669761292</v>
      </c>
      <c r="I76" s="5">
        <f>0.045*H61</f>
        <v>3.2805</v>
      </c>
      <c r="L76">
        <f>1.5118/1.4-1</f>
        <v>7.9857142857142849E-2</v>
      </c>
      <c r="M76">
        <f>1.4*1.08</f>
        <v>1.512</v>
      </c>
    </row>
    <row r="77" spans="2:21" x14ac:dyDescent="0.25">
      <c r="H77" s="9">
        <f>0.043*H61</f>
        <v>3.1347</v>
      </c>
      <c r="L77" s="1085"/>
      <c r="M77" s="1085"/>
    </row>
    <row r="78" spans="2:21" x14ac:dyDescent="0.25">
      <c r="D78" s="5">
        <v>10</v>
      </c>
      <c r="E78" s="5" t="s">
        <v>344</v>
      </c>
      <c r="F78" s="824">
        <f>(E61-E51)/10</f>
        <v>1.4000000000000008</v>
      </c>
      <c r="G78" s="439">
        <f>F78/E51</f>
        <v>2.37691001697793E-2</v>
      </c>
      <c r="L78" s="5"/>
      <c r="M78" s="5"/>
    </row>
    <row r="79" spans="2:21" x14ac:dyDescent="0.25">
      <c r="F79" s="9">
        <f>10*1.4+E51</f>
        <v>72.900000000000006</v>
      </c>
      <c r="L79" s="10"/>
      <c r="M79" s="7"/>
    </row>
    <row r="80" spans="2:21" x14ac:dyDescent="0.25">
      <c r="F80" s="9">
        <f>0.0238*E51</f>
        <v>1.4018200000000001</v>
      </c>
      <c r="L80" s="10"/>
      <c r="M80" s="7"/>
    </row>
    <row r="81" spans="14:18" x14ac:dyDescent="0.25">
      <c r="O81" s="817"/>
      <c r="P81" s="817"/>
    </row>
    <row r="82" spans="14:18" x14ac:dyDescent="0.25">
      <c r="O82" s="817"/>
      <c r="P82" s="817"/>
    </row>
    <row r="83" spans="14:18" x14ac:dyDescent="0.25">
      <c r="O83" s="817"/>
      <c r="P83" s="817"/>
    </row>
    <row r="84" spans="14:18" x14ac:dyDescent="0.25">
      <c r="O84" s="817"/>
      <c r="P84" s="817"/>
    </row>
    <row r="85" spans="14:18" x14ac:dyDescent="0.25">
      <c r="O85" s="817"/>
      <c r="P85" s="817"/>
    </row>
    <row r="86" spans="14:18" x14ac:dyDescent="0.25">
      <c r="O86" s="817">
        <v>2017</v>
      </c>
      <c r="P86" s="817">
        <v>40</v>
      </c>
    </row>
    <row r="87" spans="14:18" x14ac:dyDescent="0.25">
      <c r="O87" s="817">
        <v>2017</v>
      </c>
      <c r="P87" s="817">
        <v>50</v>
      </c>
    </row>
    <row r="88" spans="14:18" x14ac:dyDescent="0.25">
      <c r="O88" s="817">
        <v>2017</v>
      </c>
      <c r="P88" s="817">
        <v>60</v>
      </c>
    </row>
    <row r="89" spans="14:18" x14ac:dyDescent="0.25">
      <c r="O89" s="817">
        <v>2017</v>
      </c>
      <c r="P89" s="817">
        <v>80</v>
      </c>
    </row>
    <row r="90" spans="14:18" x14ac:dyDescent="0.25">
      <c r="O90" s="817">
        <v>2017</v>
      </c>
      <c r="P90" s="817">
        <v>110</v>
      </c>
    </row>
    <row r="91" spans="14:18" x14ac:dyDescent="0.25">
      <c r="O91" s="817">
        <v>2017</v>
      </c>
      <c r="P91" s="817">
        <v>130</v>
      </c>
    </row>
    <row r="94" spans="14:18" x14ac:dyDescent="0.25">
      <c r="N94" s="836" t="s">
        <v>324</v>
      </c>
      <c r="O94" s="837"/>
      <c r="P94" s="837"/>
      <c r="Q94" s="836"/>
      <c r="R94" s="836"/>
    </row>
    <row r="95" spans="14:18" x14ac:dyDescent="0.25">
      <c r="O95"/>
      <c r="P95"/>
    </row>
    <row r="109" spans="1:21" s="10" customFormat="1" ht="18" x14ac:dyDescent="0.25">
      <c r="A109" s="1093" t="s">
        <v>247</v>
      </c>
      <c r="B109" s="1093"/>
      <c r="C109" s="1093"/>
      <c r="D109" s="1093"/>
      <c r="E109" s="1093"/>
      <c r="F109" s="1093"/>
      <c r="G109" s="1093"/>
      <c r="H109" s="1093"/>
      <c r="I109" s="1093"/>
      <c r="J109" s="1093"/>
      <c r="K109" s="1093"/>
      <c r="L109" s="1093"/>
      <c r="M109" s="1093"/>
      <c r="N109" s="1093"/>
      <c r="O109" s="1093"/>
      <c r="P109" s="1093"/>
      <c r="Q109" s="1093"/>
      <c r="R109" s="1093"/>
      <c r="S109" s="1093"/>
      <c r="T109" s="1093"/>
      <c r="U109" s="451"/>
    </row>
    <row r="110" spans="1:21" s="10" customFormat="1" ht="18" x14ac:dyDescent="0.25">
      <c r="A110" s="1094" t="s">
        <v>248</v>
      </c>
      <c r="B110" s="1094"/>
      <c r="C110" s="1094"/>
      <c r="D110" s="1094"/>
      <c r="E110" s="1094"/>
      <c r="F110" s="1094"/>
      <c r="G110" s="1094"/>
      <c r="H110" s="1094"/>
      <c r="I110" s="1094"/>
      <c r="J110" s="1094"/>
      <c r="K110" s="1094"/>
      <c r="L110" s="1094"/>
      <c r="M110" s="1094"/>
      <c r="N110" s="1094"/>
      <c r="O110" s="1094"/>
      <c r="P110" s="1094"/>
      <c r="Q110" s="1094"/>
      <c r="R110" s="1094"/>
      <c r="S110" s="1094"/>
      <c r="T110" s="1094"/>
      <c r="U110" s="451"/>
    </row>
    <row r="111" spans="1:21" s="10" customFormat="1" ht="12.95" customHeight="1" thickBot="1" x14ac:dyDescent="0.3">
      <c r="A111" s="452"/>
      <c r="B111" s="452"/>
      <c r="C111" s="452"/>
      <c r="D111" s="452"/>
      <c r="E111" s="452"/>
      <c r="F111" s="452"/>
      <c r="G111" s="452"/>
      <c r="H111" s="453"/>
      <c r="I111" s="452"/>
      <c r="J111" s="454"/>
      <c r="K111" s="453"/>
      <c r="L111" s="452"/>
      <c r="M111" s="454"/>
      <c r="N111" s="453"/>
      <c r="O111" s="818"/>
      <c r="P111" s="818"/>
      <c r="Q111" s="453"/>
      <c r="R111" s="452"/>
      <c r="S111" s="449"/>
      <c r="T111" s="450"/>
      <c r="U111" s="451"/>
    </row>
    <row r="112" spans="1:21" s="10" customFormat="1" ht="15.75" customHeight="1" x14ac:dyDescent="0.25">
      <c r="A112" s="1095" t="s">
        <v>249</v>
      </c>
      <c r="B112" s="1098" t="s">
        <v>250</v>
      </c>
      <c r="C112" s="1101" t="s">
        <v>251</v>
      </c>
      <c r="D112" s="1063" t="s">
        <v>252</v>
      </c>
      <c r="E112" s="1065"/>
      <c r="F112" s="1066">
        <v>2016</v>
      </c>
      <c r="G112" s="1064"/>
      <c r="H112" s="1106"/>
      <c r="I112" s="1063">
        <f>+F112+1</f>
        <v>2017</v>
      </c>
      <c r="J112" s="1064"/>
      <c r="K112" s="1065"/>
      <c r="L112" s="1066">
        <f>+I112+1</f>
        <v>2018</v>
      </c>
      <c r="M112" s="1064"/>
      <c r="N112" s="1106"/>
      <c r="O112" s="1063">
        <f>+L112+1</f>
        <v>2019</v>
      </c>
      <c r="P112" s="1064"/>
      <c r="Q112" s="1065"/>
      <c r="R112" s="1066">
        <f>+O112+1</f>
        <v>2020</v>
      </c>
      <c r="S112" s="1064"/>
      <c r="T112" s="1065"/>
      <c r="U112" s="444"/>
    </row>
    <row r="113" spans="1:21" s="10" customFormat="1" ht="18" customHeight="1" x14ac:dyDescent="0.25">
      <c r="A113" s="1096"/>
      <c r="B113" s="1099"/>
      <c r="C113" s="1102"/>
      <c r="D113" s="1104"/>
      <c r="E113" s="1105"/>
      <c r="F113" s="455" t="s">
        <v>253</v>
      </c>
      <c r="G113" s="1067" t="s">
        <v>254</v>
      </c>
      <c r="H113" s="1068"/>
      <c r="I113" s="456" t="s">
        <v>253</v>
      </c>
      <c r="J113" s="1067" t="s">
        <v>254</v>
      </c>
      <c r="K113" s="1069"/>
      <c r="L113" s="455" t="s">
        <v>253</v>
      </c>
      <c r="M113" s="1067" t="s">
        <v>254</v>
      </c>
      <c r="N113" s="1068"/>
      <c r="O113" s="819" t="s">
        <v>253</v>
      </c>
      <c r="P113" s="1067" t="s">
        <v>254</v>
      </c>
      <c r="Q113" s="1069"/>
      <c r="R113" s="455" t="s">
        <v>253</v>
      </c>
      <c r="S113" s="1067" t="s">
        <v>254</v>
      </c>
      <c r="T113" s="1069"/>
      <c r="U113" s="444"/>
    </row>
    <row r="114" spans="1:21" s="10" customFormat="1" ht="19.5" customHeight="1" thickBot="1" x14ac:dyDescent="0.3">
      <c r="A114" s="1097"/>
      <c r="B114" s="1100"/>
      <c r="C114" s="1103"/>
      <c r="D114" s="1091" t="s">
        <v>255</v>
      </c>
      <c r="E114" s="1092"/>
      <c r="F114" s="457" t="s">
        <v>255</v>
      </c>
      <c r="G114" s="458" t="s">
        <v>255</v>
      </c>
      <c r="H114" s="459" t="s">
        <v>256</v>
      </c>
      <c r="I114" s="460" t="s">
        <v>255</v>
      </c>
      <c r="J114" s="461" t="s">
        <v>255</v>
      </c>
      <c r="K114" s="462" t="s">
        <v>256</v>
      </c>
      <c r="L114" s="457" t="s">
        <v>255</v>
      </c>
      <c r="M114" s="461" t="s">
        <v>255</v>
      </c>
      <c r="N114" s="459" t="s">
        <v>256</v>
      </c>
      <c r="O114" s="820" t="s">
        <v>255</v>
      </c>
      <c r="P114" s="821" t="s">
        <v>255</v>
      </c>
      <c r="Q114" s="462" t="s">
        <v>256</v>
      </c>
      <c r="R114" s="457" t="s">
        <v>255</v>
      </c>
      <c r="S114" s="461" t="s">
        <v>255</v>
      </c>
      <c r="T114" s="462" t="s">
        <v>256</v>
      </c>
      <c r="U114" s="444"/>
    </row>
    <row r="115" spans="1:21" s="10" customFormat="1" x14ac:dyDescent="0.25">
      <c r="A115" s="440"/>
      <c r="B115" s="1086" t="s">
        <v>1</v>
      </c>
      <c r="C115" s="441" t="s">
        <v>24</v>
      </c>
      <c r="D115" s="442">
        <v>25</v>
      </c>
      <c r="E115" s="1087">
        <v>75</v>
      </c>
      <c r="F115" s="1088">
        <v>75</v>
      </c>
      <c r="G115" s="1073">
        <v>76.613888871396696</v>
      </c>
      <c r="H115" s="1076">
        <v>1.0215185182852897</v>
      </c>
      <c r="I115" s="1088">
        <v>105</v>
      </c>
      <c r="J115" s="1073">
        <v>79.908286092866803</v>
      </c>
      <c r="K115" s="1076">
        <v>0.76103129612254072</v>
      </c>
      <c r="L115" s="1107">
        <v>105</v>
      </c>
      <c r="M115" s="1073">
        <v>83.344342394860007</v>
      </c>
      <c r="N115" s="1076">
        <v>0.79375564185580982</v>
      </c>
      <c r="O115" s="1079">
        <v>105</v>
      </c>
      <c r="P115" s="1082">
        <v>86.928149117838998</v>
      </c>
      <c r="Q115" s="1076">
        <v>0.82788713445560969</v>
      </c>
      <c r="R115" s="1070">
        <v>105</v>
      </c>
      <c r="S115" s="1073">
        <v>90.666059529906093</v>
      </c>
      <c r="T115" s="1076">
        <v>0.86348628123720073</v>
      </c>
      <c r="U115" s="444"/>
    </row>
    <row r="116" spans="1:21" s="10" customFormat="1" x14ac:dyDescent="0.25">
      <c r="A116" s="440"/>
      <c r="B116" s="1086"/>
      <c r="C116" s="441" t="s">
        <v>24</v>
      </c>
      <c r="D116" s="442">
        <v>25</v>
      </c>
      <c r="E116" s="1087"/>
      <c r="F116" s="1089"/>
      <c r="G116" s="1074"/>
      <c r="H116" s="1077"/>
      <c r="I116" s="1089"/>
      <c r="J116" s="1074"/>
      <c r="K116" s="1077"/>
      <c r="L116" s="1108"/>
      <c r="M116" s="1074"/>
      <c r="N116" s="1077"/>
      <c r="O116" s="1080"/>
      <c r="P116" s="1083"/>
      <c r="Q116" s="1077"/>
      <c r="R116" s="1071"/>
      <c r="S116" s="1074"/>
      <c r="T116" s="1077"/>
      <c r="U116" s="444"/>
    </row>
    <row r="117" spans="1:21" s="10" customFormat="1" x14ac:dyDescent="0.25">
      <c r="A117" s="440"/>
      <c r="B117" s="1086"/>
      <c r="C117" s="441" t="s">
        <v>24</v>
      </c>
      <c r="D117" s="442">
        <v>25</v>
      </c>
      <c r="E117" s="1087"/>
      <c r="F117" s="1090"/>
      <c r="G117" s="1075"/>
      <c r="H117" s="1078"/>
      <c r="I117" s="1090"/>
      <c r="J117" s="1075"/>
      <c r="K117" s="1078"/>
      <c r="L117" s="1109"/>
      <c r="M117" s="1075"/>
      <c r="N117" s="1078"/>
      <c r="O117" s="1081"/>
      <c r="P117" s="1084"/>
      <c r="Q117" s="1078"/>
      <c r="R117" s="1072"/>
      <c r="S117" s="1075"/>
      <c r="T117" s="1078"/>
      <c r="U117" s="444"/>
    </row>
    <row r="118" spans="1:21" s="10" customFormat="1" x14ac:dyDescent="0.25">
      <c r="A118" s="452"/>
      <c r="B118" s="452"/>
      <c r="C118" s="452"/>
      <c r="D118" s="452"/>
      <c r="E118" s="452"/>
      <c r="F118" s="452"/>
      <c r="G118" s="452"/>
      <c r="H118" s="453"/>
      <c r="I118" s="452"/>
      <c r="J118" s="454"/>
      <c r="K118" s="453"/>
      <c r="L118" s="452"/>
      <c r="M118" s="454"/>
      <c r="N118" s="453"/>
      <c r="O118" s="818"/>
      <c r="P118" s="818"/>
      <c r="Q118" s="453"/>
      <c r="R118" s="452"/>
      <c r="S118" s="449"/>
      <c r="T118" s="450"/>
      <c r="U118" s="451"/>
    </row>
    <row r="120" spans="1:21" x14ac:dyDescent="0.25">
      <c r="E120" s="5">
        <v>2016</v>
      </c>
      <c r="F120" s="5">
        <v>76.613888871396696</v>
      </c>
    </row>
    <row r="121" spans="1:21" x14ac:dyDescent="0.25">
      <c r="E121" s="5">
        <v>2017</v>
      </c>
      <c r="F121" s="5">
        <v>79.908286092866803</v>
      </c>
    </row>
    <row r="122" spans="1:21" x14ac:dyDescent="0.25">
      <c r="E122" s="5">
        <v>2018</v>
      </c>
      <c r="F122" s="5">
        <v>83.344342394860007</v>
      </c>
    </row>
    <row r="123" spans="1:21" x14ac:dyDescent="0.25">
      <c r="E123" s="5">
        <v>2019</v>
      </c>
      <c r="F123" s="5">
        <v>86.928149117838998</v>
      </c>
    </row>
    <row r="124" spans="1:21" x14ac:dyDescent="0.25">
      <c r="E124" s="5">
        <v>2020</v>
      </c>
      <c r="F124" s="5">
        <v>90.666059529906093</v>
      </c>
    </row>
    <row r="125" spans="1:21" ht="15.75" thickBot="1" x14ac:dyDescent="0.3"/>
    <row r="126" spans="1:21" x14ac:dyDescent="0.25">
      <c r="F126" s="1066">
        <v>2017</v>
      </c>
      <c r="G126" s="1064"/>
      <c r="H126" s="1106"/>
      <c r="I126" s="1063">
        <f>+F126+1</f>
        <v>2018</v>
      </c>
      <c r="J126" s="1064"/>
      <c r="K126" s="1065"/>
      <c r="L126" s="1066">
        <f>+I126+1</f>
        <v>2019</v>
      </c>
      <c r="M126" s="1064"/>
      <c r="N126" s="1106"/>
      <c r="O126" s="1063">
        <f>+L126+1</f>
        <v>2020</v>
      </c>
      <c r="P126" s="1064"/>
      <c r="Q126" s="1065"/>
      <c r="R126" s="1066">
        <f>+O126+1</f>
        <v>2021</v>
      </c>
      <c r="S126" s="1064"/>
      <c r="T126" s="1065"/>
    </row>
    <row r="127" spans="1:21" x14ac:dyDescent="0.25">
      <c r="B127" s="1148" t="s">
        <v>1</v>
      </c>
      <c r="C127" s="666" t="s">
        <v>24</v>
      </c>
      <c r="D127" s="641">
        <v>55</v>
      </c>
      <c r="E127" s="1138">
        <v>105</v>
      </c>
      <c r="F127" s="1139">
        <v>105</v>
      </c>
      <c r="G127" s="1142">
        <v>70.630042097966594</v>
      </c>
      <c r="H127" s="1132">
        <v>0.67266706759968187</v>
      </c>
      <c r="I127" s="1139">
        <v>105</v>
      </c>
      <c r="J127" s="1129">
        <v>73.667133908179153</v>
      </c>
      <c r="K127" s="1132">
        <v>0.70159175150646813</v>
      </c>
      <c r="L127" s="1135">
        <v>105</v>
      </c>
      <c r="M127" s="1129">
        <v>76.834820666230854</v>
      </c>
      <c r="N127" s="1132">
        <v>0.73176019682124627</v>
      </c>
      <c r="O127" s="1149">
        <v>105</v>
      </c>
      <c r="P127" s="1152">
        <v>80.138717954878771</v>
      </c>
      <c r="Q127" s="1132">
        <v>0.7632258852845597</v>
      </c>
      <c r="R127" s="1145">
        <v>105</v>
      </c>
      <c r="S127" s="1129">
        <v>83.584682826938547</v>
      </c>
      <c r="T127" s="1132">
        <v>0.79604459835179564</v>
      </c>
    </row>
    <row r="128" spans="1:21" x14ac:dyDescent="0.25">
      <c r="B128" s="1148"/>
      <c r="C128" s="666" t="s">
        <v>24</v>
      </c>
      <c r="D128" s="641">
        <v>25</v>
      </c>
      <c r="E128" s="1138"/>
      <c r="F128" s="1140"/>
      <c r="G128" s="1143"/>
      <c r="H128" s="1133"/>
      <c r="I128" s="1140"/>
      <c r="J128" s="1130"/>
      <c r="K128" s="1133"/>
      <c r="L128" s="1136"/>
      <c r="M128" s="1130"/>
      <c r="N128" s="1133"/>
      <c r="O128" s="1150"/>
      <c r="P128" s="1153"/>
      <c r="Q128" s="1133"/>
      <c r="R128" s="1146"/>
      <c r="S128" s="1130"/>
      <c r="T128" s="1133"/>
    </row>
    <row r="129" spans="2:20" x14ac:dyDescent="0.25">
      <c r="B129" s="1148"/>
      <c r="C129" s="666" t="s">
        <v>24</v>
      </c>
      <c r="D129" s="641">
        <v>25</v>
      </c>
      <c r="E129" s="1138"/>
      <c r="F129" s="1141"/>
      <c r="G129" s="1144"/>
      <c r="H129" s="1134"/>
      <c r="I129" s="1141"/>
      <c r="J129" s="1131"/>
      <c r="K129" s="1134"/>
      <c r="L129" s="1137"/>
      <c r="M129" s="1131"/>
      <c r="N129" s="1134"/>
      <c r="O129" s="1151"/>
      <c r="P129" s="1154"/>
      <c r="Q129" s="1134"/>
      <c r="R129" s="1147"/>
      <c r="S129" s="1131"/>
      <c r="T129" s="1134"/>
    </row>
    <row r="130" spans="2:20" x14ac:dyDescent="0.25">
      <c r="J130">
        <f>1.043*G127</f>
        <v>73.667133908179153</v>
      </c>
      <c r="M130">
        <f t="shared" ref="M130:S130" si="20">1.043*J127</f>
        <v>76.834820666230854</v>
      </c>
      <c r="P130" s="136">
        <f t="shared" si="20"/>
        <v>80.138717954878771</v>
      </c>
      <c r="S130">
        <f t="shared" si="20"/>
        <v>83.584682826938547</v>
      </c>
    </row>
  </sheetData>
  <mergeCells count="80">
    <mergeCell ref="R127:R129"/>
    <mergeCell ref="S127:S129"/>
    <mergeCell ref="B127:B129"/>
    <mergeCell ref="T127:T129"/>
    <mergeCell ref="F126:H126"/>
    <mergeCell ref="I126:K126"/>
    <mergeCell ref="L126:N126"/>
    <mergeCell ref="O126:Q126"/>
    <mergeCell ref="R126:T126"/>
    <mergeCell ref="M127:M129"/>
    <mergeCell ref="N127:N129"/>
    <mergeCell ref="O127:O129"/>
    <mergeCell ref="P127:P129"/>
    <mergeCell ref="Q127:Q129"/>
    <mergeCell ref="H127:H129"/>
    <mergeCell ref="I127:I129"/>
    <mergeCell ref="J127:J129"/>
    <mergeCell ref="K127:K129"/>
    <mergeCell ref="L127:L129"/>
    <mergeCell ref="E127:E129"/>
    <mergeCell ref="F127:F129"/>
    <mergeCell ref="G127:G129"/>
    <mergeCell ref="K41:K42"/>
    <mergeCell ref="C39:K39"/>
    <mergeCell ref="C40:K40"/>
    <mergeCell ref="B41:B42"/>
    <mergeCell ref="C41:C42"/>
    <mergeCell ref="D41:F41"/>
    <mergeCell ref="G41:H41"/>
    <mergeCell ref="I41:I42"/>
    <mergeCell ref="J41:J42"/>
    <mergeCell ref="M18:M20"/>
    <mergeCell ref="N18:N20"/>
    <mergeCell ref="B3:K3"/>
    <mergeCell ref="B4:K4"/>
    <mergeCell ref="B5:B6"/>
    <mergeCell ref="C5:C6"/>
    <mergeCell ref="D5:F5"/>
    <mergeCell ref="G5:I5"/>
    <mergeCell ref="J5:J6"/>
    <mergeCell ref="K5:K6"/>
    <mergeCell ref="L4:M4"/>
    <mergeCell ref="M8:N8"/>
    <mergeCell ref="M9:N9"/>
    <mergeCell ref="M10:N10"/>
    <mergeCell ref="I115:I117"/>
    <mergeCell ref="J115:J117"/>
    <mergeCell ref="K115:K117"/>
    <mergeCell ref="L115:L117"/>
    <mergeCell ref="M115:M117"/>
    <mergeCell ref="L77:M77"/>
    <mergeCell ref="B115:B117"/>
    <mergeCell ref="E115:E117"/>
    <mergeCell ref="F115:F117"/>
    <mergeCell ref="G115:G117"/>
    <mergeCell ref="H115:H117"/>
    <mergeCell ref="D114:E114"/>
    <mergeCell ref="A109:T109"/>
    <mergeCell ref="A110:T110"/>
    <mergeCell ref="A112:A114"/>
    <mergeCell ref="B112:B114"/>
    <mergeCell ref="C112:C114"/>
    <mergeCell ref="D112:E113"/>
    <mergeCell ref="F112:H112"/>
    <mergeCell ref="I112:K112"/>
    <mergeCell ref="L112:N112"/>
    <mergeCell ref="R115:R117"/>
    <mergeCell ref="S115:S117"/>
    <mergeCell ref="T115:T117"/>
    <mergeCell ref="N115:N117"/>
    <mergeCell ref="O115:O117"/>
    <mergeCell ref="P115:P117"/>
    <mergeCell ref="Q115:Q117"/>
    <mergeCell ref="O112:Q112"/>
    <mergeCell ref="R112:T112"/>
    <mergeCell ref="G113:H113"/>
    <mergeCell ref="J113:K113"/>
    <mergeCell ref="M113:N113"/>
    <mergeCell ref="P113:Q113"/>
    <mergeCell ref="S113:T113"/>
  </mergeCells>
  <conditionalFormatting sqref="H115:H117 K115:K117 N115:N117 T115:T117 Q115:Q117">
    <cfRule type="cellIs" dxfId="24" priority="2" operator="greaterThan">
      <formula>1</formula>
    </cfRule>
  </conditionalFormatting>
  <conditionalFormatting sqref="H127:H129 T127:T129 Q127:Q129 N127:N129 K127:K129">
    <cfRule type="cellIs" dxfId="23" priority="1" operator="greaterThan">
      <formula>1</formula>
    </cfRule>
  </conditionalFormatting>
  <printOptions gridLines="1"/>
  <pageMargins left="0.70866141732283472" right="0.31496062992125984" top="0.55118110236220474" bottom="0.35433070866141736" header="0" footer="0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02"/>
  <sheetViews>
    <sheetView topLeftCell="A150" zoomScaleNormal="100" workbookViewId="0">
      <selection activeCell="G157" sqref="G157"/>
    </sheetView>
  </sheetViews>
  <sheetFormatPr baseColWidth="10" defaultRowHeight="15" x14ac:dyDescent="0.25"/>
  <cols>
    <col min="1" max="1" width="5.7109375" customWidth="1"/>
    <col min="2" max="2" width="6.7109375" customWidth="1"/>
    <col min="3" max="3" width="14.7109375" style="5" customWidth="1"/>
    <col min="4" max="5" width="10.7109375" style="5" customWidth="1"/>
    <col min="6" max="6" width="11.7109375" style="5" customWidth="1"/>
    <col min="7" max="8" width="12.7109375" style="5" customWidth="1"/>
    <col min="9" max="9" width="10.7109375" style="5" customWidth="1"/>
    <col min="10" max="11" width="10.7109375" customWidth="1"/>
    <col min="13" max="13" width="12.7109375" customWidth="1"/>
    <col min="14" max="14" width="8.7109375" customWidth="1"/>
    <col min="15" max="15" width="8.7109375" style="136" customWidth="1"/>
    <col min="16" max="16" width="10.7109375" style="11" customWidth="1"/>
    <col min="17" max="20" width="8.7109375" customWidth="1"/>
    <col min="21" max="23" width="8.7109375" style="14" customWidth="1"/>
    <col min="24" max="24" width="8.7109375" customWidth="1"/>
    <col min="25" max="26" width="8.7109375" style="14" customWidth="1"/>
  </cols>
  <sheetData>
    <row r="2" spans="2:26" ht="15.75" thickBot="1" x14ac:dyDescent="0.3"/>
    <row r="3" spans="2:26" ht="15.95" customHeight="1" x14ac:dyDescent="0.25">
      <c r="B3" s="1112" t="s">
        <v>208</v>
      </c>
      <c r="C3" s="1113"/>
      <c r="D3" s="1113"/>
      <c r="E3" s="1113"/>
      <c r="F3" s="1113"/>
      <c r="G3" s="1113"/>
      <c r="H3" s="1113"/>
      <c r="I3" s="1113"/>
      <c r="J3" s="1113"/>
      <c r="K3" s="1114"/>
    </row>
    <row r="4" spans="2:26" ht="15.95" customHeight="1" thickBot="1" x14ac:dyDescent="0.3">
      <c r="B4" s="1115" t="s">
        <v>38</v>
      </c>
      <c r="C4" s="1116"/>
      <c r="D4" s="1116"/>
      <c r="E4" s="1116"/>
      <c r="F4" s="1116"/>
      <c r="G4" s="1116"/>
      <c r="H4" s="1116"/>
      <c r="I4" s="1116"/>
      <c r="J4" s="1116"/>
      <c r="K4" s="1117"/>
      <c r="L4" s="1125" t="s">
        <v>266</v>
      </c>
      <c r="M4" s="1125"/>
      <c r="O4" s="136" t="s">
        <v>267</v>
      </c>
    </row>
    <row r="5" spans="2:26" s="8" customFormat="1" ht="15.95" customHeight="1" x14ac:dyDescent="0.25">
      <c r="B5" s="1118" t="s">
        <v>124</v>
      </c>
      <c r="C5" s="1031" t="s">
        <v>26</v>
      </c>
      <c r="D5" s="1033" t="s">
        <v>110</v>
      </c>
      <c r="E5" s="1120"/>
      <c r="F5" s="1121"/>
      <c r="G5" s="1033" t="s">
        <v>74</v>
      </c>
      <c r="H5" s="1120"/>
      <c r="I5" s="1121"/>
      <c r="J5" s="1122" t="s">
        <v>105</v>
      </c>
      <c r="K5" s="1123" t="s">
        <v>175</v>
      </c>
      <c r="O5" s="813"/>
      <c r="P5" s="352"/>
      <c r="U5" s="902"/>
      <c r="V5" s="902"/>
      <c r="W5" s="902"/>
      <c r="Y5" s="902"/>
      <c r="Z5" s="902"/>
    </row>
    <row r="6" spans="2:26" s="8" customFormat="1" ht="39.950000000000003" customHeight="1" x14ac:dyDescent="0.25">
      <c r="B6" s="1119"/>
      <c r="C6" s="1032"/>
      <c r="D6" s="330" t="s">
        <v>174</v>
      </c>
      <c r="E6" s="38" t="s">
        <v>116</v>
      </c>
      <c r="F6" s="330" t="s">
        <v>134</v>
      </c>
      <c r="G6" s="38" t="s">
        <v>113</v>
      </c>
      <c r="H6" s="38" t="s">
        <v>232</v>
      </c>
      <c r="I6" s="38" t="s">
        <v>173</v>
      </c>
      <c r="J6" s="1033"/>
      <c r="K6" s="1124"/>
      <c r="L6" s="200" t="s">
        <v>210</v>
      </c>
      <c r="M6" s="116"/>
      <c r="N6" s="116"/>
      <c r="O6" s="814"/>
      <c r="P6" s="1003"/>
      <c r="Q6" s="116"/>
      <c r="U6" s="902"/>
      <c r="V6" s="902"/>
      <c r="W6" s="902"/>
      <c r="Y6" s="902"/>
      <c r="Z6" s="902"/>
    </row>
    <row r="7" spans="2:26" s="8" customFormat="1" ht="15" customHeight="1" x14ac:dyDescent="0.25">
      <c r="B7" s="483"/>
      <c r="C7" s="266">
        <v>1999</v>
      </c>
      <c r="D7" s="40">
        <v>40.79</v>
      </c>
      <c r="E7" s="61">
        <f>D7/L24</f>
        <v>41.03444806921231</v>
      </c>
      <c r="F7" s="486"/>
      <c r="G7" s="83"/>
      <c r="H7" s="60"/>
      <c r="I7" s="117"/>
      <c r="J7" s="61">
        <v>75</v>
      </c>
      <c r="K7" s="204">
        <f t="shared" ref="K7:K24" si="0">J7-25</f>
        <v>50</v>
      </c>
      <c r="L7" s="473"/>
      <c r="O7" s="49">
        <v>75</v>
      </c>
      <c r="P7" s="179">
        <f t="shared" ref="P7:P25" si="1">O7-25</f>
        <v>50</v>
      </c>
      <c r="Q7" s="116"/>
      <c r="U7" s="902"/>
      <c r="V7" s="902"/>
      <c r="W7" s="902"/>
      <c r="Y7" s="902"/>
      <c r="Z7" s="902"/>
    </row>
    <row r="8" spans="2:26" s="8" customFormat="1" ht="15" customHeight="1" x14ac:dyDescent="0.25">
      <c r="B8" s="483"/>
      <c r="C8" s="101">
        <v>2000</v>
      </c>
      <c r="D8" s="40">
        <v>45.7</v>
      </c>
      <c r="E8" s="62">
        <f>D8/L24</f>
        <v>45.973872928732597</v>
      </c>
      <c r="F8" s="486">
        <f t="shared" ref="F8:F25" si="2">(E8-E7)/E7</f>
        <v>0.12037264035302774</v>
      </c>
      <c r="G8" s="77"/>
      <c r="H8" s="60"/>
      <c r="I8" s="194"/>
      <c r="J8" s="62">
        <v>75</v>
      </c>
      <c r="K8" s="204">
        <f t="shared" si="0"/>
        <v>50</v>
      </c>
      <c r="L8" s="262"/>
      <c r="M8" s="1126" t="s">
        <v>212</v>
      </c>
      <c r="N8" s="1126"/>
      <c r="O8" s="49">
        <v>75</v>
      </c>
      <c r="P8" s="179">
        <f t="shared" si="1"/>
        <v>50</v>
      </c>
      <c r="Q8" s="116"/>
      <c r="U8" s="902"/>
      <c r="V8" s="902"/>
      <c r="W8" s="902"/>
      <c r="Y8" s="902"/>
      <c r="Z8" s="902"/>
    </row>
    <row r="9" spans="2:26" s="8" customFormat="1" ht="15" customHeight="1" x14ac:dyDescent="0.25">
      <c r="B9" s="483"/>
      <c r="C9" s="101">
        <v>2001</v>
      </c>
      <c r="D9" s="40">
        <v>48.12</v>
      </c>
      <c r="E9" s="62">
        <f>D9/L24</f>
        <v>48.408375608984954</v>
      </c>
      <c r="F9" s="486">
        <f t="shared" si="2"/>
        <v>5.2954048140043695E-2</v>
      </c>
      <c r="G9" s="77"/>
      <c r="H9" s="60"/>
      <c r="I9" s="194"/>
      <c r="J9" s="62">
        <v>75</v>
      </c>
      <c r="K9" s="204">
        <f t="shared" si="0"/>
        <v>50</v>
      </c>
      <c r="L9" s="262"/>
      <c r="M9" s="1127" t="s">
        <v>213</v>
      </c>
      <c r="N9" s="1127"/>
      <c r="O9" s="49">
        <v>75</v>
      </c>
      <c r="P9" s="179">
        <f t="shared" si="1"/>
        <v>50</v>
      </c>
      <c r="Q9" s="116"/>
      <c r="U9" s="902"/>
      <c r="V9" s="902"/>
      <c r="W9" s="902"/>
      <c r="Y9" s="902"/>
      <c r="Z9" s="902"/>
    </row>
    <row r="10" spans="2:26" s="8" customFormat="1" ht="15" customHeight="1" x14ac:dyDescent="0.25">
      <c r="B10" s="483"/>
      <c r="C10" s="101">
        <v>2002</v>
      </c>
      <c r="D10" s="40">
        <v>56.81</v>
      </c>
      <c r="E10" s="62">
        <f>D10/L24</f>
        <v>57.150453415345709</v>
      </c>
      <c r="F10" s="486">
        <f t="shared" si="2"/>
        <v>0.18059019118869504</v>
      </c>
      <c r="G10" s="77"/>
      <c r="H10" s="60"/>
      <c r="I10" s="194"/>
      <c r="J10" s="62">
        <v>75</v>
      </c>
      <c r="K10" s="204">
        <f t="shared" si="0"/>
        <v>50</v>
      </c>
      <c r="L10" s="262"/>
      <c r="M10" s="1128" t="s">
        <v>211</v>
      </c>
      <c r="N10" s="1128"/>
      <c r="O10" s="49">
        <v>75</v>
      </c>
      <c r="P10" s="179">
        <f t="shared" si="1"/>
        <v>50</v>
      </c>
      <c r="Q10" s="116"/>
      <c r="U10" s="902"/>
      <c r="V10" s="902"/>
      <c r="W10" s="902"/>
      <c r="Y10" s="902"/>
      <c r="Z10" s="902"/>
    </row>
    <row r="11" spans="2:26" x14ac:dyDescent="0.25">
      <c r="B11" s="484">
        <v>6</v>
      </c>
      <c r="C11" s="101">
        <v>2003</v>
      </c>
      <c r="D11" s="40">
        <v>54.2</v>
      </c>
      <c r="E11" s="62">
        <v>54.95</v>
      </c>
      <c r="F11" s="486">
        <f t="shared" si="2"/>
        <v>-3.8502816405562461E-2</v>
      </c>
      <c r="G11" s="119"/>
      <c r="H11" s="60"/>
      <c r="I11" s="52"/>
      <c r="J11" s="62">
        <v>75</v>
      </c>
      <c r="K11" s="204">
        <f t="shared" si="0"/>
        <v>50</v>
      </c>
      <c r="L11" s="261">
        <v>0.98650000000000004</v>
      </c>
      <c r="M11" s="250"/>
      <c r="N11" s="73"/>
      <c r="O11" s="49">
        <v>75</v>
      </c>
      <c r="P11" s="179">
        <f t="shared" si="1"/>
        <v>50</v>
      </c>
      <c r="Q11" s="73"/>
    </row>
    <row r="12" spans="2:26" x14ac:dyDescent="0.25">
      <c r="B12" s="484">
        <v>7</v>
      </c>
      <c r="C12" s="101">
        <v>2004</v>
      </c>
      <c r="D12" s="40">
        <v>53.38</v>
      </c>
      <c r="E12" s="62">
        <v>54.31</v>
      </c>
      <c r="F12" s="486">
        <f t="shared" si="2"/>
        <v>-1.1646951774340318E-2</v>
      </c>
      <c r="G12" s="119"/>
      <c r="H12" s="60"/>
      <c r="I12" s="52"/>
      <c r="J12" s="62">
        <v>75</v>
      </c>
      <c r="K12" s="204">
        <f t="shared" si="0"/>
        <v>50</v>
      </c>
      <c r="L12" s="261">
        <v>0.98570000000000002</v>
      </c>
      <c r="M12" s="250"/>
      <c r="N12" s="73"/>
      <c r="O12" s="49">
        <v>75</v>
      </c>
      <c r="P12" s="179">
        <f t="shared" si="1"/>
        <v>50</v>
      </c>
      <c r="Q12" s="73"/>
    </row>
    <row r="13" spans="2:26" x14ac:dyDescent="0.25">
      <c r="B13" s="484">
        <v>7</v>
      </c>
      <c r="C13" s="101">
        <v>2005</v>
      </c>
      <c r="D13" s="40">
        <v>56.56</v>
      </c>
      <c r="E13" s="62">
        <v>56.71</v>
      </c>
      <c r="F13" s="486">
        <f t="shared" si="2"/>
        <v>4.4190756766709603E-2</v>
      </c>
      <c r="G13" s="119"/>
      <c r="H13" s="60"/>
      <c r="I13" s="52"/>
      <c r="J13" s="62">
        <v>75</v>
      </c>
      <c r="K13" s="204">
        <f t="shared" si="0"/>
        <v>50</v>
      </c>
      <c r="L13" s="261">
        <v>0.99729999999999996</v>
      </c>
      <c r="M13" s="250"/>
      <c r="N13" s="73"/>
      <c r="O13" s="49">
        <v>75</v>
      </c>
      <c r="P13" s="179">
        <f t="shared" si="1"/>
        <v>50</v>
      </c>
      <c r="Q13" s="73"/>
    </row>
    <row r="14" spans="2:26" x14ac:dyDescent="0.25">
      <c r="B14" s="484">
        <v>8</v>
      </c>
      <c r="C14" s="101">
        <v>2006</v>
      </c>
      <c r="D14" s="40">
        <v>56.41</v>
      </c>
      <c r="E14" s="62">
        <v>56.56</v>
      </c>
      <c r="F14" s="486">
        <f t="shared" si="2"/>
        <v>-2.6450361488273423E-3</v>
      </c>
      <c r="G14" s="119"/>
      <c r="H14" s="60"/>
      <c r="I14" s="52"/>
      <c r="J14" s="62">
        <v>75</v>
      </c>
      <c r="K14" s="204">
        <f t="shared" si="0"/>
        <v>50</v>
      </c>
      <c r="L14" s="261">
        <v>0.99729999999999996</v>
      </c>
      <c r="M14" s="250"/>
      <c r="N14" s="73"/>
      <c r="O14" s="49">
        <v>75</v>
      </c>
      <c r="P14" s="179">
        <f t="shared" si="1"/>
        <v>50</v>
      </c>
      <c r="Q14" s="73"/>
    </row>
    <row r="15" spans="2:26" x14ac:dyDescent="0.25">
      <c r="B15" s="484">
        <v>5</v>
      </c>
      <c r="C15" s="101">
        <v>2007</v>
      </c>
      <c r="D15" s="40">
        <v>58.68</v>
      </c>
      <c r="E15" s="62">
        <v>58.9</v>
      </c>
      <c r="F15" s="486">
        <f t="shared" si="2"/>
        <v>4.1371994342291302E-2</v>
      </c>
      <c r="G15" s="119"/>
      <c r="H15" s="60"/>
      <c r="I15" s="52"/>
      <c r="J15" s="62">
        <v>75</v>
      </c>
      <c r="K15" s="204">
        <f t="shared" si="0"/>
        <v>50</v>
      </c>
      <c r="L15" s="261">
        <v>0.99629999999999996</v>
      </c>
      <c r="M15" s="250"/>
      <c r="N15" s="73"/>
      <c r="O15" s="49">
        <v>75</v>
      </c>
      <c r="P15" s="179">
        <f t="shared" si="1"/>
        <v>50</v>
      </c>
      <c r="Q15" s="73"/>
    </row>
    <row r="16" spans="2:26" ht="15" customHeight="1" x14ac:dyDescent="0.25">
      <c r="B16" s="484">
        <v>6</v>
      </c>
      <c r="C16" s="101">
        <v>2008</v>
      </c>
      <c r="D16" s="40">
        <v>56.12</v>
      </c>
      <c r="E16" s="62">
        <v>56.25</v>
      </c>
      <c r="F16" s="486">
        <f t="shared" si="2"/>
        <v>-4.4991511035653624E-2</v>
      </c>
      <c r="G16" s="119"/>
      <c r="H16" s="60"/>
      <c r="I16" s="52"/>
      <c r="J16" s="62">
        <v>75</v>
      </c>
      <c r="K16" s="204">
        <f t="shared" si="0"/>
        <v>50</v>
      </c>
      <c r="L16" s="261">
        <v>0.99770000000000003</v>
      </c>
      <c r="M16" s="250"/>
      <c r="N16" s="361"/>
      <c r="O16" s="49">
        <v>75</v>
      </c>
      <c r="P16" s="179">
        <f t="shared" si="1"/>
        <v>50</v>
      </c>
      <c r="Q16" s="73"/>
    </row>
    <row r="17" spans="2:17" x14ac:dyDescent="0.25">
      <c r="B17" s="484">
        <v>7</v>
      </c>
      <c r="C17" s="101">
        <v>2009</v>
      </c>
      <c r="D17" s="40">
        <v>56.8</v>
      </c>
      <c r="E17" s="62">
        <v>56.94</v>
      </c>
      <c r="F17" s="486">
        <f t="shared" si="2"/>
        <v>1.2266666666666625E-2</v>
      </c>
      <c r="G17" s="119"/>
      <c r="H17" s="60"/>
      <c r="I17" s="52"/>
      <c r="J17" s="62">
        <v>75</v>
      </c>
      <c r="K17" s="204">
        <f t="shared" si="0"/>
        <v>50</v>
      </c>
      <c r="L17" s="261">
        <v>0.99750000000000005</v>
      </c>
      <c r="M17" s="250"/>
      <c r="N17" s="361"/>
      <c r="O17" s="49">
        <v>75</v>
      </c>
      <c r="P17" s="179">
        <f t="shared" si="1"/>
        <v>50</v>
      </c>
      <c r="Q17" s="73"/>
    </row>
    <row r="18" spans="2:17" x14ac:dyDescent="0.25">
      <c r="B18" s="484">
        <v>7</v>
      </c>
      <c r="C18" s="101">
        <v>2010</v>
      </c>
      <c r="D18" s="40">
        <f>E18*L24</f>
        <v>58.625730104667802</v>
      </c>
      <c r="E18" s="62">
        <v>58.977064905605481</v>
      </c>
      <c r="F18" s="486">
        <f t="shared" si="2"/>
        <v>3.577563936785183E-2</v>
      </c>
      <c r="G18" s="119"/>
      <c r="H18" s="60"/>
      <c r="I18" s="52"/>
      <c r="J18" s="62">
        <v>75</v>
      </c>
      <c r="K18" s="204">
        <f t="shared" si="0"/>
        <v>50</v>
      </c>
      <c r="L18" s="261"/>
      <c r="M18" s="1110" t="s">
        <v>239</v>
      </c>
      <c r="N18" s="1111" t="s">
        <v>240</v>
      </c>
      <c r="O18" s="49">
        <v>75</v>
      </c>
      <c r="P18" s="179">
        <f t="shared" si="1"/>
        <v>50</v>
      </c>
      <c r="Q18" s="73"/>
    </row>
    <row r="19" spans="2:17" ht="15" customHeight="1" x14ac:dyDescent="0.25">
      <c r="B19" s="484">
        <v>12</v>
      </c>
      <c r="C19" s="101">
        <v>2011</v>
      </c>
      <c r="D19" s="40">
        <f>E19*L24</f>
        <v>69.50927475917041</v>
      </c>
      <c r="E19" s="62">
        <v>69.925832935371119</v>
      </c>
      <c r="F19" s="486">
        <f t="shared" si="2"/>
        <v>0.18564450515279901</v>
      </c>
      <c r="G19" s="119"/>
      <c r="H19" s="60"/>
      <c r="I19" s="52"/>
      <c r="J19" s="62">
        <v>75</v>
      </c>
      <c r="K19" s="204">
        <f t="shared" si="0"/>
        <v>50</v>
      </c>
      <c r="L19" s="261"/>
      <c r="M19" s="1110"/>
      <c r="N19" s="1111"/>
      <c r="O19" s="49">
        <v>75</v>
      </c>
      <c r="P19" s="179">
        <f t="shared" si="1"/>
        <v>50</v>
      </c>
      <c r="Q19" s="73"/>
    </row>
    <row r="20" spans="2:17" x14ac:dyDescent="0.25">
      <c r="B20" s="484">
        <v>1</v>
      </c>
      <c r="C20" s="101">
        <v>2012</v>
      </c>
      <c r="D20" s="40">
        <f>E20*L24</f>
        <v>71.523684672827855</v>
      </c>
      <c r="E20" s="62">
        <v>71.952314891538876</v>
      </c>
      <c r="F20" s="486">
        <f t="shared" si="2"/>
        <v>2.8980447870256058E-2</v>
      </c>
      <c r="G20" s="119"/>
      <c r="H20" s="60"/>
      <c r="I20" s="52"/>
      <c r="J20" s="62">
        <v>75</v>
      </c>
      <c r="K20" s="204">
        <f t="shared" si="0"/>
        <v>50</v>
      </c>
      <c r="L20" s="261"/>
      <c r="M20" s="1110"/>
      <c r="N20" s="1111"/>
      <c r="O20" s="49">
        <v>75</v>
      </c>
      <c r="P20" s="179">
        <f t="shared" si="1"/>
        <v>50</v>
      </c>
      <c r="Q20" s="73"/>
    </row>
    <row r="21" spans="2:17" ht="15" customHeight="1" x14ac:dyDescent="0.25">
      <c r="B21" s="484">
        <v>12</v>
      </c>
      <c r="C21" s="101">
        <v>2013</v>
      </c>
      <c r="D21" s="40">
        <f>E21*L24</f>
        <v>69.049685035446799</v>
      </c>
      <c r="E21" s="62">
        <v>69.46348896255229</v>
      </c>
      <c r="F21" s="486">
        <f t="shared" si="2"/>
        <v>-3.4589935469598848E-2</v>
      </c>
      <c r="G21" s="119"/>
      <c r="H21" s="60"/>
      <c r="I21" s="52"/>
      <c r="J21" s="62">
        <v>75</v>
      </c>
      <c r="K21" s="204">
        <f t="shared" si="0"/>
        <v>50</v>
      </c>
      <c r="L21" s="261"/>
      <c r="M21" s="250"/>
      <c r="N21" s="40"/>
      <c r="O21" s="49">
        <v>75</v>
      </c>
      <c r="P21" s="179">
        <f t="shared" si="1"/>
        <v>50</v>
      </c>
      <c r="Q21" s="73"/>
    </row>
    <row r="22" spans="2:17" x14ac:dyDescent="0.25">
      <c r="B22" s="484">
        <v>1</v>
      </c>
      <c r="C22" s="101">
        <v>2014</v>
      </c>
      <c r="D22" s="40">
        <f>E22*L24</f>
        <v>73.490709051831928</v>
      </c>
      <c r="E22" s="62">
        <v>73.931127338979849</v>
      </c>
      <c r="F22" s="486">
        <f t="shared" si="2"/>
        <v>6.4316354435292739E-2</v>
      </c>
      <c r="G22" s="119"/>
      <c r="H22" s="40"/>
      <c r="I22" s="52"/>
      <c r="J22" s="62">
        <v>75</v>
      </c>
      <c r="K22" s="204">
        <f t="shared" si="0"/>
        <v>50</v>
      </c>
      <c r="L22" s="261"/>
      <c r="M22" s="50"/>
      <c r="N22" s="50"/>
      <c r="O22" s="49">
        <v>75</v>
      </c>
      <c r="P22" s="179">
        <f t="shared" si="1"/>
        <v>50</v>
      </c>
      <c r="Q22" s="73"/>
    </row>
    <row r="23" spans="2:17" x14ac:dyDescent="0.25">
      <c r="B23" s="484">
        <v>12</v>
      </c>
      <c r="C23" s="101">
        <v>2015</v>
      </c>
      <c r="D23" s="40">
        <f>E23*L24</f>
        <v>69.874349840658326</v>
      </c>
      <c r="E23" s="62">
        <v>70.293095854534627</v>
      </c>
      <c r="F23" s="486">
        <f t="shared" si="2"/>
        <v>-4.9208386445462549E-2</v>
      </c>
      <c r="G23" s="119"/>
      <c r="H23" s="42"/>
      <c r="I23" s="52"/>
      <c r="J23" s="62">
        <v>75</v>
      </c>
      <c r="K23" s="204">
        <f t="shared" si="0"/>
        <v>50</v>
      </c>
      <c r="L23" s="261"/>
      <c r="M23" s="50"/>
      <c r="N23" s="50"/>
      <c r="O23" s="49">
        <v>75</v>
      </c>
      <c r="P23" s="179">
        <f t="shared" si="1"/>
        <v>50</v>
      </c>
      <c r="Q23" s="73"/>
    </row>
    <row r="24" spans="2:17" x14ac:dyDescent="0.25">
      <c r="B24" s="484">
        <v>1</v>
      </c>
      <c r="C24" s="101">
        <v>2016</v>
      </c>
      <c r="D24" s="40">
        <v>73.459999999999994</v>
      </c>
      <c r="E24" s="62">
        <v>77.37</v>
      </c>
      <c r="F24" s="486">
        <f t="shared" si="2"/>
        <v>0.10067708726487744</v>
      </c>
      <c r="G24" s="503"/>
      <c r="H24" s="475"/>
      <c r="I24" s="492"/>
      <c r="J24" s="62">
        <v>75</v>
      </c>
      <c r="K24" s="204">
        <f t="shared" si="0"/>
        <v>50</v>
      </c>
      <c r="L24" s="269">
        <f>AVERAGE(L11:L23)</f>
        <v>0.99404285714285712</v>
      </c>
      <c r="M24" s="50"/>
      <c r="N24" s="384" t="e">
        <f>(H24-H23)/H23</f>
        <v>#DIV/0!</v>
      </c>
      <c r="O24" s="49">
        <v>75</v>
      </c>
      <c r="P24" s="179">
        <f t="shared" si="1"/>
        <v>50</v>
      </c>
      <c r="Q24" s="73"/>
    </row>
    <row r="25" spans="2:17" x14ac:dyDescent="0.25">
      <c r="B25" s="484"/>
      <c r="C25" s="101">
        <v>2017</v>
      </c>
      <c r="D25" s="40"/>
      <c r="E25" s="62">
        <v>100</v>
      </c>
      <c r="F25" s="486">
        <f t="shared" si="2"/>
        <v>0.29249062944293647</v>
      </c>
      <c r="G25" s="503"/>
      <c r="H25" s="475">
        <f>E25</f>
        <v>100</v>
      </c>
      <c r="I25" s="492">
        <f>E25</f>
        <v>100</v>
      </c>
      <c r="J25" s="62">
        <f>2*55+1*25</f>
        <v>135</v>
      </c>
      <c r="K25" s="204">
        <f>J25-55</f>
        <v>80</v>
      </c>
      <c r="L25" s="73"/>
      <c r="M25" s="383" t="e">
        <f>(G25-G24)/G24</f>
        <v>#DIV/0!</v>
      </c>
      <c r="N25" s="384" t="e">
        <f>(H25-H24)/H24</f>
        <v>#DIV/0!</v>
      </c>
      <c r="O25" s="49">
        <v>75</v>
      </c>
      <c r="P25" s="179">
        <f t="shared" si="1"/>
        <v>50</v>
      </c>
      <c r="Q25" s="73"/>
    </row>
    <row r="26" spans="2:17" x14ac:dyDescent="0.25">
      <c r="B26" s="485"/>
      <c r="C26" s="107">
        <v>2018</v>
      </c>
      <c r="D26" s="55"/>
      <c r="E26" s="109"/>
      <c r="F26" s="476"/>
      <c r="G26" s="504"/>
      <c r="H26" s="474"/>
      <c r="I26" s="391">
        <f t="shared" ref="I26:I35" si="3">1.045*I25</f>
        <v>104.5</v>
      </c>
      <c r="J26" s="62">
        <f t="shared" ref="J26:J35" si="4">2*55+1*25</f>
        <v>135</v>
      </c>
      <c r="K26" s="204">
        <f t="shared" ref="K26:K35" si="5">J26-55</f>
        <v>80</v>
      </c>
      <c r="L26" s="73"/>
      <c r="M26" s="383" t="e">
        <f>(G26-G25)/G25</f>
        <v>#DIV/0!</v>
      </c>
      <c r="N26" s="384">
        <f>(H26-H25)/H25</f>
        <v>-1</v>
      </c>
      <c r="O26" s="557">
        <v>105</v>
      </c>
      <c r="P26" s="179">
        <f>O26-55</f>
        <v>50</v>
      </c>
      <c r="Q26" s="73"/>
    </row>
    <row r="27" spans="2:17" x14ac:dyDescent="0.25">
      <c r="B27" s="485"/>
      <c r="C27" s="107">
        <v>2019</v>
      </c>
      <c r="D27" s="55"/>
      <c r="E27" s="109"/>
      <c r="F27" s="476"/>
      <c r="G27" s="504"/>
      <c r="H27" s="474"/>
      <c r="I27" s="391">
        <f t="shared" si="3"/>
        <v>109.20249999999999</v>
      </c>
      <c r="J27" s="62">
        <f t="shared" si="4"/>
        <v>135</v>
      </c>
      <c r="K27" s="204">
        <f t="shared" si="5"/>
        <v>80</v>
      </c>
      <c r="L27" s="73"/>
      <c r="M27" s="383" t="e">
        <f t="shared" ref="M27:M33" si="6">(G27-G26)/G26</f>
        <v>#DIV/0!</v>
      </c>
      <c r="N27" s="384" t="e">
        <f>(H27-H26)/H26</f>
        <v>#DIV/0!</v>
      </c>
      <c r="O27" s="557">
        <v>105</v>
      </c>
      <c r="P27" s="179">
        <f>O27-55</f>
        <v>50</v>
      </c>
      <c r="Q27" s="73"/>
    </row>
    <row r="28" spans="2:17" x14ac:dyDescent="0.25">
      <c r="B28" s="485"/>
      <c r="C28" s="107">
        <v>2020</v>
      </c>
      <c r="D28" s="55"/>
      <c r="E28" s="109"/>
      <c r="F28" s="476"/>
      <c r="G28" s="504"/>
      <c r="H28" s="474"/>
      <c r="I28" s="391">
        <f t="shared" si="3"/>
        <v>114.11661249999997</v>
      </c>
      <c r="J28" s="62">
        <f t="shared" si="4"/>
        <v>135</v>
      </c>
      <c r="K28" s="204">
        <f t="shared" si="5"/>
        <v>80</v>
      </c>
      <c r="L28" s="73"/>
      <c r="M28" s="383" t="e">
        <f t="shared" si="6"/>
        <v>#DIV/0!</v>
      </c>
      <c r="N28" s="384" t="e">
        <f>(H28-H27)/H27</f>
        <v>#DIV/0!</v>
      </c>
      <c r="O28" s="557">
        <v>105</v>
      </c>
      <c r="P28" s="179">
        <f>O28-55</f>
        <v>50</v>
      </c>
      <c r="Q28" s="73"/>
    </row>
    <row r="29" spans="2:17" x14ac:dyDescent="0.25">
      <c r="B29" s="485"/>
      <c r="C29" s="107">
        <v>2021</v>
      </c>
      <c r="D29" s="55"/>
      <c r="E29" s="109"/>
      <c r="F29" s="476"/>
      <c r="G29" s="504"/>
      <c r="H29" s="464"/>
      <c r="I29" s="391">
        <f t="shared" si="3"/>
        <v>119.25186006249996</v>
      </c>
      <c r="J29" s="62">
        <f t="shared" si="4"/>
        <v>135</v>
      </c>
      <c r="K29" s="204">
        <f t="shared" si="5"/>
        <v>80</v>
      </c>
      <c r="L29" s="73"/>
      <c r="M29" s="383" t="e">
        <f t="shared" si="6"/>
        <v>#DIV/0!</v>
      </c>
      <c r="N29" s="384"/>
      <c r="O29" s="557">
        <v>105</v>
      </c>
      <c r="P29" s="179">
        <f>O29-55</f>
        <v>50</v>
      </c>
      <c r="Q29" s="73"/>
    </row>
    <row r="30" spans="2:17" x14ac:dyDescent="0.25">
      <c r="B30" s="485"/>
      <c r="C30" s="107">
        <v>2022</v>
      </c>
      <c r="D30" s="55"/>
      <c r="E30" s="109"/>
      <c r="F30" s="476"/>
      <c r="G30" s="504"/>
      <c r="H30" s="464"/>
      <c r="I30" s="391">
        <f t="shared" si="3"/>
        <v>124.61819376531244</v>
      </c>
      <c r="J30" s="62">
        <f t="shared" si="4"/>
        <v>135</v>
      </c>
      <c r="K30" s="204">
        <f t="shared" si="5"/>
        <v>80</v>
      </c>
      <c r="L30" s="73"/>
      <c r="M30" s="383" t="e">
        <f t="shared" si="6"/>
        <v>#DIV/0!</v>
      </c>
      <c r="N30" s="384"/>
      <c r="O30" s="437"/>
      <c r="P30" s="74"/>
      <c r="Q30" s="73"/>
    </row>
    <row r="31" spans="2:17" x14ac:dyDescent="0.25">
      <c r="B31" s="485"/>
      <c r="C31" s="107">
        <v>2023</v>
      </c>
      <c r="D31" s="55"/>
      <c r="E31" s="109"/>
      <c r="F31" s="476"/>
      <c r="G31" s="504"/>
      <c r="H31" s="464"/>
      <c r="I31" s="391">
        <f t="shared" si="3"/>
        <v>130.22601248475149</v>
      </c>
      <c r="J31" s="62">
        <f t="shared" si="4"/>
        <v>135</v>
      </c>
      <c r="K31" s="204">
        <f t="shared" si="5"/>
        <v>80</v>
      </c>
      <c r="L31" s="73"/>
      <c r="M31" s="383" t="e">
        <f t="shared" si="6"/>
        <v>#DIV/0!</v>
      </c>
      <c r="N31" s="384"/>
      <c r="O31" s="437"/>
      <c r="P31" s="74"/>
      <c r="Q31" s="73"/>
    </row>
    <row r="32" spans="2:17" x14ac:dyDescent="0.25">
      <c r="B32" s="485"/>
      <c r="C32" s="107">
        <v>2024</v>
      </c>
      <c r="D32" s="55"/>
      <c r="E32" s="109"/>
      <c r="F32" s="476"/>
      <c r="G32" s="504"/>
      <c r="H32" s="464"/>
      <c r="I32" s="391">
        <f t="shared" si="3"/>
        <v>136.08618304656531</v>
      </c>
      <c r="J32" s="62">
        <f t="shared" si="4"/>
        <v>135</v>
      </c>
      <c r="K32" s="204">
        <f t="shared" si="5"/>
        <v>80</v>
      </c>
      <c r="L32" s="73"/>
      <c r="M32" s="383" t="e">
        <f t="shared" si="6"/>
        <v>#DIV/0!</v>
      </c>
      <c r="N32" s="384"/>
      <c r="O32" s="816"/>
      <c r="P32" s="74"/>
      <c r="Q32" s="73"/>
    </row>
    <row r="33" spans="2:26" x14ac:dyDescent="0.25">
      <c r="B33" s="485"/>
      <c r="C33" s="107">
        <v>2025</v>
      </c>
      <c r="D33" s="55"/>
      <c r="E33" s="109"/>
      <c r="F33" s="476"/>
      <c r="G33" s="504"/>
      <c r="H33" s="464"/>
      <c r="I33" s="391">
        <f t="shared" si="3"/>
        <v>142.21006128366074</v>
      </c>
      <c r="J33" s="62">
        <f t="shared" si="4"/>
        <v>135</v>
      </c>
      <c r="K33" s="204">
        <f t="shared" si="5"/>
        <v>80</v>
      </c>
      <c r="L33" s="73"/>
      <c r="M33" s="383" t="e">
        <f t="shared" si="6"/>
        <v>#DIV/0!</v>
      </c>
      <c r="N33" s="384"/>
      <c r="O33" s="557"/>
      <c r="P33" s="74"/>
      <c r="Q33" s="73"/>
    </row>
    <row r="34" spans="2:26" x14ac:dyDescent="0.25">
      <c r="B34" s="477"/>
      <c r="C34" s="92">
        <v>2026</v>
      </c>
      <c r="D34" s="45"/>
      <c r="E34" s="115"/>
      <c r="F34" s="46"/>
      <c r="G34" s="504"/>
      <c r="H34" s="481"/>
      <c r="I34" s="391">
        <f t="shared" si="3"/>
        <v>148.60951404142546</v>
      </c>
      <c r="J34" s="62">
        <f t="shared" si="4"/>
        <v>135</v>
      </c>
      <c r="K34" s="204">
        <f t="shared" si="5"/>
        <v>80</v>
      </c>
      <c r="M34" s="363" t="e">
        <f>AVERAGE(M25:M33)</f>
        <v>#DIV/0!</v>
      </c>
      <c r="N34" s="362" t="e">
        <f>AVERAGE(N25:N28)</f>
        <v>#DIV/0!</v>
      </c>
      <c r="O34" s="817"/>
    </row>
    <row r="35" spans="2:26" ht="15.75" thickBot="1" x14ac:dyDescent="0.3">
      <c r="B35" s="478"/>
      <c r="C35" s="195">
        <v>2027</v>
      </c>
      <c r="D35" s="479"/>
      <c r="E35" s="487"/>
      <c r="F35" s="480"/>
      <c r="G35" s="505"/>
      <c r="H35" s="482"/>
      <c r="I35" s="392">
        <f t="shared" si="3"/>
        <v>155.29694217328958</v>
      </c>
      <c r="J35" s="183">
        <f t="shared" si="4"/>
        <v>135</v>
      </c>
      <c r="K35" s="206">
        <f t="shared" si="5"/>
        <v>80</v>
      </c>
      <c r="M35" s="363"/>
      <c r="N35" s="362"/>
      <c r="O35" s="817"/>
    </row>
    <row r="36" spans="2:26" x14ac:dyDescent="0.25">
      <c r="D36" s="9"/>
      <c r="E36" s="9"/>
      <c r="F36" s="439">
        <f>AVERAGE(F8:F25)</f>
        <v>5.4335906872889021E-2</v>
      </c>
      <c r="G36" s="12"/>
      <c r="H36" s="12"/>
      <c r="I36" s="9"/>
      <c r="J36" s="11"/>
      <c r="K36" s="11"/>
      <c r="M36" s="363"/>
      <c r="N36" s="362"/>
      <c r="O36" s="817"/>
    </row>
    <row r="37" spans="2:26" x14ac:dyDescent="0.25">
      <c r="D37" s="9"/>
      <c r="E37" s="9"/>
      <c r="F37" s="12"/>
      <c r="G37" s="12"/>
      <c r="H37" s="12"/>
      <c r="I37" s="9"/>
      <c r="J37" s="11"/>
      <c r="K37" s="11"/>
      <c r="M37" s="386"/>
      <c r="N37" s="12"/>
      <c r="O37" s="817"/>
    </row>
    <row r="38" spans="2:26" ht="15.75" thickBot="1" x14ac:dyDescent="0.3">
      <c r="D38" s="9"/>
      <c r="E38" s="9"/>
      <c r="F38" s="12"/>
      <c r="G38" s="12"/>
      <c r="H38" s="12"/>
      <c r="I38" s="9"/>
      <c r="J38" s="11"/>
      <c r="K38" s="11"/>
      <c r="M38" s="386"/>
      <c r="N38" s="12"/>
      <c r="O38" s="817"/>
    </row>
    <row r="39" spans="2:26" s="10" customFormat="1" ht="20.100000000000001" customHeight="1" thickBot="1" x14ac:dyDescent="0.3">
      <c r="C39" s="1037" t="s">
        <v>208</v>
      </c>
      <c r="D39" s="1038"/>
      <c r="E39" s="1038"/>
      <c r="F39" s="1038"/>
      <c r="G39" s="1038"/>
      <c r="H39" s="1038"/>
      <c r="I39" s="1038"/>
      <c r="J39" s="1038"/>
      <c r="K39" s="1039"/>
      <c r="M39" s="386"/>
      <c r="N39" s="386"/>
      <c r="O39" s="32"/>
      <c r="P39" s="7"/>
      <c r="U39" s="386"/>
      <c r="V39" s="386"/>
      <c r="W39" s="386"/>
      <c r="Y39" s="386"/>
      <c r="Z39" s="386"/>
    </row>
    <row r="40" spans="2:26" ht="15.95" customHeight="1" thickBot="1" x14ac:dyDescent="0.3">
      <c r="C40" s="1040" t="s">
        <v>325</v>
      </c>
      <c r="D40" s="1041"/>
      <c r="E40" s="1041"/>
      <c r="F40" s="1041"/>
      <c r="G40" s="1041"/>
      <c r="H40" s="1041"/>
      <c r="I40" s="1041"/>
      <c r="J40" s="1041"/>
      <c r="K40" s="1042"/>
      <c r="M40" s="812" t="s">
        <v>317</v>
      </c>
      <c r="N40" s="439"/>
      <c r="O40" s="817"/>
    </row>
    <row r="41" spans="2:26" ht="15.95" customHeight="1" thickBot="1" x14ac:dyDescent="0.3">
      <c r="B41" s="1051" t="s">
        <v>26</v>
      </c>
      <c r="C41" s="1043" t="s">
        <v>35</v>
      </c>
      <c r="D41" s="1045" t="s">
        <v>110</v>
      </c>
      <c r="E41" s="1046"/>
      <c r="F41" s="1047"/>
      <c r="G41" s="1045" t="s">
        <v>74</v>
      </c>
      <c r="H41" s="1047"/>
      <c r="I41" s="1043" t="s">
        <v>350</v>
      </c>
      <c r="J41" s="1043" t="s">
        <v>352</v>
      </c>
      <c r="K41" s="1049" t="s">
        <v>269</v>
      </c>
      <c r="M41" s="812" t="s">
        <v>315</v>
      </c>
      <c r="N41" s="439"/>
      <c r="O41" s="817"/>
    </row>
    <row r="42" spans="2:26" ht="35.1" customHeight="1" thickBot="1" x14ac:dyDescent="0.3">
      <c r="B42" s="1051"/>
      <c r="C42" s="1044"/>
      <c r="D42" s="541" t="s">
        <v>174</v>
      </c>
      <c r="E42" s="541" t="s">
        <v>122</v>
      </c>
      <c r="F42" s="541" t="s">
        <v>343</v>
      </c>
      <c r="G42" s="537" t="s">
        <v>170</v>
      </c>
      <c r="H42" s="538" t="s">
        <v>270</v>
      </c>
      <c r="I42" s="1048"/>
      <c r="J42" s="1044"/>
      <c r="K42" s="1050"/>
      <c r="M42" s="386"/>
      <c r="N42" s="12"/>
      <c r="O42" s="817"/>
    </row>
    <row r="43" spans="2:26" ht="15" customHeight="1" thickBot="1" x14ac:dyDescent="0.3">
      <c r="B43" s="577">
        <v>1999</v>
      </c>
      <c r="C43" s="781">
        <v>1999</v>
      </c>
      <c r="D43" s="647">
        <v>40.79</v>
      </c>
      <c r="E43" s="648">
        <v>41.03444806921231</v>
      </c>
      <c r="F43" s="643"/>
      <c r="G43" s="660">
        <f t="shared" ref="G43:G61" si="7">1.5118*B43-2975.8</f>
        <v>46.288199999999961</v>
      </c>
      <c r="H43" s="657"/>
      <c r="I43" s="900"/>
      <c r="J43" s="897"/>
      <c r="K43" s="591"/>
      <c r="L43" s="32"/>
      <c r="M43" s="843">
        <f>E43</f>
        <v>41.03444806921231</v>
      </c>
      <c r="N43" s="9">
        <f>E43</f>
        <v>41.03444806921231</v>
      </c>
      <c r="O43" s="12"/>
      <c r="P43" s="853">
        <f>E43</f>
        <v>41.03444806921231</v>
      </c>
      <c r="Q43" s="853">
        <f>E43</f>
        <v>41.03444806921231</v>
      </c>
      <c r="U43" s="14">
        <f>E43/E43</f>
        <v>1</v>
      </c>
      <c r="V43" s="14">
        <f>E43/E43-1</f>
        <v>0</v>
      </c>
      <c r="W43" s="907">
        <f>G43/G43-1</f>
        <v>0</v>
      </c>
      <c r="X43" s="908"/>
      <c r="Y43" s="907"/>
      <c r="Z43" s="907"/>
    </row>
    <row r="44" spans="2:26" ht="15" customHeight="1" thickBot="1" x14ac:dyDescent="0.3">
      <c r="B44" s="577">
        <v>2000</v>
      </c>
      <c r="C44" s="780">
        <v>2000</v>
      </c>
      <c r="D44" s="649">
        <v>45.7</v>
      </c>
      <c r="E44" s="650">
        <v>45.973872928732597</v>
      </c>
      <c r="F44" s="644">
        <f>(E44-E43)/E43</f>
        <v>0.12037264035302774</v>
      </c>
      <c r="G44" s="660">
        <f t="shared" si="7"/>
        <v>47.799999999999727</v>
      </c>
      <c r="H44" s="658"/>
      <c r="I44" s="900">
        <f>(E44-G44)/G44</f>
        <v>-3.8203495214793742E-2</v>
      </c>
      <c r="J44" s="848">
        <f>E44/G44</f>
        <v>0.96179650478520629</v>
      </c>
      <c r="K44" s="592"/>
      <c r="L44" s="32"/>
      <c r="M44" s="844">
        <f>1.0431*M43</f>
        <v>42.803032780995359</v>
      </c>
      <c r="N44" s="9">
        <f>0.0431*N43+N43</f>
        <v>42.803032780995359</v>
      </c>
      <c r="O44" s="12">
        <f>E44/E43-1</f>
        <v>0.12037264035302764</v>
      </c>
      <c r="P44" s="853">
        <f>0.043*P43+P43</f>
        <v>42.798929336188436</v>
      </c>
      <c r="Q44" s="853">
        <f>1.77+Q43</f>
        <v>42.804448069212313</v>
      </c>
      <c r="U44" s="14">
        <f>E44/E43</f>
        <v>1.1203726403530276</v>
      </c>
      <c r="V44" s="14">
        <f>E44/E43-1</f>
        <v>0.12037264035302764</v>
      </c>
      <c r="W44" s="907">
        <f>G44/G43-1</f>
        <v>3.2660591684268825E-2</v>
      </c>
      <c r="X44" s="907">
        <f>W44-W43</f>
        <v>3.2660591684268825E-2</v>
      </c>
      <c r="Y44" s="907"/>
      <c r="Z44" s="907"/>
    </row>
    <row r="45" spans="2:26" ht="15" customHeight="1" thickBot="1" x14ac:dyDescent="0.3">
      <c r="B45" s="577">
        <v>2001</v>
      </c>
      <c r="C45" s="780">
        <v>2001</v>
      </c>
      <c r="D45" s="649">
        <v>48.12</v>
      </c>
      <c r="E45" s="650">
        <v>48.408375608984954</v>
      </c>
      <c r="F45" s="644">
        <f t="shared" ref="F45:F61" si="8">(E45-E44)/E44</f>
        <v>5.2954048140043695E-2</v>
      </c>
      <c r="G45" s="660">
        <f t="shared" si="7"/>
        <v>49.311799999999948</v>
      </c>
      <c r="H45" s="658"/>
      <c r="I45" s="900">
        <f t="shared" ref="I45:I61" si="9">(E45-G45)/G45</f>
        <v>-1.8320653292213929E-2</v>
      </c>
      <c r="J45" s="848">
        <f t="shared" ref="J45:J61" si="10">E45/G45</f>
        <v>0.98167934670778612</v>
      </c>
      <c r="K45" s="592"/>
      <c r="L45" s="32"/>
      <c r="M45" s="844">
        <f t="shared" ref="M45:M61" si="11">1.0431*M44</f>
        <v>44.647843493856257</v>
      </c>
      <c r="N45" s="9">
        <f>2*0.0431*N43+N43</f>
        <v>44.571617492778408</v>
      </c>
      <c r="O45" s="12">
        <f t="shared" ref="O45:O61" si="12">E45/E44-1</f>
        <v>5.2954048140043675E-2</v>
      </c>
      <c r="P45" s="853">
        <f>0.043*P43+P44</f>
        <v>44.563410603164563</v>
      </c>
      <c r="Q45" s="853">
        <f>1.77+Q44</f>
        <v>44.574448069212316</v>
      </c>
      <c r="U45" s="14">
        <f>E45/E43</f>
        <v>1.1797009070850699</v>
      </c>
      <c r="V45" s="14">
        <f>E45/E43-1</f>
        <v>0.17970090708506992</v>
      </c>
      <c r="W45" s="907">
        <f>G45/G43-1</f>
        <v>6.5321183368547198E-2</v>
      </c>
      <c r="X45" s="907">
        <f t="shared" ref="X45:X61" si="13">W45-W44</f>
        <v>3.2660591684278373E-2</v>
      </c>
      <c r="Y45" s="907"/>
      <c r="Z45" s="907"/>
    </row>
    <row r="46" spans="2:26" ht="15" customHeight="1" thickBot="1" x14ac:dyDescent="0.3">
      <c r="B46" s="577">
        <v>2002</v>
      </c>
      <c r="C46" s="780">
        <v>2002</v>
      </c>
      <c r="D46" s="649">
        <v>56.81</v>
      </c>
      <c r="E46" s="650">
        <v>57.150453415345709</v>
      </c>
      <c r="F46" s="644">
        <f>(E46-E45)/E45</f>
        <v>0.18059019118869504</v>
      </c>
      <c r="G46" s="660">
        <f t="shared" si="7"/>
        <v>50.823599999999715</v>
      </c>
      <c r="H46" s="658"/>
      <c r="I46" s="905">
        <f t="shared" si="9"/>
        <v>0.12448652624658681</v>
      </c>
      <c r="J46" s="848">
        <f t="shared" si="10"/>
        <v>1.1244865262465868</v>
      </c>
      <c r="K46" s="592"/>
      <c r="L46" s="32"/>
      <c r="M46" s="844">
        <f t="shared" si="11"/>
        <v>46.572165548441461</v>
      </c>
      <c r="N46" s="9">
        <f>3*0.0431*N43+N43</f>
        <v>46.340202204561464</v>
      </c>
      <c r="O46" s="12">
        <f t="shared" si="12"/>
        <v>0.18059019118869513</v>
      </c>
      <c r="P46" s="853">
        <f>0.043*P43+P45</f>
        <v>46.327891870140689</v>
      </c>
      <c r="Q46" s="853">
        <f t="shared" ref="Q46:Q61" si="14">1.77+Q45</f>
        <v>46.344448069212319</v>
      </c>
      <c r="U46" s="14">
        <f>E46/E43</f>
        <v>1.3927433194410395</v>
      </c>
      <c r="V46" s="14">
        <f>E46/E43-1</f>
        <v>0.39274331944103946</v>
      </c>
      <c r="W46" s="907">
        <f>G46/G43-1</f>
        <v>9.7981775052816023E-2</v>
      </c>
      <c r="X46" s="907">
        <f>W46-W45</f>
        <v>3.2660591684268825E-2</v>
      </c>
      <c r="Y46" s="907"/>
      <c r="Z46" s="907"/>
    </row>
    <row r="47" spans="2:26" ht="15" customHeight="1" thickBot="1" x14ac:dyDescent="0.3">
      <c r="B47" s="577">
        <v>2003</v>
      </c>
      <c r="C47" s="582">
        <v>37781.875</v>
      </c>
      <c r="D47" s="649">
        <v>54.2</v>
      </c>
      <c r="E47" s="650">
        <v>54.95</v>
      </c>
      <c r="F47" s="644">
        <f t="shared" si="8"/>
        <v>-3.8502816405562461E-2</v>
      </c>
      <c r="G47" s="660">
        <f t="shared" si="7"/>
        <v>52.335399999999936</v>
      </c>
      <c r="H47" s="658"/>
      <c r="I47" s="905">
        <f t="shared" si="9"/>
        <v>4.9958536669253893E-2</v>
      </c>
      <c r="J47" s="848">
        <f t="shared" si="10"/>
        <v>1.0499585366692539</v>
      </c>
      <c r="K47" s="592"/>
      <c r="L47" s="32"/>
      <c r="M47" s="844">
        <f t="shared" si="11"/>
        <v>48.579425883579283</v>
      </c>
      <c r="N47" s="9">
        <f>4*0.0431*N43+N43</f>
        <v>48.108786916344513</v>
      </c>
      <c r="O47" s="12">
        <f t="shared" si="12"/>
        <v>-3.8502816405562412E-2</v>
      </c>
      <c r="P47" s="853">
        <f>1*0.043*P43+P46</f>
        <v>48.092373137116816</v>
      </c>
      <c r="Q47" s="853">
        <f t="shared" si="14"/>
        <v>48.114448069212322</v>
      </c>
      <c r="S47" s="11">
        <f>G61-G51</f>
        <v>15.117999999999938</v>
      </c>
      <c r="T47" s="14">
        <f>S47/G51</f>
        <v>0.25894701503530093</v>
      </c>
      <c r="U47" s="14">
        <f>E47/E43</f>
        <v>1.3391187791125276</v>
      </c>
      <c r="V47" s="14">
        <f>E47/E43-1</f>
        <v>0.33911877911252764</v>
      </c>
      <c r="W47" s="907">
        <f>G47/G43-1</f>
        <v>0.13064236673709462</v>
      </c>
      <c r="X47" s="907">
        <f t="shared" si="13"/>
        <v>3.2660591684278595E-2</v>
      </c>
      <c r="Y47" s="907"/>
      <c r="Z47" s="907"/>
    </row>
    <row r="48" spans="2:26" ht="15" customHeight="1" thickBot="1" x14ac:dyDescent="0.3">
      <c r="B48" s="577">
        <v>2004</v>
      </c>
      <c r="C48" s="582">
        <v>38183.854166666664</v>
      </c>
      <c r="D48" s="649">
        <v>53.38</v>
      </c>
      <c r="E48" s="650">
        <v>54.31</v>
      </c>
      <c r="F48" s="644">
        <f t="shared" si="8"/>
        <v>-1.1646951774340318E-2</v>
      </c>
      <c r="G48" s="660">
        <f t="shared" si="7"/>
        <v>53.847199999999702</v>
      </c>
      <c r="H48" s="658"/>
      <c r="I48" s="905">
        <f t="shared" si="9"/>
        <v>8.5946901603110738E-3</v>
      </c>
      <c r="J48" s="848">
        <f t="shared" si="10"/>
        <v>1.0085946901603111</v>
      </c>
      <c r="K48" s="592"/>
      <c r="L48" s="32"/>
      <c r="M48" s="844">
        <f t="shared" si="11"/>
        <v>50.673199139161547</v>
      </c>
      <c r="N48" s="9">
        <f>5*0.0431*N43+N43</f>
        <v>49.877371628127563</v>
      </c>
      <c r="O48" s="12">
        <f t="shared" si="12"/>
        <v>-1.1646951774340275E-2</v>
      </c>
      <c r="P48" s="853">
        <f>1*0.043*P43+P47</f>
        <v>49.856854404092942</v>
      </c>
      <c r="Q48" s="853">
        <f t="shared" si="14"/>
        <v>49.884448069212326</v>
      </c>
      <c r="T48" s="14"/>
      <c r="U48" s="14">
        <f>E48/E43</f>
        <v>1.3235221272720905</v>
      </c>
      <c r="V48" s="14">
        <f>E48/E43-1</f>
        <v>0.32352212727209051</v>
      </c>
      <c r="W48" s="907">
        <f>G48/G43-1</f>
        <v>0.16330295842136322</v>
      </c>
      <c r="X48" s="907">
        <f t="shared" si="13"/>
        <v>3.2660591684268603E-2</v>
      </c>
      <c r="Y48" s="907"/>
      <c r="Z48" s="907"/>
    </row>
    <row r="49" spans="1:26" ht="15" customHeight="1" thickBot="1" x14ac:dyDescent="0.3">
      <c r="B49" s="577">
        <v>2005</v>
      </c>
      <c r="C49" s="582">
        <v>38540.875</v>
      </c>
      <c r="D49" s="649">
        <v>56.56</v>
      </c>
      <c r="E49" s="650">
        <v>56.71</v>
      </c>
      <c r="F49" s="644">
        <f t="shared" si="8"/>
        <v>4.4190756766709603E-2</v>
      </c>
      <c r="G49" s="660">
        <f t="shared" si="7"/>
        <v>55.358999999999924</v>
      </c>
      <c r="H49" s="658"/>
      <c r="I49" s="905">
        <f t="shared" si="9"/>
        <v>2.4404342563992831E-2</v>
      </c>
      <c r="J49" s="848">
        <f t="shared" si="10"/>
        <v>1.0244043425639928</v>
      </c>
      <c r="K49" s="592"/>
      <c r="L49" s="32"/>
      <c r="M49" s="844">
        <f t="shared" si="11"/>
        <v>52.857214022059402</v>
      </c>
      <c r="N49" s="9">
        <f>6*0.0431*N43+N43</f>
        <v>51.645956339910612</v>
      </c>
      <c r="O49" s="12">
        <f>E49/E48-1</f>
        <v>4.4190756766709693E-2</v>
      </c>
      <c r="P49" s="853">
        <f>1*0.043*P43+P48</f>
        <v>51.621335671069069</v>
      </c>
      <c r="Q49" s="853">
        <f t="shared" si="14"/>
        <v>51.654448069212329</v>
      </c>
      <c r="S49">
        <f>S47/10</f>
        <v>1.5117999999999938</v>
      </c>
      <c r="T49" s="14">
        <f>T47/10</f>
        <v>2.5894701503530092E-2</v>
      </c>
      <c r="U49" s="14">
        <f>E49/E43</f>
        <v>1.3820095716737295</v>
      </c>
      <c r="V49" s="14">
        <f>E49/E43-1</f>
        <v>0.38200957167372951</v>
      </c>
      <c r="W49" s="907">
        <f>G49/G43-1</f>
        <v>0.19596355010564181</v>
      </c>
      <c r="X49" s="907">
        <f t="shared" si="13"/>
        <v>3.2660591684278595E-2</v>
      </c>
      <c r="Y49" s="907"/>
      <c r="Z49" s="907"/>
    </row>
    <row r="50" spans="1:26" ht="15" customHeight="1" thickBot="1" x14ac:dyDescent="0.3">
      <c r="B50" s="577">
        <v>2006</v>
      </c>
      <c r="C50" s="582">
        <v>38930.885416666664</v>
      </c>
      <c r="D50" s="649">
        <v>56.41</v>
      </c>
      <c r="E50" s="650">
        <v>56.56</v>
      </c>
      <c r="F50" s="644">
        <f t="shared" si="8"/>
        <v>-2.6450361488273423E-3</v>
      </c>
      <c r="G50" s="660">
        <f t="shared" si="7"/>
        <v>56.87079999999969</v>
      </c>
      <c r="H50" s="658"/>
      <c r="I50" s="900">
        <f t="shared" si="9"/>
        <v>-5.4650189552404652E-3</v>
      </c>
      <c r="J50" s="848">
        <f t="shared" si="10"/>
        <v>0.99453498104475957</v>
      </c>
      <c r="K50" s="592"/>
      <c r="L50" s="32"/>
      <c r="M50" s="844">
        <f t="shared" si="11"/>
        <v>55.135359946410155</v>
      </c>
      <c r="N50" s="9">
        <f>7*0.0431*N43+N43</f>
        <v>53.414541051693661</v>
      </c>
      <c r="O50" s="12">
        <f t="shared" si="12"/>
        <v>-2.6450361488273844E-3</v>
      </c>
      <c r="P50" s="853">
        <f>1*0.043*P43+P49</f>
        <v>53.385816938045195</v>
      </c>
      <c r="Q50" s="853">
        <f t="shared" si="14"/>
        <v>53.424448069212332</v>
      </c>
      <c r="U50" s="14">
        <f>E50/E43</f>
        <v>1.3783541063986271</v>
      </c>
      <c r="V50" s="14">
        <f>E50/E43-1</f>
        <v>0.3783541063986271</v>
      </c>
      <c r="W50" s="907">
        <f>G50/G43-1</f>
        <v>0.22862414178991064</v>
      </c>
      <c r="X50" s="907">
        <f t="shared" si="13"/>
        <v>3.2660591684268825E-2</v>
      </c>
      <c r="Y50" s="907"/>
      <c r="Z50" s="907"/>
    </row>
    <row r="51" spans="1:26" ht="15" customHeight="1" thickBot="1" x14ac:dyDescent="0.3">
      <c r="A51" s="495" t="s">
        <v>351</v>
      </c>
      <c r="B51" s="583">
        <v>2007</v>
      </c>
      <c r="C51" s="901">
        <v>39231.875</v>
      </c>
      <c r="D51" s="651">
        <v>58.68</v>
      </c>
      <c r="E51" s="652">
        <v>58.9</v>
      </c>
      <c r="F51" s="794">
        <f t="shared" si="8"/>
        <v>4.1371994342291302E-2</v>
      </c>
      <c r="G51" s="723">
        <f t="shared" si="7"/>
        <v>58.382599999999911</v>
      </c>
      <c r="H51" s="723"/>
      <c r="I51" s="905">
        <f t="shared" si="9"/>
        <v>8.8622294998867493E-3</v>
      </c>
      <c r="J51" s="848">
        <f t="shared" si="10"/>
        <v>1.0088622294998868</v>
      </c>
      <c r="K51" s="687">
        <f>E51/E51</f>
        <v>1</v>
      </c>
      <c r="L51" s="32"/>
      <c r="M51" s="844">
        <f t="shared" si="11"/>
        <v>57.51169396010043</v>
      </c>
      <c r="N51" s="9">
        <f>8*0.0431*N43+N43</f>
        <v>55.18312576347671</v>
      </c>
      <c r="O51" s="12">
        <f t="shared" si="12"/>
        <v>4.1371994342291218E-2</v>
      </c>
      <c r="P51" s="853">
        <f>1*0.043*P43+P50</f>
        <v>55.150298205021322</v>
      </c>
      <c r="Q51" s="853">
        <f t="shared" si="14"/>
        <v>55.194448069212335</v>
      </c>
      <c r="T51">
        <f>2*T49</f>
        <v>5.1789403007060184E-2</v>
      </c>
      <c r="U51" s="904">
        <f>E51/E43</f>
        <v>1.4353793646902251</v>
      </c>
      <c r="V51" s="904">
        <f>E51/E43-1</f>
        <v>0.43537936469022509</v>
      </c>
      <c r="W51" s="907">
        <f>G51/G43-1</f>
        <v>0.26128473347418901</v>
      </c>
      <c r="X51" s="907">
        <f t="shared" si="13"/>
        <v>3.2660591684278373E-2</v>
      </c>
      <c r="Y51" s="907">
        <f>G51/G51-1</f>
        <v>0</v>
      </c>
      <c r="Z51" s="907"/>
    </row>
    <row r="52" spans="1:26" ht="15" customHeight="1" thickBot="1" x14ac:dyDescent="0.3">
      <c r="B52" s="577">
        <v>2008</v>
      </c>
      <c r="C52" s="582">
        <v>39622.885416666664</v>
      </c>
      <c r="D52" s="649">
        <v>56.12</v>
      </c>
      <c r="E52" s="650">
        <v>56.25</v>
      </c>
      <c r="F52" s="644">
        <f t="shared" si="8"/>
        <v>-4.4991511035653624E-2</v>
      </c>
      <c r="G52" s="660">
        <f t="shared" si="7"/>
        <v>59.894399999999678</v>
      </c>
      <c r="H52" s="658"/>
      <c r="I52" s="900">
        <f t="shared" si="9"/>
        <v>-6.0847090879943652E-2</v>
      </c>
      <c r="J52" s="848">
        <f t="shared" si="10"/>
        <v>0.93915290912005633</v>
      </c>
      <c r="K52" s="592">
        <f>E52/E51</f>
        <v>0.95500848896434642</v>
      </c>
      <c r="L52" s="32"/>
      <c r="M52" s="844">
        <f t="shared" si="11"/>
        <v>59.990447969780753</v>
      </c>
      <c r="N52" s="9">
        <f>9*0.0431*N43+N43</f>
        <v>56.951710475259766</v>
      </c>
      <c r="O52" s="12">
        <f t="shared" si="12"/>
        <v>-4.4991511035653575E-2</v>
      </c>
      <c r="P52" s="853">
        <f>1*0.043*P43+P51</f>
        <v>56.914779471997448</v>
      </c>
      <c r="Q52" s="853">
        <f t="shared" si="14"/>
        <v>56.964448069212338</v>
      </c>
      <c r="U52" s="14">
        <f>E52/E43</f>
        <v>1.3707994781634154</v>
      </c>
      <c r="V52" s="14">
        <f>E52/E43-1</f>
        <v>0.37079947816341541</v>
      </c>
      <c r="W52" s="907">
        <f>G52/G43-1</f>
        <v>0.29394532515845784</v>
      </c>
      <c r="X52" s="907">
        <f t="shared" si="13"/>
        <v>3.2660591684268825E-2</v>
      </c>
      <c r="Y52" s="907">
        <f>G52/G51-1</f>
        <v>2.5894701503526241E-2</v>
      </c>
      <c r="Z52" s="907">
        <f>Y52-Y51</f>
        <v>2.5894701503526241E-2</v>
      </c>
    </row>
    <row r="53" spans="1:26" ht="15" customHeight="1" thickBot="1" x14ac:dyDescent="0.3">
      <c r="B53" s="577">
        <v>2009</v>
      </c>
      <c r="C53" s="582">
        <v>40016.802083333336</v>
      </c>
      <c r="D53" s="649">
        <v>56.8</v>
      </c>
      <c r="E53" s="650">
        <v>56.94</v>
      </c>
      <c r="F53" s="644">
        <f t="shared" si="8"/>
        <v>1.2266666666666625E-2</v>
      </c>
      <c r="G53" s="660">
        <f t="shared" si="7"/>
        <v>61.406199999999899</v>
      </c>
      <c r="H53" s="658"/>
      <c r="I53" s="900">
        <f t="shared" si="9"/>
        <v>-7.2732069400156807E-2</v>
      </c>
      <c r="J53" s="848">
        <f t="shared" si="10"/>
        <v>0.92726793059984325</v>
      </c>
      <c r="K53" s="592">
        <f>E53/E51</f>
        <v>0.966723259762309</v>
      </c>
      <c r="L53" s="32"/>
      <c r="M53" s="844">
        <f t="shared" si="11"/>
        <v>62.576036277278298</v>
      </c>
      <c r="N53" s="9">
        <f>10*0.0431*N43+N43</f>
        <v>58.720295187042815</v>
      </c>
      <c r="O53" s="12">
        <f t="shared" si="12"/>
        <v>1.2266666666666648E-2</v>
      </c>
      <c r="P53" s="853">
        <f>1*0.043*P43+P52</f>
        <v>58.679260738973575</v>
      </c>
      <c r="Q53" s="853">
        <f t="shared" si="14"/>
        <v>58.734448069212341</v>
      </c>
      <c r="U53" s="14">
        <f>E53/E43</f>
        <v>1.3876146184288864</v>
      </c>
      <c r="V53" s="14">
        <f>E53/E43-1</f>
        <v>0.38761461842888645</v>
      </c>
      <c r="W53" s="907">
        <f>G53/G43-1</f>
        <v>0.32660591684273643</v>
      </c>
      <c r="X53" s="907">
        <f t="shared" si="13"/>
        <v>3.2660591684278595E-2</v>
      </c>
      <c r="Y53" s="907">
        <f>G53/G51-1</f>
        <v>5.1789403007060253E-2</v>
      </c>
      <c r="Z53" s="907">
        <f t="shared" ref="Z53:Z61" si="15">Y53-Y52</f>
        <v>2.5894701503534012E-2</v>
      </c>
    </row>
    <row r="54" spans="1:26" ht="15" customHeight="1" thickBot="1" x14ac:dyDescent="0.3">
      <c r="B54" s="577">
        <v>2010</v>
      </c>
      <c r="C54" s="582">
        <v>40380.885416666664</v>
      </c>
      <c r="D54" s="649">
        <v>58.625730104667802</v>
      </c>
      <c r="E54" s="650">
        <v>58.977064905605481</v>
      </c>
      <c r="F54" s="644">
        <f t="shared" si="8"/>
        <v>3.577563936785183E-2</v>
      </c>
      <c r="G54" s="660">
        <f t="shared" si="7"/>
        <v>62.917999999999665</v>
      </c>
      <c r="H54" s="658"/>
      <c r="I54" s="900">
        <f t="shared" si="9"/>
        <v>-6.2636051597225045E-2</v>
      </c>
      <c r="J54" s="848">
        <f t="shared" si="10"/>
        <v>0.93736394840277493</v>
      </c>
      <c r="K54" s="592">
        <f>E54/E51</f>
        <v>1.0013084024720795</v>
      </c>
      <c r="L54" s="32"/>
      <c r="M54" s="844">
        <f t="shared" si="11"/>
        <v>65.273063440828992</v>
      </c>
      <c r="N54" s="9">
        <f>11*0.0431*N43+N43</f>
        <v>60.488879898825864</v>
      </c>
      <c r="O54" s="12">
        <f t="shared" si="12"/>
        <v>3.5775639367851886E-2</v>
      </c>
      <c r="P54" s="853">
        <f>1*0.043*P43+P53</f>
        <v>60.443742005949701</v>
      </c>
      <c r="Q54" s="853">
        <f t="shared" si="14"/>
        <v>60.504448069212344</v>
      </c>
      <c r="U54" s="14">
        <f>E54/E43</f>
        <v>1.4372574185993576</v>
      </c>
      <c r="V54" s="14">
        <f>E54/E43-1</f>
        <v>0.43725741859935763</v>
      </c>
      <c r="W54" s="907">
        <f>G54/G43-1</f>
        <v>0.35926650852700504</v>
      </c>
      <c r="X54" s="907">
        <f t="shared" si="13"/>
        <v>3.2660591684268603E-2</v>
      </c>
      <c r="Y54" s="907">
        <f>G54/G51-1</f>
        <v>7.7684104510586494E-2</v>
      </c>
      <c r="Z54" s="907">
        <f t="shared" si="15"/>
        <v>2.5894701503526241E-2</v>
      </c>
    </row>
    <row r="55" spans="1:26" ht="15" customHeight="1" thickBot="1" x14ac:dyDescent="0.3">
      <c r="B55" s="577">
        <v>2011</v>
      </c>
      <c r="C55" s="582">
        <v>40898.614583333336</v>
      </c>
      <c r="D55" s="649">
        <v>69.50927475917041</v>
      </c>
      <c r="E55" s="650">
        <v>69.925832935371119</v>
      </c>
      <c r="F55" s="644">
        <f t="shared" si="8"/>
        <v>0.18564450515279901</v>
      </c>
      <c r="G55" s="660">
        <f t="shared" si="7"/>
        <v>64.429799999999886</v>
      </c>
      <c r="H55" s="658"/>
      <c r="I55" s="905">
        <f t="shared" si="9"/>
        <v>8.5302653979544285E-2</v>
      </c>
      <c r="J55" s="848">
        <f t="shared" si="10"/>
        <v>1.0853026539795443</v>
      </c>
      <c r="K55" s="592">
        <f>E55/E51</f>
        <v>1.1871958053543483</v>
      </c>
      <c r="L55" s="32"/>
      <c r="M55" s="844">
        <f t="shared" si="11"/>
        <v>68.086332475128714</v>
      </c>
      <c r="N55" s="9">
        <f>12*0.0431*N43+N43</f>
        <v>62.25746461060892</v>
      </c>
      <c r="O55" s="12">
        <f t="shared" si="12"/>
        <v>0.18564450515279907</v>
      </c>
      <c r="P55" s="853">
        <f>1*0.043*P43+P54</f>
        <v>62.208223272925828</v>
      </c>
      <c r="Q55" s="853">
        <f t="shared" si="14"/>
        <v>62.274448069212347</v>
      </c>
      <c r="U55" s="14">
        <f>E55/E43</f>
        <v>1.7040763608524248</v>
      </c>
      <c r="V55" s="14">
        <f>E55/E43-1</f>
        <v>0.70407636085242475</v>
      </c>
      <c r="W55" s="907">
        <f>G55/G43-1</f>
        <v>0.39192710021128363</v>
      </c>
      <c r="X55" s="907">
        <f t="shared" si="13"/>
        <v>3.2660591684278595E-2</v>
      </c>
      <c r="Y55" s="907">
        <f>G55/G51-1</f>
        <v>0.10357880601412028</v>
      </c>
      <c r="Z55" s="907">
        <f t="shared" si="15"/>
        <v>2.589470150353379E-2</v>
      </c>
    </row>
    <row r="56" spans="1:26" ht="15" customHeight="1" thickBot="1" x14ac:dyDescent="0.3">
      <c r="B56" s="577">
        <v>2012</v>
      </c>
      <c r="C56" s="582">
        <v>40938.625</v>
      </c>
      <c r="D56" s="649">
        <v>71.523684672827855</v>
      </c>
      <c r="E56" s="650">
        <v>71.952314891538876</v>
      </c>
      <c r="F56" s="644">
        <f t="shared" si="8"/>
        <v>2.8980447870256058E-2</v>
      </c>
      <c r="G56" s="660">
        <f t="shared" si="7"/>
        <v>65.941600000000108</v>
      </c>
      <c r="H56" s="658"/>
      <c r="I56" s="905">
        <f t="shared" si="9"/>
        <v>9.1152093542449047E-2</v>
      </c>
      <c r="J56" s="848">
        <f t="shared" si="10"/>
        <v>1.091152093542449</v>
      </c>
      <c r="K56" s="592">
        <f>E56/E51</f>
        <v>1.2216012715032067</v>
      </c>
      <c r="L56" s="32"/>
      <c r="M56" s="844">
        <f t="shared" si="11"/>
        <v>71.020853404806758</v>
      </c>
      <c r="N56" s="9">
        <f>13*0.0431*N43+N43</f>
        <v>64.02604932239197</v>
      </c>
      <c r="O56" s="12">
        <f t="shared" si="12"/>
        <v>2.8980447870255999E-2</v>
      </c>
      <c r="P56" s="853">
        <f>1*0.043*P43+P55</f>
        <v>63.972704539901954</v>
      </c>
      <c r="Q56" s="853">
        <f t="shared" si="14"/>
        <v>64.044448069212351</v>
      </c>
      <c r="U56" s="14">
        <f>E56/E43</f>
        <v>1.7534612569950441</v>
      </c>
      <c r="V56" s="14">
        <f>E56/E43-1</f>
        <v>0.75346125699504407</v>
      </c>
      <c r="W56" s="907">
        <f>G56/G43-1</f>
        <v>0.42458769189556222</v>
      </c>
      <c r="X56" s="907">
        <f t="shared" si="13"/>
        <v>3.2660591684278595E-2</v>
      </c>
      <c r="Y56" s="907">
        <f>G56/G51-1</f>
        <v>0.1294735075176543</v>
      </c>
      <c r="Z56" s="907">
        <f t="shared" si="15"/>
        <v>2.5894701503534012E-2</v>
      </c>
    </row>
    <row r="57" spans="1:26" ht="15" customHeight="1" thickBot="1" x14ac:dyDescent="0.3">
      <c r="B57" s="577">
        <v>2013</v>
      </c>
      <c r="C57" s="582">
        <v>41478.895833333336</v>
      </c>
      <c r="D57" s="649">
        <v>69.049685035446799</v>
      </c>
      <c r="E57" s="650">
        <v>69.46348896255229</v>
      </c>
      <c r="F57" s="644">
        <f t="shared" si="8"/>
        <v>-3.4589935469598848E-2</v>
      </c>
      <c r="G57" s="660">
        <f t="shared" si="7"/>
        <v>67.453399999999874</v>
      </c>
      <c r="H57" s="658"/>
      <c r="I57" s="905">
        <f t="shared" si="9"/>
        <v>2.9799668549730922E-2</v>
      </c>
      <c r="J57" s="848">
        <f t="shared" si="10"/>
        <v>1.0297996685497308</v>
      </c>
      <c r="K57" s="592">
        <f>E57/E51</f>
        <v>1.1793461623523309</v>
      </c>
      <c r="L57" s="32"/>
      <c r="M57" s="844">
        <f t="shared" si="11"/>
        <v>74.081852186553917</v>
      </c>
      <c r="N57" s="9">
        <f>14*0.0431*N43+N43</f>
        <v>65.794634034175019</v>
      </c>
      <c r="O57" s="12">
        <f t="shared" si="12"/>
        <v>-3.4589935469598876E-2</v>
      </c>
      <c r="P57" s="853">
        <f>1*0.043*P43+P56</f>
        <v>65.737185806878088</v>
      </c>
      <c r="Q57" s="853">
        <f t="shared" si="14"/>
        <v>65.814448069212347</v>
      </c>
      <c r="U57" s="14">
        <f>E57/E43</f>
        <v>1.6928091452671439</v>
      </c>
      <c r="V57" s="14">
        <f>E57/E43-1</f>
        <v>0.69280914526714388</v>
      </c>
      <c r="W57" s="907">
        <f>G57/G43-1</f>
        <v>0.45724828357983105</v>
      </c>
      <c r="X57" s="907">
        <f t="shared" si="13"/>
        <v>3.2660591684268825E-2</v>
      </c>
      <c r="Y57" s="907">
        <f>G57/G51-1</f>
        <v>0.15536820902118054</v>
      </c>
      <c r="Z57" s="907">
        <f t="shared" si="15"/>
        <v>2.5894701503526241E-2</v>
      </c>
    </row>
    <row r="58" spans="1:26" ht="15" customHeight="1" thickBot="1" x14ac:dyDescent="0.3">
      <c r="B58" s="577">
        <v>2014</v>
      </c>
      <c r="C58" s="580">
        <v>41662.645833333336</v>
      </c>
      <c r="D58" s="649">
        <v>73.490709051831928</v>
      </c>
      <c r="E58" s="650">
        <v>73.931127338979849</v>
      </c>
      <c r="F58" s="644">
        <f t="shared" si="8"/>
        <v>6.4316354435292739E-2</v>
      </c>
      <c r="G58" s="660">
        <f t="shared" si="7"/>
        <v>68.965200000000095</v>
      </c>
      <c r="H58" s="658"/>
      <c r="I58" s="905">
        <f t="shared" si="9"/>
        <v>7.2006277644083488E-2</v>
      </c>
      <c r="J58" s="848">
        <f t="shared" si="10"/>
        <v>1.0720062776440835</v>
      </c>
      <c r="K58" s="592">
        <f>E58/E51</f>
        <v>1.2551974081320858</v>
      </c>
      <c r="L58" s="32"/>
      <c r="M58" s="844">
        <f t="shared" si="11"/>
        <v>77.274780015794391</v>
      </c>
      <c r="N58" s="9">
        <f>15*0.0431*N43+N43</f>
        <v>67.563218745958068</v>
      </c>
      <c r="O58" s="12">
        <f t="shared" si="12"/>
        <v>6.4316354435292711E-2</v>
      </c>
      <c r="P58" s="853">
        <f>1*0.043*P43+P57</f>
        <v>67.501667073854222</v>
      </c>
      <c r="Q58" s="853">
        <f t="shared" si="14"/>
        <v>67.584448069212343</v>
      </c>
      <c r="U58" s="14">
        <f>E58/E43</f>
        <v>1.8016844582454503</v>
      </c>
      <c r="V58" s="14">
        <f>E58/E43-1</f>
        <v>0.80168445824545032</v>
      </c>
      <c r="W58" s="907">
        <f>G58/G43-1</f>
        <v>0.48990887526410942</v>
      </c>
      <c r="X58" s="907">
        <f t="shared" si="13"/>
        <v>3.2660591684278373E-2</v>
      </c>
      <c r="Y58" s="907">
        <f>G58/G51-1</f>
        <v>0.18126291052471455</v>
      </c>
      <c r="Z58" s="907">
        <f t="shared" si="15"/>
        <v>2.5894701503534012E-2</v>
      </c>
    </row>
    <row r="59" spans="1:26" ht="15" customHeight="1" thickBot="1" x14ac:dyDescent="0.3">
      <c r="B59" s="577">
        <v>2015</v>
      </c>
      <c r="C59" s="580">
        <v>42010.625</v>
      </c>
      <c r="D59" s="649">
        <v>63.69</v>
      </c>
      <c r="E59" s="650">
        <v>64.92</v>
      </c>
      <c r="F59" s="644">
        <f t="shared" si="8"/>
        <v>-0.12188543125635218</v>
      </c>
      <c r="G59" s="660">
        <f t="shared" si="7"/>
        <v>70.476999999999862</v>
      </c>
      <c r="H59" s="658"/>
      <c r="I59" s="900">
        <f t="shared" si="9"/>
        <v>-7.8848418633027384E-2</v>
      </c>
      <c r="J59" s="848">
        <f t="shared" si="10"/>
        <v>0.92115158136697262</v>
      </c>
      <c r="K59" s="592">
        <f>E59/E51</f>
        <v>1.1022071307300509</v>
      </c>
      <c r="L59" s="32"/>
      <c r="M59" s="844">
        <f t="shared" si="11"/>
        <v>80.60532303447512</v>
      </c>
      <c r="N59" s="9">
        <f>16*0.0431*N43+N43</f>
        <v>69.331803457741117</v>
      </c>
      <c r="O59" s="12">
        <f t="shared" si="12"/>
        <v>-0.12188543125635221</v>
      </c>
      <c r="P59" s="853">
        <f>1*0.043*P43+P58</f>
        <v>69.266148340830355</v>
      </c>
      <c r="Q59" s="853">
        <f t="shared" si="14"/>
        <v>69.354448069212339</v>
      </c>
      <c r="U59" s="14">
        <f>E59/E43</f>
        <v>1.5820853710643366</v>
      </c>
      <c r="V59" s="14">
        <f>E59/E43-1</f>
        <v>0.58208537106433655</v>
      </c>
      <c r="W59" s="907">
        <f>G59/G43-1</f>
        <v>0.52256946694837825</v>
      </c>
      <c r="X59" s="907">
        <f t="shared" si="13"/>
        <v>3.2660591684268825E-2</v>
      </c>
      <c r="Y59" s="907">
        <f>G59/G51-1</f>
        <v>0.20715761202824079</v>
      </c>
      <c r="Z59" s="907">
        <f t="shared" si="15"/>
        <v>2.5894701503526241E-2</v>
      </c>
    </row>
    <row r="60" spans="1:26" ht="15" customHeight="1" thickBot="1" x14ac:dyDescent="0.3">
      <c r="B60" s="577">
        <v>2016</v>
      </c>
      <c r="C60" s="580">
        <v>42548.864583333336</v>
      </c>
      <c r="D60" s="649">
        <v>67.599999999999994</v>
      </c>
      <c r="E60" s="650">
        <v>67.599999999999994</v>
      </c>
      <c r="F60" s="644">
        <f t="shared" si="8"/>
        <v>4.1281577325939504E-2</v>
      </c>
      <c r="G60" s="660">
        <f t="shared" si="7"/>
        <v>71.988800000000083</v>
      </c>
      <c r="H60" s="658"/>
      <c r="I60" s="900">
        <f t="shared" si="9"/>
        <v>-6.0965039006068769E-2</v>
      </c>
      <c r="J60" s="848">
        <f t="shared" si="10"/>
        <v>0.93903496099393124</v>
      </c>
      <c r="K60" s="592">
        <f>E60/E51</f>
        <v>1.1477079796264855</v>
      </c>
      <c r="L60" s="32"/>
      <c r="M60" s="844">
        <f t="shared" si="11"/>
        <v>84.079412457260986</v>
      </c>
      <c r="N60" s="9">
        <f>17*0.0431*N43+N43</f>
        <v>71.100388169524166</v>
      </c>
      <c r="O60" s="12">
        <f t="shared" si="12"/>
        <v>4.12815773259394E-2</v>
      </c>
      <c r="P60" s="853">
        <f>1*0.043*P43+P59</f>
        <v>71.030629607806489</v>
      </c>
      <c r="Q60" s="853">
        <f t="shared" si="14"/>
        <v>71.124448069212335</v>
      </c>
      <c r="U60" s="14">
        <f>E60/E43</f>
        <v>1.6473963506461666</v>
      </c>
      <c r="V60" s="14">
        <f>E60/E43-1</f>
        <v>0.64739635064616663</v>
      </c>
      <c r="W60" s="907">
        <f>G60/G43-1</f>
        <v>0.55523005863265684</v>
      </c>
      <c r="X60" s="907">
        <f t="shared" si="13"/>
        <v>3.2660591684278595E-2</v>
      </c>
      <c r="Y60" s="907">
        <f>G60/G51-1</f>
        <v>0.2330523135317748</v>
      </c>
      <c r="Z60" s="907">
        <f t="shared" si="15"/>
        <v>2.5894701503534012E-2</v>
      </c>
    </row>
    <row r="61" spans="1:26" ht="15" customHeight="1" x14ac:dyDescent="0.25">
      <c r="B61" s="577">
        <v>2017</v>
      </c>
      <c r="C61" s="580">
        <v>42766.614583333336</v>
      </c>
      <c r="D61" s="649">
        <v>71.62</v>
      </c>
      <c r="E61" s="650">
        <v>72.900000000000006</v>
      </c>
      <c r="F61" s="644">
        <f t="shared" si="8"/>
        <v>7.8402366863905504E-2</v>
      </c>
      <c r="G61" s="660">
        <f t="shared" si="7"/>
        <v>73.500599999999849</v>
      </c>
      <c r="H61" s="658">
        <f>E61</f>
        <v>72.900000000000006</v>
      </c>
      <c r="I61" s="900">
        <f t="shared" si="9"/>
        <v>-8.1713618664316333E-3</v>
      </c>
      <c r="J61" s="848">
        <f t="shared" si="10"/>
        <v>0.99182863813356836</v>
      </c>
      <c r="K61" s="592">
        <f>E61/E51</f>
        <v>1.2376910016977929</v>
      </c>
      <c r="L61" s="32">
        <v>75</v>
      </c>
      <c r="M61" s="844">
        <f t="shared" si="11"/>
        <v>87.703235134168921</v>
      </c>
      <c r="N61" s="9">
        <f>18*0.0431*N43+N43</f>
        <v>72.868972881307229</v>
      </c>
      <c r="O61" s="12">
        <f t="shared" si="12"/>
        <v>7.8402366863905559E-2</v>
      </c>
      <c r="P61" s="853">
        <f>1*0.043*P43+P60</f>
        <v>72.795110874782623</v>
      </c>
      <c r="Q61" s="853">
        <f t="shared" si="14"/>
        <v>72.894448069212331</v>
      </c>
      <c r="U61" s="14">
        <f>E61/E43</f>
        <v>1.7765561236997864</v>
      </c>
      <c r="V61" s="14">
        <f>E61/E43-1</f>
        <v>0.77655612369978644</v>
      </c>
      <c r="W61" s="907">
        <f>G61/G43-1</f>
        <v>0.58789065031692544</v>
      </c>
      <c r="X61" s="907">
        <f t="shared" si="13"/>
        <v>3.2660591684268603E-2</v>
      </c>
      <c r="Y61" s="907">
        <f>G61/G51-1</f>
        <v>0.25894701503530104</v>
      </c>
      <c r="Z61" s="907">
        <f t="shared" si="15"/>
        <v>2.5894701503526241E-2</v>
      </c>
    </row>
    <row r="62" spans="1:26" ht="15" customHeight="1" x14ac:dyDescent="0.25">
      <c r="B62" s="583">
        <v>2018</v>
      </c>
      <c r="C62" s="720">
        <v>2018</v>
      </c>
      <c r="D62" s="651"/>
      <c r="E62" s="652"/>
      <c r="F62" s="645"/>
      <c r="G62" s="660">
        <f>1.5118*B62-2975.8</f>
        <v>75.012400000000071</v>
      </c>
      <c r="H62" s="661">
        <f>0.043*H61+H61+5.55</f>
        <v>81.584699999999998</v>
      </c>
      <c r="I62" s="701"/>
      <c r="J62" s="898"/>
      <c r="K62" s="687"/>
      <c r="L62" s="32">
        <v>75</v>
      </c>
      <c r="M62" s="844"/>
      <c r="N62" s="846" t="s">
        <v>335</v>
      </c>
      <c r="O62" s="842"/>
      <c r="S62">
        <f>5/0.9</f>
        <v>5.5555555555555554</v>
      </c>
      <c r="T62" s="762">
        <f>1.7703+H61+5.55</f>
        <v>80.220300000000009</v>
      </c>
      <c r="U62" s="14">
        <f>AVERAGE(U43:U61)</f>
        <v>1.4581548104204394</v>
      </c>
      <c r="V62" s="14">
        <f>AVERAGE(V43:V61)</f>
        <v>0.45815481042043937</v>
      </c>
    </row>
    <row r="63" spans="1:26" ht="15" customHeight="1" x14ac:dyDescent="0.25">
      <c r="B63" s="583">
        <v>2019</v>
      </c>
      <c r="C63" s="720">
        <v>2019</v>
      </c>
      <c r="D63" s="651"/>
      <c r="E63" s="652"/>
      <c r="F63" s="645"/>
      <c r="G63" s="660">
        <f t="shared" ref="G63:G71" si="16">1.5118*B63-2975.8</f>
        <v>76.524199999999837</v>
      </c>
      <c r="H63" s="661">
        <f>0.043*H61+H62</f>
        <v>84.719399999999993</v>
      </c>
      <c r="I63" s="701"/>
      <c r="J63" s="898"/>
      <c r="K63" s="687"/>
      <c r="L63" s="32">
        <v>75</v>
      </c>
      <c r="M63" s="844"/>
      <c r="N63" s="9"/>
      <c r="O63" s="842"/>
      <c r="T63" s="762">
        <f>1.7703+H62</f>
        <v>83.355000000000004</v>
      </c>
      <c r="U63" s="14">
        <f>U62/18</f>
        <v>8.1008600578913292E-2</v>
      </c>
      <c r="V63" s="14">
        <f>V62/18</f>
        <v>2.5453045023357743E-2</v>
      </c>
    </row>
    <row r="64" spans="1:26" ht="15" customHeight="1" x14ac:dyDescent="0.25">
      <c r="B64" s="583">
        <v>2020</v>
      </c>
      <c r="C64" s="720">
        <v>2020</v>
      </c>
      <c r="D64" s="651"/>
      <c r="E64" s="652"/>
      <c r="F64" s="645"/>
      <c r="G64" s="660">
        <f t="shared" si="16"/>
        <v>78.036000000000058</v>
      </c>
      <c r="H64" s="661">
        <f>0.043*H61+H63</f>
        <v>87.854099999999988</v>
      </c>
      <c r="I64" s="701"/>
      <c r="J64" s="898"/>
      <c r="K64" s="687"/>
      <c r="L64" s="32">
        <v>75</v>
      </c>
      <c r="M64" s="844"/>
      <c r="N64" s="9"/>
      <c r="O64" s="842"/>
      <c r="T64" s="762">
        <f t="shared" ref="T64:T71" si="17">1.7703+H63</f>
        <v>86.489699999999999</v>
      </c>
    </row>
    <row r="65" spans="2:25" ht="15" customHeight="1" x14ac:dyDescent="0.25">
      <c r="B65" s="583">
        <v>2021</v>
      </c>
      <c r="C65" s="720">
        <v>2021</v>
      </c>
      <c r="D65" s="651"/>
      <c r="E65" s="652"/>
      <c r="F65" s="645"/>
      <c r="G65" s="660">
        <f t="shared" si="16"/>
        <v>79.547799999999825</v>
      </c>
      <c r="H65" s="661">
        <f>0.043*H61+H64</f>
        <v>90.988799999999983</v>
      </c>
      <c r="I65" s="701"/>
      <c r="J65" s="898"/>
      <c r="K65" s="687"/>
      <c r="L65" s="32">
        <v>75</v>
      </c>
      <c r="M65" s="844"/>
      <c r="N65" s="9"/>
      <c r="O65" s="842"/>
      <c r="T65" s="762">
        <f t="shared" si="17"/>
        <v>89.624399999999994</v>
      </c>
      <c r="V65" s="906">
        <f>V61/18</f>
        <v>4.3142006872210356E-2</v>
      </c>
      <c r="W65" s="14">
        <f>W61/18</f>
        <v>3.2660591684273634E-2</v>
      </c>
      <c r="Y65" s="14">
        <f>Y61/10</f>
        <v>2.5894701503530106E-2</v>
      </c>
    </row>
    <row r="66" spans="2:25" ht="15" customHeight="1" x14ac:dyDescent="0.25">
      <c r="B66" s="583">
        <v>2022</v>
      </c>
      <c r="C66" s="720">
        <v>2022</v>
      </c>
      <c r="D66" s="653"/>
      <c r="E66" s="654"/>
      <c r="F66" s="645"/>
      <c r="G66" s="660">
        <f t="shared" si="16"/>
        <v>81.059600000000046</v>
      </c>
      <c r="H66" s="661">
        <f>0.043*H61+H65</f>
        <v>94.123499999999979</v>
      </c>
      <c r="I66" s="701"/>
      <c r="J66" s="898"/>
      <c r="K66" s="687"/>
      <c r="L66" s="32">
        <v>75</v>
      </c>
      <c r="M66" s="844"/>
      <c r="N66" s="9"/>
      <c r="O66" s="842"/>
      <c r="T66" s="762">
        <f t="shared" si="17"/>
        <v>92.759099999999989</v>
      </c>
    </row>
    <row r="67" spans="2:25" ht="15" customHeight="1" x14ac:dyDescent="0.25">
      <c r="B67" s="583">
        <v>2023</v>
      </c>
      <c r="C67" s="720">
        <v>2023</v>
      </c>
      <c r="D67" s="653"/>
      <c r="E67" s="654"/>
      <c r="F67" s="645"/>
      <c r="G67" s="660">
        <f t="shared" si="16"/>
        <v>82.571399999999812</v>
      </c>
      <c r="H67" s="661">
        <f>0.043*H61+H66</f>
        <v>97.258199999999974</v>
      </c>
      <c r="I67" s="701"/>
      <c r="J67" s="898"/>
      <c r="K67" s="687"/>
      <c r="L67" s="32">
        <v>75</v>
      </c>
      <c r="M67" s="844"/>
      <c r="N67" s="9"/>
      <c r="O67" s="842"/>
      <c r="T67" s="762">
        <f t="shared" si="17"/>
        <v>95.893799999999985</v>
      </c>
    </row>
    <row r="68" spans="2:25" ht="15" customHeight="1" x14ac:dyDescent="0.25">
      <c r="B68" s="583">
        <v>2024</v>
      </c>
      <c r="C68" s="721">
        <v>2024</v>
      </c>
      <c r="D68" s="651"/>
      <c r="E68" s="652"/>
      <c r="F68" s="645"/>
      <c r="G68" s="660">
        <f t="shared" si="16"/>
        <v>84.083200000000033</v>
      </c>
      <c r="H68" s="661">
        <f>0.043*H61+H67</f>
        <v>100.39289999999997</v>
      </c>
      <c r="I68" s="701"/>
      <c r="J68" s="898"/>
      <c r="K68" s="687"/>
      <c r="L68" s="32">
        <v>75</v>
      </c>
      <c r="M68" s="844"/>
      <c r="N68" s="9"/>
      <c r="O68" s="845">
        <f>(E61/E43-1)/18</f>
        <v>4.3142006872210356E-2</v>
      </c>
      <c r="P68" s="11">
        <f>18*0.0431</f>
        <v>0.77580000000000005</v>
      </c>
      <c r="Q68">
        <f>0.7758*E43+E43</f>
        <v>72.868972881307229</v>
      </c>
      <c r="T68" s="762">
        <f t="shared" si="17"/>
        <v>99.02849999999998</v>
      </c>
    </row>
    <row r="69" spans="2:25" ht="15" customHeight="1" x14ac:dyDescent="0.25">
      <c r="B69" s="583">
        <v>2025</v>
      </c>
      <c r="C69" s="721">
        <v>2025</v>
      </c>
      <c r="D69" s="651"/>
      <c r="E69" s="652"/>
      <c r="F69" s="645"/>
      <c r="G69" s="660">
        <f t="shared" si="16"/>
        <v>85.5949999999998</v>
      </c>
      <c r="H69" s="661">
        <f>0.043*H61+H68</f>
        <v>103.52759999999996</v>
      </c>
      <c r="I69" s="701"/>
      <c r="J69" s="898"/>
      <c r="K69" s="687"/>
      <c r="L69" s="32">
        <v>75</v>
      </c>
      <c r="M69" s="844"/>
      <c r="N69" s="9"/>
      <c r="O69" s="842"/>
      <c r="T69" s="762">
        <f t="shared" si="17"/>
        <v>102.16319999999997</v>
      </c>
    </row>
    <row r="70" spans="2:25" ht="15" customHeight="1" x14ac:dyDescent="0.25">
      <c r="B70" s="585">
        <v>2026</v>
      </c>
      <c r="C70" s="721">
        <v>2026</v>
      </c>
      <c r="D70" s="651"/>
      <c r="E70" s="652"/>
      <c r="F70" s="645"/>
      <c r="G70" s="660">
        <f t="shared" si="16"/>
        <v>87.106800000000021</v>
      </c>
      <c r="H70" s="661">
        <f>0.043*H61+H69</f>
        <v>106.66229999999996</v>
      </c>
      <c r="I70" s="701"/>
      <c r="J70" s="898"/>
      <c r="K70" s="687"/>
      <c r="L70" s="32">
        <v>75</v>
      </c>
      <c r="M70" s="844"/>
      <c r="N70" s="9"/>
      <c r="O70" s="842"/>
      <c r="T70" s="762">
        <f t="shared" si="17"/>
        <v>105.29789999999997</v>
      </c>
    </row>
    <row r="71" spans="2:25" ht="15" customHeight="1" thickBot="1" x14ac:dyDescent="0.3">
      <c r="B71" s="585">
        <v>2027</v>
      </c>
      <c r="C71" s="722">
        <v>2027</v>
      </c>
      <c r="D71" s="655"/>
      <c r="E71" s="656"/>
      <c r="F71" s="646"/>
      <c r="G71" s="662">
        <f t="shared" si="16"/>
        <v>88.618599999999788</v>
      </c>
      <c r="H71" s="663">
        <f>0.043*H61+H70</f>
        <v>109.79699999999995</v>
      </c>
      <c r="I71" s="714"/>
      <c r="J71" s="899"/>
      <c r="K71" s="735"/>
      <c r="L71" s="32">
        <v>75</v>
      </c>
      <c r="M71" s="844"/>
      <c r="N71" s="9"/>
      <c r="O71" s="842"/>
      <c r="T71" s="762">
        <f t="shared" si="17"/>
        <v>108.43259999999997</v>
      </c>
    </row>
    <row r="72" spans="2:25" ht="15" customHeight="1" x14ac:dyDescent="0.25">
      <c r="D72" s="9"/>
      <c r="E72" s="12">
        <f>(E61-E43)/E43</f>
        <v>0.77655612369978644</v>
      </c>
      <c r="F72" s="439">
        <f>E72/18</f>
        <v>4.3142006872210356E-2</v>
      </c>
      <c r="G72" s="9">
        <f>1.7766*E43</f>
        <v>72.901800439762582</v>
      </c>
      <c r="H72" s="851"/>
      <c r="I72" s="850">
        <f>SUM(I46+I47+I48+I49+I51+I55+I56+I57+I58)/9</f>
        <v>5.4951890983982121E-2</v>
      </c>
      <c r="J72" s="11"/>
      <c r="K72" s="11"/>
      <c r="M72" s="7"/>
      <c r="N72" s="12"/>
      <c r="O72" s="817"/>
    </row>
    <row r="73" spans="2:25" ht="15" customHeight="1" x14ac:dyDescent="0.25">
      <c r="F73" s="12"/>
      <c r="M73" s="7"/>
      <c r="N73" s="5"/>
      <c r="O73" s="817"/>
    </row>
    <row r="74" spans="2:25" x14ac:dyDescent="0.25">
      <c r="D74" s="5">
        <f>B61-B43</f>
        <v>18</v>
      </c>
      <c r="E74" s="5" t="s">
        <v>344</v>
      </c>
      <c r="F74" s="847">
        <f>(E61-E43)/18</f>
        <v>1.7703084405993164</v>
      </c>
      <c r="G74" s="850">
        <f>(F74/E43)</f>
        <v>4.3142006872210356E-2</v>
      </c>
      <c r="H74" s="5">
        <f>E61/E43</f>
        <v>1.7765561236997864</v>
      </c>
      <c r="I74" s="9">
        <f>E61-E43</f>
        <v>31.865551930787696</v>
      </c>
      <c r="J74" s="14">
        <f>I74/E43</f>
        <v>0.77655612369978644</v>
      </c>
      <c r="K74" s="14">
        <f>J74/18</f>
        <v>4.3142006872210356E-2</v>
      </c>
    </row>
    <row r="75" spans="2:25" x14ac:dyDescent="0.25">
      <c r="F75" s="9">
        <f>18*1.77+E43</f>
        <v>72.894448069212302</v>
      </c>
      <c r="K75">
        <f>K74*18</f>
        <v>0.77655612369978644</v>
      </c>
      <c r="N75" s="260"/>
      <c r="Q75" s="260"/>
    </row>
    <row r="76" spans="2:25" x14ac:dyDescent="0.25">
      <c r="F76" s="9"/>
      <c r="G76" s="855">
        <f>(G61-G43)</f>
        <v>27.212399999999889</v>
      </c>
      <c r="N76" s="260"/>
    </row>
    <row r="77" spans="2:25" x14ac:dyDescent="0.25">
      <c r="G77" s="856">
        <f>B61-B43</f>
        <v>18</v>
      </c>
      <c r="L77" s="1"/>
      <c r="M77" s="1"/>
    </row>
    <row r="78" spans="2:25" x14ac:dyDescent="0.25">
      <c r="F78" s="5" t="s">
        <v>344</v>
      </c>
      <c r="G78" s="856">
        <f>G76/G77</f>
        <v>1.5117999999999938</v>
      </c>
      <c r="H78" s="12">
        <f>G78/G43</f>
        <v>3.266059168427364E-2</v>
      </c>
      <c r="L78" s="5"/>
      <c r="M78" s="5"/>
    </row>
    <row r="79" spans="2:25" x14ac:dyDescent="0.25">
      <c r="L79" s="10"/>
      <c r="M79" s="7"/>
    </row>
    <row r="80" spans="2:25" x14ac:dyDescent="0.25">
      <c r="G80" s="5">
        <f>(G61-G51)/10</f>
        <v>1.5117999999999938</v>
      </c>
      <c r="H80" s="12">
        <f>G80/G51</f>
        <v>2.5894701503530095E-2</v>
      </c>
      <c r="L80" s="10"/>
      <c r="M80" s="7"/>
    </row>
    <row r="81" spans="5:16" x14ac:dyDescent="0.25">
      <c r="E81" s="9"/>
      <c r="F81" s="9">
        <f>E61-E43</f>
        <v>31.865551930787696</v>
      </c>
      <c r="G81" s="9">
        <f>(E61-E51)</f>
        <v>14.000000000000007</v>
      </c>
      <c r="H81" s="894" t="s">
        <v>348</v>
      </c>
      <c r="J81" s="533">
        <f>G61-G43</f>
        <v>27.212399999999889</v>
      </c>
      <c r="K81" s="215" t="s">
        <v>353</v>
      </c>
      <c r="L81" s="11">
        <f>G61-G51</f>
        <v>15.117999999999938</v>
      </c>
      <c r="M81" s="11">
        <f>0.055*H61</f>
        <v>4.0095000000000001</v>
      </c>
      <c r="O81" s="817"/>
      <c r="P81" s="9"/>
    </row>
    <row r="82" spans="5:16" x14ac:dyDescent="0.25">
      <c r="F82" s="5">
        <f>31.87/18</f>
        <v>1.7705555555555557</v>
      </c>
      <c r="G82" s="5">
        <f>14/10</f>
        <v>1.4</v>
      </c>
      <c r="J82" s="495">
        <f>J81/18</f>
        <v>1.5117999999999938</v>
      </c>
      <c r="K82" s="215" t="s">
        <v>349</v>
      </c>
      <c r="L82">
        <f>L81/10</f>
        <v>1.5117999999999938</v>
      </c>
      <c r="O82" s="817"/>
      <c r="P82" s="9"/>
    </row>
    <row r="83" spans="5:16" x14ac:dyDescent="0.25">
      <c r="F83" s="12">
        <f>F82/E43</f>
        <v>4.3148029006486961E-2</v>
      </c>
      <c r="G83" s="12">
        <f>G82/E51</f>
        <v>2.3769100169779286E-2</v>
      </c>
      <c r="J83" s="533">
        <f>G61-G60</f>
        <v>1.5117999999997664</v>
      </c>
      <c r="O83" s="817"/>
      <c r="P83" s="9"/>
    </row>
    <row r="84" spans="5:16" x14ac:dyDescent="0.25">
      <c r="J84" s="14">
        <f>J82/G43</f>
        <v>3.266059168427364E-2</v>
      </c>
      <c r="O84" s="817"/>
      <c r="P84" s="9"/>
    </row>
    <row r="85" spans="5:16" x14ac:dyDescent="0.25">
      <c r="J85" s="14">
        <f>J82/G51</f>
        <v>2.5894701503530095E-2</v>
      </c>
      <c r="O85" s="817"/>
      <c r="P85" s="9"/>
    </row>
    <row r="86" spans="5:16" x14ac:dyDescent="0.25">
      <c r="J86" s="14"/>
      <c r="O86" s="817">
        <v>2017</v>
      </c>
      <c r="P86" s="9">
        <v>40</v>
      </c>
    </row>
    <row r="87" spans="5:16" x14ac:dyDescent="0.25">
      <c r="J87" s="14"/>
      <c r="O87" s="817">
        <v>2017</v>
      </c>
      <c r="P87" s="9">
        <v>50</v>
      </c>
    </row>
    <row r="88" spans="5:16" x14ac:dyDescent="0.25">
      <c r="O88" s="817">
        <v>2017</v>
      </c>
      <c r="P88" s="9">
        <v>60</v>
      </c>
    </row>
    <row r="89" spans="5:16" x14ac:dyDescent="0.25">
      <c r="O89" s="817">
        <v>2017</v>
      </c>
      <c r="P89" s="9">
        <v>80</v>
      </c>
    </row>
    <row r="90" spans="5:16" x14ac:dyDescent="0.25">
      <c r="O90" s="817">
        <v>2017</v>
      </c>
      <c r="P90" s="9">
        <v>110</v>
      </c>
    </row>
    <row r="91" spans="5:16" x14ac:dyDescent="0.25">
      <c r="O91" s="817">
        <v>2017</v>
      </c>
      <c r="P91" s="9">
        <v>130</v>
      </c>
    </row>
    <row r="94" spans="5:16" x14ac:dyDescent="0.25">
      <c r="O94"/>
    </row>
    <row r="95" spans="5:16" x14ac:dyDescent="0.25">
      <c r="O95"/>
    </row>
    <row r="109" spans="1:26" s="10" customFormat="1" ht="18" customHeight="1" x14ac:dyDescent="0.25">
      <c r="A109" s="857"/>
      <c r="B109" s="857"/>
      <c r="C109" s="857"/>
      <c r="D109" s="857"/>
      <c r="E109" s="857"/>
      <c r="F109" s="857"/>
      <c r="G109" s="857"/>
      <c r="H109" s="857"/>
      <c r="I109" s="857"/>
      <c r="J109" s="857"/>
      <c r="K109" s="857"/>
      <c r="L109" s="857"/>
      <c r="M109" s="857"/>
      <c r="N109" s="857"/>
      <c r="O109" s="857"/>
      <c r="P109" s="1004"/>
      <c r="Q109" s="857"/>
      <c r="R109" s="857"/>
      <c r="S109" s="857"/>
      <c r="T109" s="857"/>
      <c r="U109" s="903"/>
      <c r="V109" s="386"/>
      <c r="W109" s="386"/>
      <c r="Y109" s="386"/>
      <c r="Z109" s="386"/>
    </row>
    <row r="110" spans="1:26" s="10" customFormat="1" ht="15" customHeight="1" x14ac:dyDescent="0.25">
      <c r="A110" s="857"/>
      <c r="B110" s="857"/>
      <c r="C110" s="857"/>
      <c r="D110" s="857"/>
      <c r="E110" s="857"/>
      <c r="F110" s="857"/>
      <c r="G110" s="857"/>
      <c r="H110" s="857"/>
      <c r="I110" s="857"/>
      <c r="J110" s="857"/>
      <c r="K110" s="857"/>
      <c r="L110" s="857"/>
      <c r="M110" s="857"/>
      <c r="N110" s="857"/>
      <c r="O110" s="857"/>
      <c r="P110" s="1004"/>
      <c r="Q110" s="857"/>
      <c r="R110" s="857"/>
      <c r="S110" s="857"/>
      <c r="T110" s="857"/>
      <c r="U110" s="903"/>
      <c r="V110" s="386"/>
      <c r="W110" s="386"/>
      <c r="Y110" s="386"/>
      <c r="Z110" s="386"/>
    </row>
    <row r="111" spans="1:26" s="10" customFormat="1" ht="12.95" customHeight="1" x14ac:dyDescent="0.25">
      <c r="A111" s="857"/>
      <c r="B111" s="857"/>
      <c r="C111" s="857"/>
      <c r="D111" s="857"/>
      <c r="E111" s="857"/>
      <c r="F111" s="857"/>
      <c r="G111" s="857"/>
      <c r="H111" s="857"/>
      <c r="I111" s="857"/>
      <c r="J111" s="857"/>
      <c r="K111" s="857"/>
      <c r="L111" s="857"/>
      <c r="M111" s="857"/>
      <c r="N111" s="857"/>
      <c r="O111" s="857"/>
      <c r="P111" s="1004"/>
      <c r="Q111" s="857"/>
      <c r="R111" s="857"/>
      <c r="S111" s="857"/>
      <c r="T111" s="857"/>
      <c r="U111" s="903"/>
      <c r="V111" s="386"/>
      <c r="W111" s="386"/>
      <c r="Y111" s="386"/>
      <c r="Z111" s="386"/>
    </row>
    <row r="112" spans="1:26" s="10" customFormat="1" ht="15.75" customHeight="1" x14ac:dyDescent="0.25">
      <c r="A112" s="857"/>
      <c r="B112" s="857"/>
      <c r="C112" s="857"/>
      <c r="D112" s="857"/>
      <c r="E112" s="857"/>
      <c r="F112" s="857"/>
      <c r="G112" s="857"/>
      <c r="H112" s="857"/>
      <c r="I112" s="857"/>
      <c r="J112" s="857"/>
      <c r="K112" s="857"/>
      <c r="L112" s="857"/>
      <c r="M112" s="857"/>
      <c r="N112" s="857"/>
      <c r="O112" s="857"/>
      <c r="P112" s="1004"/>
      <c r="Q112" s="857"/>
      <c r="R112" s="857"/>
      <c r="S112" s="857"/>
      <c r="T112" s="857"/>
      <c r="U112" s="903"/>
      <c r="V112" s="386"/>
      <c r="W112" s="386"/>
      <c r="Y112" s="386"/>
      <c r="Z112" s="386"/>
    </row>
    <row r="113" spans="1:26" s="10" customFormat="1" ht="18" customHeight="1" x14ac:dyDescent="0.25">
      <c r="A113" s="857"/>
      <c r="B113" s="857"/>
      <c r="C113" s="857"/>
      <c r="D113" s="857"/>
      <c r="E113" s="857"/>
      <c r="F113" s="857"/>
      <c r="G113" s="857"/>
      <c r="H113" s="857"/>
      <c r="I113" s="857"/>
      <c r="J113" s="857"/>
      <c r="K113" s="857"/>
      <c r="L113" s="857"/>
      <c r="M113" s="857"/>
      <c r="N113" s="857"/>
      <c r="O113" s="857"/>
      <c r="P113" s="1004"/>
      <c r="Q113" s="857"/>
      <c r="R113" s="857"/>
      <c r="S113" s="857"/>
      <c r="T113" s="857"/>
      <c r="U113" s="903"/>
      <c r="V113" s="386"/>
      <c r="W113" s="386"/>
      <c r="Y113" s="386"/>
      <c r="Z113" s="386"/>
    </row>
    <row r="114" spans="1:26" s="10" customFormat="1" ht="19.5" customHeight="1" x14ac:dyDescent="0.25">
      <c r="A114" s="857"/>
      <c r="B114" s="857"/>
      <c r="C114" s="857"/>
      <c r="D114" s="857"/>
      <c r="E114" s="857"/>
      <c r="F114" s="857"/>
      <c r="G114" s="857"/>
      <c r="H114" s="857"/>
      <c r="I114" s="857"/>
      <c r="J114" s="857"/>
      <c r="K114" s="857"/>
      <c r="L114" s="857"/>
      <c r="M114" s="857"/>
      <c r="N114" s="857"/>
      <c r="O114" s="857"/>
      <c r="P114" s="1004"/>
      <c r="Q114" s="857"/>
      <c r="R114" s="857"/>
      <c r="S114" s="857"/>
      <c r="T114" s="857"/>
      <c r="U114" s="903"/>
      <c r="V114" s="386"/>
      <c r="W114" s="386"/>
      <c r="Y114" s="386"/>
      <c r="Z114" s="386"/>
    </row>
    <row r="115" spans="1:26" s="10" customFormat="1" ht="15" customHeight="1" x14ac:dyDescent="0.25">
      <c r="A115" s="857"/>
      <c r="B115" s="857"/>
      <c r="C115" s="857"/>
      <c r="D115" s="857"/>
      <c r="E115" s="857"/>
      <c r="F115" s="857"/>
      <c r="G115" s="857"/>
      <c r="H115" s="857"/>
      <c r="I115" s="857"/>
      <c r="J115" s="857"/>
      <c r="K115" s="857"/>
      <c r="L115" s="857"/>
      <c r="M115" s="857"/>
      <c r="N115" s="857"/>
      <c r="O115" s="857"/>
      <c r="P115" s="1004"/>
      <c r="Q115" s="857"/>
      <c r="R115" s="857"/>
      <c r="S115" s="857"/>
      <c r="T115" s="857"/>
      <c r="U115" s="903"/>
      <c r="V115" s="386"/>
      <c r="W115" s="386"/>
      <c r="Y115" s="386"/>
      <c r="Z115" s="386"/>
    </row>
    <row r="116" spans="1:26" s="10" customFormat="1" ht="15" customHeight="1" x14ac:dyDescent="0.25">
      <c r="A116" s="857"/>
      <c r="B116" s="857"/>
      <c r="C116" s="857"/>
      <c r="D116" s="857"/>
      <c r="E116" s="857"/>
      <c r="F116" s="857"/>
      <c r="G116" s="857"/>
      <c r="H116" s="857"/>
      <c r="I116" s="857"/>
      <c r="J116" s="857"/>
      <c r="K116" s="857"/>
      <c r="L116" s="857"/>
      <c r="M116" s="857"/>
      <c r="N116" s="857"/>
      <c r="O116" s="857"/>
      <c r="P116" s="1004"/>
      <c r="Q116" s="857"/>
      <c r="R116" s="857"/>
      <c r="S116" s="857"/>
      <c r="T116" s="857"/>
      <c r="U116" s="903"/>
      <c r="V116" s="386"/>
      <c r="W116" s="386"/>
      <c r="Y116" s="386"/>
      <c r="Z116" s="386"/>
    </row>
    <row r="117" spans="1:26" s="10" customFormat="1" ht="15" customHeight="1" x14ac:dyDescent="0.25">
      <c r="A117" s="857"/>
      <c r="B117" s="857"/>
      <c r="C117" s="857"/>
      <c r="D117" s="857"/>
      <c r="E117" s="857"/>
      <c r="F117" s="857"/>
      <c r="G117" s="857"/>
      <c r="H117" s="857"/>
      <c r="I117" s="857"/>
      <c r="J117" s="857"/>
      <c r="K117" s="857"/>
      <c r="L117" s="857"/>
      <c r="M117" s="857"/>
      <c r="N117" s="857"/>
      <c r="O117" s="857"/>
      <c r="P117" s="1004"/>
      <c r="Q117" s="857"/>
      <c r="R117" s="857"/>
      <c r="S117" s="857"/>
      <c r="T117" s="857"/>
      <c r="U117" s="903"/>
      <c r="V117" s="386"/>
      <c r="W117" s="386"/>
      <c r="Y117" s="386"/>
      <c r="Z117" s="386"/>
    </row>
    <row r="118" spans="1:26" s="10" customFormat="1" ht="15" customHeight="1" x14ac:dyDescent="0.25">
      <c r="A118" s="857"/>
      <c r="B118" s="857"/>
      <c r="C118" s="857"/>
      <c r="D118" s="857"/>
      <c r="E118" s="857"/>
      <c r="F118" s="857"/>
      <c r="G118" s="857"/>
      <c r="H118" s="857"/>
      <c r="I118" s="857"/>
      <c r="J118" s="857"/>
      <c r="K118" s="857"/>
      <c r="L118" s="857"/>
      <c r="M118" s="857"/>
      <c r="N118" s="857"/>
      <c r="O118" s="857"/>
      <c r="P118" s="1004"/>
      <c r="Q118" s="857"/>
      <c r="R118" s="857"/>
      <c r="S118" s="857"/>
      <c r="T118" s="857"/>
      <c r="U118" s="903"/>
      <c r="V118" s="386"/>
      <c r="W118" s="386"/>
      <c r="Y118" s="386"/>
      <c r="Z118" s="386"/>
    </row>
    <row r="119" spans="1:26" ht="15" customHeight="1" x14ac:dyDescent="0.25">
      <c r="A119" s="857"/>
      <c r="B119" s="857"/>
      <c r="C119" s="857"/>
      <c r="D119" s="857"/>
      <c r="E119" s="857"/>
      <c r="F119" s="857"/>
      <c r="G119" s="857"/>
      <c r="H119" s="857"/>
      <c r="I119" s="857"/>
      <c r="J119" s="857"/>
      <c r="K119" s="857"/>
      <c r="L119" s="857"/>
      <c r="M119" s="857"/>
      <c r="N119" s="857"/>
      <c r="O119" s="857"/>
      <c r="P119" s="1004"/>
      <c r="Q119" s="857"/>
      <c r="R119" s="857"/>
      <c r="S119" s="857"/>
      <c r="T119" s="857"/>
      <c r="U119" s="903"/>
    </row>
    <row r="125" spans="1:26" ht="15.75" thickBot="1" x14ac:dyDescent="0.3"/>
    <row r="126" spans="1:26" x14ac:dyDescent="0.25">
      <c r="F126" s="1066">
        <v>2017</v>
      </c>
      <c r="G126" s="1064"/>
      <c r="H126" s="1106"/>
      <c r="I126" s="1063">
        <f>+F126+1</f>
        <v>2018</v>
      </c>
      <c r="J126" s="1064"/>
      <c r="K126" s="1065"/>
      <c r="L126" s="1066">
        <f>+I126+1</f>
        <v>2019</v>
      </c>
      <c r="M126" s="1064"/>
      <c r="N126" s="1106"/>
      <c r="O126" s="1063">
        <f>+L126+1</f>
        <v>2020</v>
      </c>
      <c r="P126" s="1064"/>
      <c r="Q126" s="1065"/>
      <c r="R126" s="1066">
        <f>+O126+1</f>
        <v>2021</v>
      </c>
      <c r="S126" s="1064"/>
      <c r="T126" s="1065"/>
    </row>
    <row r="127" spans="1:26" x14ac:dyDescent="0.25">
      <c r="B127" s="1148" t="s">
        <v>1</v>
      </c>
      <c r="C127" s="666" t="s">
        <v>24</v>
      </c>
      <c r="D127" s="641">
        <v>55</v>
      </c>
      <c r="E127" s="1138">
        <v>105</v>
      </c>
      <c r="F127" s="1139">
        <v>105</v>
      </c>
      <c r="G127" s="1142">
        <v>70.630042097966594</v>
      </c>
      <c r="H127" s="1132">
        <v>0.67266706759968187</v>
      </c>
      <c r="I127" s="1139">
        <v>105</v>
      </c>
      <c r="J127" s="1129">
        <v>73.667133908179153</v>
      </c>
      <c r="K127" s="1132">
        <v>0.70159175150646813</v>
      </c>
      <c r="L127" s="1135">
        <v>105</v>
      </c>
      <c r="M127" s="1129">
        <v>76.834820666230854</v>
      </c>
      <c r="N127" s="1132">
        <v>0.73176019682124627</v>
      </c>
      <c r="O127" s="1149">
        <v>105</v>
      </c>
      <c r="P127" s="1157">
        <v>80.138717954878771</v>
      </c>
      <c r="Q127" s="1132">
        <v>0.7632258852845597</v>
      </c>
      <c r="R127" s="1145">
        <v>105</v>
      </c>
      <c r="S127" s="1129">
        <v>83.584682826938547</v>
      </c>
      <c r="T127" s="1132">
        <v>0.79604459835179564</v>
      </c>
    </row>
    <row r="128" spans="1:26" x14ac:dyDescent="0.25">
      <c r="B128" s="1148"/>
      <c r="C128" s="666" t="s">
        <v>24</v>
      </c>
      <c r="D128" s="641">
        <v>25</v>
      </c>
      <c r="E128" s="1138"/>
      <c r="F128" s="1140"/>
      <c r="G128" s="1143"/>
      <c r="H128" s="1133"/>
      <c r="I128" s="1140"/>
      <c r="J128" s="1130"/>
      <c r="K128" s="1133"/>
      <c r="L128" s="1136"/>
      <c r="M128" s="1130"/>
      <c r="N128" s="1133"/>
      <c r="O128" s="1150"/>
      <c r="P128" s="1158"/>
      <c r="Q128" s="1133"/>
      <c r="R128" s="1146"/>
      <c r="S128" s="1130"/>
      <c r="T128" s="1133"/>
    </row>
    <row r="129" spans="2:20" x14ac:dyDescent="0.25">
      <c r="B129" s="1148"/>
      <c r="C129" s="666" t="s">
        <v>24</v>
      </c>
      <c r="D129" s="641">
        <v>25</v>
      </c>
      <c r="E129" s="1138"/>
      <c r="F129" s="1141"/>
      <c r="G129" s="1144"/>
      <c r="H129" s="1134"/>
      <c r="I129" s="1141"/>
      <c r="J129" s="1131"/>
      <c r="K129" s="1134"/>
      <c r="L129" s="1137"/>
      <c r="M129" s="1131"/>
      <c r="N129" s="1134"/>
      <c r="O129" s="1151"/>
      <c r="P129" s="1159"/>
      <c r="Q129" s="1134"/>
      <c r="R129" s="1147"/>
      <c r="S129" s="1131"/>
      <c r="T129" s="1134"/>
    </row>
    <row r="130" spans="2:20" x14ac:dyDescent="0.25">
      <c r="J130">
        <f>1.043*G127</f>
        <v>73.667133908179153</v>
      </c>
      <c r="M130">
        <f t="shared" ref="M130:S130" si="18">1.043*J127</f>
        <v>76.834820666230854</v>
      </c>
      <c r="P130" s="11">
        <f t="shared" si="18"/>
        <v>80.138717954878771</v>
      </c>
      <c r="S130">
        <f t="shared" si="18"/>
        <v>83.584682826938547</v>
      </c>
    </row>
    <row r="131" spans="2:20" ht="15.75" thickBot="1" x14ac:dyDescent="0.3"/>
    <row r="132" spans="2:20" ht="16.5" thickBot="1" x14ac:dyDescent="0.3">
      <c r="B132" s="10"/>
      <c r="C132" s="1037" t="s">
        <v>208</v>
      </c>
      <c r="D132" s="1038"/>
      <c r="E132" s="1038"/>
      <c r="F132" s="1038"/>
      <c r="G132" s="1038"/>
      <c r="H132" s="1038"/>
      <c r="I132" s="1038"/>
      <c r="J132" s="1038"/>
      <c r="K132" s="1039"/>
    </row>
    <row r="133" spans="2:20" ht="15.75" thickBot="1" x14ac:dyDescent="0.3">
      <c r="C133" s="1040" t="s">
        <v>325</v>
      </c>
      <c r="D133" s="1041"/>
      <c r="E133" s="1041"/>
      <c r="F133" s="1041"/>
      <c r="G133" s="1041"/>
      <c r="H133" s="1041"/>
      <c r="I133" s="1041"/>
      <c r="J133" s="1041"/>
      <c r="K133" s="1042"/>
    </row>
    <row r="134" spans="2:20" ht="15.75" thickBot="1" x14ac:dyDescent="0.3">
      <c r="B134" s="1051" t="s">
        <v>26</v>
      </c>
      <c r="C134" s="1043" t="s">
        <v>35</v>
      </c>
      <c r="D134" s="1045" t="s">
        <v>110</v>
      </c>
      <c r="E134" s="1046"/>
      <c r="F134" s="1047"/>
      <c r="G134" s="1045" t="s">
        <v>74</v>
      </c>
      <c r="H134" s="1047"/>
      <c r="I134" s="1043" t="s">
        <v>350</v>
      </c>
      <c r="J134" s="1043" t="s">
        <v>352</v>
      </c>
      <c r="K134" s="1049" t="s">
        <v>269</v>
      </c>
    </row>
    <row r="135" spans="2:20" ht="34.5" thickBot="1" x14ac:dyDescent="0.3">
      <c r="B135" s="1051"/>
      <c r="C135" s="1044"/>
      <c r="D135" s="541" t="s">
        <v>174</v>
      </c>
      <c r="E135" s="541" t="s">
        <v>122</v>
      </c>
      <c r="F135" s="541" t="s">
        <v>343</v>
      </c>
      <c r="G135" s="537" t="s">
        <v>170</v>
      </c>
      <c r="H135" s="538" t="s">
        <v>270</v>
      </c>
      <c r="I135" s="1048"/>
      <c r="J135" s="1044"/>
      <c r="K135" s="1050"/>
      <c r="L135" s="10" t="s">
        <v>354</v>
      </c>
      <c r="M135" s="10" t="s">
        <v>355</v>
      </c>
    </row>
    <row r="136" spans="2:20" ht="15.75" thickBot="1" x14ac:dyDescent="0.3">
      <c r="B136" s="577">
        <v>1999</v>
      </c>
      <c r="C136" s="781">
        <v>1999</v>
      </c>
      <c r="D136" s="647">
        <v>40.79</v>
      </c>
      <c r="E136" s="648">
        <v>41.03444806921231</v>
      </c>
      <c r="F136" s="643"/>
      <c r="G136" s="660">
        <f t="shared" ref="G136:G154" si="19">1.5118*B136-2975.8</f>
        <v>46.288199999999961</v>
      </c>
      <c r="H136" s="657"/>
      <c r="I136" s="900"/>
      <c r="J136" s="897"/>
      <c r="K136" s="591"/>
      <c r="L136" s="11">
        <f>E136-G136</f>
        <v>-5.2537519307876508</v>
      </c>
      <c r="M136" s="11">
        <f>L136*L136</f>
        <v>27.601909350254967</v>
      </c>
    </row>
    <row r="137" spans="2:20" ht="15.75" thickBot="1" x14ac:dyDescent="0.3">
      <c r="B137" s="577">
        <v>2000</v>
      </c>
      <c r="C137" s="780">
        <v>2000</v>
      </c>
      <c r="D137" s="649">
        <v>45.7</v>
      </c>
      <c r="E137" s="650">
        <v>45.973872928732597</v>
      </c>
      <c r="F137" s="644">
        <f>(E137-E136)/E136</f>
        <v>0.12037264035302774</v>
      </c>
      <c r="G137" s="660">
        <f t="shared" si="19"/>
        <v>47.799999999999727</v>
      </c>
      <c r="H137" s="658"/>
      <c r="I137" s="900">
        <f>(E137-G137)/G137</f>
        <v>-3.8203495214793742E-2</v>
      </c>
      <c r="J137" s="848">
        <f>E137/G137</f>
        <v>0.96179650478520629</v>
      </c>
      <c r="K137" s="592"/>
      <c r="L137" s="11">
        <f t="shared" ref="L137:L154" si="20">E137-G137</f>
        <v>-1.8261270712671305</v>
      </c>
      <c r="M137" s="11">
        <f t="shared" ref="M137:M154" si="21">L137*L137</f>
        <v>3.3347400804146674</v>
      </c>
    </row>
    <row r="138" spans="2:20" ht="15.75" thickBot="1" x14ac:dyDescent="0.3">
      <c r="B138" s="577">
        <v>2001</v>
      </c>
      <c r="C138" s="780">
        <v>2001</v>
      </c>
      <c r="D138" s="649">
        <v>48.12</v>
      </c>
      <c r="E138" s="650">
        <v>48.408375608984954</v>
      </c>
      <c r="F138" s="644">
        <f>(E138-E137)/E137</f>
        <v>5.2954048140043695E-2</v>
      </c>
      <c r="G138" s="660">
        <f t="shared" si="19"/>
        <v>49.311799999999948</v>
      </c>
      <c r="H138" s="658"/>
      <c r="I138" s="900">
        <f t="shared" ref="I138:I154" si="22">(E138-G138)/G138</f>
        <v>-1.8320653292213929E-2</v>
      </c>
      <c r="J138" s="848">
        <f t="shared" ref="J138:J154" si="23">E138/G138</f>
        <v>0.98167934670778612</v>
      </c>
      <c r="K138" s="592"/>
      <c r="L138" s="11">
        <f t="shared" si="20"/>
        <v>-0.90342439101499394</v>
      </c>
      <c r="M138" s="11">
        <f t="shared" si="21"/>
        <v>0.81617563028081264</v>
      </c>
    </row>
    <row r="139" spans="2:20" ht="15.75" thickBot="1" x14ac:dyDescent="0.3">
      <c r="B139" s="577">
        <v>2002</v>
      </c>
      <c r="C139" s="780">
        <v>2002</v>
      </c>
      <c r="D139" s="649">
        <v>56.81</v>
      </c>
      <c r="E139" s="650">
        <v>57.150453415345709</v>
      </c>
      <c r="F139" s="644">
        <f>(E139-E138)/E138</f>
        <v>0.18059019118869504</v>
      </c>
      <c r="G139" s="660">
        <f t="shared" si="19"/>
        <v>50.823599999999715</v>
      </c>
      <c r="H139" s="658"/>
      <c r="I139" s="905">
        <f t="shared" si="22"/>
        <v>0.12448652624658681</v>
      </c>
      <c r="J139" s="848">
        <f t="shared" si="23"/>
        <v>1.1244865262465868</v>
      </c>
      <c r="K139" s="592"/>
      <c r="L139" s="11">
        <f t="shared" si="20"/>
        <v>6.3268534153459939</v>
      </c>
      <c r="M139" s="11">
        <f t="shared" si="21"/>
        <v>40.029074139275266</v>
      </c>
    </row>
    <row r="140" spans="2:20" ht="15.75" thickBot="1" x14ac:dyDescent="0.3">
      <c r="B140" s="577">
        <v>2003</v>
      </c>
      <c r="C140" s="582">
        <v>37781.875</v>
      </c>
      <c r="D140" s="649">
        <v>54.2</v>
      </c>
      <c r="E140" s="650">
        <v>54.95</v>
      </c>
      <c r="F140" s="644">
        <f t="shared" ref="F140:F154" si="24">(E140-E139)/E139</f>
        <v>-3.8502816405562461E-2</v>
      </c>
      <c r="G140" s="660">
        <f t="shared" si="19"/>
        <v>52.335399999999936</v>
      </c>
      <c r="H140" s="658"/>
      <c r="I140" s="905">
        <f t="shared" si="22"/>
        <v>4.9958536669253893E-2</v>
      </c>
      <c r="J140" s="848">
        <f t="shared" si="23"/>
        <v>1.0499585366692539</v>
      </c>
      <c r="K140" s="592"/>
      <c r="L140" s="11">
        <f t="shared" si="20"/>
        <v>2.6146000000000669</v>
      </c>
      <c r="M140" s="11">
        <f t="shared" si="21"/>
        <v>6.8361331600003501</v>
      </c>
    </row>
    <row r="141" spans="2:20" ht="15.75" thickBot="1" x14ac:dyDescent="0.3">
      <c r="B141" s="577">
        <v>2004</v>
      </c>
      <c r="C141" s="582">
        <v>38183.854166666664</v>
      </c>
      <c r="D141" s="649">
        <v>53.38</v>
      </c>
      <c r="E141" s="650">
        <v>54.31</v>
      </c>
      <c r="F141" s="644">
        <f t="shared" si="24"/>
        <v>-1.1646951774340318E-2</v>
      </c>
      <c r="G141" s="660">
        <f t="shared" si="19"/>
        <v>53.847199999999702</v>
      </c>
      <c r="H141" s="658"/>
      <c r="I141" s="905">
        <f t="shared" si="22"/>
        <v>8.5946901603110738E-3</v>
      </c>
      <c r="J141" s="848">
        <f t="shared" si="23"/>
        <v>1.0085946901603111</v>
      </c>
      <c r="K141" s="592"/>
      <c r="L141" s="11">
        <f t="shared" si="20"/>
        <v>0.46280000000029986</v>
      </c>
      <c r="M141" s="11">
        <f t="shared" si="21"/>
        <v>0.21418384000027754</v>
      </c>
    </row>
    <row r="142" spans="2:20" ht="15.75" thickBot="1" x14ac:dyDescent="0.3">
      <c r="B142" s="577">
        <v>2005</v>
      </c>
      <c r="C142" s="582">
        <v>38540.875</v>
      </c>
      <c r="D142" s="649">
        <v>56.56</v>
      </c>
      <c r="E142" s="650">
        <v>56.71</v>
      </c>
      <c r="F142" s="644">
        <f t="shared" si="24"/>
        <v>4.4190756766709603E-2</v>
      </c>
      <c r="G142" s="660">
        <f t="shared" si="19"/>
        <v>55.358999999999924</v>
      </c>
      <c r="H142" s="658"/>
      <c r="I142" s="905">
        <f t="shared" si="22"/>
        <v>2.4404342563992831E-2</v>
      </c>
      <c r="J142" s="848">
        <f t="shared" si="23"/>
        <v>1.0244043425639928</v>
      </c>
      <c r="K142" s="592"/>
      <c r="L142" s="11">
        <f t="shared" si="20"/>
        <v>1.3510000000000773</v>
      </c>
      <c r="M142" s="11">
        <f t="shared" si="21"/>
        <v>1.8252010000002088</v>
      </c>
    </row>
    <row r="143" spans="2:20" ht="15.75" thickBot="1" x14ac:dyDescent="0.3">
      <c r="B143" s="577">
        <v>2006</v>
      </c>
      <c r="C143" s="582">
        <v>38930.885416666664</v>
      </c>
      <c r="D143" s="649">
        <v>56.41</v>
      </c>
      <c r="E143" s="650">
        <v>56.56</v>
      </c>
      <c r="F143" s="644">
        <f t="shared" si="24"/>
        <v>-2.6450361488273423E-3</v>
      </c>
      <c r="G143" s="660">
        <f t="shared" si="19"/>
        <v>56.87079999999969</v>
      </c>
      <c r="H143" s="658"/>
      <c r="I143" s="900">
        <f t="shared" si="22"/>
        <v>-5.4650189552404652E-3</v>
      </c>
      <c r="J143" s="848">
        <f t="shared" si="23"/>
        <v>0.99453498104475957</v>
      </c>
      <c r="K143" s="592"/>
      <c r="L143" s="11">
        <f t="shared" si="20"/>
        <v>-0.31079999999968777</v>
      </c>
      <c r="M143" s="11">
        <f t="shared" si="21"/>
        <v>9.6596639999805917E-2</v>
      </c>
    </row>
    <row r="144" spans="2:20" ht="15.75" thickBot="1" x14ac:dyDescent="0.3">
      <c r="B144" s="583">
        <v>2007</v>
      </c>
      <c r="C144" s="901">
        <v>39231.875</v>
      </c>
      <c r="D144" s="651">
        <v>58.68</v>
      </c>
      <c r="E144" s="652">
        <v>58.9</v>
      </c>
      <c r="F144" s="794">
        <f t="shared" si="24"/>
        <v>4.1371994342291302E-2</v>
      </c>
      <c r="G144" s="723">
        <f t="shared" si="19"/>
        <v>58.382599999999911</v>
      </c>
      <c r="H144" s="723"/>
      <c r="I144" s="905">
        <f t="shared" si="22"/>
        <v>8.8622294998867493E-3</v>
      </c>
      <c r="J144" s="848">
        <f t="shared" si="23"/>
        <v>1.0088622294998868</v>
      </c>
      <c r="K144" s="687">
        <f>E144/E144</f>
        <v>1</v>
      </c>
      <c r="L144" s="11">
        <f t="shared" si="20"/>
        <v>0.51740000000008735</v>
      </c>
      <c r="M144" s="11">
        <f t="shared" si="21"/>
        <v>0.26770276000009041</v>
      </c>
    </row>
    <row r="145" spans="2:19" ht="15.75" thickBot="1" x14ac:dyDescent="0.3">
      <c r="B145" s="577">
        <v>2008</v>
      </c>
      <c r="C145" s="582">
        <v>39622.885416666664</v>
      </c>
      <c r="D145" s="649">
        <v>56.12</v>
      </c>
      <c r="E145" s="650">
        <v>56.25</v>
      </c>
      <c r="F145" s="644">
        <f t="shared" si="24"/>
        <v>-4.4991511035653624E-2</v>
      </c>
      <c r="G145" s="660">
        <f t="shared" si="19"/>
        <v>59.894399999999678</v>
      </c>
      <c r="H145" s="658"/>
      <c r="I145" s="900">
        <f t="shared" si="22"/>
        <v>-6.0847090879943652E-2</v>
      </c>
      <c r="J145" s="848">
        <f t="shared" si="23"/>
        <v>0.93915290912005633</v>
      </c>
      <c r="K145" s="592">
        <f>E145/E144</f>
        <v>0.95500848896434642</v>
      </c>
      <c r="L145" s="11">
        <f t="shared" si="20"/>
        <v>-3.6443999999996777</v>
      </c>
      <c r="M145" s="11">
        <f t="shared" si="21"/>
        <v>13.281651359997651</v>
      </c>
    </row>
    <row r="146" spans="2:19" ht="15.75" thickBot="1" x14ac:dyDescent="0.3">
      <c r="B146" s="577">
        <v>2009</v>
      </c>
      <c r="C146" s="582">
        <v>40016.802083333336</v>
      </c>
      <c r="D146" s="649">
        <v>56.8</v>
      </c>
      <c r="E146" s="650">
        <v>56.94</v>
      </c>
      <c r="F146" s="644">
        <f t="shared" si="24"/>
        <v>1.2266666666666625E-2</v>
      </c>
      <c r="G146" s="660">
        <f t="shared" si="19"/>
        <v>61.406199999999899</v>
      </c>
      <c r="H146" s="658"/>
      <c r="I146" s="900">
        <f t="shared" si="22"/>
        <v>-7.2732069400156807E-2</v>
      </c>
      <c r="J146" s="848">
        <f t="shared" si="23"/>
        <v>0.92726793059984325</v>
      </c>
      <c r="K146" s="592">
        <f>E146/E144</f>
        <v>0.966723259762309</v>
      </c>
      <c r="L146" s="11">
        <f t="shared" si="20"/>
        <v>-4.4661999999999011</v>
      </c>
      <c r="M146" s="11">
        <f t="shared" si="21"/>
        <v>19.946942439999116</v>
      </c>
    </row>
    <row r="147" spans="2:19" ht="15.75" thickBot="1" x14ac:dyDescent="0.3">
      <c r="B147" s="577">
        <v>2010</v>
      </c>
      <c r="C147" s="582">
        <v>40380.885416666664</v>
      </c>
      <c r="D147" s="649">
        <v>58.625730104667802</v>
      </c>
      <c r="E147" s="650">
        <v>58.977064905605481</v>
      </c>
      <c r="F147" s="644">
        <f t="shared" si="24"/>
        <v>3.577563936785183E-2</v>
      </c>
      <c r="G147" s="660">
        <f t="shared" si="19"/>
        <v>62.917999999999665</v>
      </c>
      <c r="H147" s="658"/>
      <c r="I147" s="900">
        <f t="shared" si="22"/>
        <v>-6.2636051597225045E-2</v>
      </c>
      <c r="J147" s="848">
        <f t="shared" si="23"/>
        <v>0.93736394840277493</v>
      </c>
      <c r="K147" s="592">
        <f>E147/E144</f>
        <v>1.0013084024720795</v>
      </c>
      <c r="L147" s="11">
        <f t="shared" si="20"/>
        <v>-3.9409350943941845</v>
      </c>
      <c r="M147" s="11">
        <f t="shared" si="21"/>
        <v>15.5309694182277</v>
      </c>
    </row>
    <row r="148" spans="2:19" ht="15.75" thickBot="1" x14ac:dyDescent="0.3">
      <c r="B148" s="577">
        <v>2011</v>
      </c>
      <c r="C148" s="582">
        <v>40898.614583333336</v>
      </c>
      <c r="D148" s="649">
        <v>69.50927475917041</v>
      </c>
      <c r="E148" s="650">
        <v>69.925832935371119</v>
      </c>
      <c r="F148" s="644">
        <f t="shared" si="24"/>
        <v>0.18564450515279901</v>
      </c>
      <c r="G148" s="660">
        <f t="shared" si="19"/>
        <v>64.429799999999886</v>
      </c>
      <c r="H148" s="658"/>
      <c r="I148" s="905">
        <f t="shared" si="22"/>
        <v>8.5302653979544285E-2</v>
      </c>
      <c r="J148" s="848">
        <f t="shared" si="23"/>
        <v>1.0853026539795443</v>
      </c>
      <c r="K148" s="592">
        <f>E148/E144</f>
        <v>1.1871958053543483</v>
      </c>
      <c r="L148" s="11">
        <f t="shared" si="20"/>
        <v>5.4960329353712325</v>
      </c>
      <c r="M148" s="11">
        <f t="shared" si="21"/>
        <v>30.206378026685325</v>
      </c>
    </row>
    <row r="149" spans="2:19" ht="15.75" thickBot="1" x14ac:dyDescent="0.3">
      <c r="B149" s="577">
        <v>2012</v>
      </c>
      <c r="C149" s="582">
        <v>40938.625</v>
      </c>
      <c r="D149" s="649">
        <v>71.523684672827855</v>
      </c>
      <c r="E149" s="650">
        <v>71.952314891538876</v>
      </c>
      <c r="F149" s="644">
        <f t="shared" si="24"/>
        <v>2.8980447870256058E-2</v>
      </c>
      <c r="G149" s="660">
        <f t="shared" si="19"/>
        <v>65.941600000000108</v>
      </c>
      <c r="H149" s="658"/>
      <c r="I149" s="905">
        <f t="shared" si="22"/>
        <v>9.1152093542449047E-2</v>
      </c>
      <c r="J149" s="848">
        <f t="shared" si="23"/>
        <v>1.091152093542449</v>
      </c>
      <c r="K149" s="592">
        <f>E149/E144</f>
        <v>1.2216012715032067</v>
      </c>
      <c r="L149" s="11">
        <f t="shared" si="20"/>
        <v>6.0107148915387683</v>
      </c>
      <c r="M149" s="11">
        <f t="shared" si="21"/>
        <v>36.128693507365909</v>
      </c>
    </row>
    <row r="150" spans="2:19" ht="15.75" thickBot="1" x14ac:dyDescent="0.3">
      <c r="B150" s="577">
        <v>2013</v>
      </c>
      <c r="C150" s="582">
        <v>41478.895833333336</v>
      </c>
      <c r="D150" s="649">
        <v>69.049685035446799</v>
      </c>
      <c r="E150" s="650">
        <v>69.46348896255229</v>
      </c>
      <c r="F150" s="644">
        <f t="shared" si="24"/>
        <v>-3.4589935469598848E-2</v>
      </c>
      <c r="G150" s="660">
        <f t="shared" si="19"/>
        <v>67.453399999999874</v>
      </c>
      <c r="H150" s="658"/>
      <c r="I150" s="905">
        <f t="shared" si="22"/>
        <v>2.9799668549730922E-2</v>
      </c>
      <c r="J150" s="848">
        <f t="shared" si="23"/>
        <v>1.0297996685497308</v>
      </c>
      <c r="K150" s="592">
        <f>E150/E144</f>
        <v>1.1793461623523309</v>
      </c>
      <c r="L150" s="11">
        <f t="shared" si="20"/>
        <v>2.0100889625524161</v>
      </c>
      <c r="M150" s="11">
        <f t="shared" si="21"/>
        <v>4.0404576373750487</v>
      </c>
    </row>
    <row r="151" spans="2:19" ht="15.75" thickBot="1" x14ac:dyDescent="0.3">
      <c r="B151" s="577">
        <v>2014</v>
      </c>
      <c r="C151" s="580">
        <v>41662.645833333336</v>
      </c>
      <c r="D151" s="649">
        <v>73.490709051831928</v>
      </c>
      <c r="E151" s="650">
        <v>73.931127338979849</v>
      </c>
      <c r="F151" s="644">
        <f t="shared" si="24"/>
        <v>6.4316354435292739E-2</v>
      </c>
      <c r="G151" s="660">
        <f t="shared" si="19"/>
        <v>68.965200000000095</v>
      </c>
      <c r="H151" s="658"/>
      <c r="I151" s="905">
        <f t="shared" si="22"/>
        <v>7.2006277644083488E-2</v>
      </c>
      <c r="J151" s="848">
        <f t="shared" si="23"/>
        <v>1.0720062776440835</v>
      </c>
      <c r="K151" s="592">
        <f>E151/E144</f>
        <v>1.2551974081320858</v>
      </c>
      <c r="L151" s="11">
        <f t="shared" si="20"/>
        <v>4.9659273389797534</v>
      </c>
      <c r="M151" s="11">
        <f t="shared" si="21"/>
        <v>24.660434336026533</v>
      </c>
    </row>
    <row r="152" spans="2:19" ht="15.75" thickBot="1" x14ac:dyDescent="0.3">
      <c r="B152" s="577">
        <v>2015</v>
      </c>
      <c r="C152" s="580">
        <v>42010.625</v>
      </c>
      <c r="D152" s="649">
        <v>63.69</v>
      </c>
      <c r="E152" s="650">
        <v>64.92</v>
      </c>
      <c r="F152" s="644">
        <f t="shared" si="24"/>
        <v>-0.12188543125635218</v>
      </c>
      <c r="G152" s="660">
        <f t="shared" si="19"/>
        <v>70.476999999999862</v>
      </c>
      <c r="H152" s="658"/>
      <c r="I152" s="900">
        <f t="shared" si="22"/>
        <v>-7.8848418633027384E-2</v>
      </c>
      <c r="J152" s="848">
        <f t="shared" si="23"/>
        <v>0.92115158136697262</v>
      </c>
      <c r="K152" s="592">
        <f>E152/E144</f>
        <v>1.1022071307300509</v>
      </c>
      <c r="L152" s="11">
        <f t="shared" si="20"/>
        <v>-5.5569999999998601</v>
      </c>
      <c r="M152" s="11">
        <f t="shared" si="21"/>
        <v>30.880248999998443</v>
      </c>
      <c r="P152" s="1155" t="s">
        <v>362</v>
      </c>
      <c r="Q152" s="1156"/>
    </row>
    <row r="153" spans="2:19" ht="15.75" thickBot="1" x14ac:dyDescent="0.3">
      <c r="B153" s="577">
        <v>2016</v>
      </c>
      <c r="C153" s="580">
        <v>42548.864583333336</v>
      </c>
      <c r="D153" s="649">
        <v>67.599999999999994</v>
      </c>
      <c r="E153" s="650">
        <v>67.599999999999994</v>
      </c>
      <c r="F153" s="644">
        <f t="shared" si="24"/>
        <v>4.1281577325939504E-2</v>
      </c>
      <c r="G153" s="660">
        <f t="shared" si="19"/>
        <v>71.988800000000083</v>
      </c>
      <c r="H153" s="658"/>
      <c r="I153" s="900">
        <f t="shared" si="22"/>
        <v>-6.0965039006068769E-2</v>
      </c>
      <c r="J153" s="848">
        <f t="shared" si="23"/>
        <v>0.93903496099393124</v>
      </c>
      <c r="K153" s="592">
        <f>E153/E144</f>
        <v>1.1477079796264855</v>
      </c>
      <c r="L153" s="11">
        <f t="shared" si="20"/>
        <v>-4.3888000000000886</v>
      </c>
      <c r="M153" s="11">
        <f t="shared" si="21"/>
        <v>19.261565440000776</v>
      </c>
      <c r="O153" s="136" t="s">
        <v>356</v>
      </c>
      <c r="P153" s="1005" t="s">
        <v>358</v>
      </c>
      <c r="Q153" s="941" t="s">
        <v>357</v>
      </c>
      <c r="R153" s="1">
        <v>1.8172999999999999</v>
      </c>
      <c r="S153" s="136" t="s">
        <v>367</v>
      </c>
    </row>
    <row r="154" spans="2:19" x14ac:dyDescent="0.25">
      <c r="B154" s="577">
        <v>2017</v>
      </c>
      <c r="C154" s="580">
        <v>42766.614583333336</v>
      </c>
      <c r="D154" s="649">
        <v>71.62</v>
      </c>
      <c r="E154" s="650">
        <v>72.900000000000006</v>
      </c>
      <c r="F154" s="644">
        <f t="shared" si="24"/>
        <v>7.8402366863905504E-2</v>
      </c>
      <c r="G154" s="660">
        <f t="shared" si="19"/>
        <v>73.500599999999849</v>
      </c>
      <c r="H154" s="658">
        <f>E154</f>
        <v>72.900000000000006</v>
      </c>
      <c r="I154" s="900">
        <f t="shared" si="22"/>
        <v>-8.1713618664316333E-3</v>
      </c>
      <c r="J154" s="848">
        <f t="shared" si="23"/>
        <v>0.99182863813356836</v>
      </c>
      <c r="K154" s="592">
        <f>E154/E144</f>
        <v>1.2376910016977929</v>
      </c>
      <c r="L154" s="11">
        <f t="shared" si="20"/>
        <v>-0.6005999999998437</v>
      </c>
      <c r="M154" s="11">
        <f t="shared" si="21"/>
        <v>0.36072035999981228</v>
      </c>
      <c r="O154" s="11">
        <f>H154</f>
        <v>72.900000000000006</v>
      </c>
      <c r="P154" s="937">
        <f>H154</f>
        <v>72.900000000000006</v>
      </c>
      <c r="Q154" s="938">
        <f>H154</f>
        <v>72.900000000000006</v>
      </c>
      <c r="R154" s="11">
        <f>H154</f>
        <v>72.900000000000006</v>
      </c>
      <c r="S154" s="136"/>
    </row>
    <row r="155" spans="2:19" x14ac:dyDescent="0.25">
      <c r="B155" s="583">
        <v>2018</v>
      </c>
      <c r="C155" s="720">
        <v>2018</v>
      </c>
      <c r="D155" s="651"/>
      <c r="E155" s="652"/>
      <c r="F155" s="645"/>
      <c r="G155" s="660">
        <f>1.5118*B155-2975.8</f>
        <v>75.012400000000071</v>
      </c>
      <c r="H155" s="661">
        <f>0.043*H154+H154+5.55</f>
        <v>81.584699999999998</v>
      </c>
      <c r="I155" s="701"/>
      <c r="J155" s="898"/>
      <c r="K155" s="687"/>
      <c r="L155" s="11" t="s">
        <v>369</v>
      </c>
      <c r="M155" s="11">
        <f>SUM(M136:M154)</f>
        <v>275.3197781259027</v>
      </c>
      <c r="O155" s="682">
        <f>1.5118+O154+5.55</f>
        <v>79.961799999999997</v>
      </c>
      <c r="P155" s="937">
        <f t="shared" ref="P155:P163" si="25">8.3+O155</f>
        <v>88.261799999999994</v>
      </c>
      <c r="Q155" s="938">
        <f t="shared" ref="Q155:Q164" si="26">O155-8.3</f>
        <v>71.661799999999999</v>
      </c>
      <c r="R155" s="260">
        <f>1.8173+R154+5.55</f>
        <v>80.267300000000006</v>
      </c>
      <c r="S155" s="136"/>
    </row>
    <row r="156" spans="2:19" x14ac:dyDescent="0.25">
      <c r="B156" s="583">
        <v>2019</v>
      </c>
      <c r="C156" s="720">
        <v>2019</v>
      </c>
      <c r="D156" s="651"/>
      <c r="E156" s="652"/>
      <c r="F156" s="645"/>
      <c r="G156" s="660">
        <f t="shared" ref="G156:G164" si="27">1.5118*B156-2975.8</f>
        <v>76.524199999999837</v>
      </c>
      <c r="H156" s="661">
        <f>0.043*H154+H155</f>
        <v>84.719399999999993</v>
      </c>
      <c r="I156" s="701"/>
      <c r="J156" s="898"/>
      <c r="K156" s="687"/>
      <c r="L156" s="11" t="s">
        <v>370</v>
      </c>
      <c r="M156" s="11">
        <f>M155/(18-2)</f>
        <v>17.207486132868919</v>
      </c>
      <c r="O156" s="682">
        <f t="shared" ref="O156:O164" si="28">1.5118+O155</f>
        <v>81.47359999999999</v>
      </c>
      <c r="P156" s="937">
        <f t="shared" si="25"/>
        <v>89.773599999999988</v>
      </c>
      <c r="Q156" s="938">
        <f t="shared" si="26"/>
        <v>73.173599999999993</v>
      </c>
      <c r="R156" s="260">
        <f>1.8173+R155</f>
        <v>82.084600000000009</v>
      </c>
      <c r="S156" s="136"/>
    </row>
    <row r="157" spans="2:19" x14ac:dyDescent="0.25">
      <c r="B157" s="583">
        <v>2020</v>
      </c>
      <c r="C157" s="720">
        <v>2020</v>
      </c>
      <c r="D157" s="651"/>
      <c r="E157" s="652"/>
      <c r="F157" s="645"/>
      <c r="G157" s="660">
        <f t="shared" si="27"/>
        <v>78.036000000000058</v>
      </c>
      <c r="H157" s="661">
        <f>0.043*H154+H156</f>
        <v>87.854099999999988</v>
      </c>
      <c r="I157" s="701"/>
      <c r="J157" s="898"/>
      <c r="K157" s="687"/>
      <c r="L157" s="11" t="s">
        <v>371</v>
      </c>
      <c r="M157" s="896">
        <f>SQRT(M156)</f>
        <v>4.1481907059426426</v>
      </c>
      <c r="O157" s="682">
        <f t="shared" si="28"/>
        <v>82.985399999999984</v>
      </c>
      <c r="P157" s="937">
        <f t="shared" si="25"/>
        <v>91.285399999999981</v>
      </c>
      <c r="Q157" s="938">
        <f t="shared" si="26"/>
        <v>74.685399999999987</v>
      </c>
      <c r="R157" s="260">
        <f t="shared" ref="R157:R164" si="29">1.8173+R156</f>
        <v>83.901900000000012</v>
      </c>
      <c r="S157" s="136"/>
    </row>
    <row r="158" spans="2:19" x14ac:dyDescent="0.25">
      <c r="B158" s="583">
        <v>2021</v>
      </c>
      <c r="C158" s="720">
        <v>2021</v>
      </c>
      <c r="D158" s="651"/>
      <c r="E158" s="652"/>
      <c r="F158" s="645"/>
      <c r="G158" s="660">
        <f t="shared" si="27"/>
        <v>79.547799999999825</v>
      </c>
      <c r="H158" s="661">
        <f>0.043*H154+H157</f>
        <v>90.988799999999983</v>
      </c>
      <c r="I158" s="701"/>
      <c r="J158" s="898"/>
      <c r="K158" s="687"/>
      <c r="L158" s="951" t="s">
        <v>375</v>
      </c>
      <c r="M158" s="896">
        <f>2*M157</f>
        <v>8.2963814118852852</v>
      </c>
      <c r="O158" s="682">
        <f t="shared" si="28"/>
        <v>84.497199999999978</v>
      </c>
      <c r="P158" s="937">
        <f t="shared" si="25"/>
        <v>92.797199999999975</v>
      </c>
      <c r="Q158" s="938">
        <f t="shared" si="26"/>
        <v>76.197199999999981</v>
      </c>
      <c r="R158" s="260">
        <f t="shared" si="29"/>
        <v>85.719200000000015</v>
      </c>
      <c r="S158" s="136">
        <v>105</v>
      </c>
    </row>
    <row r="159" spans="2:19" x14ac:dyDescent="0.25">
      <c r="B159" s="583">
        <v>2022</v>
      </c>
      <c r="C159" s="720">
        <v>2022</v>
      </c>
      <c r="D159" s="653"/>
      <c r="E159" s="654"/>
      <c r="F159" s="645"/>
      <c r="G159" s="660">
        <f t="shared" si="27"/>
        <v>81.059600000000046</v>
      </c>
      <c r="H159" s="661">
        <f>0.043*H154+H158</f>
        <v>94.123499999999979</v>
      </c>
      <c r="I159" s="701"/>
      <c r="J159" s="898"/>
      <c r="K159" s="687"/>
      <c r="L159" s="951" t="s">
        <v>376</v>
      </c>
      <c r="M159" s="896">
        <f>(-1)*M158</f>
        <v>-8.2963814118852852</v>
      </c>
      <c r="O159" s="682">
        <f t="shared" si="28"/>
        <v>86.008999999999972</v>
      </c>
      <c r="P159" s="937">
        <f t="shared" si="25"/>
        <v>94.308999999999969</v>
      </c>
      <c r="Q159" s="938">
        <f t="shared" si="26"/>
        <v>77.708999999999975</v>
      </c>
      <c r="R159" s="260">
        <f t="shared" si="29"/>
        <v>87.536500000000018</v>
      </c>
      <c r="S159" s="136">
        <v>105</v>
      </c>
    </row>
    <row r="160" spans="2:19" x14ac:dyDescent="0.25">
      <c r="B160" s="583">
        <v>2023</v>
      </c>
      <c r="C160" s="720">
        <v>2023</v>
      </c>
      <c r="D160" s="653"/>
      <c r="E160" s="654"/>
      <c r="F160" s="645"/>
      <c r="G160" s="660">
        <f t="shared" si="27"/>
        <v>82.571399999999812</v>
      </c>
      <c r="H160" s="661">
        <f>0.043*H154+H159</f>
        <v>97.258199999999974</v>
      </c>
      <c r="I160" s="701"/>
      <c r="J160" s="898"/>
      <c r="K160" s="687"/>
      <c r="L160" s="11"/>
      <c r="M160" s="11">
        <f>0.043*H154</f>
        <v>3.1347</v>
      </c>
      <c r="O160" s="682">
        <f t="shared" si="28"/>
        <v>87.520799999999966</v>
      </c>
      <c r="P160" s="937">
        <f t="shared" si="25"/>
        <v>95.820799999999963</v>
      </c>
      <c r="Q160" s="938">
        <f t="shared" si="26"/>
        <v>79.220799999999969</v>
      </c>
      <c r="R160" s="260">
        <f t="shared" si="29"/>
        <v>89.353800000000021</v>
      </c>
      <c r="S160" s="136">
        <v>105</v>
      </c>
    </row>
    <row r="161" spans="2:19" x14ac:dyDescent="0.25">
      <c r="B161" s="583">
        <v>2024</v>
      </c>
      <c r="C161" s="721">
        <v>2024</v>
      </c>
      <c r="D161" s="651"/>
      <c r="E161" s="652"/>
      <c r="F161" s="645"/>
      <c r="G161" s="660">
        <f t="shared" si="27"/>
        <v>84.083200000000033</v>
      </c>
      <c r="H161" s="661">
        <f>0.043*H154+H160</f>
        <v>100.39289999999997</v>
      </c>
      <c r="I161" s="701"/>
      <c r="J161" s="898"/>
      <c r="K161" s="687"/>
      <c r="L161" s="11"/>
      <c r="M161" s="11"/>
      <c r="O161" s="682">
        <f t="shared" si="28"/>
        <v>89.03259999999996</v>
      </c>
      <c r="P161" s="937">
        <f t="shared" si="25"/>
        <v>97.332599999999957</v>
      </c>
      <c r="Q161" s="938">
        <f t="shared" si="26"/>
        <v>80.732599999999962</v>
      </c>
      <c r="R161" s="260">
        <f t="shared" si="29"/>
        <v>91.171100000000024</v>
      </c>
      <c r="S161" s="136">
        <v>105</v>
      </c>
    </row>
    <row r="162" spans="2:19" x14ac:dyDescent="0.25">
      <c r="B162" s="583">
        <v>2025</v>
      </c>
      <c r="C162" s="721">
        <v>2025</v>
      </c>
      <c r="D162" s="651"/>
      <c r="E162" s="652"/>
      <c r="F162" s="645"/>
      <c r="G162" s="660">
        <f t="shared" si="27"/>
        <v>85.5949999999998</v>
      </c>
      <c r="H162" s="661">
        <f>0.043*H154+H161</f>
        <v>103.52759999999996</v>
      </c>
      <c r="I162" s="701"/>
      <c r="J162" s="898"/>
      <c r="K162" s="687"/>
      <c r="L162" s="11"/>
      <c r="M162" s="11"/>
      <c r="O162" s="682">
        <f t="shared" si="28"/>
        <v>90.544399999999953</v>
      </c>
      <c r="P162" s="937">
        <f t="shared" si="25"/>
        <v>98.844399999999951</v>
      </c>
      <c r="Q162" s="938">
        <f t="shared" si="26"/>
        <v>82.244399999999956</v>
      </c>
      <c r="R162" s="260">
        <f t="shared" si="29"/>
        <v>92.988400000000027</v>
      </c>
      <c r="S162" s="136">
        <v>105</v>
      </c>
    </row>
    <row r="163" spans="2:19" x14ac:dyDescent="0.25">
      <c r="B163" s="585">
        <v>2026</v>
      </c>
      <c r="C163" s="721">
        <v>2026</v>
      </c>
      <c r="D163" s="651"/>
      <c r="E163" s="652"/>
      <c r="F163" s="645"/>
      <c r="G163" s="660">
        <f t="shared" si="27"/>
        <v>87.106800000000021</v>
      </c>
      <c r="H163" s="661">
        <f>0.043*H154+H162</f>
        <v>106.66229999999996</v>
      </c>
      <c r="I163" s="701"/>
      <c r="J163" s="898"/>
      <c r="K163" s="687"/>
      <c r="L163" s="11"/>
      <c r="M163" s="11"/>
      <c r="O163" s="682">
        <f t="shared" si="28"/>
        <v>92.056199999999947</v>
      </c>
      <c r="P163" s="937">
        <f t="shared" si="25"/>
        <v>100.35619999999994</v>
      </c>
      <c r="Q163" s="938">
        <f t="shared" si="26"/>
        <v>83.75619999999995</v>
      </c>
      <c r="R163" s="260">
        <f t="shared" si="29"/>
        <v>94.80570000000003</v>
      </c>
      <c r="S163" s="136">
        <v>105</v>
      </c>
    </row>
    <row r="164" spans="2:19" ht="15.75" thickBot="1" x14ac:dyDescent="0.3">
      <c r="B164" s="585">
        <v>2027</v>
      </c>
      <c r="C164" s="722">
        <v>2027</v>
      </c>
      <c r="D164" s="655"/>
      <c r="E164" s="656"/>
      <c r="F164" s="646"/>
      <c r="G164" s="662">
        <f t="shared" si="27"/>
        <v>88.618599999999788</v>
      </c>
      <c r="H164" s="663">
        <f>0.043*H154+H163</f>
        <v>109.79699999999995</v>
      </c>
      <c r="I164" s="714"/>
      <c r="J164" s="899"/>
      <c r="K164" s="735"/>
      <c r="L164" s="11"/>
      <c r="M164" s="11"/>
      <c r="O164" s="682">
        <f t="shared" si="28"/>
        <v>93.567999999999941</v>
      </c>
      <c r="P164" s="939">
        <f>8.3+O164</f>
        <v>101.86799999999994</v>
      </c>
      <c r="Q164" s="940">
        <f t="shared" si="26"/>
        <v>85.267999999999944</v>
      </c>
      <c r="R164" s="260">
        <f t="shared" si="29"/>
        <v>96.623000000000033</v>
      </c>
      <c r="S164" s="136">
        <v>105</v>
      </c>
    </row>
    <row r="165" spans="2:19" x14ac:dyDescent="0.25">
      <c r="D165" s="9"/>
      <c r="E165" s="12">
        <f>(E154-E136)/E136</f>
        <v>0.77655612369978644</v>
      </c>
      <c r="F165" s="439">
        <f>E165/18</f>
        <v>4.3142006872210356E-2</v>
      </c>
      <c r="G165" s="9">
        <f>1.7766*E136</f>
        <v>72.901800439762582</v>
      </c>
      <c r="H165" s="851"/>
      <c r="I165" s="850">
        <f>SUM(I139+I140+I141+I142+I144+I148+I149+I150+I151)/9</f>
        <v>5.4951890983982121E-2</v>
      </c>
      <c r="J165" s="11"/>
      <c r="K165" s="11"/>
      <c r="L165" s="11"/>
      <c r="M165" s="11"/>
      <c r="O165" s="11"/>
      <c r="Q165" s="11"/>
      <c r="S165" s="136"/>
    </row>
    <row r="166" spans="2:19" x14ac:dyDescent="0.25">
      <c r="G166" s="842">
        <f>(G154-D136)/(B154-B136)</f>
        <v>1.8172555555555472</v>
      </c>
      <c r="O166" s="11"/>
      <c r="Q166" s="11"/>
    </row>
    <row r="167" spans="2:19" x14ac:dyDescent="0.25">
      <c r="O167" s="11"/>
    </row>
    <row r="168" spans="2:19" x14ac:dyDescent="0.25">
      <c r="O168" s="11"/>
    </row>
    <row r="179" spans="16:25" x14ac:dyDescent="0.25">
      <c r="P179" s="811" t="s">
        <v>359</v>
      </c>
      <c r="Q179" s="342"/>
      <c r="R179" s="342"/>
      <c r="S179" s="342"/>
      <c r="T179" s="342"/>
      <c r="U179" s="143"/>
      <c r="V179" s="143"/>
      <c r="W179" s="143"/>
      <c r="X179" s="342"/>
      <c r="Y179" s="143"/>
    </row>
    <row r="180" spans="16:25" x14ac:dyDescent="0.25">
      <c r="P180" s="811" t="s">
        <v>360</v>
      </c>
      <c r="Q180" s="342"/>
      <c r="R180" s="342"/>
      <c r="S180" s="342"/>
      <c r="T180" s="342"/>
      <c r="U180" s="143"/>
      <c r="V180" s="143"/>
      <c r="W180" s="143"/>
      <c r="X180" s="342"/>
      <c r="Y180" s="143"/>
    </row>
    <row r="181" spans="16:25" x14ac:dyDescent="0.25">
      <c r="P181" s="811" t="s">
        <v>361</v>
      </c>
      <c r="Q181" s="342"/>
      <c r="R181" s="342"/>
      <c r="S181" s="342"/>
      <c r="T181" s="342"/>
      <c r="U181" s="143"/>
      <c r="V181" s="143"/>
      <c r="W181" s="143"/>
      <c r="X181" s="342"/>
      <c r="Y181" s="143"/>
    </row>
    <row r="182" spans="16:25" x14ac:dyDescent="0.25">
      <c r="P182" s="811"/>
      <c r="Q182" s="342"/>
      <c r="R182" s="342"/>
      <c r="S182" s="342"/>
      <c r="T182" s="342"/>
      <c r="U182" s="143"/>
      <c r="V182" s="143"/>
      <c r="W182" s="143"/>
      <c r="X182" s="342"/>
      <c r="Y182" s="143"/>
    </row>
    <row r="264" spans="2:11" ht="15.75" thickBot="1" x14ac:dyDescent="0.3"/>
    <row r="265" spans="2:11" ht="16.5" thickBot="1" x14ac:dyDescent="0.3">
      <c r="B265" s="10"/>
      <c r="C265" s="1037" t="s">
        <v>208</v>
      </c>
      <c r="D265" s="1038"/>
      <c r="E265" s="1038"/>
      <c r="F265" s="1038"/>
      <c r="G265" s="1038"/>
      <c r="H265" s="1038"/>
      <c r="I265" s="1038"/>
      <c r="J265" s="1038"/>
      <c r="K265" s="1039"/>
    </row>
    <row r="266" spans="2:11" ht="15.75" thickBot="1" x14ac:dyDescent="0.3">
      <c r="C266" s="1040" t="s">
        <v>325</v>
      </c>
      <c r="D266" s="1041"/>
      <c r="E266" s="1041"/>
      <c r="F266" s="1041"/>
      <c r="G266" s="1041"/>
      <c r="H266" s="1041"/>
      <c r="I266" s="1041"/>
      <c r="J266" s="1041"/>
      <c r="K266" s="1042"/>
    </row>
    <row r="267" spans="2:11" ht="15.75" thickBot="1" x14ac:dyDescent="0.3">
      <c r="B267" s="1051" t="s">
        <v>26</v>
      </c>
      <c r="C267" s="1043" t="s">
        <v>35</v>
      </c>
      <c r="D267" s="1045" t="s">
        <v>110</v>
      </c>
      <c r="E267" s="1046"/>
      <c r="F267" s="1047"/>
      <c r="G267" s="1045" t="s">
        <v>74</v>
      </c>
      <c r="H267" s="1047"/>
      <c r="I267" s="1043" t="s">
        <v>180</v>
      </c>
      <c r="J267" s="1043" t="s">
        <v>268</v>
      </c>
      <c r="K267" s="1049" t="s">
        <v>269</v>
      </c>
    </row>
    <row r="268" spans="2:11" ht="34.5" thickBot="1" x14ac:dyDescent="0.3">
      <c r="B268" s="1051"/>
      <c r="C268" s="1044"/>
      <c r="D268" s="541" t="s">
        <v>174</v>
      </c>
      <c r="E268" s="541" t="s">
        <v>122</v>
      </c>
      <c r="F268" s="541" t="s">
        <v>343</v>
      </c>
      <c r="G268" s="737" t="s">
        <v>170</v>
      </c>
      <c r="H268" s="737" t="s">
        <v>270</v>
      </c>
      <c r="I268" s="1048"/>
      <c r="J268" s="1044"/>
      <c r="K268" s="1050"/>
    </row>
    <row r="269" spans="2:11" x14ac:dyDescent="0.25">
      <c r="B269" s="577">
        <v>1999</v>
      </c>
      <c r="C269" s="781">
        <v>1999</v>
      </c>
      <c r="D269" s="647">
        <v>40.79</v>
      </c>
      <c r="E269" s="648">
        <v>41.03444806921231</v>
      </c>
      <c r="F269" s="643"/>
      <c r="G269" s="657">
        <f t="shared" ref="G269:G287" si="30">1.5118*B269-2975.8</f>
        <v>46.288199999999961</v>
      </c>
      <c r="H269" s="692"/>
      <c r="I269" s="579">
        <f>3*25</f>
        <v>75</v>
      </c>
      <c r="J269" s="587">
        <f t="shared" ref="J269:J287" si="31">I269-25</f>
        <v>50</v>
      </c>
      <c r="K269" s="591">
        <f>E269/I269</f>
        <v>0.54712597425616416</v>
      </c>
    </row>
    <row r="270" spans="2:11" x14ac:dyDescent="0.25">
      <c r="B270" s="577">
        <v>2000</v>
      </c>
      <c r="C270" s="780">
        <v>2000</v>
      </c>
      <c r="D270" s="649">
        <v>45.7</v>
      </c>
      <c r="E270" s="650">
        <v>45.973872928732597</v>
      </c>
      <c r="F270" s="644">
        <f>(E270-E269)/E269</f>
        <v>0.12037264035302774</v>
      </c>
      <c r="G270" s="658">
        <f t="shared" si="30"/>
        <v>47.799999999999727</v>
      </c>
      <c r="H270" s="694"/>
      <c r="I270" s="581">
        <f t="shared" ref="I270:I287" si="32">3*25</f>
        <v>75</v>
      </c>
      <c r="J270" s="588">
        <f t="shared" si="31"/>
        <v>50</v>
      </c>
      <c r="K270" s="592">
        <f t="shared" ref="K270:K287" si="33">E270/I270</f>
        <v>0.61298497238310123</v>
      </c>
    </row>
    <row r="271" spans="2:11" x14ac:dyDescent="0.25">
      <c r="B271" s="577">
        <v>2001</v>
      </c>
      <c r="C271" s="780">
        <v>2001</v>
      </c>
      <c r="D271" s="649">
        <v>48.12</v>
      </c>
      <c r="E271" s="650">
        <v>48.408375608984954</v>
      </c>
      <c r="F271" s="644">
        <f t="shared" ref="F271:F287" si="34">(E271-E270)/E270</f>
        <v>5.2954048140043695E-2</v>
      </c>
      <c r="G271" s="658">
        <f t="shared" si="30"/>
        <v>49.311799999999948</v>
      </c>
      <c r="H271" s="694"/>
      <c r="I271" s="581">
        <f t="shared" si="32"/>
        <v>75</v>
      </c>
      <c r="J271" s="588">
        <f t="shared" si="31"/>
        <v>50</v>
      </c>
      <c r="K271" s="592">
        <f t="shared" si="33"/>
        <v>0.64544500811979943</v>
      </c>
    </row>
    <row r="272" spans="2:11" x14ac:dyDescent="0.25">
      <c r="B272" s="577">
        <v>2002</v>
      </c>
      <c r="C272" s="780">
        <v>2002</v>
      </c>
      <c r="D272" s="649">
        <v>56.81</v>
      </c>
      <c r="E272" s="650">
        <v>57.150453415345709</v>
      </c>
      <c r="F272" s="644">
        <f t="shared" si="34"/>
        <v>0.18059019118869504</v>
      </c>
      <c r="G272" s="658">
        <f t="shared" si="30"/>
        <v>50.823599999999715</v>
      </c>
      <c r="H272" s="694"/>
      <c r="I272" s="581">
        <f t="shared" si="32"/>
        <v>75</v>
      </c>
      <c r="J272" s="588">
        <f t="shared" si="31"/>
        <v>50</v>
      </c>
      <c r="K272" s="592">
        <f t="shared" si="33"/>
        <v>0.76200604553794282</v>
      </c>
    </row>
    <row r="273" spans="2:11" x14ac:dyDescent="0.25">
      <c r="B273" s="577">
        <v>2003</v>
      </c>
      <c r="C273" s="582">
        <v>37781.875</v>
      </c>
      <c r="D273" s="649">
        <v>54.2</v>
      </c>
      <c r="E273" s="650">
        <v>54.95</v>
      </c>
      <c r="F273" s="644">
        <f t="shared" si="34"/>
        <v>-3.8502816405562461E-2</v>
      </c>
      <c r="G273" s="658">
        <f t="shared" si="30"/>
        <v>52.335399999999936</v>
      </c>
      <c r="H273" s="694"/>
      <c r="I273" s="581">
        <f t="shared" si="32"/>
        <v>75</v>
      </c>
      <c r="J273" s="588">
        <f t="shared" si="31"/>
        <v>50</v>
      </c>
      <c r="K273" s="592">
        <f t="shared" si="33"/>
        <v>0.73266666666666669</v>
      </c>
    </row>
    <row r="274" spans="2:11" x14ac:dyDescent="0.25">
      <c r="B274" s="577">
        <v>2004</v>
      </c>
      <c r="C274" s="582">
        <v>38183.854166666664</v>
      </c>
      <c r="D274" s="649">
        <v>53.38</v>
      </c>
      <c r="E274" s="650">
        <v>54.31</v>
      </c>
      <c r="F274" s="644">
        <f t="shared" si="34"/>
        <v>-1.1646951774340318E-2</v>
      </c>
      <c r="G274" s="658">
        <f t="shared" si="30"/>
        <v>53.847199999999702</v>
      </c>
      <c r="H274" s="694"/>
      <c r="I274" s="581">
        <f t="shared" si="32"/>
        <v>75</v>
      </c>
      <c r="J274" s="588">
        <f t="shared" si="31"/>
        <v>50</v>
      </c>
      <c r="K274" s="592">
        <f t="shared" si="33"/>
        <v>0.72413333333333341</v>
      </c>
    </row>
    <row r="275" spans="2:11" x14ac:dyDescent="0.25">
      <c r="B275" s="577">
        <v>2005</v>
      </c>
      <c r="C275" s="582">
        <v>38540.875</v>
      </c>
      <c r="D275" s="649">
        <v>56.56</v>
      </c>
      <c r="E275" s="650">
        <v>56.71</v>
      </c>
      <c r="F275" s="644">
        <f t="shared" si="34"/>
        <v>4.4190756766709603E-2</v>
      </c>
      <c r="G275" s="658">
        <f t="shared" si="30"/>
        <v>55.358999999999924</v>
      </c>
      <c r="H275" s="694"/>
      <c r="I275" s="581">
        <f t="shared" si="32"/>
        <v>75</v>
      </c>
      <c r="J275" s="588">
        <f t="shared" si="31"/>
        <v>50</v>
      </c>
      <c r="K275" s="592">
        <f t="shared" si="33"/>
        <v>0.75613333333333332</v>
      </c>
    </row>
    <row r="276" spans="2:11" x14ac:dyDescent="0.25">
      <c r="B276" s="577">
        <v>2006</v>
      </c>
      <c r="C276" s="582">
        <v>38930.885416666664</v>
      </c>
      <c r="D276" s="649">
        <v>56.41</v>
      </c>
      <c r="E276" s="650">
        <v>56.56</v>
      </c>
      <c r="F276" s="644">
        <f t="shared" si="34"/>
        <v>-2.6450361488273423E-3</v>
      </c>
      <c r="G276" s="658">
        <f t="shared" si="30"/>
        <v>56.87079999999969</v>
      </c>
      <c r="H276" s="694"/>
      <c r="I276" s="581">
        <f t="shared" si="32"/>
        <v>75</v>
      </c>
      <c r="J276" s="588">
        <f t="shared" si="31"/>
        <v>50</v>
      </c>
      <c r="K276" s="592">
        <f t="shared" si="33"/>
        <v>0.75413333333333332</v>
      </c>
    </row>
    <row r="277" spans="2:11" x14ac:dyDescent="0.25">
      <c r="B277" s="577">
        <v>2007</v>
      </c>
      <c r="C277" s="582">
        <v>39231.875</v>
      </c>
      <c r="D277" s="649">
        <v>58.68</v>
      </c>
      <c r="E277" s="650">
        <v>58.9</v>
      </c>
      <c r="F277" s="644">
        <f t="shared" si="34"/>
        <v>4.1371994342291302E-2</v>
      </c>
      <c r="G277" s="658">
        <f t="shared" si="30"/>
        <v>58.382599999999911</v>
      </c>
      <c r="H277" s="694"/>
      <c r="I277" s="581">
        <f t="shared" si="32"/>
        <v>75</v>
      </c>
      <c r="J277" s="588">
        <f t="shared" si="31"/>
        <v>50</v>
      </c>
      <c r="K277" s="592">
        <f t="shared" si="33"/>
        <v>0.78533333333333333</v>
      </c>
    </row>
    <row r="278" spans="2:11" x14ac:dyDescent="0.25">
      <c r="B278" s="577">
        <v>2008</v>
      </c>
      <c r="C278" s="582">
        <v>39622.885416666664</v>
      </c>
      <c r="D278" s="649">
        <v>56.12</v>
      </c>
      <c r="E278" s="650">
        <v>56.25</v>
      </c>
      <c r="F278" s="644">
        <f t="shared" si="34"/>
        <v>-4.4991511035653624E-2</v>
      </c>
      <c r="G278" s="658">
        <f t="shared" si="30"/>
        <v>59.894399999999678</v>
      </c>
      <c r="H278" s="694"/>
      <c r="I278" s="581">
        <f t="shared" si="32"/>
        <v>75</v>
      </c>
      <c r="J278" s="588">
        <f t="shared" si="31"/>
        <v>50</v>
      </c>
      <c r="K278" s="592">
        <f t="shared" si="33"/>
        <v>0.75</v>
      </c>
    </row>
    <row r="279" spans="2:11" x14ac:dyDescent="0.25">
      <c r="B279" s="577">
        <v>2009</v>
      </c>
      <c r="C279" s="582">
        <v>40016.802083333336</v>
      </c>
      <c r="D279" s="649">
        <v>56.8</v>
      </c>
      <c r="E279" s="650">
        <v>56.94</v>
      </c>
      <c r="F279" s="644">
        <f t="shared" si="34"/>
        <v>1.2266666666666625E-2</v>
      </c>
      <c r="G279" s="658">
        <f t="shared" si="30"/>
        <v>61.406199999999899</v>
      </c>
      <c r="H279" s="694"/>
      <c r="I279" s="581">
        <f t="shared" si="32"/>
        <v>75</v>
      </c>
      <c r="J279" s="588">
        <f t="shared" si="31"/>
        <v>50</v>
      </c>
      <c r="K279" s="592">
        <f t="shared" si="33"/>
        <v>0.75919999999999999</v>
      </c>
    </row>
    <row r="280" spans="2:11" x14ac:dyDescent="0.25">
      <c r="B280" s="577">
        <v>2010</v>
      </c>
      <c r="C280" s="582">
        <v>40380.885416666664</v>
      </c>
      <c r="D280" s="649">
        <v>58.625730104667802</v>
      </c>
      <c r="E280" s="650">
        <v>58.977064905605481</v>
      </c>
      <c r="F280" s="644">
        <f t="shared" si="34"/>
        <v>3.577563936785183E-2</v>
      </c>
      <c r="G280" s="658">
        <f t="shared" si="30"/>
        <v>62.917999999999665</v>
      </c>
      <c r="H280" s="694"/>
      <c r="I280" s="581">
        <f t="shared" si="32"/>
        <v>75</v>
      </c>
      <c r="J280" s="588">
        <f t="shared" si="31"/>
        <v>50</v>
      </c>
      <c r="K280" s="592">
        <f t="shared" si="33"/>
        <v>0.78636086540807304</v>
      </c>
    </row>
    <row r="281" spans="2:11" x14ac:dyDescent="0.25">
      <c r="B281" s="577">
        <v>2011</v>
      </c>
      <c r="C281" s="582">
        <v>40898.614583333336</v>
      </c>
      <c r="D281" s="649">
        <v>69.50927475917041</v>
      </c>
      <c r="E281" s="650">
        <v>69.925832935371119</v>
      </c>
      <c r="F281" s="644">
        <f t="shared" si="34"/>
        <v>0.18564450515279901</v>
      </c>
      <c r="G281" s="658">
        <f t="shared" si="30"/>
        <v>64.429799999999886</v>
      </c>
      <c r="H281" s="694"/>
      <c r="I281" s="581">
        <f t="shared" si="32"/>
        <v>75</v>
      </c>
      <c r="J281" s="588">
        <f t="shared" si="31"/>
        <v>50</v>
      </c>
      <c r="K281" s="665">
        <f t="shared" si="33"/>
        <v>0.93234443913828158</v>
      </c>
    </row>
    <row r="282" spans="2:11" x14ac:dyDescent="0.25">
      <c r="B282" s="577">
        <v>2012</v>
      </c>
      <c r="C282" s="582">
        <v>40938.625</v>
      </c>
      <c r="D282" s="649">
        <v>71.523684672827855</v>
      </c>
      <c r="E282" s="650">
        <v>71.952314891538876</v>
      </c>
      <c r="F282" s="644">
        <f t="shared" si="34"/>
        <v>2.8980447870256058E-2</v>
      </c>
      <c r="G282" s="658">
        <f t="shared" si="30"/>
        <v>65.941600000000108</v>
      </c>
      <c r="H282" s="694"/>
      <c r="I282" s="581">
        <f t="shared" si="32"/>
        <v>75</v>
      </c>
      <c r="J282" s="588">
        <f t="shared" si="31"/>
        <v>50</v>
      </c>
      <c r="K282" s="665">
        <f t="shared" si="33"/>
        <v>0.95936419855385169</v>
      </c>
    </row>
    <row r="283" spans="2:11" x14ac:dyDescent="0.25">
      <c r="B283" s="577">
        <v>2013</v>
      </c>
      <c r="C283" s="582">
        <v>41478.895833333336</v>
      </c>
      <c r="D283" s="649">
        <v>69.049685035446799</v>
      </c>
      <c r="E283" s="650">
        <v>69.46348896255229</v>
      </c>
      <c r="F283" s="644">
        <f t="shared" si="34"/>
        <v>-3.4589935469598848E-2</v>
      </c>
      <c r="G283" s="658">
        <f t="shared" si="30"/>
        <v>67.453399999999874</v>
      </c>
      <c r="H283" s="694"/>
      <c r="I283" s="581">
        <f t="shared" si="32"/>
        <v>75</v>
      </c>
      <c r="J283" s="588">
        <f t="shared" si="31"/>
        <v>50</v>
      </c>
      <c r="K283" s="665">
        <f t="shared" si="33"/>
        <v>0.92617985283403048</v>
      </c>
    </row>
    <row r="284" spans="2:11" x14ac:dyDescent="0.25">
      <c r="B284" s="577">
        <v>2014</v>
      </c>
      <c r="C284" s="580">
        <v>41662.645833333336</v>
      </c>
      <c r="D284" s="649">
        <v>73.490709051831928</v>
      </c>
      <c r="E284" s="650">
        <v>73.931127338979849</v>
      </c>
      <c r="F284" s="644">
        <f t="shared" si="34"/>
        <v>6.4316354435292739E-2</v>
      </c>
      <c r="G284" s="658">
        <f t="shared" si="30"/>
        <v>68.965200000000095</v>
      </c>
      <c r="H284" s="694"/>
      <c r="I284" s="581">
        <f t="shared" si="32"/>
        <v>75</v>
      </c>
      <c r="J284" s="588">
        <f t="shared" si="31"/>
        <v>50</v>
      </c>
      <c r="K284" s="665">
        <f t="shared" si="33"/>
        <v>0.98574836451973136</v>
      </c>
    </row>
    <row r="285" spans="2:11" x14ac:dyDescent="0.25">
      <c r="B285" s="577">
        <v>2015</v>
      </c>
      <c r="C285" s="580">
        <v>42010.625</v>
      </c>
      <c r="D285" s="649">
        <v>63.69</v>
      </c>
      <c r="E285" s="650">
        <v>64.92</v>
      </c>
      <c r="F285" s="644">
        <f t="shared" si="34"/>
        <v>-0.12188543125635218</v>
      </c>
      <c r="G285" s="658">
        <f t="shared" si="30"/>
        <v>70.476999999999862</v>
      </c>
      <c r="H285" s="694"/>
      <c r="I285" s="581">
        <f t="shared" si="32"/>
        <v>75</v>
      </c>
      <c r="J285" s="588">
        <f t="shared" si="31"/>
        <v>50</v>
      </c>
      <c r="K285" s="592">
        <f t="shared" si="33"/>
        <v>0.86560000000000004</v>
      </c>
    </row>
    <row r="286" spans="2:11" x14ac:dyDescent="0.25">
      <c r="B286" s="577">
        <v>2016</v>
      </c>
      <c r="C286" s="580">
        <v>42548.864583333336</v>
      </c>
      <c r="D286" s="649">
        <v>67.599999999999994</v>
      </c>
      <c r="E286" s="650">
        <v>67.599999999999994</v>
      </c>
      <c r="F286" s="644">
        <f t="shared" si="34"/>
        <v>4.1281577325939504E-2</v>
      </c>
      <c r="G286" s="658">
        <f t="shared" si="30"/>
        <v>71.988800000000083</v>
      </c>
      <c r="H286" s="694"/>
      <c r="I286" s="581">
        <f t="shared" si="32"/>
        <v>75</v>
      </c>
      <c r="J286" s="588">
        <f t="shared" si="31"/>
        <v>50</v>
      </c>
      <c r="K286" s="665">
        <f t="shared" si="33"/>
        <v>0.90133333333333321</v>
      </c>
    </row>
    <row r="287" spans="2:11" x14ac:dyDescent="0.25">
      <c r="B287" s="577">
        <v>2017</v>
      </c>
      <c r="C287" s="580">
        <v>42766.614583333336</v>
      </c>
      <c r="D287" s="649">
        <v>71.62</v>
      </c>
      <c r="E287" s="650">
        <v>72.900000000000006</v>
      </c>
      <c r="F287" s="644">
        <f t="shared" si="34"/>
        <v>7.8402366863905504E-2</v>
      </c>
      <c r="G287" s="658">
        <f t="shared" si="30"/>
        <v>73.500599999999849</v>
      </c>
      <c r="H287" s="9">
        <v>72.900000000000006</v>
      </c>
      <c r="I287" s="581">
        <f t="shared" si="32"/>
        <v>75</v>
      </c>
      <c r="J287" s="588">
        <f t="shared" si="31"/>
        <v>50</v>
      </c>
      <c r="K287" s="665">
        <f t="shared" si="33"/>
        <v>0.97200000000000009</v>
      </c>
    </row>
    <row r="288" spans="2:11" x14ac:dyDescent="0.25">
      <c r="B288" s="583">
        <v>2018</v>
      </c>
      <c r="C288" s="720">
        <v>2018</v>
      </c>
      <c r="D288" s="651"/>
      <c r="E288" s="652"/>
      <c r="F288" s="645"/>
      <c r="G288" s="660">
        <f>1.5118*B288-2975.8</f>
        <v>75.012400000000071</v>
      </c>
      <c r="H288" s="934">
        <v>79.961799999999997</v>
      </c>
      <c r="I288" s="584">
        <f>1*55+2*25</f>
        <v>105</v>
      </c>
      <c r="J288" s="589">
        <f t="shared" ref="J288:J297" si="35">I288-55</f>
        <v>50</v>
      </c>
      <c r="K288" s="687">
        <f>H288/I288</f>
        <v>0.76154095238095232</v>
      </c>
    </row>
    <row r="289" spans="2:16" x14ac:dyDescent="0.25">
      <c r="B289" s="583">
        <v>2019</v>
      </c>
      <c r="C289" s="720">
        <v>2019</v>
      </c>
      <c r="D289" s="651"/>
      <c r="E289" s="652"/>
      <c r="F289" s="645"/>
      <c r="G289" s="660">
        <f t="shared" ref="G289:G297" si="36">1.5118*B289-2975.8</f>
        <v>76.524199999999837</v>
      </c>
      <c r="H289" s="934">
        <v>81.47359999999999</v>
      </c>
      <c r="I289" s="584">
        <f>1*55+2*25</f>
        <v>105</v>
      </c>
      <c r="J289" s="589">
        <f t="shared" si="35"/>
        <v>50</v>
      </c>
      <c r="K289" s="687">
        <f t="shared" ref="K289:K297" si="37">H289/I289</f>
        <v>0.77593904761904753</v>
      </c>
    </row>
    <row r="290" spans="2:16" x14ac:dyDescent="0.25">
      <c r="B290" s="583">
        <v>2020</v>
      </c>
      <c r="C290" s="720">
        <v>2020</v>
      </c>
      <c r="D290" s="651"/>
      <c r="E290" s="652"/>
      <c r="F290" s="645"/>
      <c r="G290" s="660">
        <f t="shared" si="36"/>
        <v>78.036000000000058</v>
      </c>
      <c r="H290" s="934">
        <v>82.985399999999984</v>
      </c>
      <c r="I290" s="584">
        <f>1*55+2*25</f>
        <v>105</v>
      </c>
      <c r="J290" s="589">
        <f t="shared" si="35"/>
        <v>50</v>
      </c>
      <c r="K290" s="687">
        <f t="shared" si="37"/>
        <v>0.79033714285714274</v>
      </c>
    </row>
    <row r="291" spans="2:16" x14ac:dyDescent="0.25">
      <c r="B291" s="583">
        <v>2021</v>
      </c>
      <c r="C291" s="720">
        <v>2021</v>
      </c>
      <c r="D291" s="651"/>
      <c r="E291" s="652"/>
      <c r="F291" s="645"/>
      <c r="G291" s="660">
        <f t="shared" si="36"/>
        <v>79.547799999999825</v>
      </c>
      <c r="H291" s="934">
        <v>84.497199999999978</v>
      </c>
      <c r="I291" s="584">
        <f>1*55+2*25</f>
        <v>105</v>
      </c>
      <c r="J291" s="589">
        <f t="shared" si="35"/>
        <v>50</v>
      </c>
      <c r="K291" s="687">
        <f t="shared" si="37"/>
        <v>0.80473523809523784</v>
      </c>
    </row>
    <row r="292" spans="2:16" x14ac:dyDescent="0.25">
      <c r="B292" s="583">
        <v>2022</v>
      </c>
      <c r="C292" s="720">
        <v>2022</v>
      </c>
      <c r="D292" s="653"/>
      <c r="E292" s="654"/>
      <c r="F292" s="645"/>
      <c r="G292" s="660">
        <f t="shared" si="36"/>
        <v>81.059600000000046</v>
      </c>
      <c r="H292" s="934">
        <v>86.008999999999972</v>
      </c>
      <c r="I292" s="584">
        <f t="shared" ref="I292:I297" si="38">2*55+1*25</f>
        <v>135</v>
      </c>
      <c r="J292" s="589">
        <f t="shared" si="35"/>
        <v>80</v>
      </c>
      <c r="K292" s="687">
        <f t="shared" si="37"/>
        <v>0.63710370370370351</v>
      </c>
    </row>
    <row r="293" spans="2:16" x14ac:dyDescent="0.25">
      <c r="B293" s="583">
        <v>2023</v>
      </c>
      <c r="C293" s="720">
        <v>2023</v>
      </c>
      <c r="D293" s="653"/>
      <c r="E293" s="654"/>
      <c r="F293" s="645"/>
      <c r="G293" s="660">
        <f t="shared" si="36"/>
        <v>82.571399999999812</v>
      </c>
      <c r="H293" s="934">
        <v>87.520799999999966</v>
      </c>
      <c r="I293" s="584">
        <f t="shared" si="38"/>
        <v>135</v>
      </c>
      <c r="J293" s="589">
        <f t="shared" si="35"/>
        <v>80</v>
      </c>
      <c r="K293" s="687">
        <f t="shared" si="37"/>
        <v>0.648302222222222</v>
      </c>
    </row>
    <row r="294" spans="2:16" x14ac:dyDescent="0.25">
      <c r="B294" s="583">
        <v>2024</v>
      </c>
      <c r="C294" s="721">
        <v>2024</v>
      </c>
      <c r="D294" s="651"/>
      <c r="E294" s="652"/>
      <c r="F294" s="645"/>
      <c r="G294" s="660">
        <f t="shared" si="36"/>
        <v>84.083200000000033</v>
      </c>
      <c r="H294" s="934">
        <v>89.03259999999996</v>
      </c>
      <c r="I294" s="584">
        <f t="shared" si="38"/>
        <v>135</v>
      </c>
      <c r="J294" s="589">
        <f t="shared" si="35"/>
        <v>80</v>
      </c>
      <c r="K294" s="687">
        <f t="shared" si="37"/>
        <v>0.65950074074074039</v>
      </c>
    </row>
    <row r="295" spans="2:16" x14ac:dyDescent="0.25">
      <c r="B295" s="583">
        <v>2025</v>
      </c>
      <c r="C295" s="721">
        <v>2025</v>
      </c>
      <c r="D295" s="651"/>
      <c r="E295" s="652"/>
      <c r="F295" s="645"/>
      <c r="G295" s="660">
        <f t="shared" si="36"/>
        <v>85.5949999999998</v>
      </c>
      <c r="H295" s="934">
        <v>90.544399999999953</v>
      </c>
      <c r="I295" s="584">
        <f t="shared" si="38"/>
        <v>135</v>
      </c>
      <c r="J295" s="589">
        <f t="shared" si="35"/>
        <v>80</v>
      </c>
      <c r="K295" s="687">
        <f t="shared" si="37"/>
        <v>0.67069925925925888</v>
      </c>
    </row>
    <row r="296" spans="2:16" x14ac:dyDescent="0.25">
      <c r="B296" s="585">
        <v>2026</v>
      </c>
      <c r="C296" s="721">
        <v>2026</v>
      </c>
      <c r="D296" s="651"/>
      <c r="E296" s="652"/>
      <c r="F296" s="645"/>
      <c r="G296" s="660">
        <f t="shared" si="36"/>
        <v>87.106800000000021</v>
      </c>
      <c r="H296" s="934">
        <v>92.056199999999947</v>
      </c>
      <c r="I296" s="584">
        <f t="shared" si="38"/>
        <v>135</v>
      </c>
      <c r="J296" s="589">
        <f t="shared" si="35"/>
        <v>80</v>
      </c>
      <c r="K296" s="687">
        <f t="shared" si="37"/>
        <v>0.68189777777777738</v>
      </c>
    </row>
    <row r="297" spans="2:16" ht="15.75" thickBot="1" x14ac:dyDescent="0.3">
      <c r="B297" s="585">
        <v>2027</v>
      </c>
      <c r="C297" s="722">
        <v>2027</v>
      </c>
      <c r="D297" s="655"/>
      <c r="E297" s="656"/>
      <c r="F297" s="646"/>
      <c r="G297" s="662">
        <f t="shared" si="36"/>
        <v>88.618599999999788</v>
      </c>
      <c r="H297" s="935">
        <v>93.567999999999941</v>
      </c>
      <c r="I297" s="586">
        <f t="shared" si="38"/>
        <v>135</v>
      </c>
      <c r="J297" s="590">
        <f t="shared" si="35"/>
        <v>80</v>
      </c>
      <c r="K297" s="735">
        <f t="shared" si="37"/>
        <v>0.69309629629629588</v>
      </c>
    </row>
    <row r="299" spans="2:16" x14ac:dyDescent="0.25">
      <c r="E299" s="9">
        <f>E287-E277</f>
        <v>14.000000000000007</v>
      </c>
      <c r="F299" s="5">
        <f>E299/10</f>
        <v>1.4000000000000008</v>
      </c>
      <c r="H299" s="9">
        <f>H297-H287</f>
        <v>20.667999999999935</v>
      </c>
      <c r="I299" s="5">
        <f>(H299-14)/14</f>
        <v>0.47628571428570965</v>
      </c>
      <c r="J299" s="898">
        <f>6/14</f>
        <v>0.42857142857142855</v>
      </c>
      <c r="K299" s="936">
        <f>0.045*10</f>
        <v>0.44999999999999996</v>
      </c>
      <c r="L299" t="s">
        <v>368</v>
      </c>
      <c r="N299">
        <f>H287*1.45</f>
        <v>105.705</v>
      </c>
      <c r="P299" s="11">
        <f>1.045*1.51</f>
        <v>1.57795</v>
      </c>
    </row>
    <row r="300" spans="2:16" x14ac:dyDescent="0.25">
      <c r="P300" s="11">
        <f>1.5*1.51</f>
        <v>2.2650000000000001</v>
      </c>
    </row>
    <row r="302" spans="2:16" x14ac:dyDescent="0.25">
      <c r="P302" s="11">
        <f>(E287-E269)/(B287-B269)</f>
        <v>1.7703084405993164</v>
      </c>
    </row>
  </sheetData>
  <mergeCells count="64">
    <mergeCell ref="C265:K265"/>
    <mergeCell ref="C266:K266"/>
    <mergeCell ref="B267:B268"/>
    <mergeCell ref="C267:C268"/>
    <mergeCell ref="D267:F267"/>
    <mergeCell ref="G267:H267"/>
    <mergeCell ref="I267:I268"/>
    <mergeCell ref="J267:J268"/>
    <mergeCell ref="K267:K268"/>
    <mergeCell ref="T127:T129"/>
    <mergeCell ref="I127:I129"/>
    <mergeCell ref="J127:J129"/>
    <mergeCell ref="K127:K129"/>
    <mergeCell ref="L127:L129"/>
    <mergeCell ref="M127:M129"/>
    <mergeCell ref="N127:N129"/>
    <mergeCell ref="O127:O129"/>
    <mergeCell ref="P127:P129"/>
    <mergeCell ref="Q127:Q129"/>
    <mergeCell ref="R127:R129"/>
    <mergeCell ref="S127:S129"/>
    <mergeCell ref="F126:H126"/>
    <mergeCell ref="I126:K126"/>
    <mergeCell ref="L126:N126"/>
    <mergeCell ref="O126:Q126"/>
    <mergeCell ref="R126:T126"/>
    <mergeCell ref="B127:B129"/>
    <mergeCell ref="E127:E129"/>
    <mergeCell ref="F127:F129"/>
    <mergeCell ref="G127:G129"/>
    <mergeCell ref="H127:H129"/>
    <mergeCell ref="C40:K40"/>
    <mergeCell ref="B41:B42"/>
    <mergeCell ref="C41:C42"/>
    <mergeCell ref="D41:F41"/>
    <mergeCell ref="G41:H41"/>
    <mergeCell ref="I41:I42"/>
    <mergeCell ref="J41:J42"/>
    <mergeCell ref="K41:K42"/>
    <mergeCell ref="C39:K39"/>
    <mergeCell ref="B3:K3"/>
    <mergeCell ref="B4:K4"/>
    <mergeCell ref="L4:M4"/>
    <mergeCell ref="B5:B6"/>
    <mergeCell ref="C5:C6"/>
    <mergeCell ref="D5:F5"/>
    <mergeCell ref="G5:I5"/>
    <mergeCell ref="J5:J6"/>
    <mergeCell ref="K5:K6"/>
    <mergeCell ref="M8:N8"/>
    <mergeCell ref="M9:N9"/>
    <mergeCell ref="M10:N10"/>
    <mergeCell ref="M18:M20"/>
    <mergeCell ref="N18:N20"/>
    <mergeCell ref="P152:Q152"/>
    <mergeCell ref="C132:K132"/>
    <mergeCell ref="C133:K133"/>
    <mergeCell ref="B134:B135"/>
    <mergeCell ref="C134:C135"/>
    <mergeCell ref="D134:F134"/>
    <mergeCell ref="G134:H134"/>
    <mergeCell ref="I134:I135"/>
    <mergeCell ref="J134:J135"/>
    <mergeCell ref="K134:K135"/>
  </mergeCells>
  <conditionalFormatting sqref="H127:H129 T127:T129 Q127:Q129 N127:N129 K127:K129">
    <cfRule type="cellIs" dxfId="22" priority="1" operator="greaterThan">
      <formula>1</formula>
    </cfRule>
  </conditionalFormatting>
  <printOptions gridLines="1"/>
  <pageMargins left="0.70866141732283472" right="0.31496062992125984" top="0.55118110236220474" bottom="0.35433070866141736" header="0" footer="0"/>
  <pageSetup paperSize="9" scale="9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pageSetUpPr fitToPage="1"/>
  </sheetPr>
  <dimension ref="A2:U137"/>
  <sheetViews>
    <sheetView topLeftCell="A74" zoomScaleNormal="100" workbookViewId="0">
      <selection activeCell="P104" sqref="P104"/>
    </sheetView>
  </sheetViews>
  <sheetFormatPr baseColWidth="10" defaultRowHeight="15" x14ac:dyDescent="0.25"/>
  <cols>
    <col min="1" max="1" width="5.7109375" customWidth="1"/>
    <col min="2" max="2" width="6.7109375" customWidth="1"/>
    <col min="3" max="3" width="14.7109375" customWidth="1"/>
    <col min="4" max="5" width="10.7109375" customWidth="1"/>
    <col min="6" max="6" width="11.7109375" customWidth="1"/>
    <col min="7" max="8" width="12.7109375" customWidth="1"/>
    <col min="9" max="11" width="10.7109375" customWidth="1"/>
    <col min="20" max="20" width="11.42578125" style="11"/>
  </cols>
  <sheetData>
    <row r="2" spans="2:14" ht="15.75" thickBot="1" x14ac:dyDescent="0.3">
      <c r="B2" s="1174"/>
      <c r="C2" s="1174"/>
      <c r="D2" s="1174"/>
      <c r="E2" s="1174"/>
      <c r="F2" s="1174"/>
      <c r="G2" s="1174"/>
      <c r="H2" s="1174"/>
      <c r="I2" s="1174"/>
      <c r="J2" s="1174"/>
      <c r="K2" s="1174"/>
    </row>
    <row r="3" spans="2:14" ht="15.95" customHeight="1" x14ac:dyDescent="0.25">
      <c r="B3" s="1112" t="s">
        <v>29</v>
      </c>
      <c r="C3" s="1113"/>
      <c r="D3" s="1113"/>
      <c r="E3" s="1113"/>
      <c r="F3" s="1113"/>
      <c r="G3" s="1113"/>
      <c r="H3" s="1113"/>
      <c r="I3" s="1113"/>
      <c r="J3" s="1113"/>
      <c r="K3" s="1114"/>
    </row>
    <row r="4" spans="2:14" ht="15.95" customHeight="1" thickBot="1" x14ac:dyDescent="0.3">
      <c r="B4" s="1115" t="s">
        <v>53</v>
      </c>
      <c r="C4" s="1116"/>
      <c r="D4" s="1116"/>
      <c r="E4" s="1116"/>
      <c r="F4" s="1116"/>
      <c r="G4" s="1116"/>
      <c r="H4" s="1116"/>
      <c r="I4" s="1116"/>
      <c r="J4" s="1116"/>
      <c r="K4" s="1117"/>
    </row>
    <row r="5" spans="2:14" ht="15.95" customHeight="1" x14ac:dyDescent="0.25">
      <c r="B5" s="1166" t="s">
        <v>124</v>
      </c>
      <c r="C5" s="1181" t="s">
        <v>26</v>
      </c>
      <c r="D5" s="1169" t="s">
        <v>110</v>
      </c>
      <c r="E5" s="1167"/>
      <c r="F5" s="1168"/>
      <c r="G5" s="1167" t="s">
        <v>74</v>
      </c>
      <c r="H5" s="1167"/>
      <c r="I5" s="1168"/>
      <c r="J5" s="1182" t="s">
        <v>180</v>
      </c>
      <c r="K5" s="1183" t="s">
        <v>179</v>
      </c>
    </row>
    <row r="6" spans="2:14" ht="39.950000000000003" customHeight="1" x14ac:dyDescent="0.25">
      <c r="B6" s="1119"/>
      <c r="C6" s="1032"/>
      <c r="D6" s="330" t="s">
        <v>174</v>
      </c>
      <c r="E6" s="307" t="s">
        <v>122</v>
      </c>
      <c r="F6" s="330" t="s">
        <v>81</v>
      </c>
      <c r="G6" s="38" t="s">
        <v>170</v>
      </c>
      <c r="H6" s="38" t="s">
        <v>232</v>
      </c>
      <c r="I6" s="38" t="s">
        <v>173</v>
      </c>
      <c r="J6" s="1033"/>
      <c r="K6" s="1123"/>
      <c r="L6" s="259" t="s">
        <v>206</v>
      </c>
      <c r="M6" s="85" t="s">
        <v>73</v>
      </c>
      <c r="N6" s="38" t="s">
        <v>240</v>
      </c>
    </row>
    <row r="7" spans="2:14" ht="15" customHeight="1" x14ac:dyDescent="0.25">
      <c r="B7" s="329"/>
      <c r="C7" s="64">
        <v>1997</v>
      </c>
      <c r="D7" s="61">
        <v>105.26</v>
      </c>
      <c r="E7" s="61">
        <f>D7/L26</f>
        <v>108.11580167569075</v>
      </c>
      <c r="F7" s="66"/>
      <c r="G7" s="131"/>
      <c r="H7" s="40"/>
      <c r="I7" s="67"/>
      <c r="J7" s="70">
        <v>120</v>
      </c>
      <c r="K7" s="243">
        <f>J7-30</f>
        <v>90</v>
      </c>
      <c r="L7" s="325"/>
      <c r="M7" s="50"/>
      <c r="N7" s="50"/>
    </row>
    <row r="8" spans="2:14" x14ac:dyDescent="0.25">
      <c r="B8" s="201"/>
      <c r="C8" s="68">
        <v>1998</v>
      </c>
      <c r="D8" s="62">
        <v>85.03</v>
      </c>
      <c r="E8" s="62">
        <f>D8/L26</f>
        <v>87.336942964886802</v>
      </c>
      <c r="F8" s="50">
        <f>(E8-E7)/E7</f>
        <v>-0.19219076572297164</v>
      </c>
      <c r="G8" s="119"/>
      <c r="H8" s="40"/>
      <c r="I8" s="52"/>
      <c r="J8" s="60">
        <v>120</v>
      </c>
      <c r="K8" s="244">
        <f t="shared" ref="K8:K37" si="0">J8-30</f>
        <v>90</v>
      </c>
      <c r="L8" s="263"/>
      <c r="M8" s="50"/>
      <c r="N8" s="50"/>
    </row>
    <row r="9" spans="2:14" x14ac:dyDescent="0.25">
      <c r="B9" s="201"/>
      <c r="C9" s="68">
        <v>1999</v>
      </c>
      <c r="D9" s="62">
        <v>72.78</v>
      </c>
      <c r="E9" s="62">
        <f>D9/L26</f>
        <v>74.754589074261574</v>
      </c>
      <c r="F9" s="50">
        <f t="shared" ref="F9:F27" si="1">(E9-E8)/E8</f>
        <v>-0.14406679995295776</v>
      </c>
      <c r="G9" s="119"/>
      <c r="H9" s="40"/>
      <c r="I9" s="52"/>
      <c r="J9" s="60">
        <v>120</v>
      </c>
      <c r="K9" s="244">
        <f t="shared" si="0"/>
        <v>90</v>
      </c>
      <c r="L9" s="263"/>
      <c r="M9" s="50"/>
      <c r="N9" s="50"/>
    </row>
    <row r="10" spans="2:14" x14ac:dyDescent="0.25">
      <c r="B10" s="201"/>
      <c r="C10" s="68">
        <v>2000</v>
      </c>
      <c r="D10" s="62">
        <v>68.900000000000006</v>
      </c>
      <c r="E10" s="62">
        <f>D10/L26</f>
        <v>70.769321066455376</v>
      </c>
      <c r="F10" s="50">
        <f t="shared" si="1"/>
        <v>-5.3311349271777997E-2</v>
      </c>
      <c r="G10" s="119"/>
      <c r="H10" s="40"/>
      <c r="I10" s="52"/>
      <c r="J10" s="60">
        <v>120</v>
      </c>
      <c r="K10" s="244">
        <f t="shared" si="0"/>
        <v>90</v>
      </c>
      <c r="L10" s="263"/>
      <c r="M10" s="50"/>
      <c r="N10" s="50"/>
    </row>
    <row r="11" spans="2:14" x14ac:dyDescent="0.25">
      <c r="B11" s="201"/>
      <c r="C11" s="68">
        <v>2001</v>
      </c>
      <c r="D11" s="62">
        <v>98.12</v>
      </c>
      <c r="E11" s="62">
        <f>D11/L26</f>
        <v>100.78208683658347</v>
      </c>
      <c r="F11" s="50">
        <f t="shared" si="1"/>
        <v>0.42409288824383162</v>
      </c>
      <c r="G11" s="119"/>
      <c r="H11" s="40"/>
      <c r="I11" s="52"/>
      <c r="J11" s="60">
        <v>120</v>
      </c>
      <c r="K11" s="244">
        <f t="shared" si="0"/>
        <v>90</v>
      </c>
      <c r="L11" s="263"/>
      <c r="M11" s="50"/>
      <c r="N11" s="50"/>
    </row>
    <row r="12" spans="2:14" x14ac:dyDescent="0.25">
      <c r="B12" s="201"/>
      <c r="C12" s="68">
        <v>2002</v>
      </c>
      <c r="D12" s="62">
        <v>102.61</v>
      </c>
      <c r="E12" s="62">
        <f>D12/L26</f>
        <v>105.39390471159631</v>
      </c>
      <c r="F12" s="50">
        <f t="shared" si="1"/>
        <v>4.5760293518140982E-2</v>
      </c>
      <c r="G12" s="119"/>
      <c r="H12" s="40"/>
      <c r="I12" s="52"/>
      <c r="J12" s="60">
        <v>120</v>
      </c>
      <c r="K12" s="244">
        <f t="shared" si="0"/>
        <v>90</v>
      </c>
      <c r="L12" s="263"/>
      <c r="M12" s="50"/>
      <c r="N12" s="50"/>
    </row>
    <row r="13" spans="2:14" x14ac:dyDescent="0.25">
      <c r="B13" s="201">
        <v>6</v>
      </c>
      <c r="C13" s="68">
        <v>2003</v>
      </c>
      <c r="D13" s="62">
        <v>97.13</v>
      </c>
      <c r="E13" s="62">
        <v>99.25</v>
      </c>
      <c r="F13" s="50">
        <f t="shared" si="1"/>
        <v>-5.8294687234605354E-2</v>
      </c>
      <c r="G13" s="119"/>
      <c r="H13" s="40"/>
      <c r="I13" s="52"/>
      <c r="J13" s="60">
        <v>120</v>
      </c>
      <c r="K13" s="244">
        <f t="shared" si="0"/>
        <v>90</v>
      </c>
      <c r="L13" s="263">
        <v>0.98140000000000005</v>
      </c>
      <c r="M13" s="50"/>
      <c r="N13" s="50"/>
    </row>
    <row r="14" spans="2:14" x14ac:dyDescent="0.25">
      <c r="B14" s="201">
        <v>8</v>
      </c>
      <c r="C14" s="68">
        <v>2004</v>
      </c>
      <c r="D14" s="62">
        <v>97.46</v>
      </c>
      <c r="E14" s="62">
        <v>101.1</v>
      </c>
      <c r="F14" s="50">
        <f t="shared" si="1"/>
        <v>1.8639798488664931E-2</v>
      </c>
      <c r="G14" s="119"/>
      <c r="H14" s="40"/>
      <c r="I14" s="52"/>
      <c r="J14" s="60">
        <v>120</v>
      </c>
      <c r="K14" s="244">
        <f t="shared" si="0"/>
        <v>90</v>
      </c>
      <c r="L14" s="263">
        <v>0.99150000000000005</v>
      </c>
      <c r="M14" s="50"/>
      <c r="N14" s="50"/>
    </row>
    <row r="15" spans="2:14" x14ac:dyDescent="0.25">
      <c r="B15" s="201">
        <v>8</v>
      </c>
      <c r="C15" s="68">
        <v>2005</v>
      </c>
      <c r="D15" s="62">
        <v>97.8</v>
      </c>
      <c r="E15" s="62">
        <v>99.16</v>
      </c>
      <c r="F15" s="50">
        <f t="shared" si="1"/>
        <v>-1.9188921859544985E-2</v>
      </c>
      <c r="G15" s="119"/>
      <c r="H15" s="40"/>
      <c r="I15" s="52"/>
      <c r="J15" s="60">
        <v>120</v>
      </c>
      <c r="K15" s="244">
        <f t="shared" si="0"/>
        <v>90</v>
      </c>
      <c r="L15" s="263">
        <v>0.98629999999999995</v>
      </c>
      <c r="M15" s="50"/>
      <c r="N15" s="50"/>
    </row>
    <row r="16" spans="2:14" x14ac:dyDescent="0.25">
      <c r="B16" s="201">
        <v>10</v>
      </c>
      <c r="C16" s="68">
        <v>2006</v>
      </c>
      <c r="D16" s="62">
        <v>95.54</v>
      </c>
      <c r="E16" s="62">
        <v>99.79</v>
      </c>
      <c r="F16" s="50">
        <f t="shared" si="1"/>
        <v>6.3533682936668988E-3</v>
      </c>
      <c r="G16" s="119"/>
      <c r="H16" s="40"/>
      <c r="I16" s="52"/>
      <c r="J16" s="60">
        <v>120</v>
      </c>
      <c r="K16" s="244">
        <f t="shared" si="0"/>
        <v>90</v>
      </c>
      <c r="L16" s="263">
        <v>0.95740000000000003</v>
      </c>
      <c r="M16" s="50"/>
      <c r="N16" s="50"/>
    </row>
    <row r="17" spans="2:15" x14ac:dyDescent="0.25">
      <c r="B17" s="201">
        <v>11</v>
      </c>
      <c r="C17" s="68">
        <v>2007</v>
      </c>
      <c r="D17" s="62">
        <v>99.4</v>
      </c>
      <c r="E17" s="62">
        <v>104.85</v>
      </c>
      <c r="F17" s="50">
        <f t="shared" si="1"/>
        <v>5.0706483615592622E-2</v>
      </c>
      <c r="G17" s="119"/>
      <c r="H17" s="40"/>
      <c r="I17" s="52"/>
      <c r="J17" s="60">
        <v>120</v>
      </c>
      <c r="K17" s="244">
        <f t="shared" si="0"/>
        <v>90</v>
      </c>
      <c r="L17" s="263">
        <v>0.94810000000000005</v>
      </c>
      <c r="M17" s="50"/>
      <c r="N17" s="50"/>
    </row>
    <row r="18" spans="2:15" ht="15" customHeight="1" x14ac:dyDescent="0.25">
      <c r="B18" s="201">
        <v>11</v>
      </c>
      <c r="C18" s="68">
        <v>2008</v>
      </c>
      <c r="D18" s="62">
        <v>99.64</v>
      </c>
      <c r="E18" s="62">
        <v>104.64</v>
      </c>
      <c r="F18" s="50">
        <f t="shared" si="1"/>
        <v>-2.0028612303289819E-3</v>
      </c>
      <c r="G18" s="119"/>
      <c r="H18" s="40"/>
      <c r="I18" s="52"/>
      <c r="J18" s="60">
        <v>120</v>
      </c>
      <c r="K18" s="244">
        <f t="shared" si="0"/>
        <v>90</v>
      </c>
      <c r="L18" s="263">
        <v>0.95230000000000004</v>
      </c>
      <c r="M18" s="50"/>
      <c r="N18" s="50"/>
    </row>
    <row r="19" spans="2:15" x14ac:dyDescent="0.25">
      <c r="B19" s="201">
        <v>7</v>
      </c>
      <c r="C19" s="68">
        <v>2009</v>
      </c>
      <c r="D19" s="62">
        <v>101.75</v>
      </c>
      <c r="E19" s="62">
        <v>101.94</v>
      </c>
      <c r="F19" s="50">
        <f t="shared" si="1"/>
        <v>-2.5802752293578007E-2</v>
      </c>
      <c r="G19" s="119"/>
      <c r="H19" s="40"/>
      <c r="I19" s="52"/>
      <c r="J19" s="60">
        <v>120</v>
      </c>
      <c r="K19" s="244">
        <f t="shared" si="0"/>
        <v>90</v>
      </c>
      <c r="L19" s="263">
        <v>0.99809999999999999</v>
      </c>
      <c r="M19" s="50"/>
      <c r="N19" s="50"/>
    </row>
    <row r="20" spans="2:15" x14ac:dyDescent="0.25">
      <c r="B20" s="201">
        <v>2</v>
      </c>
      <c r="C20" s="68">
        <v>2010</v>
      </c>
      <c r="D20" s="62">
        <f>L26*E20</f>
        <v>107.98743657574082</v>
      </c>
      <c r="E20" s="62">
        <v>110.91723614183002</v>
      </c>
      <c r="F20" s="50">
        <f t="shared" si="1"/>
        <v>8.8063921344222279E-2</v>
      </c>
      <c r="G20" s="119"/>
      <c r="H20" s="40"/>
      <c r="I20" s="52"/>
      <c r="J20" s="60">
        <v>120</v>
      </c>
      <c r="K20" s="244">
        <f t="shared" si="0"/>
        <v>90</v>
      </c>
      <c r="L20" s="263"/>
      <c r="M20" s="175"/>
      <c r="N20" s="50"/>
      <c r="O20" s="502"/>
    </row>
    <row r="21" spans="2:15" x14ac:dyDescent="0.25">
      <c r="B21" s="201">
        <v>12</v>
      </c>
      <c r="C21" s="68">
        <v>2011</v>
      </c>
      <c r="D21" s="62">
        <f>L26*E21</f>
        <v>95.863054684829294</v>
      </c>
      <c r="E21" s="62">
        <v>98.463908496398446</v>
      </c>
      <c r="F21" s="50">
        <f t="shared" si="1"/>
        <v>-0.11227585611227713</v>
      </c>
      <c r="G21" s="119"/>
      <c r="H21" s="40"/>
      <c r="I21" s="52"/>
      <c r="J21" s="60">
        <v>120</v>
      </c>
      <c r="K21" s="244">
        <f t="shared" si="0"/>
        <v>90</v>
      </c>
      <c r="L21" s="263"/>
      <c r="M21" s="50"/>
      <c r="N21" s="50"/>
    </row>
    <row r="22" spans="2:15" x14ac:dyDescent="0.25">
      <c r="B22" s="201">
        <v>2</v>
      </c>
      <c r="C22" s="68">
        <v>2012</v>
      </c>
      <c r="D22" s="62">
        <f>L26*E22</f>
        <v>99.941236469718291</v>
      </c>
      <c r="E22" s="62">
        <v>102.6527351451964</v>
      </c>
      <c r="F22" s="50">
        <f t="shared" si="1"/>
        <v>4.2541746643656474E-2</v>
      </c>
      <c r="G22" s="119"/>
      <c r="H22" s="40"/>
      <c r="I22" s="52"/>
      <c r="J22" s="60">
        <v>120</v>
      </c>
      <c r="K22" s="244">
        <f t="shared" si="0"/>
        <v>90</v>
      </c>
      <c r="L22" s="263"/>
      <c r="M22" s="175"/>
      <c r="N22" s="50"/>
    </row>
    <row r="23" spans="2:15" x14ac:dyDescent="0.25">
      <c r="B23" s="201">
        <v>12</v>
      </c>
      <c r="C23" s="68">
        <v>2013</v>
      </c>
      <c r="D23" s="62">
        <f>L26*E23</f>
        <v>105.23954651027478</v>
      </c>
      <c r="E23" s="62">
        <v>108.09479326377067</v>
      </c>
      <c r="F23" s="50">
        <f t="shared" si="1"/>
        <v>5.3014253452446126E-2</v>
      </c>
      <c r="G23" s="119"/>
      <c r="H23" s="40"/>
      <c r="I23" s="52"/>
      <c r="J23" s="60">
        <v>120</v>
      </c>
      <c r="K23" s="244">
        <f t="shared" si="0"/>
        <v>90</v>
      </c>
      <c r="L23" s="263"/>
      <c r="M23" s="50"/>
      <c r="N23" s="50"/>
      <c r="O23" s="7"/>
    </row>
    <row r="24" spans="2:15" x14ac:dyDescent="0.25">
      <c r="B24" s="201">
        <v>1</v>
      </c>
      <c r="C24" s="68">
        <v>2014</v>
      </c>
      <c r="D24" s="62">
        <f>L26*E24</f>
        <v>112.01261383869742</v>
      </c>
      <c r="E24" s="62">
        <v>115.05162020672945</v>
      </c>
      <c r="F24" s="50">
        <f t="shared" si="1"/>
        <v>6.4358575773237101E-2</v>
      </c>
      <c r="G24" s="119"/>
      <c r="H24" s="40"/>
      <c r="I24" s="52"/>
      <c r="J24" s="60">
        <v>120</v>
      </c>
      <c r="K24" s="244">
        <f t="shared" si="0"/>
        <v>90</v>
      </c>
      <c r="L24" s="263"/>
      <c r="M24" s="175"/>
      <c r="N24" s="50"/>
      <c r="O24" s="7"/>
    </row>
    <row r="25" spans="2:15" x14ac:dyDescent="0.25">
      <c r="B25" s="201">
        <v>12</v>
      </c>
      <c r="C25" s="68">
        <v>2015</v>
      </c>
      <c r="D25" s="62">
        <f>L26*E25</f>
        <v>104.56947491935668</v>
      </c>
      <c r="E25" s="62">
        <v>107.40654200752692</v>
      </c>
      <c r="F25" s="50">
        <f t="shared" si="1"/>
        <v>-6.644911375837681E-2</v>
      </c>
      <c r="G25" s="119"/>
      <c r="H25" s="40"/>
      <c r="I25" s="52"/>
      <c r="J25" s="60">
        <v>120</v>
      </c>
      <c r="K25" s="244">
        <f t="shared" si="0"/>
        <v>90</v>
      </c>
      <c r="L25" s="263"/>
      <c r="M25" s="311"/>
      <c r="N25" s="50"/>
      <c r="O25" s="40">
        <f>E25</f>
        <v>107.40654200752692</v>
      </c>
    </row>
    <row r="26" spans="2:15" x14ac:dyDescent="0.25">
      <c r="B26" s="201">
        <v>2</v>
      </c>
      <c r="C26" s="68">
        <v>2016</v>
      </c>
      <c r="D26" s="62">
        <v>110.23</v>
      </c>
      <c r="E26" s="62">
        <v>112.31</v>
      </c>
      <c r="F26" s="50">
        <f t="shared" si="1"/>
        <v>4.5653252593584576E-2</v>
      </c>
      <c r="G26" s="503"/>
      <c r="H26" s="40"/>
      <c r="I26" s="492"/>
      <c r="J26" s="60">
        <v>120</v>
      </c>
      <c r="K26" s="244">
        <f t="shared" si="0"/>
        <v>90</v>
      </c>
      <c r="L26" s="273">
        <f>AVERAGE(L7:L25)</f>
        <v>0.97358571428571428</v>
      </c>
      <c r="M26" s="50"/>
      <c r="N26" s="390" t="e">
        <f>(H26-H25)/H25</f>
        <v>#DIV/0!</v>
      </c>
      <c r="O26" s="463">
        <v>94.544596676132102</v>
      </c>
    </row>
    <row r="27" spans="2:15" x14ac:dyDescent="0.25">
      <c r="B27" s="201"/>
      <c r="C27" s="68">
        <v>2017</v>
      </c>
      <c r="D27" s="62"/>
      <c r="E27" s="62">
        <v>100</v>
      </c>
      <c r="F27" s="50">
        <f t="shared" si="1"/>
        <v>-0.10960733683554449</v>
      </c>
      <c r="G27" s="503"/>
      <c r="H27" s="40">
        <f>E27</f>
        <v>100</v>
      </c>
      <c r="I27" s="492">
        <f>E27</f>
        <v>100</v>
      </c>
      <c r="J27" s="60">
        <v>120</v>
      </c>
      <c r="K27" s="244">
        <f t="shared" si="0"/>
        <v>90</v>
      </c>
      <c r="L27" s="268"/>
      <c r="M27" s="383" t="e">
        <f>(G27-G26)/G26</f>
        <v>#DIV/0!</v>
      </c>
      <c r="N27" s="390" t="e">
        <f>(H27-H26)/H26</f>
        <v>#DIV/0!</v>
      </c>
      <c r="O27" s="463">
        <v>73.098186571423994</v>
      </c>
    </row>
    <row r="28" spans="2:15" x14ac:dyDescent="0.25">
      <c r="B28" s="202"/>
      <c r="C28" s="69">
        <v>2018</v>
      </c>
      <c r="D28" s="109"/>
      <c r="E28" s="109"/>
      <c r="F28" s="476"/>
      <c r="G28" s="504"/>
      <c r="H28" s="188"/>
      <c r="I28" s="391">
        <f t="shared" ref="I28:I37" si="2">1.045*I27</f>
        <v>104.5</v>
      </c>
      <c r="J28" s="60">
        <v>120</v>
      </c>
      <c r="K28" s="244">
        <f t="shared" si="0"/>
        <v>90</v>
      </c>
      <c r="L28" s="268"/>
      <c r="M28" s="383" t="e">
        <f t="shared" ref="M28:M35" si="3">(G28-G27)/G27</f>
        <v>#DIV/0!</v>
      </c>
      <c r="N28" s="390">
        <f>(H28-H27)/H27</f>
        <v>-1</v>
      </c>
      <c r="O28" s="463">
        <v>76.241408593995203</v>
      </c>
    </row>
    <row r="29" spans="2:15" x14ac:dyDescent="0.25">
      <c r="B29" s="202"/>
      <c r="C29" s="69">
        <v>2019</v>
      </c>
      <c r="D29" s="114"/>
      <c r="E29" s="114"/>
      <c r="F29" s="476"/>
      <c r="G29" s="504"/>
      <c r="H29" s="188"/>
      <c r="I29" s="391">
        <f t="shared" si="2"/>
        <v>109.20249999999999</v>
      </c>
      <c r="J29" s="60">
        <v>120</v>
      </c>
      <c r="K29" s="244">
        <f t="shared" si="0"/>
        <v>90</v>
      </c>
      <c r="L29" s="268"/>
      <c r="M29" s="383" t="e">
        <f t="shared" si="3"/>
        <v>#DIV/0!</v>
      </c>
      <c r="N29" s="390" t="e">
        <f>(H29-H28)/H28</f>
        <v>#DIV/0!</v>
      </c>
      <c r="O29" s="463">
        <v>79.519789163536998</v>
      </c>
    </row>
    <row r="30" spans="2:15" x14ac:dyDescent="0.25">
      <c r="B30" s="202"/>
      <c r="C30" s="69">
        <v>2020</v>
      </c>
      <c r="D30" s="114"/>
      <c r="E30" s="114"/>
      <c r="F30" s="476"/>
      <c r="G30" s="504"/>
      <c r="H30" s="188"/>
      <c r="I30" s="391">
        <f t="shared" si="2"/>
        <v>114.11661249999997</v>
      </c>
      <c r="J30" s="60">
        <v>120</v>
      </c>
      <c r="K30" s="244">
        <f t="shared" si="0"/>
        <v>90</v>
      </c>
      <c r="M30" s="383" t="e">
        <f t="shared" si="3"/>
        <v>#DIV/0!</v>
      </c>
      <c r="N30" s="390" t="e">
        <f>(H30-H29)/H29</f>
        <v>#DIV/0!</v>
      </c>
      <c r="O30" s="463">
        <v>82.939140097568995</v>
      </c>
    </row>
    <row r="31" spans="2:15" x14ac:dyDescent="0.25">
      <c r="B31" s="202"/>
      <c r="C31" s="69">
        <v>2021</v>
      </c>
      <c r="D31" s="109"/>
      <c r="E31" s="109"/>
      <c r="F31" s="476"/>
      <c r="G31" s="504"/>
      <c r="H31" s="464"/>
      <c r="I31" s="391">
        <f t="shared" si="2"/>
        <v>119.25186006249996</v>
      </c>
      <c r="J31" s="60">
        <v>120</v>
      </c>
      <c r="K31" s="244">
        <f t="shared" si="0"/>
        <v>90</v>
      </c>
      <c r="M31" s="383" t="e">
        <f t="shared" si="3"/>
        <v>#DIV/0!</v>
      </c>
      <c r="N31" s="390"/>
      <c r="O31" s="463"/>
    </row>
    <row r="32" spans="2:15" x14ac:dyDescent="0.25">
      <c r="B32" s="202"/>
      <c r="C32" s="69">
        <v>2022</v>
      </c>
      <c r="D32" s="109"/>
      <c r="E32" s="109"/>
      <c r="F32" s="476"/>
      <c r="G32" s="504"/>
      <c r="H32" s="464"/>
      <c r="I32" s="391">
        <f t="shared" si="2"/>
        <v>124.61819376531244</v>
      </c>
      <c r="J32" s="60">
        <v>120</v>
      </c>
      <c r="K32" s="244">
        <f t="shared" si="0"/>
        <v>90</v>
      </c>
      <c r="M32" s="383" t="e">
        <f t="shared" si="3"/>
        <v>#DIV/0!</v>
      </c>
      <c r="N32" s="390"/>
      <c r="O32" s="463"/>
    </row>
    <row r="33" spans="2:15" x14ac:dyDescent="0.25">
      <c r="B33" s="202"/>
      <c r="C33" s="69">
        <v>2023</v>
      </c>
      <c r="D33" s="109"/>
      <c r="E33" s="109"/>
      <c r="F33" s="476"/>
      <c r="G33" s="504"/>
      <c r="H33" s="464"/>
      <c r="I33" s="391">
        <f t="shared" si="2"/>
        <v>130.22601248475149</v>
      </c>
      <c r="J33" s="60">
        <v>120</v>
      </c>
      <c r="K33" s="244">
        <f t="shared" si="0"/>
        <v>90</v>
      </c>
      <c r="M33" s="383" t="e">
        <f t="shared" si="3"/>
        <v>#DIV/0!</v>
      </c>
      <c r="N33" s="390"/>
      <c r="O33" s="463"/>
    </row>
    <row r="34" spans="2:15" x14ac:dyDescent="0.25">
      <c r="B34" s="202"/>
      <c r="C34" s="69">
        <v>2024</v>
      </c>
      <c r="D34" s="109"/>
      <c r="E34" s="109"/>
      <c r="F34" s="476"/>
      <c r="G34" s="504"/>
      <c r="H34" s="464"/>
      <c r="I34" s="391">
        <f t="shared" si="2"/>
        <v>136.08618304656531</v>
      </c>
      <c r="J34" s="60">
        <v>120</v>
      </c>
      <c r="K34" s="244">
        <f t="shared" si="0"/>
        <v>90</v>
      </c>
      <c r="M34" s="383" t="e">
        <f t="shared" si="3"/>
        <v>#DIV/0!</v>
      </c>
      <c r="N34" s="390"/>
      <c r="O34" s="463"/>
    </row>
    <row r="35" spans="2:15" x14ac:dyDescent="0.25">
      <c r="B35" s="197"/>
      <c r="C35" s="107">
        <v>2025</v>
      </c>
      <c r="D35" s="109"/>
      <c r="E35" s="109"/>
      <c r="F35" s="476"/>
      <c r="G35" s="504"/>
      <c r="H35" s="464"/>
      <c r="I35" s="391">
        <f t="shared" si="2"/>
        <v>142.21006128366074</v>
      </c>
      <c r="J35" s="60">
        <v>120</v>
      </c>
      <c r="K35" s="244">
        <f t="shared" si="0"/>
        <v>90</v>
      </c>
      <c r="M35" s="383" t="e">
        <f t="shared" si="3"/>
        <v>#DIV/0!</v>
      </c>
      <c r="N35" s="390"/>
      <c r="O35" s="463"/>
    </row>
    <row r="36" spans="2:15" x14ac:dyDescent="0.25">
      <c r="B36" s="494"/>
      <c r="C36" s="69">
        <v>2026</v>
      </c>
      <c r="D36" s="103"/>
      <c r="E36" s="103"/>
      <c r="F36" s="495"/>
      <c r="G36" s="504"/>
      <c r="H36" s="496"/>
      <c r="I36" s="391">
        <f t="shared" si="2"/>
        <v>148.60951404142546</v>
      </c>
      <c r="J36" s="60">
        <v>120</v>
      </c>
      <c r="K36" s="244">
        <f t="shared" si="0"/>
        <v>90</v>
      </c>
      <c r="M36" s="364" t="e">
        <f>AVERAGE(M27:M35)</f>
        <v>#DIV/0!</v>
      </c>
      <c r="N36" s="50"/>
    </row>
    <row r="37" spans="2:15" ht="15.75" thickBot="1" x14ac:dyDescent="0.3">
      <c r="B37" s="497"/>
      <c r="C37" s="252">
        <v>2027</v>
      </c>
      <c r="D37" s="501"/>
      <c r="E37" s="501"/>
      <c r="F37" s="498"/>
      <c r="G37" s="505"/>
      <c r="H37" s="499"/>
      <c r="I37" s="392">
        <f t="shared" si="2"/>
        <v>155.29694217328958</v>
      </c>
      <c r="J37" s="500">
        <v>120</v>
      </c>
      <c r="K37" s="248">
        <f t="shared" si="0"/>
        <v>90</v>
      </c>
    </row>
    <row r="38" spans="2:15" x14ac:dyDescent="0.25">
      <c r="F38" s="143">
        <f>AVERAGE(F8:F27)</f>
        <v>2.7997068847540217E-3</v>
      </c>
    </row>
    <row r="40" spans="2:15" ht="15" customHeight="1" x14ac:dyDescent="0.25">
      <c r="C40" s="1179" t="s">
        <v>56</v>
      </c>
      <c r="D40" s="1180"/>
      <c r="E40" s="1180"/>
      <c r="F40" s="1180"/>
      <c r="G40" s="1180"/>
      <c r="H40" s="1180"/>
      <c r="I40" s="1180"/>
      <c r="J40" s="1180"/>
      <c r="K40" s="1180"/>
      <c r="L40" s="1180"/>
    </row>
    <row r="41" spans="2:15" x14ac:dyDescent="0.25">
      <c r="C41" s="1179"/>
      <c r="D41" s="1180"/>
      <c r="E41" s="1180"/>
      <c r="F41" s="1180"/>
      <c r="G41" s="1180"/>
      <c r="H41" s="1180"/>
      <c r="I41" s="1180"/>
      <c r="J41" s="1180"/>
      <c r="K41" s="1180"/>
      <c r="L41" s="1180"/>
    </row>
    <row r="42" spans="2:15" x14ac:dyDescent="0.25">
      <c r="C42" s="1179"/>
      <c r="D42" s="1180"/>
      <c r="E42" s="1180"/>
      <c r="F42" s="1180"/>
      <c r="G42" s="1180"/>
      <c r="H42" s="1180"/>
      <c r="I42" s="1180"/>
      <c r="J42" s="1180"/>
      <c r="K42" s="1180"/>
      <c r="L42" s="1180"/>
    </row>
    <row r="43" spans="2:15" x14ac:dyDescent="0.25">
      <c r="C43" s="1179"/>
      <c r="D43" s="1180"/>
      <c r="E43" s="1180"/>
      <c r="F43" s="1180"/>
      <c r="G43" s="1180"/>
      <c r="H43" s="1180"/>
      <c r="I43" s="1180"/>
      <c r="J43" s="1180"/>
      <c r="K43" s="1180"/>
      <c r="L43" s="1180"/>
    </row>
    <row r="44" spans="2:15" ht="15.75" thickBot="1" x14ac:dyDescent="0.3">
      <c r="C44" s="76"/>
      <c r="D44" s="76"/>
      <c r="E44" s="76"/>
      <c r="F44" s="76"/>
      <c r="G44" s="76"/>
      <c r="H44" s="76"/>
      <c r="I44" s="76"/>
      <c r="J44" s="76"/>
      <c r="K44" s="76"/>
      <c r="L44" s="76"/>
    </row>
    <row r="45" spans="2:15" ht="20.100000000000001" customHeight="1" thickBot="1" x14ac:dyDescent="0.3">
      <c r="C45" s="1176" t="s">
        <v>29</v>
      </c>
      <c r="D45" s="1177"/>
      <c r="E45" s="1177"/>
      <c r="F45" s="1177"/>
      <c r="G45" s="1177"/>
      <c r="H45" s="1177"/>
      <c r="I45" s="1177"/>
      <c r="J45" s="1177"/>
      <c r="K45" s="1178"/>
      <c r="L45" s="76"/>
    </row>
    <row r="46" spans="2:15" ht="15.95" customHeight="1" thickBot="1" x14ac:dyDescent="0.3">
      <c r="C46" s="1040" t="s">
        <v>53</v>
      </c>
      <c r="D46" s="1041"/>
      <c r="E46" s="1041"/>
      <c r="F46" s="1041"/>
      <c r="G46" s="1041"/>
      <c r="H46" s="1041"/>
      <c r="I46" s="1041"/>
      <c r="J46" s="1041"/>
      <c r="K46" s="1042"/>
      <c r="L46" s="76"/>
    </row>
    <row r="47" spans="2:15" ht="15.95" customHeight="1" thickBot="1" x14ac:dyDescent="0.3">
      <c r="B47" s="1051" t="s">
        <v>26</v>
      </c>
      <c r="C47" s="1043" t="s">
        <v>35</v>
      </c>
      <c r="D47" s="1045" t="s">
        <v>110</v>
      </c>
      <c r="E47" s="1046"/>
      <c r="F47" s="1047"/>
      <c r="G47" s="1045" t="s">
        <v>74</v>
      </c>
      <c r="H47" s="1047"/>
      <c r="I47" s="1043" t="s">
        <v>180</v>
      </c>
      <c r="J47" s="1043" t="s">
        <v>268</v>
      </c>
      <c r="K47" s="1049" t="s">
        <v>269</v>
      </c>
      <c r="L47" s="76"/>
    </row>
    <row r="48" spans="2:15" ht="35.1" customHeight="1" thickBot="1" x14ac:dyDescent="0.3">
      <c r="B48" s="1051"/>
      <c r="C48" s="1044"/>
      <c r="D48" s="541" t="s">
        <v>174</v>
      </c>
      <c r="E48" s="541" t="s">
        <v>122</v>
      </c>
      <c r="F48" s="541" t="s">
        <v>346</v>
      </c>
      <c r="G48" s="537" t="s">
        <v>170</v>
      </c>
      <c r="H48" s="538" t="s">
        <v>270</v>
      </c>
      <c r="I48" s="1044"/>
      <c r="J48" s="1044"/>
      <c r="K48" s="1175"/>
      <c r="L48" s="76"/>
    </row>
    <row r="49" spans="2:13" ht="15" customHeight="1" x14ac:dyDescent="0.25">
      <c r="B49" s="674">
        <v>1997</v>
      </c>
      <c r="C49" s="782">
        <v>1997</v>
      </c>
      <c r="D49" s="647">
        <v>105.26</v>
      </c>
      <c r="E49" s="648">
        <v>108.11580167569075</v>
      </c>
      <c r="F49" s="643"/>
      <c r="G49" s="657"/>
      <c r="H49" s="657"/>
      <c r="I49" s="579">
        <f>4*30</f>
        <v>120</v>
      </c>
      <c r="J49" s="678">
        <f>I49-30</f>
        <v>90</v>
      </c>
      <c r="K49" s="679">
        <f>E49/I49</f>
        <v>0.90096501396408957</v>
      </c>
      <c r="L49" s="76"/>
      <c r="M49" s="10">
        <f>(90*120)/100</f>
        <v>108</v>
      </c>
    </row>
    <row r="50" spans="2:13" ht="15" customHeight="1" x14ac:dyDescent="0.25">
      <c r="B50" s="675">
        <v>1998</v>
      </c>
      <c r="C50" s="783">
        <v>1998</v>
      </c>
      <c r="D50" s="649">
        <v>85.03</v>
      </c>
      <c r="E50" s="650">
        <v>87.336942964886802</v>
      </c>
      <c r="F50" s="644">
        <f>(E50-E49)/E49</f>
        <v>-0.19219076572297164</v>
      </c>
      <c r="G50" s="658"/>
      <c r="H50" s="658"/>
      <c r="I50" s="581">
        <f t="shared" ref="I50:I79" si="4">4*30</f>
        <v>120</v>
      </c>
      <c r="J50" s="668">
        <f t="shared" ref="J50:J79" si="5">I50-30</f>
        <v>90</v>
      </c>
      <c r="K50" s="680">
        <f t="shared" ref="K50:K69" si="6">E50/I50</f>
        <v>0.72780785804072334</v>
      </c>
      <c r="L50" s="76"/>
      <c r="M50" s="10">
        <f t="shared" ref="M50:M79" si="7">(90*120)/100</f>
        <v>108</v>
      </c>
    </row>
    <row r="51" spans="2:13" ht="15" customHeight="1" x14ac:dyDescent="0.25">
      <c r="B51" s="675">
        <v>1999</v>
      </c>
      <c r="C51" s="783">
        <v>1999</v>
      </c>
      <c r="D51" s="649">
        <v>72.78</v>
      </c>
      <c r="E51" s="650">
        <v>74.754589074261574</v>
      </c>
      <c r="F51" s="644">
        <f t="shared" ref="F51:F69" si="8">(E51-E50)/E50</f>
        <v>-0.14406679995295776</v>
      </c>
      <c r="G51" s="841"/>
      <c r="H51" s="658"/>
      <c r="I51" s="581">
        <f t="shared" si="4"/>
        <v>120</v>
      </c>
      <c r="J51" s="668">
        <f t="shared" si="5"/>
        <v>90</v>
      </c>
      <c r="K51" s="680">
        <f t="shared" si="6"/>
        <v>0.62295490895217975</v>
      </c>
      <c r="L51" s="76"/>
      <c r="M51" s="10">
        <f t="shared" si="7"/>
        <v>108</v>
      </c>
    </row>
    <row r="52" spans="2:13" ht="15" customHeight="1" x14ac:dyDescent="0.25">
      <c r="B52" s="675">
        <v>2000</v>
      </c>
      <c r="C52" s="783">
        <v>2000</v>
      </c>
      <c r="D52" s="649">
        <v>68.900000000000006</v>
      </c>
      <c r="E52" s="650">
        <v>70.769321066455376</v>
      </c>
      <c r="F52" s="644">
        <f t="shared" si="8"/>
        <v>-5.3311349271777997E-2</v>
      </c>
      <c r="G52" s="658"/>
      <c r="H52" s="658"/>
      <c r="I52" s="581">
        <f t="shared" si="4"/>
        <v>120</v>
      </c>
      <c r="J52" s="668">
        <f t="shared" si="5"/>
        <v>90</v>
      </c>
      <c r="K52" s="680">
        <f t="shared" si="6"/>
        <v>0.58974434222046146</v>
      </c>
      <c r="L52" s="76"/>
      <c r="M52" s="10">
        <f t="shared" si="7"/>
        <v>108</v>
      </c>
    </row>
    <row r="53" spans="2:13" ht="15" customHeight="1" x14ac:dyDescent="0.25">
      <c r="B53" s="675">
        <v>2001</v>
      </c>
      <c r="C53" s="783">
        <v>2001</v>
      </c>
      <c r="D53" s="649">
        <v>98.12</v>
      </c>
      <c r="E53" s="650">
        <v>100.78208683658347</v>
      </c>
      <c r="F53" s="644">
        <f t="shared" si="8"/>
        <v>0.42409288824383162</v>
      </c>
      <c r="G53" s="658"/>
      <c r="H53" s="658"/>
      <c r="I53" s="581">
        <f t="shared" si="4"/>
        <v>120</v>
      </c>
      <c r="J53" s="668">
        <f t="shared" si="5"/>
        <v>90</v>
      </c>
      <c r="K53" s="680">
        <f t="shared" si="6"/>
        <v>0.83985072363819557</v>
      </c>
      <c r="L53" s="76"/>
      <c r="M53" s="10">
        <f t="shared" si="7"/>
        <v>108</v>
      </c>
    </row>
    <row r="54" spans="2:13" ht="15" customHeight="1" x14ac:dyDescent="0.25">
      <c r="B54" s="675">
        <v>2002</v>
      </c>
      <c r="C54" s="783">
        <v>2002</v>
      </c>
      <c r="D54" s="649">
        <v>102.61</v>
      </c>
      <c r="E54" s="650">
        <v>105.39390471159631</v>
      </c>
      <c r="F54" s="644">
        <f t="shared" si="8"/>
        <v>4.5760293518140982E-2</v>
      </c>
      <c r="G54" s="658"/>
      <c r="H54" s="658"/>
      <c r="I54" s="581">
        <f t="shared" si="4"/>
        <v>120</v>
      </c>
      <c r="J54" s="668">
        <f t="shared" si="5"/>
        <v>90</v>
      </c>
      <c r="K54" s="680">
        <f t="shared" si="6"/>
        <v>0.87828253926330258</v>
      </c>
      <c r="L54" s="76"/>
      <c r="M54" s="10">
        <f t="shared" si="7"/>
        <v>108</v>
      </c>
    </row>
    <row r="55" spans="2:13" ht="15" customHeight="1" x14ac:dyDescent="0.25">
      <c r="B55" s="675">
        <v>2003</v>
      </c>
      <c r="C55" s="582">
        <v>37781.802083333336</v>
      </c>
      <c r="D55" s="649">
        <v>97.13</v>
      </c>
      <c r="E55" s="650">
        <v>99.25</v>
      </c>
      <c r="F55" s="644">
        <f t="shared" si="8"/>
        <v>-5.8294687234605354E-2</v>
      </c>
      <c r="G55" s="658"/>
      <c r="H55" s="658"/>
      <c r="I55" s="581">
        <f t="shared" si="4"/>
        <v>120</v>
      </c>
      <c r="J55" s="668">
        <f t="shared" si="5"/>
        <v>90</v>
      </c>
      <c r="K55" s="680">
        <f t="shared" si="6"/>
        <v>0.82708333333333328</v>
      </c>
      <c r="L55" s="76"/>
      <c r="M55" s="10">
        <f t="shared" si="7"/>
        <v>108</v>
      </c>
    </row>
    <row r="56" spans="2:13" ht="15" customHeight="1" x14ac:dyDescent="0.25">
      <c r="B56" s="675">
        <v>2004</v>
      </c>
      <c r="C56" s="582">
        <v>38218.822916666664</v>
      </c>
      <c r="D56" s="649">
        <v>97.46</v>
      </c>
      <c r="E56" s="650">
        <v>101.1</v>
      </c>
      <c r="F56" s="644">
        <f t="shared" si="8"/>
        <v>1.8639798488664931E-2</v>
      </c>
      <c r="G56" s="658"/>
      <c r="H56" s="658"/>
      <c r="I56" s="581">
        <f t="shared" si="4"/>
        <v>120</v>
      </c>
      <c r="J56" s="668">
        <f t="shared" si="5"/>
        <v>90</v>
      </c>
      <c r="K56" s="680">
        <f t="shared" si="6"/>
        <v>0.84249999999999992</v>
      </c>
      <c r="L56" s="76"/>
      <c r="M56" s="10">
        <f t="shared" si="7"/>
        <v>108</v>
      </c>
    </row>
    <row r="57" spans="2:13" ht="15" customHeight="1" x14ac:dyDescent="0.25">
      <c r="B57" s="675">
        <v>2005</v>
      </c>
      <c r="C57" s="582">
        <v>38573.822916666664</v>
      </c>
      <c r="D57" s="649">
        <v>97.8</v>
      </c>
      <c r="E57" s="650">
        <v>99.16</v>
      </c>
      <c r="F57" s="644">
        <f t="shared" si="8"/>
        <v>-1.9188921859544985E-2</v>
      </c>
      <c r="G57" s="658"/>
      <c r="H57" s="658"/>
      <c r="I57" s="581">
        <f t="shared" si="4"/>
        <v>120</v>
      </c>
      <c r="J57" s="668">
        <f t="shared" si="5"/>
        <v>90</v>
      </c>
      <c r="K57" s="680">
        <f t="shared" si="6"/>
        <v>0.82633333333333325</v>
      </c>
      <c r="L57" s="76"/>
      <c r="M57" s="10">
        <f t="shared" si="7"/>
        <v>108</v>
      </c>
    </row>
    <row r="58" spans="2:13" ht="15" customHeight="1" x14ac:dyDescent="0.25">
      <c r="B58" s="675">
        <v>2006</v>
      </c>
      <c r="C58" s="582">
        <v>39013.84375</v>
      </c>
      <c r="D58" s="649">
        <v>95.54</v>
      </c>
      <c r="E58" s="650">
        <v>99.79</v>
      </c>
      <c r="F58" s="644">
        <f t="shared" si="8"/>
        <v>6.3533682936668988E-3</v>
      </c>
      <c r="G58" s="658"/>
      <c r="H58" s="658"/>
      <c r="I58" s="581">
        <f t="shared" si="4"/>
        <v>120</v>
      </c>
      <c r="J58" s="668">
        <f t="shared" si="5"/>
        <v>90</v>
      </c>
      <c r="K58" s="680">
        <f t="shared" si="6"/>
        <v>0.83158333333333334</v>
      </c>
      <c r="L58" s="76"/>
      <c r="M58" s="10">
        <f t="shared" si="7"/>
        <v>108</v>
      </c>
    </row>
    <row r="59" spans="2:13" ht="15" customHeight="1" x14ac:dyDescent="0.25">
      <c r="B59" s="675">
        <v>2007</v>
      </c>
      <c r="C59" s="582">
        <v>39407.510416666664</v>
      </c>
      <c r="D59" s="649">
        <v>99.4</v>
      </c>
      <c r="E59" s="650">
        <v>104.85</v>
      </c>
      <c r="F59" s="644">
        <f t="shared" si="8"/>
        <v>5.0706483615592622E-2</v>
      </c>
      <c r="G59" s="658"/>
      <c r="H59" s="658"/>
      <c r="I59" s="581">
        <f t="shared" si="4"/>
        <v>120</v>
      </c>
      <c r="J59" s="668">
        <f t="shared" si="5"/>
        <v>90</v>
      </c>
      <c r="K59" s="680">
        <f t="shared" si="6"/>
        <v>0.87374999999999992</v>
      </c>
      <c r="L59" s="76"/>
      <c r="M59" s="10">
        <f t="shared" si="7"/>
        <v>108</v>
      </c>
    </row>
    <row r="60" spans="2:13" ht="15" customHeight="1" x14ac:dyDescent="0.25">
      <c r="B60" s="675">
        <v>2008</v>
      </c>
      <c r="C60" s="582">
        <v>39779.520833333336</v>
      </c>
      <c r="D60" s="649">
        <v>99.64</v>
      </c>
      <c r="E60" s="650">
        <v>104.64</v>
      </c>
      <c r="F60" s="644">
        <f t="shared" si="8"/>
        <v>-2.0028612303289819E-3</v>
      </c>
      <c r="G60" s="658"/>
      <c r="H60" s="658"/>
      <c r="I60" s="581">
        <f t="shared" si="4"/>
        <v>120</v>
      </c>
      <c r="J60" s="668">
        <f t="shared" si="5"/>
        <v>90</v>
      </c>
      <c r="K60" s="680">
        <f t="shared" si="6"/>
        <v>0.872</v>
      </c>
      <c r="L60" s="76"/>
      <c r="M60" s="10">
        <f t="shared" si="7"/>
        <v>108</v>
      </c>
    </row>
    <row r="61" spans="2:13" ht="15" customHeight="1" x14ac:dyDescent="0.25">
      <c r="B61" s="675">
        <v>2009</v>
      </c>
      <c r="C61" s="582">
        <v>40016.8125</v>
      </c>
      <c r="D61" s="649">
        <v>101.75</v>
      </c>
      <c r="E61" s="650">
        <v>101.94</v>
      </c>
      <c r="F61" s="644">
        <f t="shared" si="8"/>
        <v>-2.5802752293578007E-2</v>
      </c>
      <c r="G61" s="658"/>
      <c r="H61" s="658"/>
      <c r="I61" s="581">
        <f t="shared" si="4"/>
        <v>120</v>
      </c>
      <c r="J61" s="668">
        <f t="shared" si="5"/>
        <v>90</v>
      </c>
      <c r="K61" s="680">
        <f t="shared" si="6"/>
        <v>0.84950000000000003</v>
      </c>
      <c r="L61" s="76"/>
      <c r="M61" s="10">
        <f t="shared" si="7"/>
        <v>108</v>
      </c>
    </row>
    <row r="62" spans="2:13" ht="15" customHeight="1" x14ac:dyDescent="0.25">
      <c r="B62" s="675">
        <v>2010</v>
      </c>
      <c r="C62" s="582">
        <v>40212.614583333336</v>
      </c>
      <c r="D62" s="649">
        <v>107.98743657574082</v>
      </c>
      <c r="E62" s="650">
        <v>110.91723614183002</v>
      </c>
      <c r="F62" s="644">
        <f t="shared" si="8"/>
        <v>8.8063921344222279E-2</v>
      </c>
      <c r="G62" s="659"/>
      <c r="H62" s="658"/>
      <c r="I62" s="581">
        <f t="shared" si="4"/>
        <v>120</v>
      </c>
      <c r="J62" s="668">
        <f t="shared" si="5"/>
        <v>90</v>
      </c>
      <c r="K62" s="680">
        <f t="shared" si="6"/>
        <v>0.92431030118191682</v>
      </c>
      <c r="L62" s="76"/>
      <c r="M62" s="10">
        <f t="shared" si="7"/>
        <v>108</v>
      </c>
    </row>
    <row r="63" spans="2:13" ht="15" customHeight="1" x14ac:dyDescent="0.25">
      <c r="B63" s="675">
        <v>2011</v>
      </c>
      <c r="C63" s="582">
        <v>40898.625</v>
      </c>
      <c r="D63" s="649">
        <v>95.863054684829294</v>
      </c>
      <c r="E63" s="650">
        <v>98.463908496398446</v>
      </c>
      <c r="F63" s="644">
        <f t="shared" si="8"/>
        <v>-0.11227585611227713</v>
      </c>
      <c r="G63" s="659"/>
      <c r="H63" s="658"/>
      <c r="I63" s="581">
        <f t="shared" si="4"/>
        <v>120</v>
      </c>
      <c r="J63" s="668">
        <f t="shared" si="5"/>
        <v>90</v>
      </c>
      <c r="K63" s="680">
        <f t="shared" si="6"/>
        <v>0.82053257080332043</v>
      </c>
      <c r="L63" s="76"/>
      <c r="M63" s="10">
        <f t="shared" si="7"/>
        <v>108</v>
      </c>
    </row>
    <row r="64" spans="2:13" ht="15" customHeight="1" x14ac:dyDescent="0.25">
      <c r="B64" s="675">
        <v>2012</v>
      </c>
      <c r="C64" s="582">
        <v>40955.604166666664</v>
      </c>
      <c r="D64" s="649">
        <v>99.941236469718291</v>
      </c>
      <c r="E64" s="650">
        <v>102.6527351451964</v>
      </c>
      <c r="F64" s="644">
        <f t="shared" si="8"/>
        <v>4.2541746643656474E-2</v>
      </c>
      <c r="G64" s="658"/>
      <c r="H64" s="658"/>
      <c r="I64" s="581">
        <f t="shared" si="4"/>
        <v>120</v>
      </c>
      <c r="J64" s="668">
        <f t="shared" si="5"/>
        <v>90</v>
      </c>
      <c r="K64" s="680">
        <f t="shared" si="6"/>
        <v>0.85543945954330336</v>
      </c>
      <c r="L64" s="76"/>
      <c r="M64" s="10">
        <f t="shared" si="7"/>
        <v>108</v>
      </c>
    </row>
    <row r="65" spans="2:21" ht="15" customHeight="1" x14ac:dyDescent="0.25">
      <c r="B65" s="675">
        <v>2013</v>
      </c>
      <c r="C65" s="582">
        <v>41631.59375</v>
      </c>
      <c r="D65" s="649">
        <v>105.23954651027478</v>
      </c>
      <c r="E65" s="650">
        <v>108.09479326377067</v>
      </c>
      <c r="F65" s="644">
        <f t="shared" si="8"/>
        <v>5.3014253452446126E-2</v>
      </c>
      <c r="G65" s="658"/>
      <c r="H65" s="658"/>
      <c r="I65" s="581">
        <f t="shared" si="4"/>
        <v>120</v>
      </c>
      <c r="J65" s="668">
        <f t="shared" si="5"/>
        <v>90</v>
      </c>
      <c r="K65" s="681">
        <f t="shared" si="6"/>
        <v>0.90078994386475553</v>
      </c>
      <c r="L65" s="76"/>
      <c r="M65" s="10">
        <f>(90*120)/100</f>
        <v>108</v>
      </c>
    </row>
    <row r="66" spans="2:21" ht="15" customHeight="1" x14ac:dyDescent="0.25">
      <c r="B66" s="675">
        <v>2014</v>
      </c>
      <c r="C66" s="580">
        <v>41662.614583333336</v>
      </c>
      <c r="D66" s="649">
        <v>112.01261383869742</v>
      </c>
      <c r="E66" s="650">
        <v>115.05162020672945</v>
      </c>
      <c r="F66" s="644">
        <f t="shared" si="8"/>
        <v>6.4358575773237101E-2</v>
      </c>
      <c r="G66" s="658"/>
      <c r="H66" s="658"/>
      <c r="I66" s="581">
        <f t="shared" si="4"/>
        <v>120</v>
      </c>
      <c r="J66" s="668">
        <f t="shared" si="5"/>
        <v>90</v>
      </c>
      <c r="K66" s="681">
        <f t="shared" si="6"/>
        <v>0.95876350172274549</v>
      </c>
      <c r="L66" s="351"/>
      <c r="M66" s="10">
        <f t="shared" si="7"/>
        <v>108</v>
      </c>
      <c r="N66" s="351"/>
      <c r="O66" s="351"/>
      <c r="P66" s="351"/>
      <c r="Q66" s="351"/>
      <c r="R66" s="351"/>
      <c r="S66" s="351"/>
    </row>
    <row r="67" spans="2:21" ht="15" customHeight="1" x14ac:dyDescent="0.25">
      <c r="B67" s="675">
        <v>2015</v>
      </c>
      <c r="C67" s="580">
        <v>42367.645833333336</v>
      </c>
      <c r="D67" s="649">
        <v>104.56947491935668</v>
      </c>
      <c r="E67" s="650">
        <v>107.40654200752692</v>
      </c>
      <c r="F67" s="644">
        <f t="shared" si="8"/>
        <v>-6.644911375837681E-2</v>
      </c>
      <c r="G67" s="658"/>
      <c r="H67" s="658"/>
      <c r="I67" s="581">
        <f t="shared" si="4"/>
        <v>120</v>
      </c>
      <c r="J67" s="668">
        <f t="shared" si="5"/>
        <v>90</v>
      </c>
      <c r="K67" s="681">
        <f t="shared" si="6"/>
        <v>0.89505451672939107</v>
      </c>
      <c r="L67" s="76"/>
      <c r="M67" s="10">
        <f t="shared" si="7"/>
        <v>108</v>
      </c>
    </row>
    <row r="68" spans="2:21" ht="15" customHeight="1" x14ac:dyDescent="0.25">
      <c r="B68" s="675">
        <v>2016</v>
      </c>
      <c r="C68" s="580">
        <v>42412.604166666664</v>
      </c>
      <c r="D68" s="649">
        <v>110.23</v>
      </c>
      <c r="E68" s="650">
        <v>112.31</v>
      </c>
      <c r="F68" s="644">
        <f t="shared" si="8"/>
        <v>4.5653252593584576E-2</v>
      </c>
      <c r="G68" s="658"/>
      <c r="H68" s="658"/>
      <c r="I68" s="581">
        <f t="shared" si="4"/>
        <v>120</v>
      </c>
      <c r="J68" s="668">
        <f t="shared" si="5"/>
        <v>90</v>
      </c>
      <c r="K68" s="681">
        <f t="shared" si="6"/>
        <v>0.93591666666666673</v>
      </c>
      <c r="L68" s="76"/>
      <c r="M68" s="10">
        <f t="shared" si="7"/>
        <v>108</v>
      </c>
    </row>
    <row r="69" spans="2:21" ht="15" customHeight="1" x14ac:dyDescent="0.25">
      <c r="B69" s="675">
        <v>2017</v>
      </c>
      <c r="C69" s="580">
        <v>42796.645833333336</v>
      </c>
      <c r="D69" s="649">
        <v>99.33</v>
      </c>
      <c r="E69" s="650">
        <v>100.33</v>
      </c>
      <c r="F69" s="644">
        <f t="shared" si="8"/>
        <v>-0.1066690410471018</v>
      </c>
      <c r="G69" s="658"/>
      <c r="H69" s="658">
        <f>E69</f>
        <v>100.33</v>
      </c>
      <c r="I69" s="581">
        <f t="shared" si="4"/>
        <v>120</v>
      </c>
      <c r="J69" s="668">
        <f t="shared" si="5"/>
        <v>90</v>
      </c>
      <c r="K69" s="680">
        <f t="shared" si="6"/>
        <v>0.83608333333333329</v>
      </c>
      <c r="L69" s="76">
        <f>E69</f>
        <v>100.33</v>
      </c>
      <c r="M69" s="10">
        <f t="shared" si="7"/>
        <v>108</v>
      </c>
    </row>
    <row r="70" spans="2:21" ht="15" customHeight="1" x14ac:dyDescent="0.25">
      <c r="B70" s="676">
        <v>2018</v>
      </c>
      <c r="C70" s="720">
        <v>2018</v>
      </c>
      <c r="D70" s="651"/>
      <c r="E70" s="652"/>
      <c r="F70" s="645"/>
      <c r="G70" s="660">
        <f>1.0195*B70-1945.4</f>
        <v>111.95100000000002</v>
      </c>
      <c r="H70" s="661">
        <f>1.5+H69-29.5</f>
        <v>72.33</v>
      </c>
      <c r="I70" s="584">
        <f t="shared" si="4"/>
        <v>120</v>
      </c>
      <c r="J70" s="683">
        <f t="shared" si="5"/>
        <v>90</v>
      </c>
      <c r="K70" s="684">
        <f>H70/I70</f>
        <v>0.60275000000000001</v>
      </c>
      <c r="L70" s="76">
        <f>1.043*L69</f>
        <v>104.64418999999999</v>
      </c>
      <c r="M70" s="10">
        <f t="shared" si="7"/>
        <v>108</v>
      </c>
      <c r="N70" s="1173" t="s">
        <v>332</v>
      </c>
      <c r="O70" s="1173"/>
      <c r="P70" s="1173"/>
      <c r="Q70" s="342">
        <f>28/0.95</f>
        <v>29.473684210526319</v>
      </c>
      <c r="R70" s="757" t="s">
        <v>331</v>
      </c>
      <c r="S70" s="342"/>
      <c r="T70" s="11">
        <f>H69+0.684*H69-29.5</f>
        <v>139.45571999999999</v>
      </c>
      <c r="U70" s="11">
        <v>75.144189999999995</v>
      </c>
    </row>
    <row r="71" spans="2:21" ht="15" customHeight="1" x14ac:dyDescent="0.25">
      <c r="B71" s="676">
        <v>2019</v>
      </c>
      <c r="C71" s="720">
        <v>2019</v>
      </c>
      <c r="D71" s="651"/>
      <c r="E71" s="652"/>
      <c r="F71" s="645"/>
      <c r="G71" s="660">
        <f t="shared" ref="G71:G79" si="9">1.0195*B71-1945.4</f>
        <v>112.9704999999999</v>
      </c>
      <c r="H71" s="661">
        <f>1.5+H70</f>
        <v>73.83</v>
      </c>
      <c r="I71" s="584">
        <f t="shared" si="4"/>
        <v>120</v>
      </c>
      <c r="J71" s="683">
        <f t="shared" si="5"/>
        <v>90</v>
      </c>
      <c r="K71" s="684">
        <f t="shared" ref="K71:K79" si="10">H71/I71</f>
        <v>0.61524999999999996</v>
      </c>
      <c r="L71" s="76">
        <f t="shared" ref="L71:L79" si="11">1.043*L70</f>
        <v>109.14389016999999</v>
      </c>
      <c r="M71" s="10">
        <f t="shared" si="7"/>
        <v>108</v>
      </c>
      <c r="U71" s="11">
        <v>79.458379999999991</v>
      </c>
    </row>
    <row r="72" spans="2:21" ht="15" customHeight="1" x14ac:dyDescent="0.25">
      <c r="B72" s="676">
        <v>2020</v>
      </c>
      <c r="C72" s="720">
        <v>2020</v>
      </c>
      <c r="D72" s="653"/>
      <c r="E72" s="654"/>
      <c r="F72" s="667"/>
      <c r="G72" s="660">
        <f t="shared" si="9"/>
        <v>113.99000000000024</v>
      </c>
      <c r="H72" s="661">
        <f>2+H71-32.22</f>
        <v>43.61</v>
      </c>
      <c r="I72" s="584">
        <f t="shared" si="4"/>
        <v>120</v>
      </c>
      <c r="J72" s="683">
        <f t="shared" si="5"/>
        <v>90</v>
      </c>
      <c r="K72" s="684">
        <f t="shared" si="10"/>
        <v>0.36341666666666667</v>
      </c>
      <c r="L72" s="76">
        <f t="shared" si="11"/>
        <v>113.83707744730998</v>
      </c>
      <c r="M72" s="10">
        <f t="shared" si="7"/>
        <v>108</v>
      </c>
      <c r="N72" s="342" t="s">
        <v>333</v>
      </c>
      <c r="O72" s="342"/>
      <c r="P72" s="342">
        <f>29/0.9</f>
        <v>32.222222222222221</v>
      </c>
      <c r="Q72" s="342"/>
      <c r="R72" s="824" t="s">
        <v>338</v>
      </c>
      <c r="S72" s="342"/>
      <c r="U72" s="11">
        <v>51.552569999999989</v>
      </c>
    </row>
    <row r="73" spans="2:21" ht="15" customHeight="1" x14ac:dyDescent="0.25">
      <c r="B73" s="676">
        <v>2021</v>
      </c>
      <c r="C73" s="720">
        <v>2021</v>
      </c>
      <c r="D73" s="653"/>
      <c r="E73" s="654"/>
      <c r="F73" s="667"/>
      <c r="G73" s="660">
        <f t="shared" si="9"/>
        <v>115.00950000000012</v>
      </c>
      <c r="H73" s="661">
        <f>2+H72</f>
        <v>45.61</v>
      </c>
      <c r="I73" s="584">
        <f t="shared" si="4"/>
        <v>120</v>
      </c>
      <c r="J73" s="683">
        <f t="shared" si="5"/>
        <v>90</v>
      </c>
      <c r="K73" s="684">
        <f t="shared" si="10"/>
        <v>0.38008333333333333</v>
      </c>
      <c r="L73" s="76">
        <f t="shared" si="11"/>
        <v>118.73207177754431</v>
      </c>
      <c r="M73" s="10">
        <f t="shared" si="7"/>
        <v>108</v>
      </c>
      <c r="U73" s="11">
        <v>55.866759999999985</v>
      </c>
    </row>
    <row r="74" spans="2:21" ht="15" customHeight="1" x14ac:dyDescent="0.25">
      <c r="B74" s="676">
        <v>2022</v>
      </c>
      <c r="C74" s="720">
        <v>2022</v>
      </c>
      <c r="D74" s="651"/>
      <c r="E74" s="652"/>
      <c r="F74" s="645"/>
      <c r="G74" s="660">
        <f t="shared" si="9"/>
        <v>116.029</v>
      </c>
      <c r="H74" s="661">
        <f>2+H73</f>
        <v>47.61</v>
      </c>
      <c r="I74" s="584">
        <f t="shared" si="4"/>
        <v>120</v>
      </c>
      <c r="J74" s="683">
        <f t="shared" si="5"/>
        <v>90</v>
      </c>
      <c r="K74" s="684">
        <f t="shared" si="10"/>
        <v>0.39674999999999999</v>
      </c>
      <c r="L74" s="76">
        <f t="shared" si="11"/>
        <v>123.83755086397871</v>
      </c>
      <c r="M74" s="10">
        <f t="shared" si="7"/>
        <v>108</v>
      </c>
      <c r="U74" s="11">
        <v>60.180949999999982</v>
      </c>
    </row>
    <row r="75" spans="2:21" ht="15" customHeight="1" x14ac:dyDescent="0.25">
      <c r="B75" s="676">
        <v>2023</v>
      </c>
      <c r="C75" s="720">
        <v>2023</v>
      </c>
      <c r="D75" s="651"/>
      <c r="E75" s="652"/>
      <c r="F75" s="645"/>
      <c r="G75" s="660">
        <f t="shared" si="9"/>
        <v>117.04849999999988</v>
      </c>
      <c r="H75" s="661">
        <f t="shared" ref="H75:H79" si="12">2+H74</f>
        <v>49.61</v>
      </c>
      <c r="I75" s="584">
        <f t="shared" si="4"/>
        <v>120</v>
      </c>
      <c r="J75" s="683">
        <f t="shared" si="5"/>
        <v>90</v>
      </c>
      <c r="K75" s="684">
        <f t="shared" si="10"/>
        <v>0.41341666666666665</v>
      </c>
      <c r="L75" s="76">
        <f t="shared" si="11"/>
        <v>129.16256555112977</v>
      </c>
      <c r="M75" s="10">
        <f t="shared" si="7"/>
        <v>108</v>
      </c>
      <c r="U75" s="11">
        <v>64.495139999999978</v>
      </c>
    </row>
    <row r="76" spans="2:21" ht="15" customHeight="1" x14ac:dyDescent="0.25">
      <c r="B76" s="676">
        <v>2024</v>
      </c>
      <c r="C76" s="721">
        <v>2024</v>
      </c>
      <c r="D76" s="651"/>
      <c r="E76" s="652"/>
      <c r="F76" s="645"/>
      <c r="G76" s="660">
        <f t="shared" si="9"/>
        <v>118.06800000000021</v>
      </c>
      <c r="H76" s="661">
        <f t="shared" si="12"/>
        <v>51.61</v>
      </c>
      <c r="I76" s="584">
        <f t="shared" si="4"/>
        <v>120</v>
      </c>
      <c r="J76" s="683">
        <f t="shared" si="5"/>
        <v>90</v>
      </c>
      <c r="K76" s="684">
        <f t="shared" si="10"/>
        <v>0.43008333333333332</v>
      </c>
      <c r="L76" s="76">
        <f t="shared" si="11"/>
        <v>134.71655586982834</v>
      </c>
      <c r="M76" s="10">
        <f t="shared" si="7"/>
        <v>108</v>
      </c>
      <c r="U76" s="11">
        <v>68.809329999999974</v>
      </c>
    </row>
    <row r="77" spans="2:21" ht="15" customHeight="1" x14ac:dyDescent="0.25">
      <c r="B77" s="676">
        <v>2025</v>
      </c>
      <c r="C77" s="721">
        <v>2025</v>
      </c>
      <c r="D77" s="651"/>
      <c r="E77" s="652"/>
      <c r="F77" s="645"/>
      <c r="G77" s="660">
        <f t="shared" si="9"/>
        <v>119.08750000000009</v>
      </c>
      <c r="H77" s="661">
        <f t="shared" si="12"/>
        <v>53.61</v>
      </c>
      <c r="I77" s="584">
        <f t="shared" si="4"/>
        <v>120</v>
      </c>
      <c r="J77" s="683">
        <f>I77-30</f>
        <v>90</v>
      </c>
      <c r="K77" s="684">
        <f t="shared" si="10"/>
        <v>0.44674999999999998</v>
      </c>
      <c r="L77" s="76">
        <f t="shared" si="11"/>
        <v>140.50936777223095</v>
      </c>
      <c r="M77" s="10">
        <f t="shared" si="7"/>
        <v>108</v>
      </c>
      <c r="U77" s="11">
        <v>73.123519999999971</v>
      </c>
    </row>
    <row r="78" spans="2:21" x14ac:dyDescent="0.25">
      <c r="B78" s="676">
        <v>2026</v>
      </c>
      <c r="C78" s="721">
        <v>2026</v>
      </c>
      <c r="D78" s="651"/>
      <c r="E78" s="652"/>
      <c r="F78" s="645"/>
      <c r="G78" s="660">
        <f t="shared" si="9"/>
        <v>120.10699999999997</v>
      </c>
      <c r="H78" s="661">
        <f t="shared" si="12"/>
        <v>55.61</v>
      </c>
      <c r="I78" s="584">
        <f t="shared" si="4"/>
        <v>120</v>
      </c>
      <c r="J78" s="683">
        <f t="shared" si="5"/>
        <v>90</v>
      </c>
      <c r="K78" s="684">
        <f t="shared" si="10"/>
        <v>0.46341666666666664</v>
      </c>
      <c r="L78" s="76">
        <f t="shared" si="11"/>
        <v>146.55127058643686</v>
      </c>
      <c r="M78" s="10">
        <f t="shared" si="7"/>
        <v>108</v>
      </c>
      <c r="U78" s="11">
        <v>77.437709999999967</v>
      </c>
    </row>
    <row r="79" spans="2:21" ht="15.75" thickBot="1" x14ac:dyDescent="0.3">
      <c r="B79" s="677">
        <v>2027</v>
      </c>
      <c r="C79" s="722">
        <v>2027</v>
      </c>
      <c r="D79" s="655"/>
      <c r="E79" s="656"/>
      <c r="F79" s="646"/>
      <c r="G79" s="662">
        <f t="shared" si="9"/>
        <v>121.12649999999985</v>
      </c>
      <c r="H79" s="663">
        <f t="shared" si="12"/>
        <v>57.61</v>
      </c>
      <c r="I79" s="586">
        <f t="shared" si="4"/>
        <v>120</v>
      </c>
      <c r="J79" s="685">
        <f t="shared" si="5"/>
        <v>90</v>
      </c>
      <c r="K79" s="686">
        <f t="shared" si="10"/>
        <v>0.48008333333333331</v>
      </c>
      <c r="L79" s="76">
        <f t="shared" si="11"/>
        <v>152.85297522165362</v>
      </c>
      <c r="M79" s="10">
        <f t="shared" si="7"/>
        <v>108</v>
      </c>
      <c r="U79" s="11">
        <v>81.751899999999964</v>
      </c>
    </row>
    <row r="80" spans="2:21" x14ac:dyDescent="0.25">
      <c r="B80" s="43"/>
      <c r="C80" s="546"/>
      <c r="D80" s="9"/>
      <c r="E80" s="694" t="s">
        <v>344</v>
      </c>
      <c r="F80" s="852">
        <f>(E69-E50)/19</f>
        <v>0.68384510711122082</v>
      </c>
      <c r="G80" s="849">
        <f>F80/E50</f>
        <v>7.8299638606100039E-3</v>
      </c>
      <c r="H80" s="851">
        <f>0.043*H69</f>
        <v>4.31419</v>
      </c>
      <c r="I80" s="40"/>
      <c r="J80" s="40"/>
      <c r="K80" s="11"/>
      <c r="L80" s="76"/>
    </row>
    <row r="81" spans="3:16" x14ac:dyDescent="0.25">
      <c r="C81" s="73"/>
      <c r="D81" s="73"/>
      <c r="E81" s="74">
        <f>E67-E50</f>
        <v>20.069599042640121</v>
      </c>
      <c r="F81" s="694">
        <f>19*F80+E50</f>
        <v>100.33</v>
      </c>
      <c r="G81" s="848"/>
      <c r="H81" s="661">
        <f>1.0195*1.045</f>
        <v>1.0653775000000001</v>
      </c>
    </row>
    <row r="82" spans="3:16" x14ac:dyDescent="0.25">
      <c r="C82" s="73"/>
      <c r="D82" s="73"/>
      <c r="E82" s="73">
        <f>E81/17</f>
        <v>1.1805646495670659</v>
      </c>
      <c r="F82" s="73"/>
    </row>
    <row r="91" spans="3:16" x14ac:dyDescent="0.25">
      <c r="O91" s="5">
        <v>2017.5</v>
      </c>
      <c r="P91" s="5">
        <v>0</v>
      </c>
    </row>
    <row r="92" spans="3:16" x14ac:dyDescent="0.25">
      <c r="O92" s="5">
        <v>2017.5</v>
      </c>
      <c r="P92" s="5">
        <v>20</v>
      </c>
    </row>
    <row r="93" spans="3:16" x14ac:dyDescent="0.25">
      <c r="O93" s="5">
        <v>2017.5</v>
      </c>
      <c r="P93" s="5">
        <v>40</v>
      </c>
    </row>
    <row r="94" spans="3:16" x14ac:dyDescent="0.25">
      <c r="O94" s="5">
        <v>2017.5</v>
      </c>
      <c r="P94" s="5">
        <v>60</v>
      </c>
    </row>
    <row r="95" spans="3:16" x14ac:dyDescent="0.25">
      <c r="O95" s="5">
        <v>2017.5</v>
      </c>
      <c r="P95" s="5">
        <v>80</v>
      </c>
    </row>
    <row r="96" spans="3:16" x14ac:dyDescent="0.25">
      <c r="O96" s="5">
        <v>2017.5</v>
      </c>
      <c r="P96" s="5">
        <v>100</v>
      </c>
    </row>
    <row r="97" spans="15:16" x14ac:dyDescent="0.25">
      <c r="O97" s="5">
        <v>2017.5</v>
      </c>
      <c r="P97" s="5">
        <v>120</v>
      </c>
    </row>
    <row r="98" spans="15:16" x14ac:dyDescent="0.25">
      <c r="O98" s="5">
        <v>2017.5</v>
      </c>
      <c r="P98" s="5">
        <v>140</v>
      </c>
    </row>
    <row r="99" spans="15:16" x14ac:dyDescent="0.25">
      <c r="O99" s="5">
        <v>2017.5</v>
      </c>
      <c r="P99" s="5">
        <v>160</v>
      </c>
    </row>
    <row r="114" spans="1:21" s="10" customFormat="1" ht="12.95" customHeight="1" x14ac:dyDescent="0.25">
      <c r="A114" s="445"/>
      <c r="B114" s="445"/>
      <c r="C114" s="445"/>
      <c r="D114" s="445"/>
      <c r="E114" s="445"/>
      <c r="F114" s="445"/>
      <c r="G114" s="445"/>
      <c r="H114" s="446"/>
      <c r="I114" s="445"/>
      <c r="J114" s="447"/>
      <c r="K114" s="446"/>
      <c r="L114" s="445"/>
      <c r="M114" s="447"/>
      <c r="N114" s="446"/>
      <c r="O114" s="445"/>
      <c r="P114" s="447"/>
      <c r="Q114" s="446"/>
      <c r="R114" s="448"/>
      <c r="S114" s="449"/>
      <c r="T114" s="449"/>
      <c r="U114" s="451"/>
    </row>
    <row r="115" spans="1:21" s="10" customFormat="1" ht="18" x14ac:dyDescent="0.25">
      <c r="A115" s="1093" t="s">
        <v>247</v>
      </c>
      <c r="B115" s="1093"/>
      <c r="C115" s="1093"/>
      <c r="D115" s="1093"/>
      <c r="E115" s="1093"/>
      <c r="F115" s="1093"/>
      <c r="G115" s="1093"/>
      <c r="H115" s="1093"/>
      <c r="I115" s="1093"/>
      <c r="J115" s="1093"/>
      <c r="K115" s="1093"/>
      <c r="L115" s="1093"/>
      <c r="M115" s="1093"/>
      <c r="N115" s="1093"/>
      <c r="O115" s="1093"/>
      <c r="P115" s="1093"/>
      <c r="Q115" s="1093"/>
      <c r="R115" s="1093"/>
      <c r="S115" s="1093"/>
      <c r="T115" s="1093"/>
      <c r="U115" s="451"/>
    </row>
    <row r="116" spans="1:21" s="10" customFormat="1" ht="18" x14ac:dyDescent="0.25">
      <c r="A116" s="1094" t="s">
        <v>248</v>
      </c>
      <c r="B116" s="1094"/>
      <c r="C116" s="1094"/>
      <c r="D116" s="1094"/>
      <c r="E116" s="1094"/>
      <c r="F116" s="1094"/>
      <c r="G116" s="1094"/>
      <c r="H116" s="1094"/>
      <c r="I116" s="1094"/>
      <c r="J116" s="1094"/>
      <c r="K116" s="1094"/>
      <c r="L116" s="1094"/>
      <c r="M116" s="1094"/>
      <c r="N116" s="1094"/>
      <c r="O116" s="1094"/>
      <c r="P116" s="1094"/>
      <c r="Q116" s="1094"/>
      <c r="R116" s="1094"/>
      <c r="S116" s="1094"/>
      <c r="T116" s="1094"/>
      <c r="U116" s="451"/>
    </row>
    <row r="117" spans="1:21" s="10" customFormat="1" ht="12.95" customHeight="1" thickBot="1" x14ac:dyDescent="0.3">
      <c r="A117" s="452"/>
      <c r="B117" s="452"/>
      <c r="C117" s="452"/>
      <c r="D117" s="452"/>
      <c r="E117" s="452"/>
      <c r="F117" s="452"/>
      <c r="G117" s="452"/>
      <c r="H117" s="453"/>
      <c r="I117" s="452"/>
      <c r="J117" s="454"/>
      <c r="K117" s="453"/>
      <c r="L117" s="452"/>
      <c r="M117" s="454"/>
      <c r="N117" s="453"/>
      <c r="O117" s="452"/>
      <c r="P117" s="454"/>
      <c r="Q117" s="453"/>
      <c r="R117" s="452"/>
      <c r="S117" s="449"/>
      <c r="T117" s="449"/>
      <c r="U117" s="451"/>
    </row>
    <row r="118" spans="1:21" s="10" customFormat="1" ht="15.75" customHeight="1" x14ac:dyDescent="0.25">
      <c r="A118" s="1095" t="s">
        <v>249</v>
      </c>
      <c r="B118" s="1098" t="s">
        <v>250</v>
      </c>
      <c r="C118" s="1101" t="s">
        <v>251</v>
      </c>
      <c r="D118" s="1063" t="s">
        <v>252</v>
      </c>
      <c r="E118" s="1065"/>
      <c r="F118" s="1066">
        <v>2017</v>
      </c>
      <c r="G118" s="1064"/>
      <c r="H118" s="1106"/>
      <c r="I118" s="1063">
        <f>+F118+1</f>
        <v>2018</v>
      </c>
      <c r="J118" s="1064"/>
      <c r="K118" s="1065"/>
      <c r="L118" s="1066">
        <f>+I118+1</f>
        <v>2019</v>
      </c>
      <c r="M118" s="1064"/>
      <c r="N118" s="1106"/>
      <c r="O118" s="1063">
        <f>+L118+1</f>
        <v>2020</v>
      </c>
      <c r="P118" s="1064"/>
      <c r="Q118" s="1065"/>
      <c r="R118" s="1066">
        <f>+O118+1</f>
        <v>2021</v>
      </c>
      <c r="S118" s="1064"/>
      <c r="T118" s="1065"/>
      <c r="U118" s="444"/>
    </row>
    <row r="119" spans="1:21" s="10" customFormat="1" ht="18" customHeight="1" x14ac:dyDescent="0.25">
      <c r="A119" s="1096"/>
      <c r="B119" s="1099"/>
      <c r="C119" s="1102"/>
      <c r="D119" s="1104"/>
      <c r="E119" s="1105"/>
      <c r="F119" s="455" t="s">
        <v>253</v>
      </c>
      <c r="G119" s="1067" t="s">
        <v>254</v>
      </c>
      <c r="H119" s="1068"/>
      <c r="I119" s="456" t="s">
        <v>253</v>
      </c>
      <c r="J119" s="1067" t="s">
        <v>254</v>
      </c>
      <c r="K119" s="1069"/>
      <c r="L119" s="455" t="s">
        <v>253</v>
      </c>
      <c r="M119" s="1067" t="s">
        <v>254</v>
      </c>
      <c r="N119" s="1068"/>
      <c r="O119" s="456" t="s">
        <v>253</v>
      </c>
      <c r="P119" s="1067" t="s">
        <v>254</v>
      </c>
      <c r="Q119" s="1069"/>
      <c r="R119" s="455" t="s">
        <v>253</v>
      </c>
      <c r="S119" s="1067" t="s">
        <v>254</v>
      </c>
      <c r="T119" s="1069"/>
      <c r="U119" s="444"/>
    </row>
    <row r="120" spans="1:21" s="10" customFormat="1" ht="19.5" customHeight="1" thickBot="1" x14ac:dyDescent="0.3">
      <c r="A120" s="1097"/>
      <c r="B120" s="1100"/>
      <c r="C120" s="1103"/>
      <c r="D120" s="1091" t="s">
        <v>255</v>
      </c>
      <c r="E120" s="1092"/>
      <c r="F120" s="457" t="s">
        <v>255</v>
      </c>
      <c r="G120" s="458" t="s">
        <v>255</v>
      </c>
      <c r="H120" s="459" t="s">
        <v>256</v>
      </c>
      <c r="I120" s="460" t="s">
        <v>255</v>
      </c>
      <c r="J120" s="461" t="s">
        <v>255</v>
      </c>
      <c r="K120" s="462" t="s">
        <v>256</v>
      </c>
      <c r="L120" s="457" t="s">
        <v>255</v>
      </c>
      <c r="M120" s="461" t="s">
        <v>255</v>
      </c>
      <c r="N120" s="459" t="s">
        <v>256</v>
      </c>
      <c r="O120" s="460" t="s">
        <v>255</v>
      </c>
      <c r="P120" s="461" t="s">
        <v>255</v>
      </c>
      <c r="Q120" s="462" t="s">
        <v>256</v>
      </c>
      <c r="R120" s="457" t="s">
        <v>255</v>
      </c>
      <c r="S120" s="461" t="s">
        <v>255</v>
      </c>
      <c r="T120" s="854" t="s">
        <v>256</v>
      </c>
      <c r="U120" s="444"/>
    </row>
    <row r="122" spans="1:21" s="10" customFormat="1" x14ac:dyDescent="0.25">
      <c r="A122" s="440"/>
      <c r="B122" s="1148" t="s">
        <v>4</v>
      </c>
      <c r="C122" s="666" t="s">
        <v>24</v>
      </c>
      <c r="D122" s="641">
        <v>30</v>
      </c>
      <c r="E122" s="1138">
        <v>120</v>
      </c>
      <c r="F122" s="1139">
        <v>120</v>
      </c>
      <c r="G122" s="1170">
        <v>82.750513042023272</v>
      </c>
      <c r="H122" s="1132">
        <v>0.68958760868352731</v>
      </c>
      <c r="I122" s="1139">
        <v>120</v>
      </c>
      <c r="J122" s="1160">
        <v>67.999738427742201</v>
      </c>
      <c r="K122" s="1132">
        <v>0.56666448689785143</v>
      </c>
      <c r="L122" s="1139">
        <v>120</v>
      </c>
      <c r="M122" s="1160">
        <v>70.923727180135103</v>
      </c>
      <c r="N122" s="1132">
        <v>0.59103105983445903</v>
      </c>
      <c r="O122" s="1139">
        <v>120</v>
      </c>
      <c r="P122" s="1160">
        <v>73.973447448880904</v>
      </c>
      <c r="Q122" s="1132">
        <v>0.61644539540734078</v>
      </c>
      <c r="R122" s="1135">
        <v>120</v>
      </c>
      <c r="S122" s="1160">
        <v>77.154305689182806</v>
      </c>
      <c r="T122" s="1163">
        <v>0.64295254740985641</v>
      </c>
      <c r="U122" s="444"/>
    </row>
    <row r="123" spans="1:21" s="10" customFormat="1" x14ac:dyDescent="0.25">
      <c r="A123" s="440"/>
      <c r="B123" s="1148"/>
      <c r="C123" s="666" t="s">
        <v>24</v>
      </c>
      <c r="D123" s="641">
        <v>30</v>
      </c>
      <c r="E123" s="1138"/>
      <c r="F123" s="1140"/>
      <c r="G123" s="1171"/>
      <c r="H123" s="1133"/>
      <c r="I123" s="1140"/>
      <c r="J123" s="1161"/>
      <c r="K123" s="1133"/>
      <c r="L123" s="1140"/>
      <c r="M123" s="1161"/>
      <c r="N123" s="1133"/>
      <c r="O123" s="1140"/>
      <c r="P123" s="1161"/>
      <c r="Q123" s="1133"/>
      <c r="R123" s="1136"/>
      <c r="S123" s="1161"/>
      <c r="T123" s="1164"/>
      <c r="U123" s="444"/>
    </row>
    <row r="124" spans="1:21" s="10" customFormat="1" x14ac:dyDescent="0.25">
      <c r="A124" s="440"/>
      <c r="B124" s="1148"/>
      <c r="C124" s="666" t="s">
        <v>24</v>
      </c>
      <c r="D124" s="641">
        <v>30</v>
      </c>
      <c r="E124" s="1138"/>
      <c r="F124" s="1140"/>
      <c r="G124" s="1171"/>
      <c r="H124" s="1133"/>
      <c r="I124" s="1140"/>
      <c r="J124" s="1161"/>
      <c r="K124" s="1133"/>
      <c r="L124" s="1140"/>
      <c r="M124" s="1161"/>
      <c r="N124" s="1133"/>
      <c r="O124" s="1140"/>
      <c r="P124" s="1161"/>
      <c r="Q124" s="1133"/>
      <c r="R124" s="1136"/>
      <c r="S124" s="1161"/>
      <c r="T124" s="1164"/>
      <c r="U124" s="444"/>
    </row>
    <row r="125" spans="1:21" s="10" customFormat="1" x14ac:dyDescent="0.25">
      <c r="A125" s="440"/>
      <c r="B125" s="1148"/>
      <c r="C125" s="666" t="s">
        <v>24</v>
      </c>
      <c r="D125" s="641">
        <v>30</v>
      </c>
      <c r="E125" s="1138"/>
      <c r="F125" s="1141"/>
      <c r="G125" s="1172"/>
      <c r="H125" s="1134"/>
      <c r="I125" s="1141"/>
      <c r="J125" s="1162"/>
      <c r="K125" s="1134"/>
      <c r="L125" s="1141"/>
      <c r="M125" s="1162"/>
      <c r="N125" s="1134"/>
      <c r="O125" s="1141"/>
      <c r="P125" s="1162"/>
      <c r="Q125" s="1134"/>
      <c r="R125" s="1137"/>
      <c r="S125" s="1162"/>
      <c r="T125" s="1165"/>
      <c r="U125" s="444"/>
    </row>
    <row r="126" spans="1:21" x14ac:dyDescent="0.25">
      <c r="J126">
        <f>1.043*G122</f>
        <v>86.308785102830271</v>
      </c>
      <c r="M126">
        <f>1.043*J122</f>
        <v>70.923727180135117</v>
      </c>
      <c r="P126">
        <f>1.043*M122</f>
        <v>73.973447448880904</v>
      </c>
      <c r="S126">
        <f>1.043*P122</f>
        <v>77.154305689182777</v>
      </c>
    </row>
    <row r="127" spans="1:21" x14ac:dyDescent="0.25">
      <c r="J127">
        <f>J126-18</f>
        <v>68.308785102830271</v>
      </c>
    </row>
    <row r="128" spans="1:21" x14ac:dyDescent="0.25">
      <c r="E128" s="11"/>
    </row>
    <row r="129" spans="4:5" x14ac:dyDescent="0.25">
      <c r="E129" s="11"/>
    </row>
    <row r="130" spans="4:5" x14ac:dyDescent="0.25">
      <c r="E130" s="11"/>
    </row>
    <row r="131" spans="4:5" x14ac:dyDescent="0.25">
      <c r="D131" s="510">
        <v>2018</v>
      </c>
      <c r="E131" s="682">
        <v>67.999738427742201</v>
      </c>
    </row>
    <row r="132" spans="4:5" x14ac:dyDescent="0.25">
      <c r="D132" s="510">
        <v>2019</v>
      </c>
      <c r="E132" s="682">
        <v>70.923727180135103</v>
      </c>
    </row>
    <row r="133" spans="4:5" x14ac:dyDescent="0.25">
      <c r="D133" s="510">
        <v>2020</v>
      </c>
      <c r="E133" s="682">
        <v>73.973447448880904</v>
      </c>
    </row>
    <row r="134" spans="4:5" x14ac:dyDescent="0.25">
      <c r="D134" s="510">
        <v>2021</v>
      </c>
      <c r="E134" s="682">
        <v>77.154305689182806</v>
      </c>
    </row>
    <row r="135" spans="4:5" x14ac:dyDescent="0.25">
      <c r="E135" s="11"/>
    </row>
    <row r="136" spans="4:5" x14ac:dyDescent="0.25">
      <c r="E136" s="11"/>
    </row>
    <row r="137" spans="4:5" x14ac:dyDescent="0.25">
      <c r="E137" s="11"/>
    </row>
  </sheetData>
  <mergeCells count="54">
    <mergeCell ref="N70:P70"/>
    <mergeCell ref="B2:K2"/>
    <mergeCell ref="J47:J48"/>
    <mergeCell ref="K47:K48"/>
    <mergeCell ref="C45:K45"/>
    <mergeCell ref="C46:K46"/>
    <mergeCell ref="B47:B48"/>
    <mergeCell ref="C47:C48"/>
    <mergeCell ref="D47:F47"/>
    <mergeCell ref="G47:H47"/>
    <mergeCell ref="I47:I48"/>
    <mergeCell ref="C40:L43"/>
    <mergeCell ref="C5:C6"/>
    <mergeCell ref="J5:J6"/>
    <mergeCell ref="K5:K6"/>
    <mergeCell ref="B3:K3"/>
    <mergeCell ref="B4:K4"/>
    <mergeCell ref="B5:B6"/>
    <mergeCell ref="G5:I5"/>
    <mergeCell ref="D5:F5"/>
    <mergeCell ref="B122:B125"/>
    <mergeCell ref="E122:E125"/>
    <mergeCell ref="F122:F125"/>
    <mergeCell ref="G122:G125"/>
    <mergeCell ref="H122:H125"/>
    <mergeCell ref="A115:T115"/>
    <mergeCell ref="A116:T116"/>
    <mergeCell ref="A118:A120"/>
    <mergeCell ref="B118:B120"/>
    <mergeCell ref="C118:C120"/>
    <mergeCell ref="D118:E119"/>
    <mergeCell ref="F118:H118"/>
    <mergeCell ref="I118:K118"/>
    <mergeCell ref="L118:N118"/>
    <mergeCell ref="O118:Q118"/>
    <mergeCell ref="R118:T118"/>
    <mergeCell ref="G119:H119"/>
    <mergeCell ref="J119:K119"/>
    <mergeCell ref="M119:N119"/>
    <mergeCell ref="P119:Q119"/>
    <mergeCell ref="S119:T119"/>
    <mergeCell ref="D120:E120"/>
    <mergeCell ref="S122:S125"/>
    <mergeCell ref="T122:T125"/>
    <mergeCell ref="N122:N125"/>
    <mergeCell ref="O122:O125"/>
    <mergeCell ref="P122:P125"/>
    <mergeCell ref="Q122:Q125"/>
    <mergeCell ref="R122:R125"/>
    <mergeCell ref="I122:I125"/>
    <mergeCell ref="J122:J125"/>
    <mergeCell ref="K122:K125"/>
    <mergeCell ref="L122:L125"/>
    <mergeCell ref="M122:M125"/>
  </mergeCells>
  <conditionalFormatting sqref="H122:H125 T122:T125 Q122:Q125 N122:N125 K122:K125">
    <cfRule type="cellIs" dxfId="21" priority="1" operator="greaterThan">
      <formula>1</formula>
    </cfRule>
  </conditionalFormatting>
  <printOptions gridLines="1"/>
  <pageMargins left="0.11811023622047245" right="0.31496062992125984" top="0.15748031496062992" bottom="0.15748031496062992" header="0" footer="0"/>
  <pageSetup paperSize="9" orientation="landscape" r:id="rId1"/>
  <ignoredErrors>
    <ignoredError sqref="H72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2:U227"/>
  <sheetViews>
    <sheetView topLeftCell="B40" zoomScaleNormal="100" workbookViewId="0">
      <selection activeCell="J115" sqref="J115"/>
    </sheetView>
  </sheetViews>
  <sheetFormatPr baseColWidth="10" defaultRowHeight="15" x14ac:dyDescent="0.25"/>
  <cols>
    <col min="1" max="1" width="5.7109375" customWidth="1"/>
    <col min="2" max="2" width="6.7109375" style="10" customWidth="1"/>
    <col min="3" max="3" width="14.7109375" customWidth="1"/>
    <col min="4" max="5" width="10.7109375" customWidth="1"/>
    <col min="6" max="6" width="11.7109375" customWidth="1"/>
    <col min="7" max="8" width="12.7109375" customWidth="1"/>
    <col min="9" max="11" width="10.7109375" customWidth="1"/>
    <col min="13" max="13" width="11.42578125" style="7"/>
  </cols>
  <sheetData>
    <row r="2" spans="2:17" ht="15.75" thickBot="1" x14ac:dyDescent="0.3"/>
    <row r="3" spans="2:17" ht="15.95" customHeight="1" thickBot="1" x14ac:dyDescent="0.3">
      <c r="B3" s="1040" t="s">
        <v>34</v>
      </c>
      <c r="C3" s="1041"/>
      <c r="D3" s="1041"/>
      <c r="E3" s="1041"/>
      <c r="F3" s="1041"/>
      <c r="G3" s="1041"/>
      <c r="H3" s="1041"/>
      <c r="I3" s="1041"/>
      <c r="J3" s="1041"/>
      <c r="K3" s="1042"/>
      <c r="L3" s="75"/>
      <c r="M3" s="123"/>
    </row>
    <row r="4" spans="2:17" ht="15.95" customHeight="1" x14ac:dyDescent="0.25">
      <c r="B4" s="1191" t="s">
        <v>39</v>
      </c>
      <c r="C4" s="1192"/>
      <c r="D4" s="1192"/>
      <c r="E4" s="1192"/>
      <c r="F4" s="1192"/>
      <c r="G4" s="1192"/>
      <c r="H4" s="1192"/>
      <c r="I4" s="1192"/>
      <c r="J4" s="1192"/>
      <c r="K4" s="1193"/>
      <c r="L4" s="75"/>
      <c r="M4" s="123"/>
    </row>
    <row r="5" spans="2:17" ht="15.95" customHeight="1" x14ac:dyDescent="0.25">
      <c r="B5" s="1194" t="s">
        <v>124</v>
      </c>
      <c r="C5" s="1195" t="s">
        <v>26</v>
      </c>
      <c r="D5" s="1034" t="s">
        <v>110</v>
      </c>
      <c r="E5" s="1035"/>
      <c r="F5" s="1036"/>
      <c r="G5" s="1197" t="s">
        <v>74</v>
      </c>
      <c r="H5" s="1198"/>
      <c r="I5" s="1199"/>
      <c r="J5" s="1030" t="s">
        <v>105</v>
      </c>
      <c r="K5" s="1200" t="s">
        <v>112</v>
      </c>
      <c r="L5" s="75"/>
      <c r="M5" s="123"/>
    </row>
    <row r="6" spans="2:17" ht="39.950000000000003" customHeight="1" x14ac:dyDescent="0.25">
      <c r="B6" s="1119"/>
      <c r="C6" s="1196"/>
      <c r="D6" s="330" t="s">
        <v>115</v>
      </c>
      <c r="E6" s="38" t="s">
        <v>111</v>
      </c>
      <c r="F6" s="330" t="s">
        <v>80</v>
      </c>
      <c r="G6" s="38" t="s">
        <v>243</v>
      </c>
      <c r="H6" s="38" t="s">
        <v>232</v>
      </c>
      <c r="I6" s="38" t="s">
        <v>114</v>
      </c>
      <c r="J6" s="1032"/>
      <c r="K6" s="1124"/>
      <c r="L6" s="259" t="s">
        <v>206</v>
      </c>
      <c r="O6" s="85" t="s">
        <v>73</v>
      </c>
      <c r="P6" s="38" t="s">
        <v>240</v>
      </c>
    </row>
    <row r="7" spans="2:17" ht="15" customHeight="1" x14ac:dyDescent="0.25">
      <c r="B7" s="196"/>
      <c r="C7" s="266">
        <v>1998</v>
      </c>
      <c r="D7" s="60">
        <v>4.75</v>
      </c>
      <c r="E7" s="51">
        <f>D7/L25</f>
        <v>4.922907664588549</v>
      </c>
      <c r="F7" s="486"/>
      <c r="G7" s="131"/>
      <c r="H7" s="40"/>
      <c r="I7" s="40"/>
      <c r="J7" s="326">
        <v>50</v>
      </c>
      <c r="K7" s="204">
        <f t="shared" ref="K7:K36" si="0">J7-25</f>
        <v>25</v>
      </c>
      <c r="L7" s="261"/>
      <c r="M7" s="40"/>
      <c r="O7" s="50"/>
      <c r="P7" s="50"/>
    </row>
    <row r="8" spans="2:17" ht="15" customHeight="1" x14ac:dyDescent="0.25">
      <c r="B8" s="196"/>
      <c r="C8" s="101">
        <v>1999</v>
      </c>
      <c r="D8" s="60">
        <v>15.5</v>
      </c>
      <c r="E8" s="53">
        <f>D8/L25</f>
        <v>16.064225010762634</v>
      </c>
      <c r="F8" s="486">
        <f t="shared" ref="F8:F13" si="1">(E8-E7)/E7</f>
        <v>2.263157894736842</v>
      </c>
      <c r="G8" s="119"/>
      <c r="H8" s="40"/>
      <c r="I8" s="40"/>
      <c r="J8" s="241">
        <v>50</v>
      </c>
      <c r="K8" s="204">
        <f t="shared" si="0"/>
        <v>25</v>
      </c>
      <c r="L8" s="261"/>
      <c r="M8" s="40"/>
      <c r="O8" s="50"/>
      <c r="P8" s="50"/>
    </row>
    <row r="9" spans="2:17" ht="15" customHeight="1" x14ac:dyDescent="0.25">
      <c r="B9" s="196"/>
      <c r="C9" s="101">
        <v>2000</v>
      </c>
      <c r="D9" s="60">
        <v>12.1</v>
      </c>
      <c r="E9" s="53">
        <f>D9/L25</f>
        <v>12.54045952453083</v>
      </c>
      <c r="F9" s="486">
        <f t="shared" si="1"/>
        <v>-0.21935483870967745</v>
      </c>
      <c r="G9" s="119"/>
      <c r="H9" s="40"/>
      <c r="I9" s="40"/>
      <c r="J9" s="241">
        <v>50</v>
      </c>
      <c r="K9" s="204">
        <f t="shared" si="0"/>
        <v>25</v>
      </c>
      <c r="L9" s="261"/>
      <c r="M9" s="40"/>
      <c r="O9" s="50"/>
      <c r="P9" s="50"/>
    </row>
    <row r="10" spans="2:17" ht="15" customHeight="1" x14ac:dyDescent="0.25">
      <c r="B10" s="196"/>
      <c r="C10" s="101">
        <v>2001</v>
      </c>
      <c r="D10" s="60">
        <v>12.38</v>
      </c>
      <c r="E10" s="53">
        <f>D10/L25</f>
        <v>12.830651976338157</v>
      </c>
      <c r="F10" s="486">
        <f t="shared" si="1"/>
        <v>2.3140495867768746E-2</v>
      </c>
      <c r="G10" s="119"/>
      <c r="H10" s="40"/>
      <c r="I10" s="40"/>
      <c r="J10" s="241">
        <v>50</v>
      </c>
      <c r="K10" s="204">
        <f t="shared" si="0"/>
        <v>25</v>
      </c>
      <c r="L10" s="261"/>
      <c r="M10" s="40"/>
      <c r="O10" s="50"/>
      <c r="P10" s="50"/>
    </row>
    <row r="11" spans="2:17" ht="15" customHeight="1" x14ac:dyDescent="0.25">
      <c r="B11" s="196"/>
      <c r="C11" s="101">
        <v>2002</v>
      </c>
      <c r="D11" s="60">
        <v>17.059999999999999</v>
      </c>
      <c r="E11" s="53">
        <f>D11/L25</f>
        <v>17.681011527974871</v>
      </c>
      <c r="F11" s="486">
        <f t="shared" si="1"/>
        <v>0.37802907915993506</v>
      </c>
      <c r="G11" s="119"/>
      <c r="H11" s="40"/>
      <c r="I11" s="40"/>
      <c r="J11" s="241">
        <v>50</v>
      </c>
      <c r="K11" s="204">
        <f t="shared" si="0"/>
        <v>25</v>
      </c>
      <c r="L11" s="261"/>
      <c r="M11" s="40"/>
      <c r="O11" s="50"/>
      <c r="P11" s="50"/>
    </row>
    <row r="12" spans="2:17" ht="15" customHeight="1" x14ac:dyDescent="0.25">
      <c r="B12" s="196">
        <v>8</v>
      </c>
      <c r="C12" s="101">
        <v>2003</v>
      </c>
      <c r="D12" s="60">
        <v>19.52</v>
      </c>
      <c r="E12" s="53">
        <v>20.2</v>
      </c>
      <c r="F12" s="486">
        <f t="shared" si="1"/>
        <v>0.14246857245919378</v>
      </c>
      <c r="G12" s="119"/>
      <c r="H12" s="40"/>
      <c r="I12" s="40"/>
      <c r="J12" s="241">
        <v>50</v>
      </c>
      <c r="K12" s="204">
        <f t="shared" si="0"/>
        <v>25</v>
      </c>
      <c r="L12" s="261">
        <v>0.96650000000000003</v>
      </c>
      <c r="M12" s="40"/>
      <c r="N12" s="75"/>
      <c r="O12" s="50"/>
      <c r="P12" s="50"/>
      <c r="Q12" s="75"/>
    </row>
    <row r="13" spans="2:17" ht="15" customHeight="1" x14ac:dyDescent="0.25">
      <c r="B13" s="196">
        <v>8</v>
      </c>
      <c r="C13" s="101">
        <v>2004</v>
      </c>
      <c r="D13" s="60">
        <v>22.13</v>
      </c>
      <c r="E13" s="53">
        <v>22.91</v>
      </c>
      <c r="F13" s="486">
        <f t="shared" si="1"/>
        <v>0.13415841584158419</v>
      </c>
      <c r="G13" s="119"/>
      <c r="H13" s="40"/>
      <c r="I13" s="40"/>
      <c r="J13" s="241">
        <v>50</v>
      </c>
      <c r="K13" s="204">
        <f t="shared" si="0"/>
        <v>25</v>
      </c>
      <c r="L13" s="261">
        <v>0.96599999999999997</v>
      </c>
      <c r="M13" s="40"/>
      <c r="N13" s="75"/>
      <c r="O13" s="50"/>
      <c r="P13" s="50"/>
      <c r="Q13" s="75"/>
    </row>
    <row r="14" spans="2:17" ht="15" customHeight="1" x14ac:dyDescent="0.25">
      <c r="B14" s="196">
        <v>6</v>
      </c>
      <c r="C14" s="101">
        <v>2005</v>
      </c>
      <c r="D14" s="60">
        <v>20.47</v>
      </c>
      <c r="E14" s="53">
        <v>21.05</v>
      </c>
      <c r="F14" s="486">
        <f t="shared" ref="F14:F25" si="2">(E14-E13)/E13</f>
        <v>-8.1187254474028789E-2</v>
      </c>
      <c r="G14" s="119"/>
      <c r="H14" s="40"/>
      <c r="I14" s="40"/>
      <c r="J14" s="241">
        <v>50</v>
      </c>
      <c r="K14" s="204">
        <f t="shared" si="0"/>
        <v>25</v>
      </c>
      <c r="L14" s="261">
        <v>0.97240000000000004</v>
      </c>
      <c r="M14" s="40"/>
      <c r="N14" s="75"/>
      <c r="O14" s="50"/>
      <c r="P14" s="50"/>
      <c r="Q14" s="75"/>
    </row>
    <row r="15" spans="2:17" ht="15" customHeight="1" x14ac:dyDescent="0.25">
      <c r="B15" s="196">
        <v>12</v>
      </c>
      <c r="C15" s="101">
        <v>2006</v>
      </c>
      <c r="D15" s="60">
        <v>22.89</v>
      </c>
      <c r="E15" s="53">
        <v>24.87</v>
      </c>
      <c r="F15" s="486">
        <f t="shared" si="2"/>
        <v>0.1814726840855107</v>
      </c>
      <c r="G15" s="119"/>
      <c r="H15" s="40"/>
      <c r="I15" s="40"/>
      <c r="J15" s="241">
        <v>50</v>
      </c>
      <c r="K15" s="204">
        <f t="shared" si="0"/>
        <v>25</v>
      </c>
      <c r="L15" s="261">
        <v>0.9204</v>
      </c>
      <c r="M15" s="40"/>
      <c r="N15" s="75"/>
      <c r="O15" s="50"/>
      <c r="P15" s="50"/>
      <c r="Q15" s="75"/>
    </row>
    <row r="16" spans="2:17" ht="15" customHeight="1" x14ac:dyDescent="0.25">
      <c r="B16" s="196">
        <v>11</v>
      </c>
      <c r="C16" s="101">
        <v>2007</v>
      </c>
      <c r="D16" s="60">
        <v>33.299999999999997</v>
      </c>
      <c r="E16" s="53">
        <v>36.47</v>
      </c>
      <c r="F16" s="486">
        <f t="shared" si="2"/>
        <v>0.46642541214314426</v>
      </c>
      <c r="G16" s="119"/>
      <c r="H16" s="40"/>
      <c r="I16" s="40"/>
      <c r="J16" s="241">
        <v>50</v>
      </c>
      <c r="K16" s="204">
        <f t="shared" si="0"/>
        <v>25</v>
      </c>
      <c r="L16" s="261">
        <v>0.91300000000000003</v>
      </c>
      <c r="M16" s="40"/>
      <c r="N16" s="75"/>
      <c r="O16" s="50"/>
      <c r="P16" s="50"/>
      <c r="Q16" s="75"/>
    </row>
    <row r="17" spans="2:17" ht="15" customHeight="1" x14ac:dyDescent="0.25">
      <c r="B17" s="196">
        <v>6</v>
      </c>
      <c r="C17" s="101">
        <v>2008</v>
      </c>
      <c r="D17" s="60">
        <v>30.51</v>
      </c>
      <c r="E17" s="53">
        <v>31.52</v>
      </c>
      <c r="F17" s="486">
        <f t="shared" si="2"/>
        <v>-0.13572799561283244</v>
      </c>
      <c r="G17" s="119"/>
      <c r="H17" s="40"/>
      <c r="I17" s="40"/>
      <c r="J17" s="241">
        <v>50</v>
      </c>
      <c r="K17" s="204">
        <f t="shared" si="0"/>
        <v>25</v>
      </c>
      <c r="L17" s="261">
        <v>0.96799999999999997</v>
      </c>
      <c r="M17" s="40"/>
      <c r="N17" s="75"/>
      <c r="O17" s="50"/>
      <c r="P17" s="50"/>
      <c r="Q17" s="75"/>
    </row>
    <row r="18" spans="2:17" ht="15" customHeight="1" x14ac:dyDescent="0.25">
      <c r="B18" s="196">
        <v>7</v>
      </c>
      <c r="C18" s="101">
        <v>2009</v>
      </c>
      <c r="D18" s="60">
        <v>35.450000000000003</v>
      </c>
      <c r="E18" s="53">
        <v>36.72</v>
      </c>
      <c r="F18" s="486">
        <f t="shared" si="2"/>
        <v>0.16497461928934007</v>
      </c>
      <c r="G18" s="119"/>
      <c r="H18" s="40"/>
      <c r="I18" s="40"/>
      <c r="J18" s="241">
        <v>50</v>
      </c>
      <c r="K18" s="204">
        <f t="shared" si="0"/>
        <v>25</v>
      </c>
      <c r="L18" s="261">
        <v>0.96550000000000002</v>
      </c>
      <c r="M18" s="40"/>
      <c r="N18" s="75"/>
      <c r="O18" s="50"/>
      <c r="P18" s="50"/>
      <c r="Q18" s="75"/>
    </row>
    <row r="19" spans="2:17" ht="15" customHeight="1" x14ac:dyDescent="0.25">
      <c r="B19" s="196">
        <v>7</v>
      </c>
      <c r="C19" s="101">
        <v>2010</v>
      </c>
      <c r="D19" s="60">
        <v>36.85</v>
      </c>
      <c r="E19" s="241">
        <v>37.950143306712299</v>
      </c>
      <c r="F19" s="486">
        <f t="shared" si="2"/>
        <v>3.3500634714387259E-2</v>
      </c>
      <c r="G19" s="119"/>
      <c r="H19" s="40"/>
      <c r="I19" s="40"/>
      <c r="J19" s="241">
        <v>50</v>
      </c>
      <c r="K19" s="204">
        <f t="shared" si="0"/>
        <v>25</v>
      </c>
      <c r="L19" s="261">
        <v>0.97050000000000003</v>
      </c>
      <c r="M19" s="188" t="s">
        <v>117</v>
      </c>
      <c r="N19" s="326">
        <v>37.950143306712299</v>
      </c>
      <c r="O19" s="175"/>
      <c r="P19" s="50"/>
      <c r="Q19" s="75"/>
    </row>
    <row r="20" spans="2:17" ht="15" customHeight="1" x14ac:dyDescent="0.25">
      <c r="B20" s="196">
        <v>11</v>
      </c>
      <c r="C20" s="101">
        <v>2011</v>
      </c>
      <c r="D20" s="60">
        <v>37.03</v>
      </c>
      <c r="E20" s="302">
        <v>39.793322872763667</v>
      </c>
      <c r="F20" s="486">
        <f t="shared" si="2"/>
        <v>4.856844811243078E-2</v>
      </c>
      <c r="G20" s="119"/>
      <c r="H20" s="40"/>
      <c r="I20" s="40"/>
      <c r="J20" s="241">
        <v>50</v>
      </c>
      <c r="K20" s="204">
        <f t="shared" si="0"/>
        <v>25</v>
      </c>
      <c r="L20" s="261">
        <v>0.93059999999999998</v>
      </c>
      <c r="M20" s="188"/>
      <c r="N20" s="302">
        <v>39.793322872763667</v>
      </c>
      <c r="O20" s="50"/>
      <c r="P20" s="50"/>
      <c r="Q20" s="75"/>
    </row>
    <row r="21" spans="2:17" ht="15" customHeight="1" x14ac:dyDescent="0.25">
      <c r="B21" s="196">
        <v>6</v>
      </c>
      <c r="C21" s="101">
        <v>2012</v>
      </c>
      <c r="D21" s="60">
        <v>37.979999999999997</v>
      </c>
      <c r="E21" s="241">
        <v>42.546175623433051</v>
      </c>
      <c r="F21" s="486">
        <f t="shared" si="2"/>
        <v>6.9178760453642824E-2</v>
      </c>
      <c r="G21" s="119"/>
      <c r="H21" s="40"/>
      <c r="I21" s="40"/>
      <c r="J21" s="241">
        <v>50</v>
      </c>
      <c r="K21" s="204">
        <f t="shared" si="0"/>
        <v>25</v>
      </c>
      <c r="L21" s="261">
        <v>0.97050000000000003</v>
      </c>
      <c r="M21" s="188"/>
      <c r="N21" s="241">
        <v>42.546175623433051</v>
      </c>
      <c r="O21" s="175"/>
      <c r="P21" s="50"/>
      <c r="Q21" s="75"/>
    </row>
    <row r="22" spans="2:17" ht="15" customHeight="1" x14ac:dyDescent="0.25">
      <c r="B22" s="196">
        <v>12</v>
      </c>
      <c r="C22" s="101">
        <v>2013</v>
      </c>
      <c r="D22" s="40">
        <v>40.479999999999997</v>
      </c>
      <c r="E22" s="302">
        <v>43.754960152398731</v>
      </c>
      <c r="F22" s="486">
        <f t="shared" si="2"/>
        <v>2.8411120653108021E-2</v>
      </c>
      <c r="G22" s="119"/>
      <c r="H22" s="40"/>
      <c r="I22" s="40"/>
      <c r="J22" s="241">
        <v>50</v>
      </c>
      <c r="K22" s="204">
        <f t="shared" si="0"/>
        <v>25</v>
      </c>
      <c r="L22" s="261">
        <v>1</v>
      </c>
      <c r="M22" s="188">
        <v>29.8</v>
      </c>
      <c r="N22" s="302">
        <v>43.754960152398731</v>
      </c>
      <c r="O22" s="50"/>
      <c r="P22" s="50"/>
      <c r="Q22" s="75"/>
    </row>
    <row r="23" spans="2:17" ht="15" customHeight="1" x14ac:dyDescent="0.25">
      <c r="B23" s="196">
        <v>1</v>
      </c>
      <c r="C23" s="101">
        <v>2014</v>
      </c>
      <c r="D23" s="40">
        <v>42.87</v>
      </c>
      <c r="E23" s="302">
        <v>45.848508334208688</v>
      </c>
      <c r="F23" s="486">
        <f t="shared" si="2"/>
        <v>4.7847105208600797E-2</v>
      </c>
      <c r="G23" s="119"/>
      <c r="H23" s="40"/>
      <c r="I23" s="40"/>
      <c r="J23" s="241">
        <v>50</v>
      </c>
      <c r="K23" s="204">
        <f t="shared" si="0"/>
        <v>25</v>
      </c>
      <c r="L23" s="261">
        <v>1</v>
      </c>
      <c r="M23" s="188">
        <v>30.4</v>
      </c>
      <c r="N23" s="302">
        <v>45.848508334208688</v>
      </c>
      <c r="O23" s="175"/>
      <c r="P23" s="390"/>
      <c r="Q23" s="75"/>
    </row>
    <row r="24" spans="2:17" ht="15" customHeight="1" x14ac:dyDescent="0.25">
      <c r="B24" s="196">
        <v>12</v>
      </c>
      <c r="C24" s="101">
        <v>2015</v>
      </c>
      <c r="D24" s="40">
        <v>39.28</v>
      </c>
      <c r="E24" s="302">
        <v>41.384108631164267</v>
      </c>
      <c r="F24" s="486">
        <f t="shared" si="2"/>
        <v>-9.7372845164374167E-2</v>
      </c>
      <c r="G24" s="119"/>
      <c r="H24" s="40"/>
      <c r="I24" s="40"/>
      <c r="J24" s="241">
        <v>50</v>
      </c>
      <c r="K24" s="204">
        <f t="shared" si="0"/>
        <v>25</v>
      </c>
      <c r="L24" s="261">
        <v>1</v>
      </c>
      <c r="M24" s="188">
        <v>28.9</v>
      </c>
      <c r="N24" s="327">
        <v>41.384108631164267</v>
      </c>
      <c r="O24" s="402"/>
      <c r="P24" s="390"/>
      <c r="Q24" s="75"/>
    </row>
    <row r="25" spans="2:17" ht="15" customHeight="1" x14ac:dyDescent="0.25">
      <c r="B25" s="196">
        <v>2</v>
      </c>
      <c r="C25" s="101">
        <v>2016</v>
      </c>
      <c r="D25" s="40">
        <v>40.32</v>
      </c>
      <c r="E25" s="62">
        <v>43.1</v>
      </c>
      <c r="F25" s="486">
        <f t="shared" si="2"/>
        <v>4.1462566806225322E-2</v>
      </c>
      <c r="G25" s="503"/>
      <c r="H25" s="258"/>
      <c r="I25" s="258"/>
      <c r="J25" s="241">
        <v>50</v>
      </c>
      <c r="K25" s="204">
        <f t="shared" si="0"/>
        <v>25</v>
      </c>
      <c r="L25" s="269">
        <f>AVERAGE(L12:L24)</f>
        <v>0.96487692307692297</v>
      </c>
      <c r="M25" s="40"/>
      <c r="N25" s="75"/>
      <c r="O25" s="402"/>
      <c r="P25" s="390" t="e">
        <f>(H25-H24)/H24</f>
        <v>#DIV/0!</v>
      </c>
      <c r="Q25" s="75"/>
    </row>
    <row r="26" spans="2:17" ht="15" customHeight="1" x14ac:dyDescent="0.25">
      <c r="B26" s="196"/>
      <c r="C26" s="101">
        <v>2017</v>
      </c>
      <c r="D26" s="40"/>
      <c r="E26" s="62"/>
      <c r="F26" s="486"/>
      <c r="G26" s="503"/>
      <c r="H26" s="258">
        <f>E26</f>
        <v>0</v>
      </c>
      <c r="I26" s="258">
        <f>E26</f>
        <v>0</v>
      </c>
      <c r="J26" s="241">
        <v>50</v>
      </c>
      <c r="K26" s="204">
        <f t="shared" si="0"/>
        <v>25</v>
      </c>
      <c r="L26" s="42"/>
      <c r="M26" s="40"/>
      <c r="N26" s="75"/>
      <c r="O26" s="402" t="e">
        <f>(G26-G25)/G25</f>
        <v>#DIV/0!</v>
      </c>
      <c r="P26" s="390" t="e">
        <f>(H26-H25)/H25</f>
        <v>#DIV/0!</v>
      </c>
      <c r="Q26" s="75"/>
    </row>
    <row r="27" spans="2:17" ht="15" customHeight="1" x14ac:dyDescent="0.25">
      <c r="B27" s="197"/>
      <c r="C27" s="107">
        <v>2018</v>
      </c>
      <c r="D27" s="55"/>
      <c r="E27" s="109"/>
      <c r="F27" s="476"/>
      <c r="G27" s="504"/>
      <c r="H27" s="464"/>
      <c r="I27" s="393">
        <f t="shared" ref="I27:I36" si="3">1.045*I26</f>
        <v>0</v>
      </c>
      <c r="J27" s="241">
        <v>50</v>
      </c>
      <c r="K27" s="204">
        <f t="shared" si="0"/>
        <v>25</v>
      </c>
      <c r="L27" s="42"/>
      <c r="M27" s="40"/>
      <c r="N27" s="75"/>
      <c r="O27" s="402" t="e">
        <f t="shared" ref="O27:O34" si="4">(G27-G26)/G26</f>
        <v>#DIV/0!</v>
      </c>
      <c r="P27" s="390" t="e">
        <f>(H27-H26)/H26</f>
        <v>#DIV/0!</v>
      </c>
      <c r="Q27" s="75"/>
    </row>
    <row r="28" spans="2:17" ht="15" customHeight="1" x14ac:dyDescent="0.25">
      <c r="B28" s="197"/>
      <c r="C28" s="107">
        <v>2019</v>
      </c>
      <c r="D28" s="55"/>
      <c r="E28" s="109"/>
      <c r="F28" s="476"/>
      <c r="G28" s="504"/>
      <c r="H28" s="464"/>
      <c r="I28" s="393">
        <f t="shared" si="3"/>
        <v>0</v>
      </c>
      <c r="J28" s="241">
        <v>50</v>
      </c>
      <c r="K28" s="204">
        <f t="shared" si="0"/>
        <v>25</v>
      </c>
      <c r="L28" s="42"/>
      <c r="M28" s="40"/>
      <c r="N28" s="75"/>
      <c r="O28" s="402" t="e">
        <f t="shared" si="4"/>
        <v>#DIV/0!</v>
      </c>
      <c r="P28" s="390" t="e">
        <f>(H28-H27)/H27</f>
        <v>#DIV/0!</v>
      </c>
      <c r="Q28" s="75"/>
    </row>
    <row r="29" spans="2:17" ht="15" customHeight="1" x14ac:dyDescent="0.25">
      <c r="B29" s="197"/>
      <c r="C29" s="107">
        <v>2020</v>
      </c>
      <c r="D29" s="55"/>
      <c r="E29" s="109"/>
      <c r="F29" s="476"/>
      <c r="G29" s="504"/>
      <c r="H29" s="464"/>
      <c r="I29" s="393">
        <f t="shared" si="3"/>
        <v>0</v>
      </c>
      <c r="J29" s="241">
        <v>50</v>
      </c>
      <c r="K29" s="204">
        <f t="shared" si="0"/>
        <v>25</v>
      </c>
      <c r="L29" s="42"/>
      <c r="M29" s="40"/>
      <c r="N29" s="75"/>
      <c r="O29" s="402" t="e">
        <f t="shared" si="4"/>
        <v>#DIV/0!</v>
      </c>
      <c r="P29" s="390" t="e">
        <f>(H29-H28)/H28</f>
        <v>#DIV/0!</v>
      </c>
      <c r="Q29" s="75"/>
    </row>
    <row r="30" spans="2:17" ht="15" customHeight="1" x14ac:dyDescent="0.25">
      <c r="B30" s="197"/>
      <c r="C30" s="108">
        <v>2021</v>
      </c>
      <c r="D30" s="106"/>
      <c r="E30" s="110"/>
      <c r="F30" s="493"/>
      <c r="G30" s="504"/>
      <c r="H30" s="464"/>
      <c r="I30" s="393">
        <f t="shared" si="3"/>
        <v>0</v>
      </c>
      <c r="J30" s="241">
        <v>50</v>
      </c>
      <c r="K30" s="204">
        <f t="shared" si="0"/>
        <v>25</v>
      </c>
      <c r="L30" s="42"/>
      <c r="M30" s="40"/>
      <c r="N30" s="75"/>
      <c r="O30" s="402" t="e">
        <f t="shared" si="4"/>
        <v>#DIV/0!</v>
      </c>
      <c r="P30" s="390"/>
      <c r="Q30" s="75"/>
    </row>
    <row r="31" spans="2:17" ht="15" customHeight="1" x14ac:dyDescent="0.25">
      <c r="B31" s="197"/>
      <c r="C31" s="107">
        <v>2022</v>
      </c>
      <c r="D31" s="106"/>
      <c r="E31" s="110"/>
      <c r="F31" s="493"/>
      <c r="G31" s="504"/>
      <c r="H31" s="464"/>
      <c r="I31" s="393">
        <f t="shared" si="3"/>
        <v>0</v>
      </c>
      <c r="J31" s="241">
        <v>50</v>
      </c>
      <c r="K31" s="204">
        <f t="shared" si="0"/>
        <v>25</v>
      </c>
      <c r="M31" s="123"/>
      <c r="N31" s="75"/>
      <c r="O31" s="402" t="e">
        <f t="shared" si="4"/>
        <v>#DIV/0!</v>
      </c>
      <c r="P31" s="390"/>
      <c r="Q31" s="75"/>
    </row>
    <row r="32" spans="2:17" ht="15" customHeight="1" x14ac:dyDescent="0.25">
      <c r="B32" s="197"/>
      <c r="C32" s="107">
        <v>2023</v>
      </c>
      <c r="D32" s="106"/>
      <c r="E32" s="110"/>
      <c r="F32" s="493"/>
      <c r="G32" s="504"/>
      <c r="H32" s="464"/>
      <c r="I32" s="393">
        <f t="shared" si="3"/>
        <v>0</v>
      </c>
      <c r="J32" s="241">
        <v>50</v>
      </c>
      <c r="K32" s="204">
        <f t="shared" si="0"/>
        <v>25</v>
      </c>
      <c r="M32" s="123"/>
      <c r="N32" s="75"/>
      <c r="O32" s="402" t="e">
        <f t="shared" si="4"/>
        <v>#DIV/0!</v>
      </c>
      <c r="P32" s="390"/>
      <c r="Q32" s="75"/>
    </row>
    <row r="33" spans="2:17" ht="15" customHeight="1" x14ac:dyDescent="0.25">
      <c r="B33" s="197"/>
      <c r="C33" s="107">
        <v>2024</v>
      </c>
      <c r="D33" s="106"/>
      <c r="E33" s="110"/>
      <c r="F33" s="493"/>
      <c r="G33" s="504"/>
      <c r="H33" s="464"/>
      <c r="I33" s="393">
        <f t="shared" si="3"/>
        <v>0</v>
      </c>
      <c r="J33" s="241">
        <v>50</v>
      </c>
      <c r="K33" s="204">
        <f t="shared" si="0"/>
        <v>25</v>
      </c>
      <c r="M33" s="123"/>
      <c r="N33" s="75"/>
      <c r="O33" s="402" t="e">
        <f t="shared" si="4"/>
        <v>#DIV/0!</v>
      </c>
      <c r="Q33" s="75"/>
    </row>
    <row r="34" spans="2:17" ht="15" customHeight="1" x14ac:dyDescent="0.25">
      <c r="B34" s="197"/>
      <c r="C34" s="107">
        <v>2025</v>
      </c>
      <c r="D34" s="106"/>
      <c r="E34" s="110"/>
      <c r="F34" s="493"/>
      <c r="G34" s="504"/>
      <c r="H34" s="464"/>
      <c r="I34" s="393">
        <f t="shared" si="3"/>
        <v>0</v>
      </c>
      <c r="J34" s="241">
        <v>50</v>
      </c>
      <c r="K34" s="204">
        <f t="shared" si="0"/>
        <v>25</v>
      </c>
      <c r="O34" s="402" t="e">
        <f t="shared" si="4"/>
        <v>#DIV/0!</v>
      </c>
    </row>
    <row r="35" spans="2:17" x14ac:dyDescent="0.25">
      <c r="B35" s="506"/>
      <c r="C35" s="107">
        <v>2026</v>
      </c>
      <c r="D35" s="495"/>
      <c r="E35" s="103"/>
      <c r="F35" s="495"/>
      <c r="G35" s="504"/>
      <c r="H35" s="496"/>
      <c r="I35" s="393">
        <f t="shared" si="3"/>
        <v>0</v>
      </c>
      <c r="J35" s="241">
        <v>50</v>
      </c>
      <c r="K35" s="204">
        <f t="shared" si="0"/>
        <v>25</v>
      </c>
      <c r="O35" s="405" t="e">
        <f>AVERAGE(O26:O34)</f>
        <v>#DIV/0!</v>
      </c>
      <c r="P35" s="397" t="e">
        <f>AVERAGE(P26:P29)</f>
        <v>#DIV/0!</v>
      </c>
    </row>
    <row r="36" spans="2:17" ht="15.75" thickBot="1" x14ac:dyDescent="0.3">
      <c r="B36" s="507"/>
      <c r="C36" s="207">
        <v>2027</v>
      </c>
      <c r="D36" s="498"/>
      <c r="E36" s="501"/>
      <c r="F36" s="498"/>
      <c r="G36" s="505"/>
      <c r="H36" s="499"/>
      <c r="I36" s="396">
        <f t="shared" si="3"/>
        <v>0</v>
      </c>
      <c r="J36" s="508">
        <v>50</v>
      </c>
      <c r="K36" s="206">
        <f t="shared" si="0"/>
        <v>25</v>
      </c>
    </row>
    <row r="37" spans="2:17" x14ac:dyDescent="0.25">
      <c r="F37" s="398">
        <f>AVERAGE(F9:F26)</f>
        <v>7.2117351813762304E-2</v>
      </c>
    </row>
    <row r="38" spans="2:17" ht="15.75" thickBot="1" x14ac:dyDescent="0.3">
      <c r="F38" s="386"/>
    </row>
    <row r="39" spans="2:17" ht="15.95" customHeight="1" thickBot="1" x14ac:dyDescent="0.3">
      <c r="B39"/>
      <c r="C39" s="1176" t="s">
        <v>271</v>
      </c>
      <c r="D39" s="1177"/>
      <c r="E39" s="1177"/>
      <c r="F39" s="1177"/>
      <c r="G39" s="1177"/>
      <c r="H39" s="1177"/>
      <c r="I39" s="1177"/>
      <c r="J39" s="1177"/>
      <c r="K39" s="1178"/>
    </row>
    <row r="40" spans="2:17" ht="15.95" customHeight="1" thickBot="1" x14ac:dyDescent="0.3">
      <c r="B40"/>
      <c r="C40" s="1040" t="s">
        <v>318</v>
      </c>
      <c r="D40" s="1041"/>
      <c r="E40" s="1041"/>
      <c r="F40" s="1041"/>
      <c r="G40" s="1041"/>
      <c r="H40" s="1041"/>
      <c r="I40" s="1041"/>
      <c r="J40" s="1041"/>
      <c r="K40" s="1042"/>
      <c r="M40" s="7" t="s">
        <v>313</v>
      </c>
      <c r="O40" t="s">
        <v>342</v>
      </c>
    </row>
    <row r="41" spans="2:17" ht="15.95" customHeight="1" thickBot="1" x14ac:dyDescent="0.3">
      <c r="B41" s="1051" t="s">
        <v>26</v>
      </c>
      <c r="C41" s="1043" t="s">
        <v>35</v>
      </c>
      <c r="D41" s="1045" t="s">
        <v>110</v>
      </c>
      <c r="E41" s="1046"/>
      <c r="F41" s="1047"/>
      <c r="G41" s="1045" t="s">
        <v>74</v>
      </c>
      <c r="H41" s="1047"/>
      <c r="I41" s="1043" t="s">
        <v>180</v>
      </c>
      <c r="J41" s="1043" t="s">
        <v>268</v>
      </c>
      <c r="K41" s="1049" t="s">
        <v>269</v>
      </c>
    </row>
    <row r="42" spans="2:17" ht="35.1" customHeight="1" thickBot="1" x14ac:dyDescent="0.3">
      <c r="B42" s="1051"/>
      <c r="C42" s="1044"/>
      <c r="D42" s="541" t="s">
        <v>174</v>
      </c>
      <c r="E42" s="541" t="s">
        <v>122</v>
      </c>
      <c r="F42" s="541" t="s">
        <v>343</v>
      </c>
      <c r="G42" s="537" t="s">
        <v>170</v>
      </c>
      <c r="H42" s="538" t="s">
        <v>270</v>
      </c>
      <c r="I42" s="1044"/>
      <c r="J42" s="1044"/>
      <c r="K42" s="1175"/>
    </row>
    <row r="43" spans="2:17" ht="15" customHeight="1" x14ac:dyDescent="0.25">
      <c r="B43" s="674">
        <v>1998</v>
      </c>
      <c r="C43" s="782">
        <v>1998</v>
      </c>
      <c r="D43" s="710">
        <v>4.75</v>
      </c>
      <c r="E43" s="692">
        <v>4.922907664588549</v>
      </c>
      <c r="F43" s="711"/>
      <c r="G43" s="692"/>
      <c r="H43" s="692"/>
      <c r="I43" s="712">
        <f>2*25</f>
        <v>50</v>
      </c>
      <c r="J43" s="712">
        <f>I43-25</f>
        <v>25</v>
      </c>
      <c r="K43" s="591">
        <f>E43/I43</f>
        <v>9.8458153291770975E-2</v>
      </c>
      <c r="L43" s="10">
        <f>(90*50)/100</f>
        <v>45</v>
      </c>
    </row>
    <row r="44" spans="2:17" ht="15" customHeight="1" x14ac:dyDescent="0.25">
      <c r="B44" s="675">
        <v>1999</v>
      </c>
      <c r="C44" s="783">
        <v>1999</v>
      </c>
      <c r="D44" s="693">
        <v>15.5</v>
      </c>
      <c r="E44" s="694">
        <v>16.064225010762634</v>
      </c>
      <c r="F44" s="695">
        <f>(E44-E43)/E43</f>
        <v>2.263157894736842</v>
      </c>
      <c r="G44" s="694"/>
      <c r="H44" s="694"/>
      <c r="I44" s="696">
        <f t="shared" ref="I44:I61" si="5">2*25</f>
        <v>50</v>
      </c>
      <c r="J44" s="696">
        <f t="shared" ref="J44:J61" si="6">I44-25</f>
        <v>25</v>
      </c>
      <c r="K44" s="592">
        <f t="shared" ref="K44:K62" si="7">E44/I44</f>
        <v>0.32128450021525268</v>
      </c>
      <c r="L44" s="10">
        <f t="shared" ref="L44:L72" si="8">(90*50)/100</f>
        <v>45</v>
      </c>
    </row>
    <row r="45" spans="2:17" ht="15" customHeight="1" x14ac:dyDescent="0.25">
      <c r="B45" s="675">
        <v>2000</v>
      </c>
      <c r="C45" s="783">
        <v>2000</v>
      </c>
      <c r="D45" s="693">
        <v>12.1</v>
      </c>
      <c r="E45" s="694">
        <v>12.54045952453083</v>
      </c>
      <c r="F45" s="695">
        <f t="shared" ref="F45:F62" si="9">(E45-E44)/E44</f>
        <v>-0.21935483870967745</v>
      </c>
      <c r="G45" s="694"/>
      <c r="H45" s="694"/>
      <c r="I45" s="696">
        <f t="shared" si="5"/>
        <v>50</v>
      </c>
      <c r="J45" s="696">
        <f t="shared" si="6"/>
        <v>25</v>
      </c>
      <c r="K45" s="592">
        <f t="shared" si="7"/>
        <v>0.25080919049061662</v>
      </c>
      <c r="L45" s="10">
        <f t="shared" si="8"/>
        <v>45</v>
      </c>
    </row>
    <row r="46" spans="2:17" ht="15" customHeight="1" x14ac:dyDescent="0.25">
      <c r="B46" s="675">
        <v>2001</v>
      </c>
      <c r="C46" s="783">
        <v>2001</v>
      </c>
      <c r="D46" s="693">
        <v>12.38</v>
      </c>
      <c r="E46" s="694">
        <v>12.830651976338157</v>
      </c>
      <c r="F46" s="695">
        <f t="shared" si="9"/>
        <v>2.3140495867768746E-2</v>
      </c>
      <c r="G46" s="694"/>
      <c r="H46" s="694"/>
      <c r="I46" s="696">
        <f t="shared" si="5"/>
        <v>50</v>
      </c>
      <c r="J46" s="696">
        <f t="shared" si="6"/>
        <v>25</v>
      </c>
      <c r="K46" s="592">
        <f t="shared" si="7"/>
        <v>0.25661303952676312</v>
      </c>
      <c r="L46" s="10">
        <f t="shared" si="8"/>
        <v>45</v>
      </c>
    </row>
    <row r="47" spans="2:17" ht="15" customHeight="1" x14ac:dyDescent="0.25">
      <c r="B47" s="675">
        <v>2002</v>
      </c>
      <c r="C47" s="783">
        <v>2002</v>
      </c>
      <c r="D47" s="693">
        <v>17.059999999999999</v>
      </c>
      <c r="E47" s="694">
        <v>17.681011527974871</v>
      </c>
      <c r="F47" s="695">
        <f t="shared" si="9"/>
        <v>0.37802907915993506</v>
      </c>
      <c r="G47" s="694"/>
      <c r="H47" s="694"/>
      <c r="I47" s="696">
        <f t="shared" si="5"/>
        <v>50</v>
      </c>
      <c r="J47" s="696">
        <f t="shared" si="6"/>
        <v>25</v>
      </c>
      <c r="K47" s="592">
        <f t="shared" si="7"/>
        <v>0.35362023055949743</v>
      </c>
      <c r="L47" s="10">
        <f t="shared" si="8"/>
        <v>45</v>
      </c>
    </row>
    <row r="48" spans="2:17" ht="15" customHeight="1" x14ac:dyDescent="0.25">
      <c r="B48" s="675">
        <v>2003</v>
      </c>
      <c r="C48" s="582">
        <v>37860.875</v>
      </c>
      <c r="D48" s="693">
        <v>19.52</v>
      </c>
      <c r="E48" s="694">
        <v>20.2</v>
      </c>
      <c r="F48" s="695">
        <f t="shared" si="9"/>
        <v>0.14246857245919378</v>
      </c>
      <c r="G48" s="694"/>
      <c r="H48" s="694"/>
      <c r="I48" s="696">
        <f t="shared" si="5"/>
        <v>50</v>
      </c>
      <c r="J48" s="696">
        <f t="shared" si="6"/>
        <v>25</v>
      </c>
      <c r="K48" s="592">
        <f t="shared" si="7"/>
        <v>0.40399999999999997</v>
      </c>
      <c r="L48" s="10">
        <f t="shared" si="8"/>
        <v>45</v>
      </c>
    </row>
    <row r="49" spans="2:15" ht="15" customHeight="1" x14ac:dyDescent="0.25">
      <c r="B49" s="675">
        <v>2004</v>
      </c>
      <c r="C49" s="582">
        <v>38216.885416666664</v>
      </c>
      <c r="D49" s="693">
        <v>22.13</v>
      </c>
      <c r="E49" s="694">
        <v>22.91</v>
      </c>
      <c r="F49" s="695">
        <f t="shared" si="9"/>
        <v>0.13415841584158419</v>
      </c>
      <c r="G49" s="694"/>
      <c r="H49" s="694"/>
      <c r="I49" s="696">
        <f t="shared" si="5"/>
        <v>50</v>
      </c>
      <c r="J49" s="696">
        <f t="shared" si="6"/>
        <v>25</v>
      </c>
      <c r="K49" s="592">
        <f t="shared" si="7"/>
        <v>0.4582</v>
      </c>
      <c r="L49" s="10">
        <f t="shared" si="8"/>
        <v>45</v>
      </c>
    </row>
    <row r="50" spans="2:15" ht="15" customHeight="1" x14ac:dyDescent="0.25">
      <c r="B50" s="675">
        <v>2005</v>
      </c>
      <c r="C50" s="582">
        <v>38525.854166666664</v>
      </c>
      <c r="D50" s="693">
        <v>20.47</v>
      </c>
      <c r="E50" s="694">
        <v>21.05</v>
      </c>
      <c r="F50" s="695">
        <f t="shared" si="9"/>
        <v>-8.1187254474028789E-2</v>
      </c>
      <c r="G50" s="694"/>
      <c r="H50" s="694"/>
      <c r="I50" s="696">
        <f t="shared" si="5"/>
        <v>50</v>
      </c>
      <c r="J50" s="696">
        <f t="shared" si="6"/>
        <v>25</v>
      </c>
      <c r="K50" s="592">
        <f t="shared" si="7"/>
        <v>0.42100000000000004</v>
      </c>
      <c r="L50" s="10">
        <f t="shared" si="8"/>
        <v>45</v>
      </c>
    </row>
    <row r="51" spans="2:15" ht="15" customHeight="1" x14ac:dyDescent="0.25">
      <c r="B51" s="675">
        <v>2006</v>
      </c>
      <c r="C51" s="582">
        <v>39080.927083333336</v>
      </c>
      <c r="D51" s="693">
        <v>22.89</v>
      </c>
      <c r="E51" s="694">
        <v>24.87</v>
      </c>
      <c r="F51" s="695">
        <f t="shared" si="9"/>
        <v>0.1814726840855107</v>
      </c>
      <c r="G51" s="694"/>
      <c r="H51" s="694"/>
      <c r="I51" s="696">
        <f t="shared" si="5"/>
        <v>50</v>
      </c>
      <c r="J51" s="696">
        <f t="shared" si="6"/>
        <v>25</v>
      </c>
      <c r="K51" s="592">
        <f t="shared" si="7"/>
        <v>0.49740000000000001</v>
      </c>
      <c r="L51" s="10">
        <f t="shared" si="8"/>
        <v>45</v>
      </c>
    </row>
    <row r="52" spans="2:15" ht="15" customHeight="1" x14ac:dyDescent="0.25">
      <c r="B52" s="675">
        <v>2007</v>
      </c>
      <c r="C52" s="582">
        <v>39414.864583333336</v>
      </c>
      <c r="D52" s="693">
        <v>33.299999999999997</v>
      </c>
      <c r="E52" s="694">
        <v>36.47</v>
      </c>
      <c r="F52" s="695">
        <f t="shared" si="9"/>
        <v>0.46642541214314426</v>
      </c>
      <c r="G52" s="694"/>
      <c r="H52" s="694"/>
      <c r="I52" s="696">
        <f t="shared" si="5"/>
        <v>50</v>
      </c>
      <c r="J52" s="696">
        <f t="shared" si="6"/>
        <v>25</v>
      </c>
      <c r="K52" s="592">
        <f t="shared" si="7"/>
        <v>0.72939999999999994</v>
      </c>
      <c r="L52" s="10">
        <f t="shared" si="8"/>
        <v>45</v>
      </c>
    </row>
    <row r="53" spans="2:15" ht="15" customHeight="1" x14ac:dyDescent="0.25">
      <c r="B53" s="675">
        <v>2008</v>
      </c>
      <c r="C53" s="582">
        <v>39623.864583333336</v>
      </c>
      <c r="D53" s="693">
        <v>30.51</v>
      </c>
      <c r="E53" s="694">
        <v>31.52</v>
      </c>
      <c r="F53" s="695">
        <f t="shared" si="9"/>
        <v>-0.13572799561283244</v>
      </c>
      <c r="G53" s="694"/>
      <c r="H53" s="694"/>
      <c r="I53" s="696">
        <f t="shared" si="5"/>
        <v>50</v>
      </c>
      <c r="J53" s="696">
        <f t="shared" si="6"/>
        <v>25</v>
      </c>
      <c r="K53" s="592">
        <f t="shared" si="7"/>
        <v>0.63039999999999996</v>
      </c>
      <c r="L53" s="10">
        <f t="shared" si="8"/>
        <v>45</v>
      </c>
    </row>
    <row r="54" spans="2:15" ht="15" customHeight="1" x14ac:dyDescent="0.25">
      <c r="B54" s="675">
        <v>2009</v>
      </c>
      <c r="C54" s="582">
        <v>40024.885416666664</v>
      </c>
      <c r="D54" s="693">
        <v>35.450000000000003</v>
      </c>
      <c r="E54" s="694">
        <v>36.72</v>
      </c>
      <c r="F54" s="695">
        <f t="shared" si="9"/>
        <v>0.16497461928934007</v>
      </c>
      <c r="G54" s="694"/>
      <c r="H54" s="694"/>
      <c r="I54" s="696">
        <f t="shared" si="5"/>
        <v>50</v>
      </c>
      <c r="J54" s="696">
        <f t="shared" si="6"/>
        <v>25</v>
      </c>
      <c r="K54" s="592">
        <f t="shared" si="7"/>
        <v>0.73439999999999994</v>
      </c>
      <c r="L54" s="10">
        <f t="shared" si="8"/>
        <v>45</v>
      </c>
    </row>
    <row r="55" spans="2:15" ht="15" customHeight="1" x14ac:dyDescent="0.25">
      <c r="B55" s="675">
        <v>2010</v>
      </c>
      <c r="C55" s="582">
        <v>40378.864583333336</v>
      </c>
      <c r="D55" s="693">
        <v>36.85</v>
      </c>
      <c r="E55" s="694">
        <v>37.950143306712299</v>
      </c>
      <c r="F55" s="695">
        <f t="shared" si="9"/>
        <v>3.3500634714387259E-2</v>
      </c>
      <c r="G55" s="694"/>
      <c r="H55" s="694"/>
      <c r="I55" s="696">
        <f t="shared" si="5"/>
        <v>50</v>
      </c>
      <c r="J55" s="696">
        <f t="shared" si="6"/>
        <v>25</v>
      </c>
      <c r="K55" s="592">
        <f t="shared" si="7"/>
        <v>0.75900286613424595</v>
      </c>
      <c r="L55" s="10">
        <f t="shared" si="8"/>
        <v>45</v>
      </c>
    </row>
    <row r="56" spans="2:15" ht="15" customHeight="1" x14ac:dyDescent="0.25">
      <c r="B56" s="675">
        <v>2011</v>
      </c>
      <c r="C56" s="582">
        <v>40855.895833333336</v>
      </c>
      <c r="D56" s="693">
        <v>37.03</v>
      </c>
      <c r="E56" s="694">
        <v>39.793322872763667</v>
      </c>
      <c r="F56" s="695">
        <f t="shared" si="9"/>
        <v>4.856844811243078E-2</v>
      </c>
      <c r="G56" s="697"/>
      <c r="H56" s="694"/>
      <c r="I56" s="696">
        <f t="shared" si="5"/>
        <v>50</v>
      </c>
      <c r="J56" s="696">
        <f t="shared" si="6"/>
        <v>25</v>
      </c>
      <c r="K56" s="592">
        <f t="shared" si="7"/>
        <v>0.7958664574552734</v>
      </c>
      <c r="L56" s="10">
        <f t="shared" si="8"/>
        <v>45</v>
      </c>
    </row>
    <row r="57" spans="2:15" ht="15" customHeight="1" x14ac:dyDescent="0.25">
      <c r="B57" s="675">
        <v>2012</v>
      </c>
      <c r="C57" s="582">
        <v>41067.885416666664</v>
      </c>
      <c r="D57" s="693">
        <v>37.979999999999997</v>
      </c>
      <c r="E57" s="694">
        <v>42.546175623433051</v>
      </c>
      <c r="F57" s="695">
        <f t="shared" si="9"/>
        <v>6.9178760453642824E-2</v>
      </c>
      <c r="G57" s="697"/>
      <c r="H57" s="698"/>
      <c r="I57" s="696">
        <f t="shared" si="5"/>
        <v>50</v>
      </c>
      <c r="J57" s="696">
        <f t="shared" si="6"/>
        <v>25</v>
      </c>
      <c r="K57" s="592">
        <f t="shared" si="7"/>
        <v>0.85092351246866105</v>
      </c>
      <c r="L57" s="10">
        <f t="shared" si="8"/>
        <v>45</v>
      </c>
    </row>
    <row r="58" spans="2:15" ht="15" customHeight="1" x14ac:dyDescent="0.25">
      <c r="B58" s="675">
        <v>2013</v>
      </c>
      <c r="C58" s="582">
        <v>41634.65625</v>
      </c>
      <c r="D58" s="693">
        <v>40.479999999999997</v>
      </c>
      <c r="E58" s="694">
        <v>43.754960152398731</v>
      </c>
      <c r="F58" s="695">
        <f t="shared" si="9"/>
        <v>2.8411120653108021E-2</v>
      </c>
      <c r="G58" s="694"/>
      <c r="H58" s="698"/>
      <c r="I58" s="696">
        <f t="shared" si="5"/>
        <v>50</v>
      </c>
      <c r="J58" s="696">
        <f t="shared" si="6"/>
        <v>25</v>
      </c>
      <c r="K58" s="592">
        <f t="shared" si="7"/>
        <v>0.87509920304797462</v>
      </c>
      <c r="L58" s="10">
        <f t="shared" si="8"/>
        <v>45</v>
      </c>
    </row>
    <row r="59" spans="2:15" ht="15" customHeight="1" x14ac:dyDescent="0.25">
      <c r="B59" s="675">
        <v>2014</v>
      </c>
      <c r="C59" s="580">
        <v>41662.635416666664</v>
      </c>
      <c r="D59" s="693">
        <v>42.87</v>
      </c>
      <c r="E59" s="694">
        <v>45.848508334208688</v>
      </c>
      <c r="F59" s="695">
        <f t="shared" si="9"/>
        <v>4.7847105208600797E-2</v>
      </c>
      <c r="G59" s="694"/>
      <c r="H59" s="698"/>
      <c r="I59" s="696">
        <f t="shared" si="5"/>
        <v>50</v>
      </c>
      <c r="J59" s="696">
        <f t="shared" si="6"/>
        <v>25</v>
      </c>
      <c r="K59" s="665">
        <f t="shared" si="7"/>
        <v>0.91697016668417375</v>
      </c>
      <c r="L59" s="10">
        <f t="shared" si="8"/>
        <v>45</v>
      </c>
      <c r="M59" s="7">
        <f>45/50</f>
        <v>0.9</v>
      </c>
    </row>
    <row r="60" spans="2:15" ht="15" customHeight="1" x14ac:dyDescent="0.25">
      <c r="B60" s="675">
        <v>2015</v>
      </c>
      <c r="C60" s="580">
        <v>42367.927083333336</v>
      </c>
      <c r="D60" s="693">
        <v>39.28</v>
      </c>
      <c r="E60" s="694">
        <v>41.384108631164267</v>
      </c>
      <c r="F60" s="695">
        <f t="shared" si="9"/>
        <v>-9.7372845164374167E-2</v>
      </c>
      <c r="G60" s="694"/>
      <c r="H60" s="698"/>
      <c r="I60" s="696">
        <f t="shared" si="5"/>
        <v>50</v>
      </c>
      <c r="J60" s="696">
        <f t="shared" si="6"/>
        <v>25</v>
      </c>
      <c r="K60" s="592">
        <f t="shared" si="7"/>
        <v>0.82768217262328536</v>
      </c>
      <c r="L60" s="10">
        <f t="shared" si="8"/>
        <v>45</v>
      </c>
    </row>
    <row r="61" spans="2:15" ht="15" customHeight="1" x14ac:dyDescent="0.25">
      <c r="B61" s="675">
        <v>2016</v>
      </c>
      <c r="C61" s="580">
        <v>42735.645833333336</v>
      </c>
      <c r="D61" s="693">
        <v>44.77</v>
      </c>
      <c r="E61" s="694">
        <v>47.69</v>
      </c>
      <c r="F61" s="695">
        <f t="shared" si="9"/>
        <v>0.15237470559138935</v>
      </c>
      <c r="G61" s="694"/>
      <c r="H61" s="694"/>
      <c r="I61" s="696">
        <f t="shared" si="5"/>
        <v>50</v>
      </c>
      <c r="J61" s="696">
        <f t="shared" si="6"/>
        <v>25</v>
      </c>
      <c r="K61" s="665">
        <f t="shared" si="7"/>
        <v>0.95379999999999998</v>
      </c>
      <c r="L61" s="10">
        <f t="shared" si="8"/>
        <v>45</v>
      </c>
    </row>
    <row r="62" spans="2:15" ht="15" customHeight="1" x14ac:dyDescent="0.25">
      <c r="B62" s="675">
        <v>2017</v>
      </c>
      <c r="C62" s="580">
        <v>42796.697916666664</v>
      </c>
      <c r="D62" s="693">
        <v>45.27</v>
      </c>
      <c r="E62" s="694">
        <v>48.39</v>
      </c>
      <c r="F62" s="695">
        <f t="shared" si="9"/>
        <v>1.4678129586915556E-2</v>
      </c>
      <c r="G62" s="694"/>
      <c r="H62" s="694">
        <f>E62</f>
        <v>48.39</v>
      </c>
      <c r="I62" s="696">
        <f>1*55 + 1*55</f>
        <v>110</v>
      </c>
      <c r="J62" s="696">
        <f>I62-55</f>
        <v>55</v>
      </c>
      <c r="K62" s="665">
        <f t="shared" si="7"/>
        <v>0.43990909090909092</v>
      </c>
      <c r="L62" s="10">
        <f t="shared" si="8"/>
        <v>45</v>
      </c>
      <c r="N62">
        <f>0.043*H62</f>
        <v>2.0807699999999998</v>
      </c>
      <c r="O62" t="s">
        <v>344</v>
      </c>
    </row>
    <row r="63" spans="2:15" ht="15" customHeight="1" x14ac:dyDescent="0.25">
      <c r="B63" s="676">
        <v>2018</v>
      </c>
      <c r="C63" s="720">
        <v>2018</v>
      </c>
      <c r="D63" s="699"/>
      <c r="E63" s="700"/>
      <c r="F63" s="701"/>
      <c r="G63" s="702">
        <f>2.2155*B63-4417.4</f>
        <v>53.479000000000269</v>
      </c>
      <c r="H63" s="839">
        <f>2.22+H62</f>
        <v>50.61</v>
      </c>
      <c r="I63" s="709">
        <f>1*55+1*55</f>
        <v>110</v>
      </c>
      <c r="J63" s="709">
        <f>I63-55</f>
        <v>55</v>
      </c>
      <c r="K63" s="687">
        <f>H63/I63</f>
        <v>0.46009090909090911</v>
      </c>
      <c r="L63" s="10">
        <f t="shared" si="8"/>
        <v>45</v>
      </c>
    </row>
    <row r="64" spans="2:15" ht="15" customHeight="1" x14ac:dyDescent="0.25">
      <c r="B64" s="676">
        <v>2019</v>
      </c>
      <c r="C64" s="720">
        <v>2019</v>
      </c>
      <c r="D64" s="699"/>
      <c r="E64" s="700"/>
      <c r="F64" s="701"/>
      <c r="G64" s="702">
        <f t="shared" ref="G64:G72" si="10">2.2155*B64-4417.4</f>
        <v>55.694500000000517</v>
      </c>
      <c r="H64" s="839">
        <f>2.22+H63</f>
        <v>52.83</v>
      </c>
      <c r="I64" s="709">
        <f t="shared" ref="I64:I72" si="11">1*55+1*55</f>
        <v>110</v>
      </c>
      <c r="J64" s="709">
        <f t="shared" ref="J64:J72" si="12">I64-55</f>
        <v>55</v>
      </c>
      <c r="K64" s="687">
        <f t="shared" ref="K64:K72" si="13">H64/I64</f>
        <v>0.48027272727272724</v>
      </c>
      <c r="L64" s="10">
        <f t="shared" si="8"/>
        <v>45</v>
      </c>
      <c r="M64" s="7">
        <f>G64-G63</f>
        <v>2.2155000000002474</v>
      </c>
      <c r="N64" s="11">
        <f>H64-H63</f>
        <v>2.2199999999999989</v>
      </c>
    </row>
    <row r="65" spans="2:15" ht="15" customHeight="1" x14ac:dyDescent="0.25">
      <c r="B65" s="676">
        <v>2020</v>
      </c>
      <c r="C65" s="720">
        <v>2020</v>
      </c>
      <c r="D65" s="699"/>
      <c r="E65" s="700"/>
      <c r="F65" s="701"/>
      <c r="G65" s="702">
        <f t="shared" si="10"/>
        <v>57.910000000000764</v>
      </c>
      <c r="H65" s="839">
        <f>2.22+H64-9</f>
        <v>46.05</v>
      </c>
      <c r="I65" s="709">
        <f t="shared" si="11"/>
        <v>110</v>
      </c>
      <c r="J65" s="709">
        <f t="shared" si="12"/>
        <v>55</v>
      </c>
      <c r="K65" s="687">
        <f t="shared" si="13"/>
        <v>0.41863636363636358</v>
      </c>
      <c r="L65" s="10">
        <f t="shared" si="8"/>
        <v>45</v>
      </c>
      <c r="M65" s="838" t="s">
        <v>334</v>
      </c>
      <c r="N65" s="342"/>
      <c r="O65">
        <f>8/0.9</f>
        <v>8.8888888888888893</v>
      </c>
    </row>
    <row r="66" spans="2:15" ht="15" customHeight="1" x14ac:dyDescent="0.25">
      <c r="B66" s="676">
        <v>2021</v>
      </c>
      <c r="C66" s="720">
        <v>2021</v>
      </c>
      <c r="D66" s="703"/>
      <c r="E66" s="704"/>
      <c r="F66" s="703"/>
      <c r="G66" s="702">
        <f t="shared" si="10"/>
        <v>60.125500000000102</v>
      </c>
      <c r="H66" s="839">
        <f>2.22+H65</f>
        <v>48.269999999999996</v>
      </c>
      <c r="I66" s="709">
        <f t="shared" si="11"/>
        <v>110</v>
      </c>
      <c r="J66" s="709">
        <f t="shared" si="12"/>
        <v>55</v>
      </c>
      <c r="K66" s="687">
        <f t="shared" si="13"/>
        <v>0.43881818181818177</v>
      </c>
      <c r="L66" s="10">
        <f t="shared" si="8"/>
        <v>45</v>
      </c>
    </row>
    <row r="67" spans="2:15" ht="15" customHeight="1" x14ac:dyDescent="0.25">
      <c r="B67" s="676">
        <v>2022</v>
      </c>
      <c r="C67" s="720">
        <v>2022</v>
      </c>
      <c r="D67" s="703"/>
      <c r="E67" s="704"/>
      <c r="F67" s="703"/>
      <c r="G67" s="702">
        <f t="shared" si="10"/>
        <v>62.341000000000349</v>
      </c>
      <c r="H67" s="839">
        <f t="shared" ref="H67:H72" si="14">2.22+H66</f>
        <v>50.489999999999995</v>
      </c>
      <c r="I67" s="709">
        <f t="shared" si="11"/>
        <v>110</v>
      </c>
      <c r="J67" s="709">
        <f t="shared" si="12"/>
        <v>55</v>
      </c>
      <c r="K67" s="687">
        <f t="shared" si="13"/>
        <v>0.45899999999999996</v>
      </c>
      <c r="L67" s="10">
        <f t="shared" si="8"/>
        <v>45</v>
      </c>
    </row>
    <row r="68" spans="2:15" ht="15" customHeight="1" x14ac:dyDescent="0.25">
      <c r="B68" s="676">
        <v>2023</v>
      </c>
      <c r="C68" s="720">
        <v>2023</v>
      </c>
      <c r="D68" s="705"/>
      <c r="E68" s="706"/>
      <c r="F68" s="707"/>
      <c r="G68" s="702">
        <f t="shared" si="10"/>
        <v>64.556500000000597</v>
      </c>
      <c r="H68" s="839">
        <f t="shared" si="14"/>
        <v>52.709999999999994</v>
      </c>
      <c r="I68" s="709">
        <f t="shared" si="11"/>
        <v>110</v>
      </c>
      <c r="J68" s="709">
        <f t="shared" si="12"/>
        <v>55</v>
      </c>
      <c r="K68" s="687">
        <f t="shared" si="13"/>
        <v>0.4791818181818181</v>
      </c>
      <c r="L68" s="10">
        <f t="shared" si="8"/>
        <v>45</v>
      </c>
    </row>
    <row r="69" spans="2:15" ht="15" customHeight="1" x14ac:dyDescent="0.25">
      <c r="B69" s="676">
        <v>2024</v>
      </c>
      <c r="C69" s="721">
        <v>2024</v>
      </c>
      <c r="D69" s="705"/>
      <c r="E69" s="706"/>
      <c r="F69" s="707"/>
      <c r="G69" s="702">
        <f t="shared" si="10"/>
        <v>66.772000000000844</v>
      </c>
      <c r="H69" s="839">
        <f t="shared" si="14"/>
        <v>54.929999999999993</v>
      </c>
      <c r="I69" s="709">
        <f t="shared" si="11"/>
        <v>110</v>
      </c>
      <c r="J69" s="709">
        <f t="shared" si="12"/>
        <v>55</v>
      </c>
      <c r="K69" s="687">
        <f t="shared" si="13"/>
        <v>0.49936363636363629</v>
      </c>
      <c r="L69" s="10">
        <f t="shared" si="8"/>
        <v>45</v>
      </c>
    </row>
    <row r="70" spans="2:15" ht="15" customHeight="1" x14ac:dyDescent="0.25">
      <c r="B70" s="676">
        <v>2025</v>
      </c>
      <c r="C70" s="721">
        <v>2025</v>
      </c>
      <c r="D70" s="705"/>
      <c r="E70" s="706"/>
      <c r="F70" s="707"/>
      <c r="G70" s="702">
        <f t="shared" si="10"/>
        <v>68.987500000000182</v>
      </c>
      <c r="H70" s="839">
        <f t="shared" si="14"/>
        <v>57.149999999999991</v>
      </c>
      <c r="I70" s="709">
        <f t="shared" si="11"/>
        <v>110</v>
      </c>
      <c r="J70" s="709">
        <f t="shared" si="12"/>
        <v>55</v>
      </c>
      <c r="K70" s="687">
        <f t="shared" si="13"/>
        <v>0.51954545454545442</v>
      </c>
      <c r="L70" s="10">
        <f t="shared" si="8"/>
        <v>45</v>
      </c>
      <c r="N70" s="11">
        <f>H70-H69</f>
        <v>2.2199999999999989</v>
      </c>
    </row>
    <row r="71" spans="2:15" ht="15" customHeight="1" x14ac:dyDescent="0.25">
      <c r="B71" s="676">
        <v>2026</v>
      </c>
      <c r="C71" s="721">
        <v>2026</v>
      </c>
      <c r="D71" s="705"/>
      <c r="E71" s="706"/>
      <c r="F71" s="707"/>
      <c r="G71" s="702">
        <f t="shared" si="10"/>
        <v>71.203000000000429</v>
      </c>
      <c r="H71" s="839">
        <f t="shared" si="14"/>
        <v>59.36999999999999</v>
      </c>
      <c r="I71" s="709">
        <f t="shared" si="11"/>
        <v>110</v>
      </c>
      <c r="J71" s="709">
        <f t="shared" si="12"/>
        <v>55</v>
      </c>
      <c r="K71" s="687">
        <f t="shared" si="13"/>
        <v>0.53972727272727261</v>
      </c>
      <c r="L71" s="10">
        <f t="shared" si="8"/>
        <v>45</v>
      </c>
    </row>
    <row r="72" spans="2:15" ht="15" customHeight="1" thickBot="1" x14ac:dyDescent="0.3">
      <c r="B72" s="677">
        <v>2027</v>
      </c>
      <c r="C72" s="722">
        <v>2027</v>
      </c>
      <c r="D72" s="713"/>
      <c r="E72" s="708"/>
      <c r="F72" s="714"/>
      <c r="G72" s="716">
        <f t="shared" si="10"/>
        <v>73.418500000000677</v>
      </c>
      <c r="H72" s="840">
        <f t="shared" si="14"/>
        <v>61.589999999999989</v>
      </c>
      <c r="I72" s="715">
        <f t="shared" si="11"/>
        <v>110</v>
      </c>
      <c r="J72" s="715">
        <f t="shared" si="12"/>
        <v>55</v>
      </c>
      <c r="K72" s="735">
        <f t="shared" si="13"/>
        <v>0.5599090909090908</v>
      </c>
      <c r="L72" s="10">
        <f t="shared" si="8"/>
        <v>45</v>
      </c>
    </row>
    <row r="73" spans="2:15" ht="15" customHeight="1" x14ac:dyDescent="0.25">
      <c r="D73" t="s">
        <v>345</v>
      </c>
      <c r="E73" s="11">
        <f>(E62-E43)/19</f>
        <v>2.2877417018637605</v>
      </c>
      <c r="F73" s="398">
        <f>E73/E43</f>
        <v>0.46471351033454072</v>
      </c>
      <c r="H73">
        <f>0.043*H62</f>
        <v>2.0807699999999998</v>
      </c>
    </row>
    <row r="74" spans="2:15" x14ac:dyDescent="0.25">
      <c r="D74" s="5">
        <f>B62-B43</f>
        <v>19</v>
      </c>
      <c r="E74" s="5">
        <f>E73*19+E43</f>
        <v>48.39</v>
      </c>
      <c r="F74" s="5"/>
    </row>
    <row r="75" spans="2:15" x14ac:dyDescent="0.25">
      <c r="C75" s="5"/>
    </row>
    <row r="76" spans="2:15" x14ac:dyDescent="0.25">
      <c r="C76" s="5"/>
    </row>
    <row r="77" spans="2:15" x14ac:dyDescent="0.25">
      <c r="C77" s="5"/>
    </row>
    <row r="86" spans="15:16" x14ac:dyDescent="0.25">
      <c r="O86">
        <v>2021</v>
      </c>
      <c r="P86" s="11">
        <v>0</v>
      </c>
    </row>
    <row r="87" spans="15:16" x14ac:dyDescent="0.25">
      <c r="O87">
        <v>2021</v>
      </c>
      <c r="P87" s="11">
        <v>10</v>
      </c>
    </row>
    <row r="88" spans="15:16" x14ac:dyDescent="0.25">
      <c r="O88">
        <v>2021</v>
      </c>
      <c r="P88" s="11">
        <v>20</v>
      </c>
    </row>
    <row r="89" spans="15:16" x14ac:dyDescent="0.25">
      <c r="O89">
        <v>2021</v>
      </c>
      <c r="P89" s="11">
        <v>30</v>
      </c>
    </row>
    <row r="90" spans="15:16" x14ac:dyDescent="0.25">
      <c r="O90">
        <v>2021</v>
      </c>
      <c r="P90" s="11">
        <v>40</v>
      </c>
    </row>
    <row r="91" spans="15:16" x14ac:dyDescent="0.25">
      <c r="O91">
        <v>2021</v>
      </c>
      <c r="P91" s="11">
        <v>50</v>
      </c>
    </row>
    <row r="92" spans="15:16" x14ac:dyDescent="0.25">
      <c r="O92">
        <v>2021</v>
      </c>
      <c r="P92" s="11">
        <v>60</v>
      </c>
    </row>
    <row r="93" spans="15:16" x14ac:dyDescent="0.25">
      <c r="O93">
        <v>2021</v>
      </c>
      <c r="P93" s="11">
        <v>70</v>
      </c>
    </row>
    <row r="107" spans="1:21" s="10" customFormat="1" ht="18" x14ac:dyDescent="0.25">
      <c r="A107" s="1093" t="s">
        <v>247</v>
      </c>
      <c r="B107" s="1093"/>
      <c r="C107" s="1093"/>
      <c r="D107" s="1093"/>
      <c r="E107" s="1093"/>
      <c r="F107" s="1093"/>
      <c r="G107" s="1093"/>
      <c r="H107" s="1093"/>
      <c r="I107" s="1093"/>
      <c r="J107" s="1093"/>
      <c r="K107" s="1093"/>
      <c r="L107" s="1093"/>
      <c r="M107" s="1093"/>
      <c r="N107" s="1093"/>
      <c r="O107" s="1093"/>
      <c r="P107" s="1093"/>
      <c r="Q107" s="1093"/>
      <c r="R107" s="1093"/>
      <c r="S107" s="1093"/>
      <c r="T107" s="1093"/>
      <c r="U107" s="451"/>
    </row>
    <row r="108" spans="1:21" s="10" customFormat="1" ht="18" x14ac:dyDescent="0.25">
      <c r="A108" s="1094" t="s">
        <v>248</v>
      </c>
      <c r="B108" s="1094"/>
      <c r="C108" s="1094"/>
      <c r="D108" s="1094"/>
      <c r="E108" s="1094"/>
      <c r="F108" s="1094"/>
      <c r="G108" s="1094"/>
      <c r="H108" s="1094"/>
      <c r="I108" s="1094"/>
      <c r="J108" s="1094"/>
      <c r="K108" s="1094"/>
      <c r="L108" s="1094"/>
      <c r="M108" s="1094"/>
      <c r="N108" s="1094"/>
      <c r="O108" s="1094"/>
      <c r="P108" s="1094"/>
      <c r="Q108" s="1094"/>
      <c r="R108" s="1094"/>
      <c r="S108" s="1094"/>
      <c r="T108" s="1094"/>
      <c r="U108" s="451"/>
    </row>
    <row r="109" spans="1:21" s="10" customFormat="1" ht="12.95" customHeight="1" thickBot="1" x14ac:dyDescent="0.3">
      <c r="A109" s="452"/>
      <c r="B109" s="452"/>
      <c r="C109" s="452"/>
      <c r="D109" s="452"/>
      <c r="E109" s="452"/>
      <c r="F109" s="452"/>
      <c r="G109" s="452"/>
      <c r="H109" s="453"/>
      <c r="I109" s="452"/>
      <c r="J109" s="454"/>
      <c r="K109" s="453"/>
      <c r="L109" s="452"/>
      <c r="M109" s="454"/>
      <c r="N109" s="453"/>
      <c r="O109" s="452"/>
      <c r="P109" s="454"/>
      <c r="Q109" s="453"/>
      <c r="R109" s="452"/>
      <c r="S109" s="449"/>
      <c r="T109" s="450"/>
      <c r="U109" s="451"/>
    </row>
    <row r="110" spans="1:21" s="10" customFormat="1" ht="15.75" customHeight="1" x14ac:dyDescent="0.25">
      <c r="A110" s="1095" t="s">
        <v>249</v>
      </c>
      <c r="B110" s="1098" t="s">
        <v>250</v>
      </c>
      <c r="C110" s="1101" t="s">
        <v>251</v>
      </c>
      <c r="D110" s="1063" t="s">
        <v>252</v>
      </c>
      <c r="E110" s="1065"/>
      <c r="F110" s="1066">
        <v>2017</v>
      </c>
      <c r="G110" s="1064"/>
      <c r="H110" s="1106"/>
      <c r="I110" s="1063">
        <f>+F110+1</f>
        <v>2018</v>
      </c>
      <c r="J110" s="1064"/>
      <c r="K110" s="1065"/>
      <c r="L110" s="1066">
        <f>+I110+1</f>
        <v>2019</v>
      </c>
      <c r="M110" s="1064"/>
      <c r="N110" s="1106"/>
      <c r="O110" s="1063">
        <f>+L110+1</f>
        <v>2020</v>
      </c>
      <c r="P110" s="1064"/>
      <c r="Q110" s="1065"/>
      <c r="R110" s="1066">
        <f>+O110+1</f>
        <v>2021</v>
      </c>
      <c r="S110" s="1064"/>
      <c r="T110" s="1065"/>
      <c r="U110" s="444"/>
    </row>
    <row r="111" spans="1:21" s="10" customFormat="1" ht="18" customHeight="1" x14ac:dyDescent="0.25">
      <c r="A111" s="1096"/>
      <c r="B111" s="1099"/>
      <c r="C111" s="1102"/>
      <c r="D111" s="1104"/>
      <c r="E111" s="1105"/>
      <c r="F111" s="455" t="s">
        <v>253</v>
      </c>
      <c r="G111" s="1067" t="s">
        <v>254</v>
      </c>
      <c r="H111" s="1068"/>
      <c r="I111" s="456" t="s">
        <v>253</v>
      </c>
      <c r="J111" s="1067" t="s">
        <v>254</v>
      </c>
      <c r="K111" s="1069"/>
      <c r="L111" s="455" t="s">
        <v>253</v>
      </c>
      <c r="M111" s="1067" t="s">
        <v>254</v>
      </c>
      <c r="N111" s="1068"/>
      <c r="O111" s="456" t="s">
        <v>253</v>
      </c>
      <c r="P111" s="1067" t="s">
        <v>254</v>
      </c>
      <c r="Q111" s="1069"/>
      <c r="R111" s="455" t="s">
        <v>253</v>
      </c>
      <c r="S111" s="1067" t="s">
        <v>254</v>
      </c>
      <c r="T111" s="1069"/>
      <c r="U111" s="444"/>
    </row>
    <row r="112" spans="1:21" s="10" customFormat="1" ht="19.5" customHeight="1" thickBot="1" x14ac:dyDescent="0.3">
      <c r="A112" s="1097"/>
      <c r="B112" s="1100"/>
      <c r="C112" s="1103"/>
      <c r="D112" s="1091" t="s">
        <v>255</v>
      </c>
      <c r="E112" s="1092"/>
      <c r="F112" s="457" t="s">
        <v>255</v>
      </c>
      <c r="G112" s="458" t="s">
        <v>255</v>
      </c>
      <c r="H112" s="459" t="s">
        <v>256</v>
      </c>
      <c r="I112" s="460" t="s">
        <v>255</v>
      </c>
      <c r="J112" s="461" t="s">
        <v>255</v>
      </c>
      <c r="K112" s="462" t="s">
        <v>256</v>
      </c>
      <c r="L112" s="457" t="s">
        <v>255</v>
      </c>
      <c r="M112" s="461" t="s">
        <v>255</v>
      </c>
      <c r="N112" s="459" t="s">
        <v>256</v>
      </c>
      <c r="O112" s="460" t="s">
        <v>255</v>
      </c>
      <c r="P112" s="461" t="s">
        <v>255</v>
      </c>
      <c r="Q112" s="462" t="s">
        <v>256</v>
      </c>
      <c r="R112" s="457" t="s">
        <v>255</v>
      </c>
      <c r="S112" s="461" t="s">
        <v>255</v>
      </c>
      <c r="T112" s="462" t="s">
        <v>256</v>
      </c>
      <c r="U112" s="444"/>
    </row>
    <row r="113" spans="2:20" x14ac:dyDescent="0.25">
      <c r="B113" s="1188" t="s">
        <v>15</v>
      </c>
      <c r="C113" s="717" t="s">
        <v>24</v>
      </c>
      <c r="D113" s="641">
        <v>25</v>
      </c>
      <c r="E113" s="1138">
        <v>50</v>
      </c>
      <c r="F113" s="1186">
        <v>50</v>
      </c>
      <c r="G113" s="1184">
        <v>45.244344594859584</v>
      </c>
      <c r="H113" s="1185">
        <v>0.90488689189719163</v>
      </c>
      <c r="I113" s="1186">
        <v>50</v>
      </c>
      <c r="J113" s="1184">
        <v>43.967730123985802</v>
      </c>
      <c r="K113" s="1185">
        <v>0.87935460247971609</v>
      </c>
      <c r="L113" s="1139">
        <v>50</v>
      </c>
      <c r="M113" s="1170">
        <v>45.858342519317198</v>
      </c>
      <c r="N113" s="1185">
        <v>0.91716685038634382</v>
      </c>
      <c r="O113" s="1139">
        <v>50</v>
      </c>
      <c r="P113" s="1170">
        <v>47.83025124764783</v>
      </c>
      <c r="Q113" s="1185">
        <v>0.95660502495295663</v>
      </c>
      <c r="R113" s="1187">
        <v>50</v>
      </c>
      <c r="S113" s="1184">
        <v>49.886952051296682</v>
      </c>
      <c r="T113" s="1185">
        <v>0.99773904102593358</v>
      </c>
    </row>
    <row r="114" spans="2:20" x14ac:dyDescent="0.25">
      <c r="B114" s="1189"/>
      <c r="C114" s="717" t="s">
        <v>24</v>
      </c>
      <c r="D114" s="641">
        <v>25</v>
      </c>
      <c r="E114" s="1138"/>
      <c r="F114" s="1186"/>
      <c r="G114" s="1184"/>
      <c r="H114" s="1185"/>
      <c r="I114" s="1186"/>
      <c r="J114" s="1184"/>
      <c r="K114" s="1185"/>
      <c r="L114" s="1141"/>
      <c r="M114" s="1172"/>
      <c r="N114" s="1185"/>
      <c r="O114" s="1141"/>
      <c r="P114" s="1172"/>
      <c r="Q114" s="1185"/>
      <c r="R114" s="1187"/>
      <c r="S114" s="1184"/>
      <c r="T114" s="1185"/>
    </row>
    <row r="115" spans="2:20" x14ac:dyDescent="0.25">
      <c r="B115" s="1190"/>
      <c r="C115" s="640" t="s">
        <v>257</v>
      </c>
      <c r="D115" s="641">
        <v>30</v>
      </c>
      <c r="E115" s="688">
        <v>30</v>
      </c>
      <c r="F115" s="689">
        <v>30</v>
      </c>
      <c r="G115" s="690">
        <v>29.79</v>
      </c>
      <c r="H115" s="691">
        <v>0.99299999999999999</v>
      </c>
      <c r="I115" s="689">
        <v>30</v>
      </c>
      <c r="J115" s="690">
        <v>29.79</v>
      </c>
      <c r="K115" s="691">
        <v>0.99299999999999999</v>
      </c>
      <c r="L115" s="689">
        <v>30</v>
      </c>
      <c r="M115" s="690">
        <v>29.79</v>
      </c>
      <c r="N115" s="691">
        <v>0.99299999999999999</v>
      </c>
      <c r="O115" s="689">
        <v>30</v>
      </c>
      <c r="P115" s="690">
        <v>29.79</v>
      </c>
      <c r="Q115" s="691">
        <v>0.99299999999999999</v>
      </c>
      <c r="R115" s="641">
        <v>30</v>
      </c>
      <c r="S115" s="690">
        <v>29.79</v>
      </c>
      <c r="T115" s="691">
        <v>0.99299999999999999</v>
      </c>
    </row>
    <row r="117" spans="2:20" x14ac:dyDescent="0.25">
      <c r="J117">
        <f>1.043*G113</f>
        <v>47.189851412438543</v>
      </c>
      <c r="M117" s="7">
        <f>1.043*J113</f>
        <v>45.858342519317191</v>
      </c>
      <c r="P117">
        <f>1.043*M113</f>
        <v>47.830251247647837</v>
      </c>
      <c r="S117">
        <f>1.043*P113</f>
        <v>49.886952051296682</v>
      </c>
    </row>
    <row r="118" spans="2:20" x14ac:dyDescent="0.25">
      <c r="E118" s="11"/>
    </row>
    <row r="119" spans="2:20" x14ac:dyDescent="0.25">
      <c r="D119">
        <v>2017</v>
      </c>
      <c r="E119" s="718"/>
      <c r="J119" s="1173" t="s">
        <v>320</v>
      </c>
      <c r="K119" s="1173"/>
      <c r="L119" s="1173"/>
      <c r="M119" s="1173"/>
      <c r="N119" s="1173"/>
    </row>
    <row r="120" spans="2:20" x14ac:dyDescent="0.25">
      <c r="D120">
        <v>2018</v>
      </c>
      <c r="E120" s="718">
        <v>43.967730123985802</v>
      </c>
    </row>
    <row r="121" spans="2:20" x14ac:dyDescent="0.25">
      <c r="D121">
        <v>2019</v>
      </c>
      <c r="E121" s="11">
        <v>45.858342519317198</v>
      </c>
    </row>
    <row r="122" spans="2:20" x14ac:dyDescent="0.25">
      <c r="D122">
        <v>2020</v>
      </c>
      <c r="E122" s="11">
        <f>P113</f>
        <v>47.83025124764783</v>
      </c>
    </row>
    <row r="123" spans="2:20" x14ac:dyDescent="0.25">
      <c r="D123">
        <v>2021</v>
      </c>
      <c r="E123" s="719">
        <f>S113</f>
        <v>49.886952051296682</v>
      </c>
    </row>
    <row r="190" spans="2:11" ht="15.75" thickBot="1" x14ac:dyDescent="0.3"/>
    <row r="191" spans="2:11" ht="16.5" thickBot="1" x14ac:dyDescent="0.3">
      <c r="B191"/>
      <c r="C191" s="1176" t="s">
        <v>271</v>
      </c>
      <c r="D191" s="1177"/>
      <c r="E191" s="1177"/>
      <c r="F191" s="1177"/>
      <c r="G191" s="1177"/>
      <c r="H191" s="1177"/>
      <c r="I191" s="1177"/>
      <c r="J191" s="1177"/>
      <c r="K191" s="1178"/>
    </row>
    <row r="192" spans="2:11" ht="15.75" thickBot="1" x14ac:dyDescent="0.3">
      <c r="B192"/>
      <c r="C192" s="1040" t="s">
        <v>318</v>
      </c>
      <c r="D192" s="1041"/>
      <c r="E192" s="1041"/>
      <c r="F192" s="1041"/>
      <c r="G192" s="1041"/>
      <c r="H192" s="1041"/>
      <c r="I192" s="1041"/>
      <c r="J192" s="1041"/>
      <c r="K192" s="1042"/>
    </row>
    <row r="193" spans="2:11" ht="15.75" thickBot="1" x14ac:dyDescent="0.3">
      <c r="B193" s="1051" t="s">
        <v>26</v>
      </c>
      <c r="C193" s="1043" t="s">
        <v>35</v>
      </c>
      <c r="D193" s="1045" t="s">
        <v>110</v>
      </c>
      <c r="E193" s="1046"/>
      <c r="F193" s="1047"/>
      <c r="G193" s="1045" t="s">
        <v>74</v>
      </c>
      <c r="H193" s="1047"/>
      <c r="I193" s="1043" t="s">
        <v>180</v>
      </c>
      <c r="J193" s="1043" t="s">
        <v>268</v>
      </c>
      <c r="K193" s="1049" t="s">
        <v>269</v>
      </c>
    </row>
    <row r="194" spans="2:11" ht="34.5" thickBot="1" x14ac:dyDescent="0.3">
      <c r="B194" s="1051"/>
      <c r="C194" s="1044"/>
      <c r="D194" s="541" t="s">
        <v>174</v>
      </c>
      <c r="E194" s="541" t="s">
        <v>122</v>
      </c>
      <c r="F194" s="541" t="s">
        <v>343</v>
      </c>
      <c r="G194" s="537" t="s">
        <v>170</v>
      </c>
      <c r="H194" s="538" t="s">
        <v>270</v>
      </c>
      <c r="I194" s="1044"/>
      <c r="J194" s="1044"/>
      <c r="K194" s="1175"/>
    </row>
    <row r="195" spans="2:11" x14ac:dyDescent="0.25">
      <c r="B195" s="674">
        <v>1998</v>
      </c>
      <c r="C195" s="782">
        <v>1998</v>
      </c>
      <c r="D195" s="710">
        <v>4.75</v>
      </c>
      <c r="E195" s="692">
        <v>4.922907664588549</v>
      </c>
      <c r="F195" s="711"/>
      <c r="G195" s="702">
        <f t="shared" ref="G195:G214" si="15">2.2155*B195-4417.4</f>
        <v>9.1690000000007785</v>
      </c>
      <c r="H195" s="692"/>
      <c r="I195" s="712">
        <f>2*25</f>
        <v>50</v>
      </c>
      <c r="J195" s="712">
        <f>I195-25</f>
        <v>25</v>
      </c>
      <c r="K195" s="591">
        <f>E195/I195</f>
        <v>9.8458153291770975E-2</v>
      </c>
    </row>
    <row r="196" spans="2:11" x14ac:dyDescent="0.25">
      <c r="B196" s="675">
        <v>1999</v>
      </c>
      <c r="C196" s="783">
        <v>1999</v>
      </c>
      <c r="D196" s="693">
        <v>15.5</v>
      </c>
      <c r="E196" s="694">
        <v>16.064225010762634</v>
      </c>
      <c r="F196" s="695">
        <f>(E196-E195)/E195</f>
        <v>2.263157894736842</v>
      </c>
      <c r="G196" s="702">
        <f t="shared" si="15"/>
        <v>11.384500000000116</v>
      </c>
      <c r="H196" s="694"/>
      <c r="I196" s="696">
        <f t="shared" ref="I196:I213" si="16">2*25</f>
        <v>50</v>
      </c>
      <c r="J196" s="696">
        <f t="shared" ref="J196:J213" si="17">I196-25</f>
        <v>25</v>
      </c>
      <c r="K196" s="592">
        <f t="shared" ref="K196:K214" si="18">E196/I196</f>
        <v>0.32128450021525268</v>
      </c>
    </row>
    <row r="197" spans="2:11" x14ac:dyDescent="0.25">
      <c r="B197" s="675">
        <v>2000</v>
      </c>
      <c r="C197" s="783">
        <v>2000</v>
      </c>
      <c r="D197" s="693">
        <v>12.1</v>
      </c>
      <c r="E197" s="694">
        <v>12.54045952453083</v>
      </c>
      <c r="F197" s="695">
        <f t="shared" ref="F197:F214" si="19">(E197-E196)/E196</f>
        <v>-0.21935483870967745</v>
      </c>
      <c r="G197" s="702">
        <f t="shared" si="15"/>
        <v>13.600000000000364</v>
      </c>
      <c r="H197" s="694"/>
      <c r="I197" s="696">
        <f t="shared" si="16"/>
        <v>50</v>
      </c>
      <c r="J197" s="696">
        <f t="shared" si="17"/>
        <v>25</v>
      </c>
      <c r="K197" s="592">
        <f t="shared" si="18"/>
        <v>0.25080919049061662</v>
      </c>
    </row>
    <row r="198" spans="2:11" x14ac:dyDescent="0.25">
      <c r="B198" s="675">
        <v>2001</v>
      </c>
      <c r="C198" s="783">
        <v>2001</v>
      </c>
      <c r="D198" s="693">
        <v>12.38</v>
      </c>
      <c r="E198" s="694">
        <v>12.830651976338157</v>
      </c>
      <c r="F198" s="695">
        <f t="shared" si="19"/>
        <v>2.3140495867768746E-2</v>
      </c>
      <c r="G198" s="702">
        <f t="shared" si="15"/>
        <v>15.815500000000611</v>
      </c>
      <c r="H198" s="694"/>
      <c r="I198" s="696">
        <f t="shared" si="16"/>
        <v>50</v>
      </c>
      <c r="J198" s="696">
        <f t="shared" si="17"/>
        <v>25</v>
      </c>
      <c r="K198" s="592">
        <f t="shared" si="18"/>
        <v>0.25661303952676312</v>
      </c>
    </row>
    <row r="199" spans="2:11" x14ac:dyDescent="0.25">
      <c r="B199" s="675">
        <v>2002</v>
      </c>
      <c r="C199" s="783">
        <v>2002</v>
      </c>
      <c r="D199" s="693">
        <v>17.059999999999999</v>
      </c>
      <c r="E199" s="694">
        <v>17.681011527974871</v>
      </c>
      <c r="F199" s="695">
        <f t="shared" si="19"/>
        <v>0.37802907915993506</v>
      </c>
      <c r="G199" s="702">
        <f t="shared" si="15"/>
        <v>18.031000000000859</v>
      </c>
      <c r="H199" s="694"/>
      <c r="I199" s="696">
        <f t="shared" si="16"/>
        <v>50</v>
      </c>
      <c r="J199" s="696">
        <f t="shared" si="17"/>
        <v>25</v>
      </c>
      <c r="K199" s="592">
        <f t="shared" si="18"/>
        <v>0.35362023055949743</v>
      </c>
    </row>
    <row r="200" spans="2:11" x14ac:dyDescent="0.25">
      <c r="B200" s="675">
        <v>2003</v>
      </c>
      <c r="C200" s="582">
        <v>37860.875</v>
      </c>
      <c r="D200" s="693">
        <v>19.52</v>
      </c>
      <c r="E200" s="694">
        <v>20.2</v>
      </c>
      <c r="F200" s="695">
        <f t="shared" si="19"/>
        <v>0.14246857245919378</v>
      </c>
      <c r="G200" s="702">
        <f t="shared" si="15"/>
        <v>20.246500000000196</v>
      </c>
      <c r="H200" s="694"/>
      <c r="I200" s="696">
        <f t="shared" si="16"/>
        <v>50</v>
      </c>
      <c r="J200" s="696">
        <f t="shared" si="17"/>
        <v>25</v>
      </c>
      <c r="K200" s="592">
        <f t="shared" si="18"/>
        <v>0.40399999999999997</v>
      </c>
    </row>
    <row r="201" spans="2:11" x14ac:dyDescent="0.25">
      <c r="B201" s="675">
        <v>2004</v>
      </c>
      <c r="C201" s="582">
        <v>38216.885416666664</v>
      </c>
      <c r="D201" s="693">
        <v>22.13</v>
      </c>
      <c r="E201" s="694">
        <v>22.91</v>
      </c>
      <c r="F201" s="695">
        <f t="shared" si="19"/>
        <v>0.13415841584158419</v>
      </c>
      <c r="G201" s="702">
        <f t="shared" si="15"/>
        <v>22.462000000000444</v>
      </c>
      <c r="H201" s="694"/>
      <c r="I201" s="696">
        <f t="shared" si="16"/>
        <v>50</v>
      </c>
      <c r="J201" s="696">
        <f t="shared" si="17"/>
        <v>25</v>
      </c>
      <c r="K201" s="592">
        <f t="shared" si="18"/>
        <v>0.4582</v>
      </c>
    </row>
    <row r="202" spans="2:11" x14ac:dyDescent="0.25">
      <c r="B202" s="675">
        <v>2005</v>
      </c>
      <c r="C202" s="582">
        <v>38525.854166666664</v>
      </c>
      <c r="D202" s="693">
        <v>20.47</v>
      </c>
      <c r="E202" s="694">
        <v>21.05</v>
      </c>
      <c r="F202" s="695">
        <f t="shared" si="19"/>
        <v>-8.1187254474028789E-2</v>
      </c>
      <c r="G202" s="702">
        <f t="shared" si="15"/>
        <v>24.677500000000691</v>
      </c>
      <c r="H202" s="694"/>
      <c r="I202" s="696">
        <f t="shared" si="16"/>
        <v>50</v>
      </c>
      <c r="J202" s="696">
        <f t="shared" si="17"/>
        <v>25</v>
      </c>
      <c r="K202" s="592">
        <f t="shared" si="18"/>
        <v>0.42100000000000004</v>
      </c>
    </row>
    <row r="203" spans="2:11" x14ac:dyDescent="0.25">
      <c r="B203" s="675">
        <v>2006</v>
      </c>
      <c r="C203" s="582">
        <v>39080.927083333336</v>
      </c>
      <c r="D203" s="693">
        <v>22.89</v>
      </c>
      <c r="E203" s="694">
        <v>24.87</v>
      </c>
      <c r="F203" s="695">
        <f t="shared" si="19"/>
        <v>0.1814726840855107</v>
      </c>
      <c r="G203" s="702">
        <f t="shared" si="15"/>
        <v>26.893000000000029</v>
      </c>
      <c r="H203" s="694"/>
      <c r="I203" s="696">
        <f t="shared" si="16"/>
        <v>50</v>
      </c>
      <c r="J203" s="696">
        <f t="shared" si="17"/>
        <v>25</v>
      </c>
      <c r="K203" s="592">
        <f t="shared" si="18"/>
        <v>0.49740000000000001</v>
      </c>
    </row>
    <row r="204" spans="2:11" x14ac:dyDescent="0.25">
      <c r="B204" s="675">
        <v>2007</v>
      </c>
      <c r="C204" s="582">
        <v>39414.864583333336</v>
      </c>
      <c r="D204" s="693">
        <v>33.299999999999997</v>
      </c>
      <c r="E204" s="694">
        <v>36.47</v>
      </c>
      <c r="F204" s="695">
        <f t="shared" si="19"/>
        <v>0.46642541214314426</v>
      </c>
      <c r="G204" s="702">
        <f t="shared" si="15"/>
        <v>29.108500000000276</v>
      </c>
      <c r="H204" s="694"/>
      <c r="I204" s="696">
        <f t="shared" si="16"/>
        <v>50</v>
      </c>
      <c r="J204" s="696">
        <f t="shared" si="17"/>
        <v>25</v>
      </c>
      <c r="K204" s="592">
        <f t="shared" si="18"/>
        <v>0.72939999999999994</v>
      </c>
    </row>
    <row r="205" spans="2:11" x14ac:dyDescent="0.25">
      <c r="B205" s="675">
        <v>2008</v>
      </c>
      <c r="C205" s="582">
        <v>39623.864583333336</v>
      </c>
      <c r="D205" s="693">
        <v>30.51</v>
      </c>
      <c r="E205" s="694">
        <v>31.52</v>
      </c>
      <c r="F205" s="695">
        <f t="shared" si="19"/>
        <v>-0.13572799561283244</v>
      </c>
      <c r="G205" s="702">
        <f t="shared" si="15"/>
        <v>31.324000000000524</v>
      </c>
      <c r="H205" s="694"/>
      <c r="I205" s="696">
        <f t="shared" si="16"/>
        <v>50</v>
      </c>
      <c r="J205" s="696">
        <f t="shared" si="17"/>
        <v>25</v>
      </c>
      <c r="K205" s="592">
        <f t="shared" si="18"/>
        <v>0.63039999999999996</v>
      </c>
    </row>
    <row r="206" spans="2:11" x14ac:dyDescent="0.25">
      <c r="B206" s="675">
        <v>2009</v>
      </c>
      <c r="C206" s="582">
        <v>40024.885416666664</v>
      </c>
      <c r="D206" s="693">
        <v>35.450000000000003</v>
      </c>
      <c r="E206" s="694">
        <v>36.72</v>
      </c>
      <c r="F206" s="695">
        <f t="shared" si="19"/>
        <v>0.16497461928934007</v>
      </c>
      <c r="G206" s="702">
        <f t="shared" si="15"/>
        <v>33.539500000000771</v>
      </c>
      <c r="H206" s="694"/>
      <c r="I206" s="696">
        <f t="shared" si="16"/>
        <v>50</v>
      </c>
      <c r="J206" s="696">
        <f t="shared" si="17"/>
        <v>25</v>
      </c>
      <c r="K206" s="592">
        <f t="shared" si="18"/>
        <v>0.73439999999999994</v>
      </c>
    </row>
    <row r="207" spans="2:11" x14ac:dyDescent="0.25">
      <c r="B207" s="675">
        <v>2010</v>
      </c>
      <c r="C207" s="582">
        <v>40378.864583333336</v>
      </c>
      <c r="D207" s="693">
        <v>36.85</v>
      </c>
      <c r="E207" s="694">
        <v>37.950143306712299</v>
      </c>
      <c r="F207" s="695">
        <f t="shared" si="19"/>
        <v>3.3500634714387259E-2</v>
      </c>
      <c r="G207" s="702">
        <f t="shared" si="15"/>
        <v>35.755000000000109</v>
      </c>
      <c r="H207" s="694"/>
      <c r="I207" s="696">
        <f t="shared" si="16"/>
        <v>50</v>
      </c>
      <c r="J207" s="696">
        <f t="shared" si="17"/>
        <v>25</v>
      </c>
      <c r="K207" s="592">
        <f t="shared" si="18"/>
        <v>0.75900286613424595</v>
      </c>
    </row>
    <row r="208" spans="2:11" x14ac:dyDescent="0.25">
      <c r="B208" s="675">
        <v>2011</v>
      </c>
      <c r="C208" s="582">
        <v>40855.895833333336</v>
      </c>
      <c r="D208" s="693">
        <v>37.03</v>
      </c>
      <c r="E208" s="694">
        <v>39.793322872763667</v>
      </c>
      <c r="F208" s="695">
        <f t="shared" si="19"/>
        <v>4.856844811243078E-2</v>
      </c>
      <c r="G208" s="702">
        <f t="shared" si="15"/>
        <v>37.970500000000357</v>
      </c>
      <c r="H208" s="694"/>
      <c r="I208" s="696">
        <f t="shared" si="16"/>
        <v>50</v>
      </c>
      <c r="J208" s="696">
        <f t="shared" si="17"/>
        <v>25</v>
      </c>
      <c r="K208" s="592">
        <f t="shared" si="18"/>
        <v>0.7958664574552734</v>
      </c>
    </row>
    <row r="209" spans="2:11" x14ac:dyDescent="0.25">
      <c r="B209" s="675">
        <v>2012</v>
      </c>
      <c r="C209" s="582">
        <v>41067.885416666664</v>
      </c>
      <c r="D209" s="693">
        <v>37.979999999999997</v>
      </c>
      <c r="E209" s="694">
        <v>42.546175623433051</v>
      </c>
      <c r="F209" s="695">
        <f t="shared" si="19"/>
        <v>6.9178760453642824E-2</v>
      </c>
      <c r="G209" s="702">
        <f t="shared" si="15"/>
        <v>40.186000000000604</v>
      </c>
      <c r="H209" s="698"/>
      <c r="I209" s="696">
        <f t="shared" si="16"/>
        <v>50</v>
      </c>
      <c r="J209" s="696">
        <f t="shared" si="17"/>
        <v>25</v>
      </c>
      <c r="K209" s="592">
        <f t="shared" si="18"/>
        <v>0.85092351246866105</v>
      </c>
    </row>
    <row r="210" spans="2:11" x14ac:dyDescent="0.25">
      <c r="B210" s="675">
        <v>2013</v>
      </c>
      <c r="C210" s="582">
        <v>41634.65625</v>
      </c>
      <c r="D210" s="693">
        <v>40.479999999999997</v>
      </c>
      <c r="E210" s="694">
        <v>43.754960152398731</v>
      </c>
      <c r="F210" s="695">
        <f t="shared" si="19"/>
        <v>2.8411120653108021E-2</v>
      </c>
      <c r="G210" s="702">
        <f t="shared" si="15"/>
        <v>42.401500000000851</v>
      </c>
      <c r="H210" s="698"/>
      <c r="I210" s="696">
        <f t="shared" si="16"/>
        <v>50</v>
      </c>
      <c r="J210" s="696">
        <f t="shared" si="17"/>
        <v>25</v>
      </c>
      <c r="K210" s="592">
        <f t="shared" si="18"/>
        <v>0.87509920304797462</v>
      </c>
    </row>
    <row r="211" spans="2:11" x14ac:dyDescent="0.25">
      <c r="B211" s="675">
        <v>2014</v>
      </c>
      <c r="C211" s="580">
        <v>41662.635416666664</v>
      </c>
      <c r="D211" s="693">
        <v>42.87</v>
      </c>
      <c r="E211" s="694">
        <v>45.848508334208688</v>
      </c>
      <c r="F211" s="695">
        <f t="shared" si="19"/>
        <v>4.7847105208600797E-2</v>
      </c>
      <c r="G211" s="702">
        <f t="shared" si="15"/>
        <v>44.617000000000189</v>
      </c>
      <c r="H211" s="698"/>
      <c r="I211" s="696">
        <f t="shared" si="16"/>
        <v>50</v>
      </c>
      <c r="J211" s="696">
        <f t="shared" si="17"/>
        <v>25</v>
      </c>
      <c r="K211" s="665">
        <f t="shared" si="18"/>
        <v>0.91697016668417375</v>
      </c>
    </row>
    <row r="212" spans="2:11" x14ac:dyDescent="0.25">
      <c r="B212" s="675">
        <v>2015</v>
      </c>
      <c r="C212" s="580">
        <v>42367.927083333336</v>
      </c>
      <c r="D212" s="693">
        <v>39.28</v>
      </c>
      <c r="E212" s="694">
        <v>41.384108631164267</v>
      </c>
      <c r="F212" s="695">
        <f t="shared" si="19"/>
        <v>-9.7372845164374167E-2</v>
      </c>
      <c r="G212" s="702">
        <f t="shared" si="15"/>
        <v>46.832500000000437</v>
      </c>
      <c r="H212" s="698"/>
      <c r="I212" s="696">
        <f t="shared" si="16"/>
        <v>50</v>
      </c>
      <c r="J212" s="696">
        <f t="shared" si="17"/>
        <v>25</v>
      </c>
      <c r="K212" s="592">
        <f t="shared" si="18"/>
        <v>0.82768217262328536</v>
      </c>
    </row>
    <row r="213" spans="2:11" x14ac:dyDescent="0.25">
      <c r="B213" s="675">
        <v>2016</v>
      </c>
      <c r="C213" s="580">
        <v>42735.645833333336</v>
      </c>
      <c r="D213" s="693">
        <v>44.77</v>
      </c>
      <c r="E213" s="694">
        <v>47.69</v>
      </c>
      <c r="F213" s="695">
        <f t="shared" si="19"/>
        <v>0.15237470559138935</v>
      </c>
      <c r="G213" s="702">
        <f t="shared" si="15"/>
        <v>49.048000000000684</v>
      </c>
      <c r="H213" s="694"/>
      <c r="I213" s="696">
        <f t="shared" si="16"/>
        <v>50</v>
      </c>
      <c r="J213" s="696">
        <f t="shared" si="17"/>
        <v>25</v>
      </c>
      <c r="K213" s="665">
        <f t="shared" si="18"/>
        <v>0.95379999999999998</v>
      </c>
    </row>
    <row r="214" spans="2:11" x14ac:dyDescent="0.25">
      <c r="B214" s="675">
        <v>2017</v>
      </c>
      <c r="C214" s="580">
        <v>42796.697916666664</v>
      </c>
      <c r="D214" s="693">
        <v>45.27</v>
      </c>
      <c r="E214" s="694">
        <v>48.39</v>
      </c>
      <c r="F214" s="695">
        <f t="shared" si="19"/>
        <v>1.4678129586915556E-2</v>
      </c>
      <c r="G214" s="702">
        <f t="shared" si="15"/>
        <v>51.263500000000022</v>
      </c>
      <c r="H214" s="694">
        <f>E214</f>
        <v>48.39</v>
      </c>
      <c r="I214" s="696">
        <f>1*55 + 1*55</f>
        <v>110</v>
      </c>
      <c r="J214" s="696">
        <f>I214-55</f>
        <v>55</v>
      </c>
      <c r="K214" s="665">
        <f t="shared" si="18"/>
        <v>0.43990909090909092</v>
      </c>
    </row>
    <row r="215" spans="2:11" x14ac:dyDescent="0.25">
      <c r="B215" s="676">
        <v>2018</v>
      </c>
      <c r="C215" s="720">
        <v>2018</v>
      </c>
      <c r="D215" s="699"/>
      <c r="E215" s="700"/>
      <c r="F215" s="701"/>
      <c r="G215" s="702">
        <f>2.2155*B215-4417.4</f>
        <v>53.479000000000269</v>
      </c>
      <c r="H215" s="839">
        <f>0.043*H214+H214</f>
        <v>50.470770000000002</v>
      </c>
      <c r="I215" s="709">
        <f>1*55+1*55</f>
        <v>110</v>
      </c>
      <c r="J215" s="709">
        <f>I215-55</f>
        <v>55</v>
      </c>
      <c r="K215" s="687">
        <f>H215/I215</f>
        <v>0.45882518181818183</v>
      </c>
    </row>
    <row r="216" spans="2:11" x14ac:dyDescent="0.25">
      <c r="B216" s="676">
        <v>2019</v>
      </c>
      <c r="C216" s="720">
        <v>2019</v>
      </c>
      <c r="D216" s="699"/>
      <c r="E216" s="700"/>
      <c r="F216" s="701"/>
      <c r="G216" s="702">
        <f t="shared" ref="G216:G224" si="20">2.2155*B216-4417.4</f>
        <v>55.694500000000517</v>
      </c>
      <c r="H216" s="839">
        <f>0.043*H214+H215</f>
        <v>52.551540000000003</v>
      </c>
      <c r="I216" s="709">
        <f t="shared" ref="I216:I224" si="21">1*55+1*55</f>
        <v>110</v>
      </c>
      <c r="J216" s="709">
        <f t="shared" ref="J216:J224" si="22">I216-55</f>
        <v>55</v>
      </c>
      <c r="K216" s="687">
        <f t="shared" ref="K216:K224" si="23">H216/I216</f>
        <v>0.47774127272727274</v>
      </c>
    </row>
    <row r="217" spans="2:11" x14ac:dyDescent="0.25">
      <c r="B217" s="676">
        <v>2020</v>
      </c>
      <c r="C217" s="720">
        <v>2020</v>
      </c>
      <c r="D217" s="699"/>
      <c r="E217" s="700"/>
      <c r="F217" s="701"/>
      <c r="G217" s="702">
        <f t="shared" si="20"/>
        <v>57.910000000000764</v>
      </c>
      <c r="H217" s="839">
        <f>0.043*H214+H216-9</f>
        <v>45.632310000000004</v>
      </c>
      <c r="I217" s="709">
        <f t="shared" si="21"/>
        <v>110</v>
      </c>
      <c r="J217" s="709">
        <f t="shared" si="22"/>
        <v>55</v>
      </c>
      <c r="K217" s="687">
        <f t="shared" si="23"/>
        <v>0.41483918181818186</v>
      </c>
    </row>
    <row r="218" spans="2:11" x14ac:dyDescent="0.25">
      <c r="B218" s="676">
        <v>2021</v>
      </c>
      <c r="C218" s="720">
        <v>2021</v>
      </c>
      <c r="D218" s="703"/>
      <c r="E218" s="704"/>
      <c r="F218" s="703"/>
      <c r="G218" s="702">
        <f t="shared" si="20"/>
        <v>60.125500000000102</v>
      </c>
      <c r="H218" s="839">
        <f>0.043*H214+H217</f>
        <v>47.713080000000005</v>
      </c>
      <c r="I218" s="709">
        <f t="shared" si="21"/>
        <v>110</v>
      </c>
      <c r="J218" s="709">
        <f t="shared" si="22"/>
        <v>55</v>
      </c>
      <c r="K218" s="687">
        <f t="shared" si="23"/>
        <v>0.43375527272727277</v>
      </c>
    </row>
    <row r="219" spans="2:11" x14ac:dyDescent="0.25">
      <c r="B219" s="676">
        <v>2022</v>
      </c>
      <c r="C219" s="720">
        <v>2022</v>
      </c>
      <c r="D219" s="703"/>
      <c r="E219" s="704"/>
      <c r="F219" s="703"/>
      <c r="G219" s="702">
        <f t="shared" si="20"/>
        <v>62.341000000000349</v>
      </c>
      <c r="H219" s="839">
        <f>0.043*H214+H218</f>
        <v>49.793850000000006</v>
      </c>
      <c r="I219" s="709">
        <f t="shared" si="21"/>
        <v>110</v>
      </c>
      <c r="J219" s="709">
        <f t="shared" si="22"/>
        <v>55</v>
      </c>
      <c r="K219" s="687">
        <f t="shared" si="23"/>
        <v>0.45267136363636368</v>
      </c>
    </row>
    <row r="220" spans="2:11" x14ac:dyDescent="0.25">
      <c r="B220" s="676">
        <v>2023</v>
      </c>
      <c r="C220" s="720">
        <v>2023</v>
      </c>
      <c r="D220" s="705"/>
      <c r="E220" s="706"/>
      <c r="F220" s="707"/>
      <c r="G220" s="702">
        <f t="shared" si="20"/>
        <v>64.556500000000597</v>
      </c>
      <c r="H220" s="839">
        <f>0.043*H214+H219</f>
        <v>51.874620000000007</v>
      </c>
      <c r="I220" s="709">
        <f t="shared" si="21"/>
        <v>110</v>
      </c>
      <c r="J220" s="709">
        <f t="shared" si="22"/>
        <v>55</v>
      </c>
      <c r="K220" s="687">
        <f t="shared" si="23"/>
        <v>0.47158745454545459</v>
      </c>
    </row>
    <row r="221" spans="2:11" x14ac:dyDescent="0.25">
      <c r="B221" s="676">
        <v>2024</v>
      </c>
      <c r="C221" s="721">
        <v>2024</v>
      </c>
      <c r="D221" s="705"/>
      <c r="E221" s="706"/>
      <c r="F221" s="707"/>
      <c r="G221" s="702">
        <f t="shared" si="20"/>
        <v>66.772000000000844</v>
      </c>
      <c r="H221" s="839">
        <f>0.043*H214+H220</f>
        <v>53.955390000000008</v>
      </c>
      <c r="I221" s="709">
        <f t="shared" si="21"/>
        <v>110</v>
      </c>
      <c r="J221" s="709">
        <f t="shared" si="22"/>
        <v>55</v>
      </c>
      <c r="K221" s="687">
        <f t="shared" si="23"/>
        <v>0.49050354545454555</v>
      </c>
    </row>
    <row r="222" spans="2:11" x14ac:dyDescent="0.25">
      <c r="B222" s="676">
        <v>2025</v>
      </c>
      <c r="C222" s="721">
        <v>2025</v>
      </c>
      <c r="D222" s="705"/>
      <c r="E222" s="706"/>
      <c r="F222" s="707"/>
      <c r="G222" s="702">
        <f t="shared" si="20"/>
        <v>68.987500000000182</v>
      </c>
      <c r="H222" s="839">
        <f>0.043*H214+H221</f>
        <v>56.03616000000001</v>
      </c>
      <c r="I222" s="709">
        <f t="shared" si="21"/>
        <v>110</v>
      </c>
      <c r="J222" s="709">
        <f t="shared" si="22"/>
        <v>55</v>
      </c>
      <c r="K222" s="687">
        <f t="shared" si="23"/>
        <v>0.50941963636363641</v>
      </c>
    </row>
    <row r="223" spans="2:11" x14ac:dyDescent="0.25">
      <c r="B223" s="676">
        <v>2026</v>
      </c>
      <c r="C223" s="721">
        <v>2026</v>
      </c>
      <c r="D223" s="705"/>
      <c r="E223" s="706"/>
      <c r="F223" s="707"/>
      <c r="G223" s="702">
        <f t="shared" si="20"/>
        <v>71.203000000000429</v>
      </c>
      <c r="H223" s="839">
        <f>0.043*H214+H222</f>
        <v>58.116930000000011</v>
      </c>
      <c r="I223" s="709">
        <f t="shared" si="21"/>
        <v>110</v>
      </c>
      <c r="J223" s="709">
        <f t="shared" si="22"/>
        <v>55</v>
      </c>
      <c r="K223" s="687">
        <f t="shared" si="23"/>
        <v>0.52833572727272737</v>
      </c>
    </row>
    <row r="224" spans="2:11" ht="15.75" thickBot="1" x14ac:dyDescent="0.3">
      <c r="B224" s="677">
        <v>2027</v>
      </c>
      <c r="C224" s="722">
        <v>2027</v>
      </c>
      <c r="D224" s="713"/>
      <c r="E224" s="708"/>
      <c r="F224" s="714"/>
      <c r="G224" s="716">
        <f t="shared" si="20"/>
        <v>73.418500000000677</v>
      </c>
      <c r="H224" s="840">
        <f>0.043*H214+H223</f>
        <v>60.197700000000012</v>
      </c>
      <c r="I224" s="715">
        <f t="shared" si="21"/>
        <v>110</v>
      </c>
      <c r="J224" s="715">
        <f t="shared" si="22"/>
        <v>55</v>
      </c>
      <c r="K224" s="735">
        <f t="shared" si="23"/>
        <v>0.54725181818181834</v>
      </c>
    </row>
    <row r="225" spans="4:8" x14ac:dyDescent="0.25">
      <c r="D225" t="s">
        <v>345</v>
      </c>
      <c r="E225" s="11">
        <f>(E214-E195)/19</f>
        <v>2.2877417018637605</v>
      </c>
      <c r="F225" s="398">
        <f>E225/E195</f>
        <v>0.46471351033454072</v>
      </c>
      <c r="G225" s="11">
        <f>G214-G195</f>
        <v>42.094499999999243</v>
      </c>
    </row>
    <row r="226" spans="4:8" x14ac:dyDescent="0.25">
      <c r="D226" s="5">
        <f>B214-B195</f>
        <v>19</v>
      </c>
      <c r="E226" s="5">
        <f>E225*19+E195</f>
        <v>48.39</v>
      </c>
      <c r="F226" s="5"/>
      <c r="G226" s="702">
        <f>B214-B195</f>
        <v>19</v>
      </c>
    </row>
    <row r="227" spans="4:8" x14ac:dyDescent="0.25">
      <c r="F227" t="s">
        <v>344</v>
      </c>
      <c r="G227">
        <f>G225/G226</f>
        <v>2.2154999999999601</v>
      </c>
      <c r="H227">
        <f>G227/G195</f>
        <v>0.24162940342455796</v>
      </c>
    </row>
  </sheetData>
  <mergeCells count="61">
    <mergeCell ref="C191:K191"/>
    <mergeCell ref="C192:K192"/>
    <mergeCell ref="B193:B194"/>
    <mergeCell ref="C193:C194"/>
    <mergeCell ref="D193:F193"/>
    <mergeCell ref="G193:H193"/>
    <mergeCell ref="I193:I194"/>
    <mergeCell ref="J193:J194"/>
    <mergeCell ref="K193:K194"/>
    <mergeCell ref="J119:N119"/>
    <mergeCell ref="B41:B42"/>
    <mergeCell ref="C41:C42"/>
    <mergeCell ref="B3:K3"/>
    <mergeCell ref="B4:K4"/>
    <mergeCell ref="B5:B6"/>
    <mergeCell ref="C5:C6"/>
    <mergeCell ref="D5:F5"/>
    <mergeCell ref="G5:I5"/>
    <mergeCell ref="J5:J6"/>
    <mergeCell ref="K5:K6"/>
    <mergeCell ref="D41:F41"/>
    <mergeCell ref="G41:H41"/>
    <mergeCell ref="I41:I42"/>
    <mergeCell ref="J41:J42"/>
    <mergeCell ref="G111:H111"/>
    <mergeCell ref="O110:Q110"/>
    <mergeCell ref="K41:K42"/>
    <mergeCell ref="A107:T107"/>
    <mergeCell ref="A108:T108"/>
    <mergeCell ref="A110:A112"/>
    <mergeCell ref="B110:B112"/>
    <mergeCell ref="C110:C112"/>
    <mergeCell ref="D110:E111"/>
    <mergeCell ref="R110:T110"/>
    <mergeCell ref="D112:E112"/>
    <mergeCell ref="C39:K39"/>
    <mergeCell ref="C40:K40"/>
    <mergeCell ref="F110:H110"/>
    <mergeCell ref="I110:K110"/>
    <mergeCell ref="L110:N110"/>
    <mergeCell ref="B113:B115"/>
    <mergeCell ref="E113:E114"/>
    <mergeCell ref="F113:F114"/>
    <mergeCell ref="G113:G114"/>
    <mergeCell ref="H113:H114"/>
    <mergeCell ref="S113:S114"/>
    <mergeCell ref="T113:T114"/>
    <mergeCell ref="S111:T111"/>
    <mergeCell ref="M113:M114"/>
    <mergeCell ref="I113:I114"/>
    <mergeCell ref="J113:J114"/>
    <mergeCell ref="K113:K114"/>
    <mergeCell ref="L113:L114"/>
    <mergeCell ref="R113:R114"/>
    <mergeCell ref="N113:N114"/>
    <mergeCell ref="O113:O114"/>
    <mergeCell ref="P113:P114"/>
    <mergeCell ref="Q113:Q114"/>
    <mergeCell ref="J111:K111"/>
    <mergeCell ref="M111:N111"/>
    <mergeCell ref="P111:Q111"/>
  </mergeCells>
  <conditionalFormatting sqref="Q113:Q115 N113:N115 H113:H115 T113:T115 K113:K115">
    <cfRule type="cellIs" dxfId="20" priority="1" operator="greaterThan">
      <formula>1</formula>
    </cfRule>
  </conditionalFormatting>
  <printOptions horizontalCentered="1" verticalCentered="1" gridLines="1"/>
  <pageMargins left="0" right="0" top="0.15748031496062992" bottom="0.15748031496062992" header="0" footer="0"/>
  <pageSetup paperSize="9" scale="9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2:U130"/>
  <sheetViews>
    <sheetView topLeftCell="A74" zoomScaleNormal="100" workbookViewId="0">
      <selection activeCell="O69" sqref="O69"/>
    </sheetView>
  </sheetViews>
  <sheetFormatPr baseColWidth="10" defaultRowHeight="15" x14ac:dyDescent="0.25"/>
  <cols>
    <col min="1" max="1" width="5.7109375" customWidth="1"/>
    <col min="2" max="2" width="6.7109375" style="5" customWidth="1"/>
    <col min="3" max="3" width="14.7109375" customWidth="1"/>
    <col min="4" max="4" width="10.7109375" customWidth="1"/>
    <col min="5" max="5" width="10.7109375" style="5" customWidth="1"/>
    <col min="6" max="6" width="11.7109375" customWidth="1"/>
    <col min="7" max="8" width="12.7109375" customWidth="1"/>
    <col min="9" max="9" width="10.7109375" customWidth="1"/>
    <col min="10" max="10" width="10.7109375" style="10" customWidth="1"/>
    <col min="11" max="11" width="10.7109375" customWidth="1"/>
    <col min="12" max="12" width="3.7109375" customWidth="1"/>
    <col min="14" max="17" width="11.42578125" style="11"/>
  </cols>
  <sheetData>
    <row r="2" spans="2:18" ht="15.75" thickBot="1" x14ac:dyDescent="0.3"/>
    <row r="3" spans="2:18" ht="15.95" customHeight="1" x14ac:dyDescent="0.25">
      <c r="B3" s="1204" t="s">
        <v>46</v>
      </c>
      <c r="C3" s="1205"/>
      <c r="D3" s="1205"/>
      <c r="E3" s="1205"/>
      <c r="F3" s="1205"/>
      <c r="G3" s="1205"/>
      <c r="H3" s="1205"/>
      <c r="I3" s="1205"/>
      <c r="J3" s="1205"/>
      <c r="K3" s="1206"/>
      <c r="L3" s="73"/>
      <c r="M3" s="73"/>
    </row>
    <row r="4" spans="2:18" ht="15.95" customHeight="1" x14ac:dyDescent="0.25">
      <c r="B4" s="1207" t="s">
        <v>48</v>
      </c>
      <c r="C4" s="1208"/>
      <c r="D4" s="1208"/>
      <c r="E4" s="1208"/>
      <c r="F4" s="1208"/>
      <c r="G4" s="1208"/>
      <c r="H4" s="1208"/>
      <c r="I4" s="1208"/>
      <c r="J4" s="1208"/>
      <c r="K4" s="1209"/>
      <c r="L4" s="73"/>
      <c r="M4" s="73"/>
    </row>
    <row r="5" spans="2:18" ht="15.95" customHeight="1" x14ac:dyDescent="0.25">
      <c r="B5" s="1118" t="s">
        <v>124</v>
      </c>
      <c r="C5" s="1196" t="s">
        <v>26</v>
      </c>
      <c r="D5" s="1034" t="s">
        <v>110</v>
      </c>
      <c r="E5" s="1035"/>
      <c r="F5" s="1036"/>
      <c r="G5" s="1034" t="s">
        <v>75</v>
      </c>
      <c r="H5" s="1035"/>
      <c r="I5" s="1036"/>
      <c r="J5" s="1031" t="s">
        <v>105</v>
      </c>
      <c r="K5" s="1123" t="s">
        <v>190</v>
      </c>
      <c r="L5" s="73"/>
      <c r="M5" s="73"/>
      <c r="N5" s="74"/>
      <c r="O5" s="74"/>
      <c r="P5" s="74"/>
      <c r="Q5" s="74"/>
      <c r="R5" s="73"/>
    </row>
    <row r="6" spans="2:18" ht="39.950000000000003" customHeight="1" x14ac:dyDescent="0.25">
      <c r="B6" s="1119"/>
      <c r="C6" s="1196"/>
      <c r="D6" s="307" t="s">
        <v>189</v>
      </c>
      <c r="E6" s="330" t="s">
        <v>116</v>
      </c>
      <c r="F6" s="307" t="s">
        <v>81</v>
      </c>
      <c r="G6" s="306" t="s">
        <v>242</v>
      </c>
      <c r="H6" s="38" t="s">
        <v>232</v>
      </c>
      <c r="I6" s="306" t="s">
        <v>244</v>
      </c>
      <c r="J6" s="1031"/>
      <c r="K6" s="1124"/>
      <c r="L6" s="116"/>
      <c r="M6" s="200" t="s">
        <v>185</v>
      </c>
      <c r="N6" s="85" t="s">
        <v>73</v>
      </c>
      <c r="O6" s="38" t="s">
        <v>240</v>
      </c>
      <c r="P6" s="74"/>
      <c r="Q6" s="74"/>
      <c r="R6" s="73"/>
    </row>
    <row r="7" spans="2:18" x14ac:dyDescent="0.25">
      <c r="B7" s="536"/>
      <c r="C7" s="266">
        <v>1997</v>
      </c>
      <c r="D7" s="65">
        <v>47.33</v>
      </c>
      <c r="E7" s="61">
        <f>D7/M26</f>
        <v>48.237230998392846</v>
      </c>
      <c r="F7" s="174"/>
      <c r="G7" s="88"/>
      <c r="H7" s="65"/>
      <c r="I7" s="88"/>
      <c r="J7" s="61">
        <f>3*25</f>
        <v>75</v>
      </c>
      <c r="K7" s="264">
        <f>J7-25</f>
        <v>50</v>
      </c>
      <c r="L7" s="43"/>
      <c r="M7" s="261"/>
      <c r="N7" s="50"/>
      <c r="O7" s="50"/>
      <c r="P7" s="61">
        <f>3*25</f>
        <v>75</v>
      </c>
      <c r="Q7" s="42">
        <v>50</v>
      </c>
      <c r="R7" s="73"/>
    </row>
    <row r="8" spans="2:18" x14ac:dyDescent="0.25">
      <c r="B8" s="484"/>
      <c r="C8" s="101">
        <v>1998</v>
      </c>
      <c r="D8" s="40">
        <v>46.8</v>
      </c>
      <c r="E8" s="100">
        <f>D8/M26</f>
        <v>47.697071851358231</v>
      </c>
      <c r="F8" s="175">
        <f>(E8-E7)/E7</f>
        <v>-1.1197971688147099E-2</v>
      </c>
      <c r="G8" s="42"/>
      <c r="H8" s="40"/>
      <c r="I8" s="42"/>
      <c r="J8" s="62">
        <f t="shared" ref="J8:J27" si="0">3*25</f>
        <v>75</v>
      </c>
      <c r="K8" s="204">
        <f t="shared" ref="K8:K27" si="1">J8-25</f>
        <v>50</v>
      </c>
      <c r="L8" s="43"/>
      <c r="M8" s="261"/>
      <c r="N8" s="50"/>
      <c r="O8" s="50"/>
      <c r="P8" s="62">
        <f t="shared" ref="P8:P28" si="2">3*25</f>
        <v>75</v>
      </c>
      <c r="Q8" s="42">
        <v>50</v>
      </c>
      <c r="R8" s="73"/>
    </row>
    <row r="9" spans="2:18" x14ac:dyDescent="0.25">
      <c r="B9" s="484"/>
      <c r="C9" s="101">
        <v>1999</v>
      </c>
      <c r="D9" s="40">
        <v>54.47</v>
      </c>
      <c r="E9" s="100">
        <f>D9/M26</f>
        <v>55.514091960330838</v>
      </c>
      <c r="F9" s="175">
        <f t="shared" ref="F9:F27" si="3">(E9-E8)/E8</f>
        <v>0.16388888888888906</v>
      </c>
      <c r="G9" s="42"/>
      <c r="H9" s="40"/>
      <c r="I9" s="42"/>
      <c r="J9" s="62">
        <f t="shared" si="0"/>
        <v>75</v>
      </c>
      <c r="K9" s="204">
        <f t="shared" si="1"/>
        <v>50</v>
      </c>
      <c r="L9" s="43"/>
      <c r="M9" s="261"/>
      <c r="N9" s="50"/>
      <c r="O9" s="50"/>
      <c r="P9" s="62">
        <f t="shared" si="2"/>
        <v>75</v>
      </c>
      <c r="Q9" s="42">
        <v>50</v>
      </c>
      <c r="R9" s="73"/>
    </row>
    <row r="10" spans="2:18" x14ac:dyDescent="0.25">
      <c r="B10" s="484"/>
      <c r="C10" s="101">
        <v>2000</v>
      </c>
      <c r="D10" s="40">
        <v>55.3</v>
      </c>
      <c r="E10" s="100">
        <f>D10/M26</f>
        <v>56.360001567951073</v>
      </c>
      <c r="F10" s="175">
        <f t="shared" si="3"/>
        <v>1.5237745548007961E-2</v>
      </c>
      <c r="G10" s="42"/>
      <c r="H10" s="40"/>
      <c r="I10" s="42"/>
      <c r="J10" s="62">
        <f t="shared" si="0"/>
        <v>75</v>
      </c>
      <c r="K10" s="204">
        <f t="shared" si="1"/>
        <v>50</v>
      </c>
      <c r="L10" s="43"/>
      <c r="M10" s="261"/>
      <c r="N10" s="50"/>
      <c r="O10" s="50"/>
      <c r="P10" s="62">
        <f t="shared" si="2"/>
        <v>75</v>
      </c>
      <c r="Q10" s="42">
        <v>50</v>
      </c>
      <c r="R10" s="73"/>
    </row>
    <row r="11" spans="2:18" x14ac:dyDescent="0.25">
      <c r="B11" s="484"/>
      <c r="C11" s="101">
        <v>2001</v>
      </c>
      <c r="D11" s="40">
        <v>54.4</v>
      </c>
      <c r="E11" s="100">
        <f>D11/M26</f>
        <v>55.442750186194189</v>
      </c>
      <c r="F11" s="175">
        <f t="shared" si="3"/>
        <v>-1.627486437613011E-2</v>
      </c>
      <c r="G11" s="42"/>
      <c r="H11" s="40"/>
      <c r="I11" s="42"/>
      <c r="J11" s="62">
        <f t="shared" si="0"/>
        <v>75</v>
      </c>
      <c r="K11" s="204">
        <f t="shared" si="1"/>
        <v>50</v>
      </c>
      <c r="L11" s="43"/>
      <c r="M11" s="261"/>
      <c r="N11" s="50"/>
      <c r="O11" s="50"/>
      <c r="P11" s="62">
        <f t="shared" si="2"/>
        <v>75</v>
      </c>
      <c r="Q11" s="42">
        <v>50</v>
      </c>
      <c r="R11" s="73"/>
    </row>
    <row r="12" spans="2:18" x14ac:dyDescent="0.25">
      <c r="B12" s="484"/>
      <c r="C12" s="101">
        <v>2002</v>
      </c>
      <c r="D12" s="40">
        <v>57.89</v>
      </c>
      <c r="E12" s="100">
        <f>D12/M26</f>
        <v>58.999647211007016</v>
      </c>
      <c r="F12" s="175">
        <f t="shared" si="3"/>
        <v>6.4154411764705904E-2</v>
      </c>
      <c r="G12" s="42"/>
      <c r="H12" s="40"/>
      <c r="I12" s="42"/>
      <c r="J12" s="62">
        <f t="shared" si="0"/>
        <v>75</v>
      </c>
      <c r="K12" s="204">
        <f t="shared" si="1"/>
        <v>50</v>
      </c>
      <c r="L12" s="43"/>
      <c r="M12" s="261"/>
      <c r="N12" s="50"/>
      <c r="O12" s="50"/>
      <c r="P12" s="62">
        <f t="shared" si="2"/>
        <v>75</v>
      </c>
      <c r="Q12" s="42">
        <v>50</v>
      </c>
      <c r="R12" s="73"/>
    </row>
    <row r="13" spans="2:18" x14ac:dyDescent="0.25">
      <c r="B13" s="484">
        <v>8</v>
      </c>
      <c r="C13" s="101">
        <v>2003</v>
      </c>
      <c r="D13" s="40">
        <v>56.59</v>
      </c>
      <c r="E13" s="100">
        <v>58.9</v>
      </c>
      <c r="F13" s="175">
        <f t="shared" si="3"/>
        <v>-1.6889458787886951E-3</v>
      </c>
      <c r="G13" s="42"/>
      <c r="H13" s="40"/>
      <c r="I13" s="42"/>
      <c r="J13" s="62">
        <f t="shared" si="0"/>
        <v>75</v>
      </c>
      <c r="K13" s="204">
        <f t="shared" si="1"/>
        <v>50</v>
      </c>
      <c r="L13" s="43"/>
      <c r="M13" s="261">
        <v>0.96079999999999999</v>
      </c>
      <c r="N13" s="50"/>
      <c r="O13" s="50"/>
      <c r="P13" s="62">
        <f t="shared" si="2"/>
        <v>75</v>
      </c>
      <c r="Q13" s="42">
        <v>50</v>
      </c>
      <c r="R13" s="73"/>
    </row>
    <row r="14" spans="2:18" x14ac:dyDescent="0.25">
      <c r="B14" s="484">
        <v>8</v>
      </c>
      <c r="C14" s="101">
        <v>2004</v>
      </c>
      <c r="D14" s="40">
        <v>55.15</v>
      </c>
      <c r="E14" s="100">
        <v>57.51</v>
      </c>
      <c r="F14" s="175">
        <f t="shared" si="3"/>
        <v>-2.3599320882852302E-2</v>
      </c>
      <c r="G14" s="42"/>
      <c r="H14" s="40"/>
      <c r="I14" s="42"/>
      <c r="J14" s="62">
        <f t="shared" si="0"/>
        <v>75</v>
      </c>
      <c r="K14" s="204">
        <f t="shared" si="1"/>
        <v>50</v>
      </c>
      <c r="L14" s="43"/>
      <c r="M14" s="261">
        <v>0.95909999999999995</v>
      </c>
      <c r="N14" s="50"/>
      <c r="O14" s="50"/>
      <c r="P14" s="62">
        <f t="shared" si="2"/>
        <v>75</v>
      </c>
      <c r="Q14" s="42">
        <v>50</v>
      </c>
      <c r="R14" s="73"/>
    </row>
    <row r="15" spans="2:18" x14ac:dyDescent="0.25">
      <c r="B15" s="484">
        <v>6</v>
      </c>
      <c r="C15" s="101">
        <v>2005</v>
      </c>
      <c r="D15" s="40">
        <v>55.4</v>
      </c>
      <c r="E15" s="62">
        <v>57.67</v>
      </c>
      <c r="F15" s="175">
        <f t="shared" si="3"/>
        <v>2.7821248478526119E-3</v>
      </c>
      <c r="G15" s="42"/>
      <c r="H15" s="40"/>
      <c r="I15" s="42"/>
      <c r="J15" s="62">
        <f t="shared" si="0"/>
        <v>75</v>
      </c>
      <c r="K15" s="204">
        <f t="shared" si="1"/>
        <v>50</v>
      </c>
      <c r="L15" s="43"/>
      <c r="M15" s="261">
        <v>0.9607</v>
      </c>
      <c r="N15" s="50"/>
      <c r="O15" s="50"/>
      <c r="P15" s="62">
        <f t="shared" si="2"/>
        <v>75</v>
      </c>
      <c r="Q15" s="42">
        <v>50</v>
      </c>
      <c r="R15" s="73"/>
    </row>
    <row r="16" spans="2:18" x14ac:dyDescent="0.25">
      <c r="B16" s="484">
        <v>7</v>
      </c>
      <c r="C16" s="101">
        <v>2006</v>
      </c>
      <c r="D16" s="40">
        <v>56.64</v>
      </c>
      <c r="E16" s="100">
        <v>58.73</v>
      </c>
      <c r="F16" s="175">
        <f t="shared" si="3"/>
        <v>1.8380440436968876E-2</v>
      </c>
      <c r="G16" s="42"/>
      <c r="H16" s="40"/>
      <c r="I16" s="42"/>
      <c r="J16" s="62">
        <f t="shared" si="0"/>
        <v>75</v>
      </c>
      <c r="K16" s="204">
        <f t="shared" si="1"/>
        <v>50</v>
      </c>
      <c r="L16" s="43"/>
      <c r="M16" s="261">
        <v>0.96450000000000002</v>
      </c>
      <c r="N16" s="50"/>
      <c r="O16" s="50"/>
      <c r="P16" s="62">
        <f t="shared" si="2"/>
        <v>75</v>
      </c>
      <c r="Q16" s="42">
        <v>50</v>
      </c>
      <c r="R16" s="73"/>
    </row>
    <row r="17" spans="2:18" x14ac:dyDescent="0.25">
      <c r="B17" s="484">
        <v>8</v>
      </c>
      <c r="C17" s="101">
        <v>2007</v>
      </c>
      <c r="D17" s="40">
        <v>61.29</v>
      </c>
      <c r="E17" s="100">
        <v>63.44</v>
      </c>
      <c r="F17" s="175">
        <f t="shared" si="3"/>
        <v>8.0197514047335286E-2</v>
      </c>
      <c r="G17" s="42"/>
      <c r="H17" s="40"/>
      <c r="I17" s="42"/>
      <c r="J17" s="62">
        <f t="shared" si="0"/>
        <v>75</v>
      </c>
      <c r="K17" s="204">
        <f t="shared" si="1"/>
        <v>50</v>
      </c>
      <c r="L17" s="43"/>
      <c r="M17" s="261">
        <v>0.96619999999999995</v>
      </c>
      <c r="N17" s="50"/>
      <c r="O17" s="50"/>
      <c r="P17" s="62">
        <f t="shared" si="2"/>
        <v>75</v>
      </c>
      <c r="Q17" s="42">
        <v>50</v>
      </c>
      <c r="R17" s="73"/>
    </row>
    <row r="18" spans="2:18" x14ac:dyDescent="0.25">
      <c r="B18" s="484">
        <v>5</v>
      </c>
      <c r="C18" s="101">
        <v>2008</v>
      </c>
      <c r="D18" s="40">
        <v>59.69</v>
      </c>
      <c r="E18" s="100">
        <v>60.24</v>
      </c>
      <c r="F18" s="175">
        <f t="shared" si="3"/>
        <v>-5.044136191677169E-2</v>
      </c>
      <c r="G18" s="42"/>
      <c r="H18" s="40"/>
      <c r="I18" s="42"/>
      <c r="J18" s="62">
        <f t="shared" si="0"/>
        <v>75</v>
      </c>
      <c r="K18" s="204">
        <f t="shared" si="1"/>
        <v>50</v>
      </c>
      <c r="L18" s="43"/>
      <c r="M18" s="261">
        <v>0.9909</v>
      </c>
      <c r="N18" s="50"/>
      <c r="O18" s="50"/>
      <c r="P18" s="62">
        <f t="shared" si="2"/>
        <v>75</v>
      </c>
      <c r="Q18" s="42">
        <v>50</v>
      </c>
      <c r="R18" s="73"/>
    </row>
    <row r="19" spans="2:18" x14ac:dyDescent="0.25">
      <c r="B19" s="484">
        <v>7</v>
      </c>
      <c r="C19" s="101">
        <v>2009</v>
      </c>
      <c r="D19" s="40">
        <v>59.2</v>
      </c>
      <c r="E19" s="100">
        <v>60.22</v>
      </c>
      <c r="F19" s="175">
        <f t="shared" si="3"/>
        <v>-3.3200531208504527E-4</v>
      </c>
      <c r="G19" s="42"/>
      <c r="H19" s="40"/>
      <c r="I19" s="42"/>
      <c r="J19" s="62">
        <f t="shared" si="0"/>
        <v>75</v>
      </c>
      <c r="K19" s="204">
        <f t="shared" si="1"/>
        <v>50</v>
      </c>
      <c r="L19" s="43"/>
      <c r="M19" s="261">
        <v>0.98309999999999997</v>
      </c>
      <c r="N19" s="50"/>
      <c r="O19" s="50"/>
      <c r="P19" s="62">
        <f t="shared" si="2"/>
        <v>75</v>
      </c>
      <c r="Q19" s="42">
        <v>50</v>
      </c>
      <c r="R19" s="73"/>
    </row>
    <row r="20" spans="2:18" x14ac:dyDescent="0.25">
      <c r="B20" s="484">
        <v>8</v>
      </c>
      <c r="C20" s="101">
        <v>2010</v>
      </c>
      <c r="D20" s="40">
        <f>M26*E20</f>
        <v>65.533345869137648</v>
      </c>
      <c r="E20" s="62">
        <v>66.789502277354032</v>
      </c>
      <c r="F20" s="175">
        <f t="shared" si="3"/>
        <v>0.10909170171627422</v>
      </c>
      <c r="G20" s="42"/>
      <c r="H20" s="40"/>
      <c r="I20" s="42"/>
      <c r="J20" s="62">
        <f t="shared" si="0"/>
        <v>75</v>
      </c>
      <c r="K20" s="204">
        <f t="shared" si="1"/>
        <v>50</v>
      </c>
      <c r="L20" s="43"/>
      <c r="M20" s="261">
        <v>0.99319999999999997</v>
      </c>
      <c r="N20" s="175"/>
      <c r="O20" s="50"/>
      <c r="P20" s="62">
        <f t="shared" si="2"/>
        <v>75</v>
      </c>
      <c r="Q20" s="42">
        <v>50</v>
      </c>
      <c r="R20" s="73"/>
    </row>
    <row r="21" spans="2:18" x14ac:dyDescent="0.25">
      <c r="B21" s="484">
        <v>8</v>
      </c>
      <c r="C21" s="101">
        <v>2011</v>
      </c>
      <c r="D21" s="40">
        <f>M26*E21</f>
        <v>70.142181897825878</v>
      </c>
      <c r="E21" s="100">
        <v>71.486681405804276</v>
      </c>
      <c r="F21" s="175">
        <f t="shared" si="3"/>
        <v>7.0328104990878076E-2</v>
      </c>
      <c r="G21" s="42"/>
      <c r="H21" s="40"/>
      <c r="I21" s="42"/>
      <c r="J21" s="62">
        <f t="shared" si="0"/>
        <v>75</v>
      </c>
      <c r="K21" s="204">
        <f t="shared" si="1"/>
        <v>50</v>
      </c>
      <c r="L21" s="43"/>
      <c r="M21" s="261">
        <v>0.98829999999999996</v>
      </c>
      <c r="N21" s="50"/>
      <c r="O21" s="50"/>
      <c r="P21" s="62">
        <f t="shared" si="2"/>
        <v>75</v>
      </c>
      <c r="Q21" s="42">
        <v>50</v>
      </c>
      <c r="R21" s="73"/>
    </row>
    <row r="22" spans="2:18" x14ac:dyDescent="0.25">
      <c r="B22" s="484">
        <v>7</v>
      </c>
      <c r="C22" s="101">
        <v>2012</v>
      </c>
      <c r="D22" s="40">
        <f>M26*E22</f>
        <v>70.672807846061303</v>
      </c>
      <c r="E22" s="62">
        <v>72.0274784993765</v>
      </c>
      <c r="F22" s="175">
        <f t="shared" si="3"/>
        <v>7.5650048783536608E-3</v>
      </c>
      <c r="G22" s="42"/>
      <c r="H22" s="40"/>
      <c r="I22" s="42"/>
      <c r="J22" s="62">
        <f t="shared" si="0"/>
        <v>75</v>
      </c>
      <c r="K22" s="204">
        <f t="shared" si="1"/>
        <v>50</v>
      </c>
      <c r="L22" s="43"/>
      <c r="M22" s="261">
        <v>0.98870000000000002</v>
      </c>
      <c r="N22" s="175"/>
      <c r="O22" s="50"/>
      <c r="P22" s="62">
        <f t="shared" si="2"/>
        <v>75</v>
      </c>
      <c r="Q22" s="42">
        <v>50</v>
      </c>
      <c r="R22" s="73"/>
    </row>
    <row r="23" spans="2:18" x14ac:dyDescent="0.25">
      <c r="B23" s="484">
        <v>7</v>
      </c>
      <c r="C23" s="101">
        <v>2013</v>
      </c>
      <c r="D23" s="40">
        <f>M26*E23</f>
        <v>72.672600339032059</v>
      </c>
      <c r="E23" s="100">
        <v>74.065603418714815</v>
      </c>
      <c r="F23" s="175">
        <f t="shared" si="3"/>
        <v>2.8296491308604652E-2</v>
      </c>
      <c r="G23" s="42"/>
      <c r="H23" s="40"/>
      <c r="I23" s="42"/>
      <c r="J23" s="62">
        <f t="shared" si="0"/>
        <v>75</v>
      </c>
      <c r="K23" s="204">
        <f t="shared" si="1"/>
        <v>50</v>
      </c>
      <c r="L23" s="43"/>
      <c r="M23" s="261">
        <v>1</v>
      </c>
      <c r="N23" s="50"/>
      <c r="O23" s="50"/>
      <c r="P23" s="62">
        <f t="shared" si="2"/>
        <v>75</v>
      </c>
      <c r="Q23" s="42">
        <v>50</v>
      </c>
      <c r="R23" s="73"/>
    </row>
    <row r="24" spans="2:18" x14ac:dyDescent="0.25">
      <c r="B24" s="484">
        <v>7</v>
      </c>
      <c r="C24" s="101">
        <v>2014</v>
      </c>
      <c r="D24" s="40">
        <f>M26*E24</f>
        <v>70.382553522686891</v>
      </c>
      <c r="E24" s="100">
        <v>71.731660522514176</v>
      </c>
      <c r="F24" s="175">
        <f t="shared" si="3"/>
        <v>-3.1511832598003262E-2</v>
      </c>
      <c r="G24" s="42"/>
      <c r="H24" s="40"/>
      <c r="I24" s="42"/>
      <c r="J24" s="62">
        <f t="shared" si="0"/>
        <v>75</v>
      </c>
      <c r="K24" s="204">
        <f t="shared" si="1"/>
        <v>50</v>
      </c>
      <c r="L24" s="43"/>
      <c r="M24" s="261">
        <v>1</v>
      </c>
      <c r="N24" s="175"/>
      <c r="O24" s="50"/>
      <c r="P24" s="62">
        <f t="shared" si="2"/>
        <v>75</v>
      </c>
      <c r="Q24" s="42">
        <v>50</v>
      </c>
      <c r="R24" s="73"/>
    </row>
    <row r="25" spans="2:18" x14ac:dyDescent="0.25">
      <c r="B25" s="484">
        <v>1</v>
      </c>
      <c r="C25" s="101">
        <v>2015</v>
      </c>
      <c r="D25" s="40">
        <f>M26*E25</f>
        <v>76.845207815720542</v>
      </c>
      <c r="E25" s="100">
        <v>78.318192278183304</v>
      </c>
      <c r="F25" s="175">
        <f t="shared" si="3"/>
        <v>9.182182188019801E-2</v>
      </c>
      <c r="G25" s="42"/>
      <c r="H25" s="40"/>
      <c r="I25" s="42"/>
      <c r="J25" s="62">
        <f t="shared" si="0"/>
        <v>75</v>
      </c>
      <c r="K25" s="204">
        <f t="shared" si="1"/>
        <v>50</v>
      </c>
      <c r="L25" s="43"/>
      <c r="M25" s="261">
        <v>1</v>
      </c>
      <c r="N25" s="311"/>
      <c r="O25" s="50"/>
      <c r="P25" s="62">
        <f t="shared" si="2"/>
        <v>75</v>
      </c>
      <c r="Q25" s="42">
        <v>50</v>
      </c>
      <c r="R25" s="73"/>
    </row>
    <row r="26" spans="2:18" x14ac:dyDescent="0.25">
      <c r="B26" s="196">
        <v>2</v>
      </c>
      <c r="C26" s="101">
        <v>2016</v>
      </c>
      <c r="D26" s="40">
        <v>68.64</v>
      </c>
      <c r="E26" s="62">
        <v>75.010000000000005</v>
      </c>
      <c r="F26" s="175">
        <f t="shared" si="3"/>
        <v>-4.2240406500097992E-2</v>
      </c>
      <c r="G26" s="258"/>
      <c r="H26" s="258"/>
      <c r="I26" s="258"/>
      <c r="J26" s="62">
        <f t="shared" si="0"/>
        <v>75</v>
      </c>
      <c r="K26" s="204">
        <f t="shared" si="1"/>
        <v>50</v>
      </c>
      <c r="L26" s="43"/>
      <c r="M26" s="261">
        <f>AVERAGE(M13:M25)</f>
        <v>0.9811923076923077</v>
      </c>
      <c r="N26" s="50"/>
      <c r="O26" s="390" t="e">
        <f>(H26-H25)/H25</f>
        <v>#DIV/0!</v>
      </c>
      <c r="P26" s="62">
        <f t="shared" si="2"/>
        <v>75</v>
      </c>
      <c r="Q26" s="42">
        <v>50</v>
      </c>
      <c r="R26" s="73"/>
    </row>
    <row r="27" spans="2:18" x14ac:dyDescent="0.25">
      <c r="B27" s="196"/>
      <c r="C27" s="101">
        <v>2017</v>
      </c>
      <c r="D27" s="40"/>
      <c r="E27" s="62">
        <v>100</v>
      </c>
      <c r="F27" s="175">
        <f t="shared" si="3"/>
        <v>0.33315557925609912</v>
      </c>
      <c r="G27" s="258"/>
      <c r="H27" s="258">
        <f>E27</f>
        <v>100</v>
      </c>
      <c r="I27" s="258">
        <f>E27</f>
        <v>100</v>
      </c>
      <c r="J27" s="62">
        <f t="shared" si="0"/>
        <v>75</v>
      </c>
      <c r="K27" s="204">
        <f t="shared" si="1"/>
        <v>50</v>
      </c>
      <c r="L27" s="43"/>
      <c r="M27" s="261"/>
      <c r="N27" s="383" t="e">
        <f>(G27-G26)/G26</f>
        <v>#DIV/0!</v>
      </c>
      <c r="O27" s="390" t="e">
        <f>(H27-H26)/H26</f>
        <v>#DIV/0!</v>
      </c>
      <c r="P27" s="62">
        <f t="shared" si="2"/>
        <v>75</v>
      </c>
      <c r="Q27" s="42">
        <v>50</v>
      </c>
      <c r="R27" s="73"/>
    </row>
    <row r="28" spans="2:18" x14ac:dyDescent="0.25">
      <c r="B28" s="197"/>
      <c r="C28" s="107">
        <v>2018</v>
      </c>
      <c r="D28" s="55"/>
      <c r="E28" s="109"/>
      <c r="F28" s="187"/>
      <c r="G28" s="374"/>
      <c r="H28" s="375"/>
      <c r="I28" s="393">
        <f t="shared" ref="I28:I37" si="4">1.045*I27</f>
        <v>104.5</v>
      </c>
      <c r="J28" s="62">
        <f t="shared" ref="J28:J37" si="5">2*55+1*25</f>
        <v>135</v>
      </c>
      <c r="K28" s="204">
        <f t="shared" ref="K28:K37" si="6">J28-55</f>
        <v>80</v>
      </c>
      <c r="L28" s="43"/>
      <c r="M28" s="261"/>
      <c r="N28" s="383" t="e">
        <f>(G28-G27)/G27</f>
        <v>#DIV/0!</v>
      </c>
      <c r="O28" s="390">
        <f>(H28-H27)/H27</f>
        <v>-1</v>
      </c>
      <c r="P28" s="62">
        <f t="shared" si="2"/>
        <v>75</v>
      </c>
      <c r="Q28" s="42">
        <v>50</v>
      </c>
      <c r="R28" s="73"/>
    </row>
    <row r="29" spans="2:18" x14ac:dyDescent="0.25">
      <c r="B29" s="197"/>
      <c r="C29" s="107">
        <v>2019</v>
      </c>
      <c r="D29" s="55"/>
      <c r="E29" s="109"/>
      <c r="F29" s="187"/>
      <c r="G29" s="374"/>
      <c r="H29" s="375"/>
      <c r="I29" s="393">
        <f t="shared" si="4"/>
        <v>109.20249999999999</v>
      </c>
      <c r="J29" s="62">
        <f t="shared" si="5"/>
        <v>135</v>
      </c>
      <c r="K29" s="204">
        <f t="shared" si="6"/>
        <v>80</v>
      </c>
      <c r="L29" s="43"/>
      <c r="M29" s="261"/>
      <c r="N29" s="383" t="e">
        <f t="shared" ref="N29:N35" si="7">(G29-G28)/G28</f>
        <v>#DIV/0!</v>
      </c>
      <c r="O29" s="390" t="e">
        <f>(H29-H28)/H28</f>
        <v>#DIV/0!</v>
      </c>
      <c r="P29" s="74"/>
      <c r="Q29" s="74"/>
      <c r="R29" s="73"/>
    </row>
    <row r="30" spans="2:18" x14ac:dyDescent="0.25">
      <c r="B30" s="197"/>
      <c r="C30" s="107">
        <v>2020</v>
      </c>
      <c r="D30" s="55"/>
      <c r="E30" s="109"/>
      <c r="F30" s="187"/>
      <c r="G30" s="374"/>
      <c r="H30" s="375"/>
      <c r="I30" s="393">
        <f t="shared" si="4"/>
        <v>114.11661249999997</v>
      </c>
      <c r="J30" s="62">
        <f t="shared" si="5"/>
        <v>135</v>
      </c>
      <c r="K30" s="204">
        <f t="shared" si="6"/>
        <v>80</v>
      </c>
      <c r="L30" s="43"/>
      <c r="M30" s="261"/>
      <c r="N30" s="383" t="e">
        <f t="shared" si="7"/>
        <v>#DIV/0!</v>
      </c>
      <c r="O30" s="390" t="e">
        <f>(H30-H29)/H29</f>
        <v>#DIV/0!</v>
      </c>
      <c r="P30" s="74"/>
      <c r="Q30" s="74"/>
      <c r="R30" s="73"/>
    </row>
    <row r="31" spans="2:18" x14ac:dyDescent="0.25">
      <c r="B31" s="197"/>
      <c r="C31" s="107">
        <v>2021</v>
      </c>
      <c r="D31" s="524"/>
      <c r="E31" s="107"/>
      <c r="F31" s="187"/>
      <c r="G31" s="374"/>
      <c r="H31" s="375"/>
      <c r="I31" s="393">
        <f t="shared" si="4"/>
        <v>119.25186006249996</v>
      </c>
      <c r="J31" s="62">
        <f t="shared" si="5"/>
        <v>135</v>
      </c>
      <c r="K31" s="204">
        <f t="shared" si="6"/>
        <v>80</v>
      </c>
      <c r="L31" s="43"/>
      <c r="M31" s="261"/>
      <c r="N31" s="383" t="e">
        <f t="shared" si="7"/>
        <v>#DIV/0!</v>
      </c>
      <c r="O31" s="390"/>
      <c r="P31" s="74"/>
      <c r="Q31" s="74"/>
      <c r="R31" s="73"/>
    </row>
    <row r="32" spans="2:18" x14ac:dyDescent="0.25">
      <c r="B32" s="197"/>
      <c r="C32" s="107">
        <v>2022</v>
      </c>
      <c r="D32" s="524"/>
      <c r="E32" s="107"/>
      <c r="F32" s="187"/>
      <c r="G32" s="374"/>
      <c r="H32" s="375"/>
      <c r="I32" s="393">
        <f t="shared" si="4"/>
        <v>124.61819376531244</v>
      </c>
      <c r="J32" s="62">
        <f t="shared" si="5"/>
        <v>135</v>
      </c>
      <c r="K32" s="204">
        <f t="shared" si="6"/>
        <v>80</v>
      </c>
      <c r="L32" s="73"/>
      <c r="M32" s="263"/>
      <c r="N32" s="383" t="e">
        <f t="shared" si="7"/>
        <v>#DIV/0!</v>
      </c>
      <c r="O32" s="390"/>
      <c r="P32" s="74"/>
      <c r="Q32" s="74"/>
      <c r="R32" s="73"/>
    </row>
    <row r="33" spans="2:18" x14ac:dyDescent="0.25">
      <c r="B33" s="197"/>
      <c r="C33" s="107">
        <v>2023</v>
      </c>
      <c r="D33" s="524"/>
      <c r="E33" s="107"/>
      <c r="F33" s="187"/>
      <c r="G33" s="374"/>
      <c r="H33" s="375"/>
      <c r="I33" s="393">
        <f t="shared" si="4"/>
        <v>130.22601248475149</v>
      </c>
      <c r="J33" s="62">
        <f t="shared" si="5"/>
        <v>135</v>
      </c>
      <c r="K33" s="204">
        <f t="shared" si="6"/>
        <v>80</v>
      </c>
      <c r="L33" s="73"/>
      <c r="M33" s="268"/>
      <c r="N33" s="383" t="e">
        <f t="shared" si="7"/>
        <v>#DIV/0!</v>
      </c>
      <c r="O33" s="390"/>
      <c r="P33" s="74"/>
      <c r="Q33" s="74"/>
      <c r="R33" s="73"/>
    </row>
    <row r="34" spans="2:18" x14ac:dyDescent="0.25">
      <c r="B34" s="197"/>
      <c r="C34" s="107">
        <v>2024</v>
      </c>
      <c r="D34" s="524"/>
      <c r="E34" s="107"/>
      <c r="F34" s="187"/>
      <c r="G34" s="374"/>
      <c r="H34" s="375"/>
      <c r="I34" s="393">
        <f t="shared" si="4"/>
        <v>136.08618304656531</v>
      </c>
      <c r="J34" s="62">
        <f t="shared" si="5"/>
        <v>135</v>
      </c>
      <c r="K34" s="204">
        <f t="shared" si="6"/>
        <v>80</v>
      </c>
      <c r="L34" s="73"/>
      <c r="M34" s="268"/>
      <c r="N34" s="383" t="e">
        <f t="shared" si="7"/>
        <v>#DIV/0!</v>
      </c>
      <c r="O34" s="390"/>
      <c r="P34" s="74"/>
      <c r="Q34" s="74"/>
      <c r="R34" s="73"/>
    </row>
    <row r="35" spans="2:18" x14ac:dyDescent="0.25">
      <c r="B35" s="197"/>
      <c r="C35" s="107">
        <v>2025</v>
      </c>
      <c r="D35" s="524"/>
      <c r="E35" s="107"/>
      <c r="F35" s="187"/>
      <c r="G35" s="374"/>
      <c r="H35" s="375"/>
      <c r="I35" s="393">
        <f t="shared" si="4"/>
        <v>142.21006128366074</v>
      </c>
      <c r="J35" s="62">
        <f t="shared" si="5"/>
        <v>135</v>
      </c>
      <c r="K35" s="204">
        <f t="shared" si="6"/>
        <v>80</v>
      </c>
      <c r="L35" s="73"/>
      <c r="M35" s="268"/>
      <c r="N35" s="383" t="e">
        <f t="shared" si="7"/>
        <v>#DIV/0!</v>
      </c>
      <c r="O35" s="390"/>
      <c r="P35" s="74"/>
      <c r="Q35" s="74"/>
      <c r="R35" s="73"/>
    </row>
    <row r="36" spans="2:18" x14ac:dyDescent="0.25">
      <c r="B36" s="506"/>
      <c r="C36" s="107">
        <v>2026</v>
      </c>
      <c r="D36" s="515"/>
      <c r="E36" s="514"/>
      <c r="F36" s="514"/>
      <c r="G36" s="374"/>
      <c r="H36" s="516"/>
      <c r="I36" s="393">
        <f t="shared" si="4"/>
        <v>148.60951404142546</v>
      </c>
      <c r="J36" s="62">
        <f t="shared" si="5"/>
        <v>135</v>
      </c>
      <c r="K36" s="204">
        <f t="shared" si="6"/>
        <v>80</v>
      </c>
      <c r="N36" s="364" t="e">
        <f>AVERAGE(N27:N35)</f>
        <v>#DIV/0!</v>
      </c>
      <c r="O36" s="397" t="e">
        <f>AVERAGE(O27:O30)</f>
        <v>#DIV/0!</v>
      </c>
    </row>
    <row r="37" spans="2:18" ht="15.75" thickBot="1" x14ac:dyDescent="0.3">
      <c r="B37" s="507"/>
      <c r="C37" s="207">
        <v>2027</v>
      </c>
      <c r="D37" s="518"/>
      <c r="E37" s="517"/>
      <c r="F37" s="517"/>
      <c r="G37" s="376"/>
      <c r="H37" s="520"/>
      <c r="I37" s="396">
        <f t="shared" si="4"/>
        <v>155.29694217328958</v>
      </c>
      <c r="J37" s="183">
        <f t="shared" si="5"/>
        <v>135</v>
      </c>
      <c r="K37" s="206">
        <f t="shared" si="6"/>
        <v>80</v>
      </c>
    </row>
    <row r="38" spans="2:18" x14ac:dyDescent="0.25">
      <c r="B38" s="10"/>
      <c r="C38" s="10"/>
      <c r="D38" s="10"/>
      <c r="E38" s="10"/>
      <c r="F38" s="398">
        <f>AVERAGE(F8:F27)</f>
        <v>4.0380656020564565E-2</v>
      </c>
      <c r="G38" s="10"/>
      <c r="H38" s="10"/>
      <c r="I38" s="10"/>
      <c r="K38" s="10"/>
    </row>
    <row r="39" spans="2:18" ht="15.75" thickBot="1" x14ac:dyDescent="0.3"/>
    <row r="40" spans="2:18" ht="20.100000000000001" customHeight="1" thickBot="1" x14ac:dyDescent="0.3">
      <c r="B40"/>
      <c r="C40" s="1037" t="s">
        <v>46</v>
      </c>
      <c r="D40" s="1038"/>
      <c r="E40" s="1038"/>
      <c r="F40" s="1038"/>
      <c r="G40" s="1038"/>
      <c r="H40" s="1038"/>
      <c r="I40" s="1038"/>
      <c r="J40" s="1038"/>
      <c r="K40" s="1039"/>
    </row>
    <row r="41" spans="2:18" ht="15.95" customHeight="1" thickBot="1" x14ac:dyDescent="0.3">
      <c r="B41"/>
      <c r="C41" s="1201" t="s">
        <v>326</v>
      </c>
      <c r="D41" s="1202"/>
      <c r="E41" s="1202"/>
      <c r="F41" s="1202"/>
      <c r="G41" s="1202"/>
      <c r="H41" s="1202"/>
      <c r="I41" s="1202"/>
      <c r="J41" s="1202"/>
      <c r="K41" s="1203"/>
      <c r="M41" s="342" t="s">
        <v>315</v>
      </c>
      <c r="N41" s="811"/>
      <c r="O41" s="811"/>
      <c r="P41" s="11" t="s">
        <v>319</v>
      </c>
    </row>
    <row r="42" spans="2:18" ht="15.95" customHeight="1" thickBot="1" x14ac:dyDescent="0.3">
      <c r="B42" s="1043" t="s">
        <v>26</v>
      </c>
      <c r="C42" s="1043" t="s">
        <v>35</v>
      </c>
      <c r="D42" s="1045" t="s">
        <v>110</v>
      </c>
      <c r="E42" s="1046"/>
      <c r="F42" s="1047"/>
      <c r="G42" s="1045" t="s">
        <v>74</v>
      </c>
      <c r="H42" s="1047"/>
      <c r="I42" s="1043" t="s">
        <v>180</v>
      </c>
      <c r="J42" s="1043" t="s">
        <v>268</v>
      </c>
      <c r="K42" s="1049" t="s">
        <v>269</v>
      </c>
    </row>
    <row r="43" spans="2:18" ht="35.1" customHeight="1" thickBot="1" x14ac:dyDescent="0.3">
      <c r="B43" s="1044"/>
      <c r="C43" s="1044"/>
      <c r="D43" s="541" t="s">
        <v>174</v>
      </c>
      <c r="E43" s="541" t="s">
        <v>122</v>
      </c>
      <c r="F43" s="541" t="s">
        <v>343</v>
      </c>
      <c r="G43" s="537" t="s">
        <v>170</v>
      </c>
      <c r="H43" s="538" t="s">
        <v>270</v>
      </c>
      <c r="I43" s="1044"/>
      <c r="J43" s="1044"/>
      <c r="K43" s="1175"/>
    </row>
    <row r="44" spans="2:18" ht="15" customHeight="1" x14ac:dyDescent="0.25">
      <c r="B44" s="674">
        <v>1997</v>
      </c>
      <c r="C44" s="782">
        <v>1997</v>
      </c>
      <c r="D44" s="648">
        <v>47.33</v>
      </c>
      <c r="E44" s="657">
        <v>48.237230998392846</v>
      </c>
      <c r="F44" s="731"/>
      <c r="G44" s="657"/>
      <c r="H44" s="657"/>
      <c r="I44" s="579">
        <f>3*25</f>
        <v>75</v>
      </c>
      <c r="J44" s="579">
        <f>I44-25</f>
        <v>50</v>
      </c>
      <c r="K44" s="679">
        <f>E44/I44</f>
        <v>0.64316307997857125</v>
      </c>
      <c r="M44" s="342" t="s">
        <v>316</v>
      </c>
      <c r="N44" s="811"/>
      <c r="O44" s="811"/>
    </row>
    <row r="45" spans="2:18" ht="15" customHeight="1" x14ac:dyDescent="0.25">
      <c r="B45" s="675">
        <v>1998</v>
      </c>
      <c r="C45" s="783">
        <v>1998</v>
      </c>
      <c r="D45" s="650">
        <v>46.8</v>
      </c>
      <c r="E45" s="658">
        <v>47.697071851358231</v>
      </c>
      <c r="F45" s="729">
        <f t="shared" ref="F45:F64" si="8">(E45-E44)/E44</f>
        <v>-1.1197971688147099E-2</v>
      </c>
      <c r="G45" s="658"/>
      <c r="H45" s="658"/>
      <c r="I45" s="581">
        <f t="shared" ref="I45:I64" si="9">3*25</f>
        <v>75</v>
      </c>
      <c r="J45" s="581">
        <f t="shared" ref="J45:J64" si="10">I45-25</f>
        <v>50</v>
      </c>
      <c r="K45" s="680">
        <f t="shared" ref="K45:K64" si="11">E45/I45</f>
        <v>0.6359609580181097</v>
      </c>
    </row>
    <row r="46" spans="2:18" ht="15" customHeight="1" x14ac:dyDescent="0.25">
      <c r="B46" s="675">
        <v>1999</v>
      </c>
      <c r="C46" s="783">
        <v>1999</v>
      </c>
      <c r="D46" s="650">
        <v>54.47</v>
      </c>
      <c r="E46" s="658">
        <v>55.514091960330838</v>
      </c>
      <c r="F46" s="729">
        <f t="shared" si="8"/>
        <v>0.16388888888888906</v>
      </c>
      <c r="G46" s="658"/>
      <c r="H46" s="658"/>
      <c r="I46" s="581">
        <f t="shared" si="9"/>
        <v>75</v>
      </c>
      <c r="J46" s="581">
        <f t="shared" si="10"/>
        <v>50</v>
      </c>
      <c r="K46" s="680">
        <f t="shared" si="11"/>
        <v>0.74018789280441122</v>
      </c>
    </row>
    <row r="47" spans="2:18" ht="15" customHeight="1" x14ac:dyDescent="0.25">
      <c r="B47" s="675">
        <v>2000</v>
      </c>
      <c r="C47" s="783">
        <v>2000</v>
      </c>
      <c r="D47" s="650">
        <v>55.3</v>
      </c>
      <c r="E47" s="658">
        <v>56.360001567951073</v>
      </c>
      <c r="F47" s="729">
        <f t="shared" si="8"/>
        <v>1.5237745548007961E-2</v>
      </c>
      <c r="G47" s="658"/>
      <c r="H47" s="658"/>
      <c r="I47" s="581">
        <f t="shared" si="9"/>
        <v>75</v>
      </c>
      <c r="J47" s="581">
        <f t="shared" si="10"/>
        <v>50</v>
      </c>
      <c r="K47" s="680">
        <f t="shared" si="11"/>
        <v>0.75146668757268098</v>
      </c>
    </row>
    <row r="48" spans="2:18" ht="15" customHeight="1" x14ac:dyDescent="0.25">
      <c r="B48" s="675">
        <v>2001</v>
      </c>
      <c r="C48" s="783">
        <v>2001</v>
      </c>
      <c r="D48" s="650">
        <v>54.4</v>
      </c>
      <c r="E48" s="658">
        <v>55.442750186194189</v>
      </c>
      <c r="F48" s="729">
        <f t="shared" si="8"/>
        <v>-1.627486437613011E-2</v>
      </c>
      <c r="G48" s="658"/>
      <c r="H48" s="658"/>
      <c r="I48" s="581">
        <f t="shared" si="9"/>
        <v>75</v>
      </c>
      <c r="J48" s="581">
        <f t="shared" si="10"/>
        <v>50</v>
      </c>
      <c r="K48" s="680">
        <f t="shared" si="11"/>
        <v>0.7392366691492559</v>
      </c>
    </row>
    <row r="49" spans="2:13" ht="15" customHeight="1" x14ac:dyDescent="0.25">
      <c r="B49" s="675">
        <v>2002</v>
      </c>
      <c r="C49" s="783">
        <v>2002</v>
      </c>
      <c r="D49" s="650">
        <v>57.89</v>
      </c>
      <c r="E49" s="658">
        <v>58.999647211007016</v>
      </c>
      <c r="F49" s="729">
        <f t="shared" si="8"/>
        <v>6.4154411764705904E-2</v>
      </c>
      <c r="G49" s="658"/>
      <c r="H49" s="658"/>
      <c r="I49" s="581">
        <f t="shared" si="9"/>
        <v>75</v>
      </c>
      <c r="J49" s="581">
        <f t="shared" si="10"/>
        <v>50</v>
      </c>
      <c r="K49" s="680">
        <f t="shared" si="11"/>
        <v>0.78666196281342693</v>
      </c>
    </row>
    <row r="50" spans="2:13" ht="15" customHeight="1" x14ac:dyDescent="0.25">
      <c r="B50" s="675">
        <v>2003</v>
      </c>
      <c r="C50" s="732">
        <v>37860.46875</v>
      </c>
      <c r="D50" s="650">
        <v>56.59</v>
      </c>
      <c r="E50" s="658">
        <v>58.9</v>
      </c>
      <c r="F50" s="729">
        <f t="shared" si="8"/>
        <v>-1.6889458787886951E-3</v>
      </c>
      <c r="G50" s="658"/>
      <c r="H50" s="658"/>
      <c r="I50" s="581">
        <f t="shared" si="9"/>
        <v>75</v>
      </c>
      <c r="J50" s="581">
        <f t="shared" si="10"/>
        <v>50</v>
      </c>
      <c r="K50" s="680">
        <f t="shared" si="11"/>
        <v>0.78533333333333333</v>
      </c>
    </row>
    <row r="51" spans="2:13" ht="15" customHeight="1" x14ac:dyDescent="0.25">
      <c r="B51" s="675">
        <v>2004</v>
      </c>
      <c r="C51" s="732">
        <v>38218.447916666664</v>
      </c>
      <c r="D51" s="650">
        <v>55.15</v>
      </c>
      <c r="E51" s="658">
        <v>57.51</v>
      </c>
      <c r="F51" s="729">
        <f t="shared" si="8"/>
        <v>-2.3599320882852302E-2</v>
      </c>
      <c r="G51" s="658"/>
      <c r="H51" s="658"/>
      <c r="I51" s="581">
        <f t="shared" si="9"/>
        <v>75</v>
      </c>
      <c r="J51" s="581">
        <f t="shared" si="10"/>
        <v>50</v>
      </c>
      <c r="K51" s="680">
        <f t="shared" si="11"/>
        <v>0.76679999999999993</v>
      </c>
    </row>
    <row r="52" spans="2:13" ht="15" customHeight="1" x14ac:dyDescent="0.25">
      <c r="B52" s="675">
        <v>2005</v>
      </c>
      <c r="C52" s="732">
        <v>38518.458333333336</v>
      </c>
      <c r="D52" s="650">
        <v>55.4</v>
      </c>
      <c r="E52" s="658">
        <v>57.67</v>
      </c>
      <c r="F52" s="729">
        <f t="shared" si="8"/>
        <v>2.7821248478526119E-3</v>
      </c>
      <c r="G52" s="658"/>
      <c r="H52" s="658"/>
      <c r="I52" s="581">
        <f t="shared" si="9"/>
        <v>75</v>
      </c>
      <c r="J52" s="581">
        <f t="shared" si="10"/>
        <v>50</v>
      </c>
      <c r="K52" s="680">
        <f t="shared" si="11"/>
        <v>0.76893333333333336</v>
      </c>
    </row>
    <row r="53" spans="2:13" ht="15" customHeight="1" x14ac:dyDescent="0.25">
      <c r="B53" s="675">
        <v>2006</v>
      </c>
      <c r="C53" s="732">
        <v>38929.427083333336</v>
      </c>
      <c r="D53" s="650">
        <v>56.64</v>
      </c>
      <c r="E53" s="658">
        <v>58.73</v>
      </c>
      <c r="F53" s="729">
        <f t="shared" si="8"/>
        <v>1.8380440436968876E-2</v>
      </c>
      <c r="G53" s="658"/>
      <c r="H53" s="658"/>
      <c r="I53" s="581">
        <f t="shared" si="9"/>
        <v>75</v>
      </c>
      <c r="J53" s="581">
        <f t="shared" si="10"/>
        <v>50</v>
      </c>
      <c r="K53" s="680">
        <f t="shared" si="11"/>
        <v>0.78306666666666658</v>
      </c>
    </row>
    <row r="54" spans="2:13" ht="15" customHeight="1" x14ac:dyDescent="0.25">
      <c r="B54" s="675">
        <v>2007</v>
      </c>
      <c r="C54" s="732">
        <v>39296.520833333336</v>
      </c>
      <c r="D54" s="650">
        <v>61.29</v>
      </c>
      <c r="E54" s="658">
        <v>63.44</v>
      </c>
      <c r="F54" s="729">
        <f t="shared" si="8"/>
        <v>8.0197514047335286E-2</v>
      </c>
      <c r="G54" s="658"/>
      <c r="H54" s="658"/>
      <c r="I54" s="581">
        <f t="shared" si="9"/>
        <v>75</v>
      </c>
      <c r="J54" s="581">
        <f t="shared" si="10"/>
        <v>50</v>
      </c>
      <c r="K54" s="680">
        <f t="shared" si="11"/>
        <v>0.84586666666666666</v>
      </c>
    </row>
    <row r="55" spans="2:13" ht="15" customHeight="1" x14ac:dyDescent="0.25">
      <c r="B55" s="675">
        <v>2008</v>
      </c>
      <c r="C55" s="732">
        <v>39598.854166666664</v>
      </c>
      <c r="D55" s="650">
        <v>59.69</v>
      </c>
      <c r="E55" s="658">
        <v>60.24</v>
      </c>
      <c r="F55" s="729">
        <f t="shared" si="8"/>
        <v>-5.044136191677169E-2</v>
      </c>
      <c r="G55" s="658"/>
      <c r="H55" s="658"/>
      <c r="I55" s="581">
        <f t="shared" si="9"/>
        <v>75</v>
      </c>
      <c r="J55" s="581">
        <f t="shared" si="10"/>
        <v>50</v>
      </c>
      <c r="K55" s="680">
        <f t="shared" si="11"/>
        <v>0.80320000000000003</v>
      </c>
    </row>
    <row r="56" spans="2:13" ht="15" customHeight="1" x14ac:dyDescent="0.25">
      <c r="B56" s="675">
        <v>2009</v>
      </c>
      <c r="C56" s="732">
        <v>40016.625</v>
      </c>
      <c r="D56" s="650">
        <v>59.2</v>
      </c>
      <c r="E56" s="658">
        <v>60.22</v>
      </c>
      <c r="F56" s="729">
        <f t="shared" si="8"/>
        <v>-3.3200531208504527E-4</v>
      </c>
      <c r="G56" s="658"/>
      <c r="H56" s="658"/>
      <c r="I56" s="581">
        <f t="shared" si="9"/>
        <v>75</v>
      </c>
      <c r="J56" s="581">
        <f t="shared" si="10"/>
        <v>50</v>
      </c>
      <c r="K56" s="680">
        <f t="shared" si="11"/>
        <v>0.80293333333333328</v>
      </c>
    </row>
    <row r="57" spans="2:13" ht="15" customHeight="1" x14ac:dyDescent="0.25">
      <c r="B57" s="675">
        <v>2010</v>
      </c>
      <c r="C57" s="732">
        <v>40394.864583333336</v>
      </c>
      <c r="D57" s="650">
        <v>66.400000000000006</v>
      </c>
      <c r="E57" s="658">
        <v>66.849999999999994</v>
      </c>
      <c r="F57" s="729">
        <f t="shared" si="8"/>
        <v>0.11009631351710387</v>
      </c>
      <c r="G57" s="659"/>
      <c r="H57" s="658"/>
      <c r="I57" s="581">
        <f t="shared" si="9"/>
        <v>75</v>
      </c>
      <c r="J57" s="581">
        <f t="shared" si="10"/>
        <v>50</v>
      </c>
      <c r="K57" s="680">
        <f t="shared" si="11"/>
        <v>0.89133333333333331</v>
      </c>
    </row>
    <row r="58" spans="2:13" ht="15" customHeight="1" x14ac:dyDescent="0.25">
      <c r="B58" s="675">
        <v>2011</v>
      </c>
      <c r="C58" s="732">
        <v>40756.833333333336</v>
      </c>
      <c r="D58" s="650">
        <v>70.142181897825878</v>
      </c>
      <c r="E58" s="658">
        <v>71.486681405804276</v>
      </c>
      <c r="F58" s="729">
        <f t="shared" si="8"/>
        <v>6.9359482510161288E-2</v>
      </c>
      <c r="G58" s="659"/>
      <c r="H58" s="658"/>
      <c r="I58" s="581">
        <f t="shared" si="9"/>
        <v>75</v>
      </c>
      <c r="J58" s="581">
        <f t="shared" si="10"/>
        <v>50</v>
      </c>
      <c r="K58" s="681">
        <f t="shared" si="11"/>
        <v>0.95315575207739034</v>
      </c>
    </row>
    <row r="59" spans="2:13" ht="15" customHeight="1" x14ac:dyDescent="0.25">
      <c r="B59" s="675">
        <v>2012</v>
      </c>
      <c r="C59" s="732">
        <v>41120.885416666664</v>
      </c>
      <c r="D59" s="650">
        <v>70.672807846061303</v>
      </c>
      <c r="E59" s="658">
        <v>72.0274784993765</v>
      </c>
      <c r="F59" s="729">
        <f t="shared" si="8"/>
        <v>7.5650048783536608E-3</v>
      </c>
      <c r="G59" s="658"/>
      <c r="H59" s="658"/>
      <c r="I59" s="581">
        <f t="shared" si="9"/>
        <v>75</v>
      </c>
      <c r="J59" s="581">
        <f t="shared" si="10"/>
        <v>50</v>
      </c>
      <c r="K59" s="681">
        <f t="shared" si="11"/>
        <v>0.96036637999168661</v>
      </c>
    </row>
    <row r="60" spans="2:13" ht="15" customHeight="1" x14ac:dyDescent="0.25">
      <c r="B60" s="675">
        <v>2013</v>
      </c>
      <c r="C60" s="732">
        <v>41477.822916666664</v>
      </c>
      <c r="D60" s="650">
        <v>72.672600339032059</v>
      </c>
      <c r="E60" s="658">
        <v>74.065603418714815</v>
      </c>
      <c r="F60" s="729">
        <f t="shared" si="8"/>
        <v>2.8296491308604652E-2</v>
      </c>
      <c r="G60" s="658"/>
      <c r="H60" s="658"/>
      <c r="I60" s="581">
        <f t="shared" si="9"/>
        <v>75</v>
      </c>
      <c r="J60" s="581">
        <f t="shared" si="10"/>
        <v>50</v>
      </c>
      <c r="K60" s="681">
        <f t="shared" si="11"/>
        <v>0.98754137891619753</v>
      </c>
    </row>
    <row r="61" spans="2:13" ht="15" customHeight="1" x14ac:dyDescent="0.25">
      <c r="B61" s="675">
        <v>2014</v>
      </c>
      <c r="C61" s="580">
        <v>41844.90625</v>
      </c>
      <c r="D61" s="650">
        <v>69.45</v>
      </c>
      <c r="E61" s="658">
        <v>70.290000000000006</v>
      </c>
      <c r="F61" s="729">
        <f t="shared" si="8"/>
        <v>-5.0976475508748689E-2</v>
      </c>
      <c r="G61" s="658"/>
      <c r="H61" s="658"/>
      <c r="I61" s="581">
        <f t="shared" si="9"/>
        <v>75</v>
      </c>
      <c r="J61" s="581">
        <f t="shared" si="10"/>
        <v>50</v>
      </c>
      <c r="K61" s="681">
        <f t="shared" si="11"/>
        <v>0.93720000000000003</v>
      </c>
    </row>
    <row r="62" spans="2:13" ht="15" customHeight="1" x14ac:dyDescent="0.25">
      <c r="B62" s="675">
        <v>2015</v>
      </c>
      <c r="C62" s="580">
        <v>42030.635416666664</v>
      </c>
      <c r="D62" s="650">
        <v>65.7</v>
      </c>
      <c r="E62" s="658">
        <v>70.02</v>
      </c>
      <c r="F62" s="729">
        <f t="shared" si="8"/>
        <v>-3.8412291933420145E-3</v>
      </c>
      <c r="G62" s="658"/>
      <c r="H62" s="658"/>
      <c r="I62" s="581">
        <f t="shared" si="9"/>
        <v>75</v>
      </c>
      <c r="J62" s="581">
        <f t="shared" si="10"/>
        <v>50</v>
      </c>
      <c r="K62" s="681">
        <f t="shared" si="11"/>
        <v>0.93359999999999999</v>
      </c>
    </row>
    <row r="63" spans="2:13" ht="15" customHeight="1" x14ac:dyDescent="0.25">
      <c r="B63" s="675">
        <v>2016</v>
      </c>
      <c r="C63" s="580">
        <v>42412.583333333336</v>
      </c>
      <c r="D63" s="650">
        <v>68.64</v>
      </c>
      <c r="E63" s="658">
        <v>75.010000000000005</v>
      </c>
      <c r="F63" s="729">
        <f t="shared" si="8"/>
        <v>7.1265352756355455E-2</v>
      </c>
      <c r="G63" s="658"/>
      <c r="H63" s="658"/>
      <c r="I63" s="581">
        <f t="shared" si="9"/>
        <v>75</v>
      </c>
      <c r="J63" s="581">
        <f t="shared" si="10"/>
        <v>50</v>
      </c>
      <c r="K63" s="681">
        <f t="shared" si="11"/>
        <v>1.0001333333333333</v>
      </c>
    </row>
    <row r="64" spans="2:13" ht="15" customHeight="1" x14ac:dyDescent="0.25">
      <c r="B64" s="675">
        <v>2017</v>
      </c>
      <c r="C64" s="580">
        <v>42933.885416666664</v>
      </c>
      <c r="D64" s="650">
        <v>70.84</v>
      </c>
      <c r="E64" s="658">
        <v>70.849999999999994</v>
      </c>
      <c r="F64" s="729">
        <f t="shared" si="8"/>
        <v>-5.5459272097053869E-2</v>
      </c>
      <c r="G64" s="658"/>
      <c r="H64" s="658">
        <f>E64</f>
        <v>70.849999999999994</v>
      </c>
      <c r="I64" s="581">
        <f t="shared" si="9"/>
        <v>75</v>
      </c>
      <c r="J64" s="581">
        <f t="shared" si="10"/>
        <v>50</v>
      </c>
      <c r="K64" s="681">
        <f t="shared" si="11"/>
        <v>0.94466666666666654</v>
      </c>
      <c r="M64" s="790">
        <v>75</v>
      </c>
    </row>
    <row r="65" spans="2:14" ht="15" customHeight="1" x14ac:dyDescent="0.25">
      <c r="B65" s="676">
        <v>2018</v>
      </c>
      <c r="C65" s="720">
        <v>2018</v>
      </c>
      <c r="D65" s="652"/>
      <c r="E65" s="723"/>
      <c r="F65" s="730"/>
      <c r="G65" s="660">
        <f>1.2303*B65-2406.9</f>
        <v>75.8453999999997</v>
      </c>
      <c r="H65" s="661">
        <f>1.25+H64</f>
        <v>72.099999999999994</v>
      </c>
      <c r="I65" s="584">
        <f t="shared" ref="I65:I74" si="12">2*55+1*25</f>
        <v>135</v>
      </c>
      <c r="J65" s="584">
        <f t="shared" ref="J65:J74" si="13">I65-55</f>
        <v>80</v>
      </c>
      <c r="K65" s="684">
        <f>H65/I65</f>
        <v>0.53407407407407403</v>
      </c>
      <c r="M65" s="790">
        <v>75</v>
      </c>
    </row>
    <row r="66" spans="2:14" ht="15" customHeight="1" x14ac:dyDescent="0.25">
      <c r="B66" s="676">
        <v>2019</v>
      </c>
      <c r="C66" s="720">
        <v>2019</v>
      </c>
      <c r="D66" s="652"/>
      <c r="E66" s="723"/>
      <c r="F66" s="730"/>
      <c r="G66" s="660">
        <f t="shared" ref="G66:G74" si="14">1.2303*B66-2406.9</f>
        <v>77.07569999999987</v>
      </c>
      <c r="H66" s="661">
        <f>1.25+H65</f>
        <v>73.349999999999994</v>
      </c>
      <c r="I66" s="584">
        <f t="shared" si="12"/>
        <v>135</v>
      </c>
      <c r="J66" s="584">
        <f t="shared" si="13"/>
        <v>80</v>
      </c>
      <c r="K66" s="684">
        <f>H66/I66</f>
        <v>0.54333333333333333</v>
      </c>
      <c r="M66" s="790">
        <v>75</v>
      </c>
    </row>
    <row r="67" spans="2:14" ht="15" customHeight="1" x14ac:dyDescent="0.25">
      <c r="B67" s="676">
        <v>2020</v>
      </c>
      <c r="C67" s="720">
        <v>2020</v>
      </c>
      <c r="D67" s="652"/>
      <c r="E67" s="723"/>
      <c r="F67" s="730"/>
      <c r="G67" s="660">
        <f t="shared" si="14"/>
        <v>78.305999999999585</v>
      </c>
      <c r="H67" s="661">
        <f>1.25+H66-5</f>
        <v>69.599999999999994</v>
      </c>
      <c r="I67" s="584">
        <f t="shared" si="12"/>
        <v>135</v>
      </c>
      <c r="J67" s="584">
        <f t="shared" si="13"/>
        <v>80</v>
      </c>
      <c r="K67" s="684">
        <f t="shared" ref="K67:K74" si="15">H67/I67</f>
        <v>0.51555555555555554</v>
      </c>
      <c r="M67" s="790">
        <v>75</v>
      </c>
      <c r="N67" s="11">
        <f>4/0.9</f>
        <v>4.4444444444444446</v>
      </c>
    </row>
    <row r="68" spans="2:14" ht="15" customHeight="1" x14ac:dyDescent="0.25">
      <c r="B68" s="676">
        <v>2021</v>
      </c>
      <c r="C68" s="720">
        <v>2021</v>
      </c>
      <c r="D68" s="652"/>
      <c r="E68" s="723"/>
      <c r="F68" s="730"/>
      <c r="G68" s="660">
        <f t="shared" si="14"/>
        <v>79.536299999999756</v>
      </c>
      <c r="H68" s="661">
        <f>1.25+H67</f>
        <v>70.849999999999994</v>
      </c>
      <c r="I68" s="584">
        <f t="shared" si="12"/>
        <v>135</v>
      </c>
      <c r="J68" s="584">
        <f t="shared" si="13"/>
        <v>80</v>
      </c>
      <c r="K68" s="684">
        <f t="shared" si="15"/>
        <v>0.52481481481481473</v>
      </c>
      <c r="M68" s="790">
        <v>75</v>
      </c>
    </row>
    <row r="69" spans="2:14" ht="15" customHeight="1" x14ac:dyDescent="0.25">
      <c r="B69" s="676">
        <v>2022</v>
      </c>
      <c r="C69" s="720">
        <v>2022</v>
      </c>
      <c r="D69" s="652"/>
      <c r="E69" s="723"/>
      <c r="F69" s="730"/>
      <c r="G69" s="660">
        <f t="shared" si="14"/>
        <v>80.766599999999926</v>
      </c>
      <c r="H69" s="661">
        <f t="shared" ref="H69:H74" si="16">1.25+H68</f>
        <v>72.099999999999994</v>
      </c>
      <c r="I69" s="584">
        <f t="shared" si="12"/>
        <v>135</v>
      </c>
      <c r="J69" s="584">
        <f t="shared" si="13"/>
        <v>80</v>
      </c>
      <c r="K69" s="684">
        <f t="shared" si="15"/>
        <v>0.53407407407407403</v>
      </c>
      <c r="M69" s="790">
        <v>75</v>
      </c>
    </row>
    <row r="70" spans="2:14" ht="15" customHeight="1" x14ac:dyDescent="0.25">
      <c r="B70" s="676">
        <v>2023</v>
      </c>
      <c r="C70" s="720">
        <v>2023</v>
      </c>
      <c r="D70" s="652"/>
      <c r="E70" s="723"/>
      <c r="F70" s="730"/>
      <c r="G70" s="660">
        <f t="shared" si="14"/>
        <v>81.996899999999641</v>
      </c>
      <c r="H70" s="661">
        <f t="shared" si="16"/>
        <v>73.349999999999994</v>
      </c>
      <c r="I70" s="584">
        <f t="shared" si="12"/>
        <v>135</v>
      </c>
      <c r="J70" s="584">
        <f t="shared" si="13"/>
        <v>80</v>
      </c>
      <c r="K70" s="684">
        <f t="shared" si="15"/>
        <v>0.54333333333333333</v>
      </c>
      <c r="M70" s="790">
        <v>75</v>
      </c>
    </row>
    <row r="71" spans="2:14" ht="15" customHeight="1" x14ac:dyDescent="0.25">
      <c r="B71" s="676">
        <v>2024</v>
      </c>
      <c r="C71" s="721">
        <v>2024</v>
      </c>
      <c r="D71" s="652"/>
      <c r="E71" s="723"/>
      <c r="F71" s="730"/>
      <c r="G71" s="660">
        <f t="shared" si="14"/>
        <v>83.227199999999812</v>
      </c>
      <c r="H71" s="661">
        <f t="shared" si="16"/>
        <v>74.599999999999994</v>
      </c>
      <c r="I71" s="584">
        <f t="shared" si="12"/>
        <v>135</v>
      </c>
      <c r="J71" s="584">
        <f t="shared" si="13"/>
        <v>80</v>
      </c>
      <c r="K71" s="684">
        <f t="shared" si="15"/>
        <v>0.55259259259259252</v>
      </c>
      <c r="M71" s="790">
        <v>75</v>
      </c>
    </row>
    <row r="72" spans="2:14" ht="15" customHeight="1" x14ac:dyDescent="0.25">
      <c r="B72" s="676">
        <v>2025</v>
      </c>
      <c r="C72" s="721">
        <v>2025</v>
      </c>
      <c r="D72" s="652"/>
      <c r="E72" s="723"/>
      <c r="F72" s="730"/>
      <c r="G72" s="660">
        <f t="shared" si="14"/>
        <v>84.457499999999982</v>
      </c>
      <c r="H72" s="661">
        <f t="shared" si="16"/>
        <v>75.849999999999994</v>
      </c>
      <c r="I72" s="584">
        <f t="shared" si="12"/>
        <v>135</v>
      </c>
      <c r="J72" s="584">
        <f t="shared" si="13"/>
        <v>80</v>
      </c>
      <c r="K72" s="684">
        <f t="shared" si="15"/>
        <v>0.56185185185185182</v>
      </c>
      <c r="M72" s="790">
        <v>75</v>
      </c>
    </row>
    <row r="73" spans="2:14" x14ac:dyDescent="0.25">
      <c r="B73" s="676">
        <v>2026</v>
      </c>
      <c r="C73" s="721">
        <v>2026</v>
      </c>
      <c r="D73" s="652"/>
      <c r="E73" s="723"/>
      <c r="F73" s="730"/>
      <c r="G73" s="660">
        <f t="shared" si="14"/>
        <v>85.687799999999697</v>
      </c>
      <c r="H73" s="661">
        <f t="shared" si="16"/>
        <v>77.099999999999994</v>
      </c>
      <c r="I73" s="584">
        <f t="shared" si="12"/>
        <v>135</v>
      </c>
      <c r="J73" s="584">
        <f t="shared" si="13"/>
        <v>80</v>
      </c>
      <c r="K73" s="684">
        <f t="shared" si="15"/>
        <v>0.57111111111111101</v>
      </c>
      <c r="M73" s="790">
        <v>75</v>
      </c>
    </row>
    <row r="74" spans="2:14" ht="15.75" thickBot="1" x14ac:dyDescent="0.3">
      <c r="B74" s="677">
        <v>2027</v>
      </c>
      <c r="C74" s="722">
        <v>2027</v>
      </c>
      <c r="D74" s="656"/>
      <c r="E74" s="733"/>
      <c r="F74" s="734"/>
      <c r="G74" s="662">
        <f t="shared" si="14"/>
        <v>86.918099999999868</v>
      </c>
      <c r="H74" s="663">
        <f t="shared" si="16"/>
        <v>78.349999999999994</v>
      </c>
      <c r="I74" s="586">
        <f t="shared" si="12"/>
        <v>135</v>
      </c>
      <c r="J74" s="586">
        <f t="shared" si="13"/>
        <v>80</v>
      </c>
      <c r="K74" s="686">
        <f t="shared" si="15"/>
        <v>0.58037037037037031</v>
      </c>
      <c r="M74" s="790">
        <v>75</v>
      </c>
    </row>
    <row r="75" spans="2:14" x14ac:dyDescent="0.25">
      <c r="H75" s="661"/>
    </row>
    <row r="76" spans="2:14" x14ac:dyDescent="0.25">
      <c r="H76" s="661"/>
    </row>
    <row r="88" spans="17:19" x14ac:dyDescent="0.25">
      <c r="R88" s="11" t="s">
        <v>265</v>
      </c>
      <c r="S88" s="11" t="s">
        <v>264</v>
      </c>
    </row>
    <row r="89" spans="17:19" x14ac:dyDescent="0.25">
      <c r="Q89" s="438">
        <v>2018</v>
      </c>
      <c r="R89" s="40">
        <v>75</v>
      </c>
      <c r="S89" s="40">
        <v>50</v>
      </c>
    </row>
    <row r="90" spans="17:19" x14ac:dyDescent="0.25">
      <c r="Q90" s="438">
        <v>2018</v>
      </c>
      <c r="R90" s="40">
        <v>135</v>
      </c>
      <c r="S90" s="40">
        <v>80</v>
      </c>
    </row>
    <row r="96" spans="17:19" x14ac:dyDescent="0.25">
      <c r="Q96" s="467"/>
      <c r="R96" s="467"/>
    </row>
    <row r="97" spans="1:21" x14ac:dyDescent="0.25">
      <c r="Q97" s="467"/>
      <c r="R97" s="467"/>
    </row>
    <row r="98" spans="1:21" x14ac:dyDescent="0.25">
      <c r="Q98" s="123">
        <v>2018</v>
      </c>
      <c r="R98" s="467">
        <v>40</v>
      </c>
    </row>
    <row r="99" spans="1:21" x14ac:dyDescent="0.25">
      <c r="Q99" s="123">
        <v>2018</v>
      </c>
      <c r="R99" s="467">
        <v>50</v>
      </c>
    </row>
    <row r="100" spans="1:21" x14ac:dyDescent="0.25">
      <c r="Q100" s="123">
        <v>2018</v>
      </c>
      <c r="R100" s="467">
        <v>70</v>
      </c>
    </row>
    <row r="101" spans="1:21" x14ac:dyDescent="0.25">
      <c r="Q101" s="123">
        <v>2018</v>
      </c>
      <c r="R101" s="467">
        <v>80</v>
      </c>
    </row>
    <row r="102" spans="1:21" x14ac:dyDescent="0.25">
      <c r="Q102" s="123">
        <v>2018</v>
      </c>
      <c r="R102" s="467">
        <v>90</v>
      </c>
    </row>
    <row r="103" spans="1:21" x14ac:dyDescent="0.25">
      <c r="Q103" s="301">
        <v>2018</v>
      </c>
      <c r="R103" s="467">
        <v>100</v>
      </c>
    </row>
    <row r="111" spans="1:21" s="10" customFormat="1" ht="18" x14ac:dyDescent="0.25">
      <c r="A111" s="1093" t="s">
        <v>247</v>
      </c>
      <c r="B111" s="1093"/>
      <c r="C111" s="1093"/>
      <c r="D111" s="1093"/>
      <c r="E111" s="1093"/>
      <c r="F111" s="1093"/>
      <c r="G111" s="1093"/>
      <c r="H111" s="1093"/>
      <c r="I111" s="1093"/>
      <c r="J111" s="1093"/>
      <c r="K111" s="1093"/>
      <c r="L111" s="1093"/>
      <c r="M111" s="1093"/>
      <c r="N111" s="1093"/>
      <c r="O111" s="1093"/>
      <c r="P111" s="1093"/>
      <c r="Q111" s="1093"/>
      <c r="R111" s="1093"/>
      <c r="S111" s="1093"/>
      <c r="T111" s="1093"/>
      <c r="U111" s="451"/>
    </row>
    <row r="112" spans="1:21" s="10" customFormat="1" ht="18" x14ac:dyDescent="0.25">
      <c r="A112" s="1094" t="s">
        <v>248</v>
      </c>
      <c r="B112" s="1094"/>
      <c r="C112" s="1094"/>
      <c r="D112" s="1094"/>
      <c r="E112" s="1094"/>
      <c r="F112" s="1094"/>
      <c r="G112" s="1094"/>
      <c r="H112" s="1094"/>
      <c r="I112" s="1094"/>
      <c r="J112" s="1094"/>
      <c r="K112" s="1094"/>
      <c r="L112" s="1094"/>
      <c r="M112" s="1094"/>
      <c r="N112" s="1094"/>
      <c r="O112" s="1094"/>
      <c r="P112" s="1094"/>
      <c r="Q112" s="1094"/>
      <c r="R112" s="1094"/>
      <c r="S112" s="1094"/>
      <c r="T112" s="1094"/>
      <c r="U112" s="451"/>
    </row>
    <row r="113" spans="1:21" s="10" customFormat="1" ht="12.95" customHeight="1" thickBot="1" x14ac:dyDescent="0.3">
      <c r="A113" s="452"/>
      <c r="B113" s="452"/>
      <c r="C113" s="452"/>
      <c r="D113" s="452"/>
      <c r="E113" s="452"/>
      <c r="F113" s="452"/>
      <c r="G113" s="452"/>
      <c r="H113" s="453"/>
      <c r="I113" s="452"/>
      <c r="J113" s="454"/>
      <c r="K113" s="453"/>
      <c r="L113" s="452"/>
      <c r="M113" s="454"/>
      <c r="N113" s="453"/>
      <c r="O113" s="452"/>
      <c r="P113" s="454"/>
      <c r="Q113" s="453"/>
      <c r="R113" s="452"/>
      <c r="S113" s="449"/>
      <c r="T113" s="450"/>
      <c r="U113" s="451"/>
    </row>
    <row r="114" spans="1:21" s="10" customFormat="1" ht="15.75" customHeight="1" x14ac:dyDescent="0.25">
      <c r="A114" s="1095" t="s">
        <v>249</v>
      </c>
      <c r="B114" s="1098" t="s">
        <v>250</v>
      </c>
      <c r="C114" s="1101" t="s">
        <v>251</v>
      </c>
      <c r="D114" s="1063" t="s">
        <v>252</v>
      </c>
      <c r="E114" s="1065"/>
      <c r="F114" s="1066">
        <v>2017</v>
      </c>
      <c r="G114" s="1064"/>
      <c r="H114" s="1106"/>
      <c r="I114" s="1063">
        <f>+F114+1</f>
        <v>2018</v>
      </c>
      <c r="J114" s="1064"/>
      <c r="K114" s="1065"/>
      <c r="L114" s="1066">
        <f>+I114+1</f>
        <v>2019</v>
      </c>
      <c r="M114" s="1064"/>
      <c r="N114" s="1106"/>
      <c r="O114" s="1063">
        <f>+L114+1</f>
        <v>2020</v>
      </c>
      <c r="P114" s="1064"/>
      <c r="Q114" s="1065"/>
      <c r="R114" s="1066">
        <f>+O114+1</f>
        <v>2021</v>
      </c>
      <c r="S114" s="1064"/>
      <c r="T114" s="1065"/>
      <c r="U114" s="444"/>
    </row>
    <row r="115" spans="1:21" s="10" customFormat="1" ht="18" customHeight="1" x14ac:dyDescent="0.25">
      <c r="A115" s="1096"/>
      <c r="B115" s="1099"/>
      <c r="C115" s="1102"/>
      <c r="D115" s="1104"/>
      <c r="E115" s="1105"/>
      <c r="F115" s="455" t="s">
        <v>253</v>
      </c>
      <c r="G115" s="1067" t="s">
        <v>254</v>
      </c>
      <c r="H115" s="1068"/>
      <c r="I115" s="456" t="s">
        <v>253</v>
      </c>
      <c r="J115" s="1067" t="s">
        <v>254</v>
      </c>
      <c r="K115" s="1069"/>
      <c r="L115" s="455" t="s">
        <v>253</v>
      </c>
      <c r="M115" s="1067" t="s">
        <v>254</v>
      </c>
      <c r="N115" s="1068"/>
      <c r="O115" s="456" t="s">
        <v>253</v>
      </c>
      <c r="P115" s="1067" t="s">
        <v>254</v>
      </c>
      <c r="Q115" s="1069"/>
      <c r="R115" s="455" t="s">
        <v>253</v>
      </c>
      <c r="S115" s="1067" t="s">
        <v>254</v>
      </c>
      <c r="T115" s="1069"/>
      <c r="U115" s="444"/>
    </row>
    <row r="116" spans="1:21" s="10" customFormat="1" ht="19.5" customHeight="1" thickBot="1" x14ac:dyDescent="0.3">
      <c r="A116" s="1097"/>
      <c r="B116" s="1100"/>
      <c r="C116" s="1103"/>
      <c r="D116" s="1091" t="s">
        <v>255</v>
      </c>
      <c r="E116" s="1092"/>
      <c r="F116" s="457" t="s">
        <v>255</v>
      </c>
      <c r="G116" s="458" t="s">
        <v>255</v>
      </c>
      <c r="H116" s="459" t="s">
        <v>256</v>
      </c>
      <c r="I116" s="460" t="s">
        <v>255</v>
      </c>
      <c r="J116" s="461" t="s">
        <v>255</v>
      </c>
      <c r="K116" s="462" t="s">
        <v>256</v>
      </c>
      <c r="L116" s="457" t="s">
        <v>255</v>
      </c>
      <c r="M116" s="461" t="s">
        <v>255</v>
      </c>
      <c r="N116" s="459" t="s">
        <v>256</v>
      </c>
      <c r="O116" s="460" t="s">
        <v>255</v>
      </c>
      <c r="P116" s="461" t="s">
        <v>255</v>
      </c>
      <c r="Q116" s="462" t="s">
        <v>256</v>
      </c>
      <c r="R116" s="457" t="s">
        <v>255</v>
      </c>
      <c r="S116" s="461" t="s">
        <v>255</v>
      </c>
      <c r="T116" s="462" t="s">
        <v>256</v>
      </c>
      <c r="U116" s="444"/>
    </row>
    <row r="117" spans="1:21" x14ac:dyDescent="0.25">
      <c r="B117" s="1148" t="s">
        <v>5</v>
      </c>
      <c r="C117" s="666" t="s">
        <v>24</v>
      </c>
      <c r="D117" s="641">
        <v>55</v>
      </c>
      <c r="E117" s="1138">
        <v>135</v>
      </c>
      <c r="F117" s="1139">
        <v>135</v>
      </c>
      <c r="G117" s="1170">
        <v>78.571919641286584</v>
      </c>
      <c r="H117" s="1132">
        <v>0.58201421956508581</v>
      </c>
      <c r="I117" s="1139">
        <v>135</v>
      </c>
      <c r="J117" s="1170">
        <v>77.69594021239098</v>
      </c>
      <c r="K117" s="1132">
        <v>0.57552548305474804</v>
      </c>
      <c r="L117" s="1139">
        <v>135</v>
      </c>
      <c r="M117" s="1170">
        <v>81.036865641523789</v>
      </c>
      <c r="N117" s="1132">
        <v>0.60027307882610215</v>
      </c>
      <c r="O117" s="1139">
        <v>135</v>
      </c>
      <c r="P117" s="1170">
        <v>84.521450864109312</v>
      </c>
      <c r="Q117" s="1132">
        <v>0.62608482121562459</v>
      </c>
      <c r="R117" s="1135">
        <v>135</v>
      </c>
      <c r="S117" s="1170">
        <v>88.155873251266001</v>
      </c>
      <c r="T117" s="1132">
        <v>0.65300646852789634</v>
      </c>
    </row>
    <row r="118" spans="1:21" x14ac:dyDescent="0.25">
      <c r="B118" s="1148"/>
      <c r="C118" s="666" t="s">
        <v>24</v>
      </c>
      <c r="D118" s="641">
        <v>55</v>
      </c>
      <c r="E118" s="1138"/>
      <c r="F118" s="1140"/>
      <c r="G118" s="1171"/>
      <c r="H118" s="1133"/>
      <c r="I118" s="1140"/>
      <c r="J118" s="1171"/>
      <c r="K118" s="1133"/>
      <c r="L118" s="1140"/>
      <c r="M118" s="1171"/>
      <c r="N118" s="1133"/>
      <c r="O118" s="1140"/>
      <c r="P118" s="1171"/>
      <c r="Q118" s="1133"/>
      <c r="R118" s="1136"/>
      <c r="S118" s="1171"/>
      <c r="T118" s="1133"/>
    </row>
    <row r="119" spans="1:21" x14ac:dyDescent="0.25">
      <c r="B119" s="1148"/>
      <c r="C119" s="666" t="s">
        <v>24</v>
      </c>
      <c r="D119" s="641">
        <v>25</v>
      </c>
      <c r="E119" s="1138"/>
      <c r="F119" s="1141"/>
      <c r="G119" s="1172"/>
      <c r="H119" s="1134"/>
      <c r="I119" s="1141"/>
      <c r="J119" s="1172"/>
      <c r="K119" s="1134"/>
      <c r="L119" s="1141"/>
      <c r="M119" s="1172"/>
      <c r="N119" s="1134"/>
      <c r="O119" s="1141"/>
      <c r="P119" s="1172"/>
      <c r="Q119" s="1134"/>
      <c r="R119" s="1137"/>
      <c r="S119" s="1172"/>
      <c r="T119" s="1134"/>
    </row>
    <row r="120" spans="1:21" x14ac:dyDescent="0.25">
      <c r="J120" s="10">
        <f>1.043*G117</f>
        <v>81.950512185861896</v>
      </c>
      <c r="M120">
        <f>1.043*J117</f>
        <v>81.036865641523789</v>
      </c>
      <c r="N120"/>
      <c r="O120"/>
      <c r="P120">
        <f>1.043*M117</f>
        <v>84.521450864109312</v>
      </c>
      <c r="Q120"/>
      <c r="S120">
        <f>1.043*P117</f>
        <v>88.155873251266001</v>
      </c>
    </row>
    <row r="121" spans="1:21" x14ac:dyDescent="0.25">
      <c r="E121" s="10">
        <v>2016</v>
      </c>
      <c r="F121" s="10">
        <v>78.033215167756495</v>
      </c>
    </row>
    <row r="122" spans="1:21" x14ac:dyDescent="0.25">
      <c r="E122" s="10">
        <v>2017</v>
      </c>
      <c r="F122" s="7">
        <f>G117</f>
        <v>78.571919641286584</v>
      </c>
    </row>
    <row r="123" spans="1:21" x14ac:dyDescent="0.25">
      <c r="E123" s="10">
        <v>2018</v>
      </c>
      <c r="F123" s="7">
        <f>J117</f>
        <v>77.69594021239098</v>
      </c>
    </row>
    <row r="124" spans="1:21" x14ac:dyDescent="0.25">
      <c r="E124" s="10">
        <v>2019</v>
      </c>
      <c r="F124" s="7">
        <f>M117</f>
        <v>81.036865641523789</v>
      </c>
    </row>
    <row r="125" spans="1:21" x14ac:dyDescent="0.25">
      <c r="E125" s="10">
        <v>2020</v>
      </c>
      <c r="F125" s="7">
        <f>P117</f>
        <v>84.521450864109312</v>
      </c>
    </row>
    <row r="126" spans="1:21" x14ac:dyDescent="0.25">
      <c r="E126" s="10">
        <v>2021</v>
      </c>
      <c r="F126" s="7">
        <f>S117</f>
        <v>88.155873251266001</v>
      </c>
    </row>
    <row r="127" spans="1:21" x14ac:dyDescent="0.25">
      <c r="E127" s="10"/>
      <c r="F127" s="10"/>
    </row>
    <row r="128" spans="1:21" x14ac:dyDescent="0.25">
      <c r="B128" s="725"/>
      <c r="C128" s="724"/>
      <c r="D128" s="724"/>
      <c r="E128" s="725"/>
      <c r="F128" s="725"/>
      <c r="G128" s="726"/>
      <c r="H128" s="727"/>
      <c r="I128" s="725"/>
      <c r="J128" s="726"/>
      <c r="K128" s="727"/>
      <c r="L128" s="725"/>
      <c r="M128" s="726"/>
      <c r="N128" s="727"/>
      <c r="O128" s="725"/>
      <c r="P128" s="726"/>
      <c r="Q128" s="727"/>
      <c r="R128" s="728"/>
      <c r="S128" s="726"/>
      <c r="T128" s="727"/>
    </row>
    <row r="129" spans="2:20" x14ac:dyDescent="0.25">
      <c r="B129" s="725"/>
      <c r="C129" s="724"/>
      <c r="D129" s="724"/>
      <c r="E129" s="725"/>
      <c r="F129" s="725"/>
      <c r="G129" s="726"/>
      <c r="H129" s="727"/>
      <c r="I129" s="725"/>
      <c r="J129" s="726"/>
      <c r="K129" s="727"/>
      <c r="L129" s="725"/>
      <c r="M129" s="726"/>
      <c r="N129" s="727"/>
      <c r="O129" s="725"/>
      <c r="P129" s="726"/>
      <c r="Q129" s="727"/>
      <c r="R129" s="728"/>
      <c r="S129" s="726"/>
      <c r="T129" s="727"/>
    </row>
    <row r="130" spans="2:20" x14ac:dyDescent="0.25">
      <c r="B130" s="725"/>
      <c r="C130" s="724"/>
      <c r="D130" s="724"/>
      <c r="E130" s="725"/>
      <c r="F130" s="725"/>
      <c r="G130" s="726"/>
      <c r="H130" s="727"/>
      <c r="I130" s="725"/>
      <c r="J130" s="726"/>
      <c r="K130" s="727"/>
      <c r="L130" s="725"/>
      <c r="M130" s="726"/>
      <c r="N130" s="727"/>
      <c r="O130" s="725"/>
      <c r="P130" s="726"/>
      <c r="Q130" s="727"/>
      <c r="R130" s="728"/>
      <c r="S130" s="726"/>
      <c r="T130" s="727"/>
    </row>
  </sheetData>
  <mergeCells count="51">
    <mergeCell ref="S117:S119"/>
    <mergeCell ref="T117:T119"/>
    <mergeCell ref="N117:N119"/>
    <mergeCell ref="O117:O119"/>
    <mergeCell ref="P117:P119"/>
    <mergeCell ref="Q117:Q119"/>
    <mergeCell ref="R117:R119"/>
    <mergeCell ref="I117:I119"/>
    <mergeCell ref="J117:J119"/>
    <mergeCell ref="K117:K119"/>
    <mergeCell ref="L117:L119"/>
    <mergeCell ref="M117:M119"/>
    <mergeCell ref="B117:B119"/>
    <mergeCell ref="E117:E119"/>
    <mergeCell ref="F117:F119"/>
    <mergeCell ref="G117:G119"/>
    <mergeCell ref="H117:H119"/>
    <mergeCell ref="B3:K3"/>
    <mergeCell ref="B4:K4"/>
    <mergeCell ref="J5:J6"/>
    <mergeCell ref="K5:K6"/>
    <mergeCell ref="C5:C6"/>
    <mergeCell ref="G5:I5"/>
    <mergeCell ref="D5:F5"/>
    <mergeCell ref="B5:B6"/>
    <mergeCell ref="P115:Q115"/>
    <mergeCell ref="S115:T115"/>
    <mergeCell ref="D116:E116"/>
    <mergeCell ref="A111:T111"/>
    <mergeCell ref="A112:T112"/>
    <mergeCell ref="A114:A116"/>
    <mergeCell ref="B114:B116"/>
    <mergeCell ref="C114:C116"/>
    <mergeCell ref="D114:E115"/>
    <mergeCell ref="F114:H114"/>
    <mergeCell ref="I114:K114"/>
    <mergeCell ref="L114:N114"/>
    <mergeCell ref="O114:Q114"/>
    <mergeCell ref="R114:T114"/>
    <mergeCell ref="G115:H115"/>
    <mergeCell ref="J115:K115"/>
    <mergeCell ref="M115:N115"/>
    <mergeCell ref="C40:K40"/>
    <mergeCell ref="C41:K41"/>
    <mergeCell ref="B42:B43"/>
    <mergeCell ref="C42:C43"/>
    <mergeCell ref="D42:F42"/>
    <mergeCell ref="G42:H42"/>
    <mergeCell ref="I42:I43"/>
    <mergeCell ref="J42:J43"/>
    <mergeCell ref="K42:K43"/>
  </mergeCells>
  <conditionalFormatting sqref="H128:H130 T128:T130 Q128:Q130 N128:N130 K128:K130">
    <cfRule type="cellIs" dxfId="19" priority="2" operator="greaterThan">
      <formula>1</formula>
    </cfRule>
  </conditionalFormatting>
  <conditionalFormatting sqref="H117:H119 T117:T119 Q117:Q119 N117:N119 K117:K119">
    <cfRule type="cellIs" dxfId="18" priority="1" operator="greaterThan">
      <formula>1</formula>
    </cfRule>
  </conditionalFormatting>
  <printOptions horizontalCentered="1" verticalCentered="1" gridLines="1"/>
  <pageMargins left="0.11811023622047245" right="0.11811023622047245" top="0.35433070866141736" bottom="0.35433070866141736" header="0" footer="0"/>
  <pageSetup paperSize="9" scale="12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0"/>
  <sheetViews>
    <sheetView tabSelected="1" topLeftCell="A83" zoomScaleNormal="100" workbookViewId="0">
      <selection activeCell="O105" sqref="O105"/>
    </sheetView>
  </sheetViews>
  <sheetFormatPr baseColWidth="10" defaultRowHeight="15" x14ac:dyDescent="0.25"/>
  <cols>
    <col min="1" max="1" width="5.7109375" customWidth="1"/>
    <col min="2" max="2" width="6.7109375" style="5" customWidth="1"/>
    <col min="3" max="3" width="14.7109375" customWidth="1"/>
    <col min="4" max="4" width="10.7109375" customWidth="1"/>
    <col min="5" max="5" width="10.7109375" style="5" customWidth="1"/>
    <col min="6" max="6" width="11.7109375" customWidth="1"/>
    <col min="7" max="8" width="12.7109375" customWidth="1"/>
    <col min="9" max="9" width="10.7109375" customWidth="1"/>
    <col min="10" max="10" width="10.7109375" style="10" customWidth="1"/>
    <col min="11" max="11" width="10.7109375" customWidth="1"/>
    <col min="12" max="12" width="3.7109375" customWidth="1"/>
    <col min="14" max="17" width="11.42578125" style="11"/>
  </cols>
  <sheetData>
    <row r="2" spans="2:18" ht="15.75" thickBot="1" x14ac:dyDescent="0.3"/>
    <row r="3" spans="2:18" ht="15.95" customHeight="1" x14ac:dyDescent="0.25">
      <c r="B3" s="1204" t="s">
        <v>46</v>
      </c>
      <c r="C3" s="1205"/>
      <c r="D3" s="1205"/>
      <c r="E3" s="1205"/>
      <c r="F3" s="1205"/>
      <c r="G3" s="1205"/>
      <c r="H3" s="1205"/>
      <c r="I3" s="1205"/>
      <c r="J3" s="1205"/>
      <c r="K3" s="1206"/>
      <c r="L3" s="73"/>
      <c r="M3" s="73"/>
    </row>
    <row r="4" spans="2:18" ht="15.95" customHeight="1" x14ac:dyDescent="0.25">
      <c r="B4" s="1207" t="s">
        <v>48</v>
      </c>
      <c r="C4" s="1208"/>
      <c r="D4" s="1208"/>
      <c r="E4" s="1208"/>
      <c r="F4" s="1208"/>
      <c r="G4" s="1208"/>
      <c r="H4" s="1208"/>
      <c r="I4" s="1208"/>
      <c r="J4" s="1208"/>
      <c r="K4" s="1209"/>
      <c r="L4" s="73"/>
      <c r="M4" s="73"/>
    </row>
    <row r="5" spans="2:18" ht="15.95" customHeight="1" x14ac:dyDescent="0.25">
      <c r="B5" s="1118" t="s">
        <v>124</v>
      </c>
      <c r="C5" s="1196" t="s">
        <v>26</v>
      </c>
      <c r="D5" s="1034" t="s">
        <v>110</v>
      </c>
      <c r="E5" s="1035"/>
      <c r="F5" s="1036"/>
      <c r="G5" s="1034" t="s">
        <v>75</v>
      </c>
      <c r="H5" s="1035"/>
      <c r="I5" s="1036"/>
      <c r="J5" s="1031" t="s">
        <v>105</v>
      </c>
      <c r="K5" s="1123" t="s">
        <v>190</v>
      </c>
      <c r="L5" s="73"/>
      <c r="M5" s="73"/>
      <c r="N5" s="74"/>
      <c r="O5" s="74"/>
      <c r="P5" s="74"/>
      <c r="Q5" s="74"/>
      <c r="R5" s="73"/>
    </row>
    <row r="6" spans="2:18" ht="39.950000000000003" customHeight="1" x14ac:dyDescent="0.25">
      <c r="B6" s="1119"/>
      <c r="C6" s="1196"/>
      <c r="D6" s="307" t="s">
        <v>189</v>
      </c>
      <c r="E6" s="330" t="s">
        <v>116</v>
      </c>
      <c r="F6" s="307" t="s">
        <v>81</v>
      </c>
      <c r="G6" s="306" t="s">
        <v>242</v>
      </c>
      <c r="H6" s="38" t="s">
        <v>232</v>
      </c>
      <c r="I6" s="306" t="s">
        <v>244</v>
      </c>
      <c r="J6" s="1031"/>
      <c r="K6" s="1124"/>
      <c r="L6" s="116"/>
      <c r="M6" s="200" t="s">
        <v>185</v>
      </c>
      <c r="N6" s="85" t="s">
        <v>73</v>
      </c>
      <c r="O6" s="38" t="s">
        <v>240</v>
      </c>
      <c r="P6" s="74"/>
      <c r="Q6" s="74"/>
      <c r="R6" s="73"/>
    </row>
    <row r="7" spans="2:18" x14ac:dyDescent="0.25">
      <c r="B7" s="536"/>
      <c r="C7" s="266">
        <v>1997</v>
      </c>
      <c r="D7" s="65">
        <v>47.33</v>
      </c>
      <c r="E7" s="61">
        <f>D7/M26</f>
        <v>48.237230998392846</v>
      </c>
      <c r="F7" s="174"/>
      <c r="G7" s="88"/>
      <c r="H7" s="65"/>
      <c r="I7" s="88"/>
      <c r="J7" s="61">
        <f>3*25</f>
        <v>75</v>
      </c>
      <c r="K7" s="264">
        <f>J7-25</f>
        <v>50</v>
      </c>
      <c r="L7" s="43"/>
      <c r="M7" s="261"/>
      <c r="N7" s="50"/>
      <c r="O7" s="50"/>
      <c r="P7" s="61">
        <f>3*25</f>
        <v>75</v>
      </c>
      <c r="Q7" s="42">
        <v>50</v>
      </c>
      <c r="R7" s="73"/>
    </row>
    <row r="8" spans="2:18" x14ac:dyDescent="0.25">
      <c r="B8" s="484"/>
      <c r="C8" s="101">
        <v>1998</v>
      </c>
      <c r="D8" s="40">
        <v>46.8</v>
      </c>
      <c r="E8" s="100">
        <f>D8/M26</f>
        <v>47.697071851358231</v>
      </c>
      <c r="F8" s="175">
        <f>(E8-E7)/E7</f>
        <v>-1.1197971688147099E-2</v>
      </c>
      <c r="G8" s="42"/>
      <c r="H8" s="40"/>
      <c r="I8" s="42"/>
      <c r="J8" s="62">
        <f t="shared" ref="J8:J27" si="0">3*25</f>
        <v>75</v>
      </c>
      <c r="K8" s="204">
        <f t="shared" ref="K8:K27" si="1">J8-25</f>
        <v>50</v>
      </c>
      <c r="L8" s="43"/>
      <c r="M8" s="261"/>
      <c r="N8" s="50"/>
      <c r="O8" s="50"/>
      <c r="P8" s="62">
        <f t="shared" ref="P8:P28" si="2">3*25</f>
        <v>75</v>
      </c>
      <c r="Q8" s="42">
        <v>50</v>
      </c>
      <c r="R8" s="73"/>
    </row>
    <row r="9" spans="2:18" x14ac:dyDescent="0.25">
      <c r="B9" s="484"/>
      <c r="C9" s="101">
        <v>1999</v>
      </c>
      <c r="D9" s="40">
        <v>54.47</v>
      </c>
      <c r="E9" s="100">
        <f>D9/M26</f>
        <v>55.514091960330838</v>
      </c>
      <c r="F9" s="175">
        <f t="shared" ref="F9:F27" si="3">(E9-E8)/E8</f>
        <v>0.16388888888888906</v>
      </c>
      <c r="G9" s="42"/>
      <c r="H9" s="40"/>
      <c r="I9" s="42"/>
      <c r="J9" s="62">
        <f t="shared" si="0"/>
        <v>75</v>
      </c>
      <c r="K9" s="204">
        <f t="shared" si="1"/>
        <v>50</v>
      </c>
      <c r="L9" s="43"/>
      <c r="M9" s="261"/>
      <c r="N9" s="50"/>
      <c r="O9" s="50"/>
      <c r="P9" s="62">
        <f t="shared" si="2"/>
        <v>75</v>
      </c>
      <c r="Q9" s="42">
        <v>50</v>
      </c>
      <c r="R9" s="73"/>
    </row>
    <row r="10" spans="2:18" x14ac:dyDescent="0.25">
      <c r="B10" s="484"/>
      <c r="C10" s="101">
        <v>2000</v>
      </c>
      <c r="D10" s="40">
        <v>55.3</v>
      </c>
      <c r="E10" s="100">
        <f>D10/M26</f>
        <v>56.360001567951073</v>
      </c>
      <c r="F10" s="175">
        <f t="shared" si="3"/>
        <v>1.5237745548007961E-2</v>
      </c>
      <c r="G10" s="42"/>
      <c r="H10" s="40"/>
      <c r="I10" s="42"/>
      <c r="J10" s="62">
        <f t="shared" si="0"/>
        <v>75</v>
      </c>
      <c r="K10" s="204">
        <f t="shared" si="1"/>
        <v>50</v>
      </c>
      <c r="L10" s="43"/>
      <c r="M10" s="261"/>
      <c r="N10" s="50"/>
      <c r="O10" s="50"/>
      <c r="P10" s="62">
        <f t="shared" si="2"/>
        <v>75</v>
      </c>
      <c r="Q10" s="42">
        <v>50</v>
      </c>
      <c r="R10" s="73"/>
    </row>
    <row r="11" spans="2:18" x14ac:dyDescent="0.25">
      <c r="B11" s="484"/>
      <c r="C11" s="101">
        <v>2001</v>
      </c>
      <c r="D11" s="40">
        <v>54.4</v>
      </c>
      <c r="E11" s="100">
        <f>D11/M26</f>
        <v>55.442750186194189</v>
      </c>
      <c r="F11" s="175">
        <f t="shared" si="3"/>
        <v>-1.627486437613011E-2</v>
      </c>
      <c r="G11" s="42"/>
      <c r="H11" s="40"/>
      <c r="I11" s="42"/>
      <c r="J11" s="62">
        <f t="shared" si="0"/>
        <v>75</v>
      </c>
      <c r="K11" s="204">
        <f t="shared" si="1"/>
        <v>50</v>
      </c>
      <c r="L11" s="43"/>
      <c r="M11" s="261"/>
      <c r="N11" s="50"/>
      <c r="O11" s="50"/>
      <c r="P11" s="62">
        <f t="shared" si="2"/>
        <v>75</v>
      </c>
      <c r="Q11" s="42">
        <v>50</v>
      </c>
      <c r="R11" s="73"/>
    </row>
    <row r="12" spans="2:18" x14ac:dyDescent="0.25">
      <c r="B12" s="484"/>
      <c r="C12" s="101">
        <v>2002</v>
      </c>
      <c r="D12" s="40">
        <v>57.89</v>
      </c>
      <c r="E12" s="100">
        <f>D12/M26</f>
        <v>58.999647211007016</v>
      </c>
      <c r="F12" s="175">
        <f t="shared" si="3"/>
        <v>6.4154411764705904E-2</v>
      </c>
      <c r="G12" s="42"/>
      <c r="H12" s="40"/>
      <c r="I12" s="42"/>
      <c r="J12" s="62">
        <f t="shared" si="0"/>
        <v>75</v>
      </c>
      <c r="K12" s="204">
        <f t="shared" si="1"/>
        <v>50</v>
      </c>
      <c r="L12" s="43"/>
      <c r="M12" s="261"/>
      <c r="N12" s="50"/>
      <c r="O12" s="50"/>
      <c r="P12" s="62">
        <f t="shared" si="2"/>
        <v>75</v>
      </c>
      <c r="Q12" s="42">
        <v>50</v>
      </c>
      <c r="R12" s="73"/>
    </row>
    <row r="13" spans="2:18" x14ac:dyDescent="0.25">
      <c r="B13" s="484">
        <v>8</v>
      </c>
      <c r="C13" s="101">
        <v>2003</v>
      </c>
      <c r="D13" s="40">
        <v>56.59</v>
      </c>
      <c r="E13" s="100">
        <v>58.9</v>
      </c>
      <c r="F13" s="175">
        <f t="shared" si="3"/>
        <v>-1.6889458787886951E-3</v>
      </c>
      <c r="G13" s="42"/>
      <c r="H13" s="40"/>
      <c r="I13" s="42"/>
      <c r="J13" s="62">
        <f t="shared" si="0"/>
        <v>75</v>
      </c>
      <c r="K13" s="204">
        <f t="shared" si="1"/>
        <v>50</v>
      </c>
      <c r="L13" s="43"/>
      <c r="M13" s="261">
        <v>0.96079999999999999</v>
      </c>
      <c r="N13" s="50"/>
      <c r="O13" s="50"/>
      <c r="P13" s="62">
        <f t="shared" si="2"/>
        <v>75</v>
      </c>
      <c r="Q13" s="42">
        <v>50</v>
      </c>
      <c r="R13" s="73"/>
    </row>
    <row r="14" spans="2:18" x14ac:dyDescent="0.25">
      <c r="B14" s="484">
        <v>8</v>
      </c>
      <c r="C14" s="101">
        <v>2004</v>
      </c>
      <c r="D14" s="40">
        <v>55.15</v>
      </c>
      <c r="E14" s="100">
        <v>57.51</v>
      </c>
      <c r="F14" s="175">
        <f t="shared" si="3"/>
        <v>-2.3599320882852302E-2</v>
      </c>
      <c r="G14" s="42"/>
      <c r="H14" s="40"/>
      <c r="I14" s="42"/>
      <c r="J14" s="62">
        <f t="shared" si="0"/>
        <v>75</v>
      </c>
      <c r="K14" s="204">
        <f t="shared" si="1"/>
        <v>50</v>
      </c>
      <c r="L14" s="43"/>
      <c r="M14" s="261">
        <v>0.95909999999999995</v>
      </c>
      <c r="N14" s="50"/>
      <c r="O14" s="50"/>
      <c r="P14" s="62">
        <f t="shared" si="2"/>
        <v>75</v>
      </c>
      <c r="Q14" s="42">
        <v>50</v>
      </c>
      <c r="R14" s="73"/>
    </row>
    <row r="15" spans="2:18" x14ac:dyDescent="0.25">
      <c r="B15" s="484">
        <v>6</v>
      </c>
      <c r="C15" s="101">
        <v>2005</v>
      </c>
      <c r="D15" s="40">
        <v>55.4</v>
      </c>
      <c r="E15" s="62">
        <v>57.67</v>
      </c>
      <c r="F15" s="175">
        <f t="shared" si="3"/>
        <v>2.7821248478526119E-3</v>
      </c>
      <c r="G15" s="42"/>
      <c r="H15" s="40"/>
      <c r="I15" s="42"/>
      <c r="J15" s="62">
        <f t="shared" si="0"/>
        <v>75</v>
      </c>
      <c r="K15" s="204">
        <f t="shared" si="1"/>
        <v>50</v>
      </c>
      <c r="L15" s="43"/>
      <c r="M15" s="261">
        <v>0.9607</v>
      </c>
      <c r="N15" s="50"/>
      <c r="O15" s="50"/>
      <c r="P15" s="62">
        <f t="shared" si="2"/>
        <v>75</v>
      </c>
      <c r="Q15" s="42">
        <v>50</v>
      </c>
      <c r="R15" s="73"/>
    </row>
    <row r="16" spans="2:18" x14ac:dyDescent="0.25">
      <c r="B16" s="484">
        <v>7</v>
      </c>
      <c r="C16" s="101">
        <v>2006</v>
      </c>
      <c r="D16" s="40">
        <v>56.64</v>
      </c>
      <c r="E16" s="100">
        <v>58.73</v>
      </c>
      <c r="F16" s="175">
        <f t="shared" si="3"/>
        <v>1.8380440436968876E-2</v>
      </c>
      <c r="G16" s="42"/>
      <c r="H16" s="40"/>
      <c r="I16" s="42"/>
      <c r="J16" s="62">
        <f t="shared" si="0"/>
        <v>75</v>
      </c>
      <c r="K16" s="204">
        <f t="shared" si="1"/>
        <v>50</v>
      </c>
      <c r="L16" s="43"/>
      <c r="M16" s="261">
        <v>0.96450000000000002</v>
      </c>
      <c r="N16" s="50"/>
      <c r="O16" s="50"/>
      <c r="P16" s="62">
        <f t="shared" si="2"/>
        <v>75</v>
      </c>
      <c r="Q16" s="42">
        <v>50</v>
      </c>
      <c r="R16" s="73"/>
    </row>
    <row r="17" spans="2:18" x14ac:dyDescent="0.25">
      <c r="B17" s="484">
        <v>8</v>
      </c>
      <c r="C17" s="101">
        <v>2007</v>
      </c>
      <c r="D17" s="40">
        <v>61.29</v>
      </c>
      <c r="E17" s="100">
        <v>63.44</v>
      </c>
      <c r="F17" s="175">
        <f t="shared" si="3"/>
        <v>8.0197514047335286E-2</v>
      </c>
      <c r="G17" s="42"/>
      <c r="H17" s="40"/>
      <c r="I17" s="42"/>
      <c r="J17" s="62">
        <f t="shared" si="0"/>
        <v>75</v>
      </c>
      <c r="K17" s="204">
        <f t="shared" si="1"/>
        <v>50</v>
      </c>
      <c r="L17" s="43"/>
      <c r="M17" s="261">
        <v>0.96619999999999995</v>
      </c>
      <c r="N17" s="50"/>
      <c r="O17" s="50"/>
      <c r="P17" s="62">
        <f t="shared" si="2"/>
        <v>75</v>
      </c>
      <c r="Q17" s="42">
        <v>50</v>
      </c>
      <c r="R17" s="73"/>
    </row>
    <row r="18" spans="2:18" x14ac:dyDescent="0.25">
      <c r="B18" s="484">
        <v>5</v>
      </c>
      <c r="C18" s="101">
        <v>2008</v>
      </c>
      <c r="D18" s="40">
        <v>59.69</v>
      </c>
      <c r="E18" s="100">
        <v>60.24</v>
      </c>
      <c r="F18" s="175">
        <f t="shared" si="3"/>
        <v>-5.044136191677169E-2</v>
      </c>
      <c r="G18" s="42"/>
      <c r="H18" s="40"/>
      <c r="I18" s="42"/>
      <c r="J18" s="62">
        <f t="shared" si="0"/>
        <v>75</v>
      </c>
      <c r="K18" s="204">
        <f t="shared" si="1"/>
        <v>50</v>
      </c>
      <c r="L18" s="43"/>
      <c r="M18" s="261">
        <v>0.9909</v>
      </c>
      <c r="N18" s="50"/>
      <c r="O18" s="50"/>
      <c r="P18" s="62">
        <f t="shared" si="2"/>
        <v>75</v>
      </c>
      <c r="Q18" s="42">
        <v>50</v>
      </c>
      <c r="R18" s="73"/>
    </row>
    <row r="19" spans="2:18" x14ac:dyDescent="0.25">
      <c r="B19" s="484">
        <v>7</v>
      </c>
      <c r="C19" s="101">
        <v>2009</v>
      </c>
      <c r="D19" s="40">
        <v>59.2</v>
      </c>
      <c r="E19" s="100">
        <v>60.22</v>
      </c>
      <c r="F19" s="175">
        <f t="shared" si="3"/>
        <v>-3.3200531208504527E-4</v>
      </c>
      <c r="G19" s="42"/>
      <c r="H19" s="40"/>
      <c r="I19" s="42"/>
      <c r="J19" s="62">
        <f t="shared" si="0"/>
        <v>75</v>
      </c>
      <c r="K19" s="204">
        <f t="shared" si="1"/>
        <v>50</v>
      </c>
      <c r="L19" s="43"/>
      <c r="M19" s="261">
        <v>0.98309999999999997</v>
      </c>
      <c r="N19" s="50"/>
      <c r="O19" s="50"/>
      <c r="P19" s="62">
        <f t="shared" si="2"/>
        <v>75</v>
      </c>
      <c r="Q19" s="42">
        <v>50</v>
      </c>
      <c r="R19" s="73"/>
    </row>
    <row r="20" spans="2:18" x14ac:dyDescent="0.25">
      <c r="B20" s="484">
        <v>8</v>
      </c>
      <c r="C20" s="101">
        <v>2010</v>
      </c>
      <c r="D20" s="40">
        <f>M26*E20</f>
        <v>65.533345869137648</v>
      </c>
      <c r="E20" s="62">
        <v>66.789502277354032</v>
      </c>
      <c r="F20" s="175">
        <f t="shared" si="3"/>
        <v>0.10909170171627422</v>
      </c>
      <c r="G20" s="42"/>
      <c r="H20" s="40"/>
      <c r="I20" s="42"/>
      <c r="J20" s="62">
        <f t="shared" si="0"/>
        <v>75</v>
      </c>
      <c r="K20" s="204">
        <f t="shared" si="1"/>
        <v>50</v>
      </c>
      <c r="L20" s="43"/>
      <c r="M20" s="261">
        <v>0.99319999999999997</v>
      </c>
      <c r="N20" s="175"/>
      <c r="O20" s="50"/>
      <c r="P20" s="62">
        <f t="shared" si="2"/>
        <v>75</v>
      </c>
      <c r="Q20" s="42">
        <v>50</v>
      </c>
      <c r="R20" s="73"/>
    </row>
    <row r="21" spans="2:18" x14ac:dyDescent="0.25">
      <c r="B21" s="484">
        <v>8</v>
      </c>
      <c r="C21" s="101">
        <v>2011</v>
      </c>
      <c r="D21" s="40">
        <f>M26*E21</f>
        <v>70.142181897825878</v>
      </c>
      <c r="E21" s="100">
        <v>71.486681405804276</v>
      </c>
      <c r="F21" s="175">
        <f t="shared" si="3"/>
        <v>7.0328104990878076E-2</v>
      </c>
      <c r="G21" s="42"/>
      <c r="H21" s="40"/>
      <c r="I21" s="42"/>
      <c r="J21" s="62">
        <f t="shared" si="0"/>
        <v>75</v>
      </c>
      <c r="K21" s="204">
        <f t="shared" si="1"/>
        <v>50</v>
      </c>
      <c r="L21" s="43"/>
      <c r="M21" s="261">
        <v>0.98829999999999996</v>
      </c>
      <c r="N21" s="50"/>
      <c r="O21" s="50"/>
      <c r="P21" s="62">
        <f t="shared" si="2"/>
        <v>75</v>
      </c>
      <c r="Q21" s="42">
        <v>50</v>
      </c>
      <c r="R21" s="73"/>
    </row>
    <row r="22" spans="2:18" x14ac:dyDescent="0.25">
      <c r="B22" s="484">
        <v>7</v>
      </c>
      <c r="C22" s="101">
        <v>2012</v>
      </c>
      <c r="D22" s="40">
        <f>M26*E22</f>
        <v>70.672807846061303</v>
      </c>
      <c r="E22" s="62">
        <v>72.0274784993765</v>
      </c>
      <c r="F22" s="175">
        <f t="shared" si="3"/>
        <v>7.5650048783536608E-3</v>
      </c>
      <c r="G22" s="42"/>
      <c r="H22" s="40"/>
      <c r="I22" s="42"/>
      <c r="J22" s="62">
        <f t="shared" si="0"/>
        <v>75</v>
      </c>
      <c r="K22" s="204">
        <f t="shared" si="1"/>
        <v>50</v>
      </c>
      <c r="L22" s="43"/>
      <c r="M22" s="261">
        <v>0.98870000000000002</v>
      </c>
      <c r="N22" s="175"/>
      <c r="O22" s="50"/>
      <c r="P22" s="62">
        <f t="shared" si="2"/>
        <v>75</v>
      </c>
      <c r="Q22" s="42">
        <v>50</v>
      </c>
      <c r="R22" s="73"/>
    </row>
    <row r="23" spans="2:18" x14ac:dyDescent="0.25">
      <c r="B23" s="484">
        <v>7</v>
      </c>
      <c r="C23" s="101">
        <v>2013</v>
      </c>
      <c r="D23" s="40">
        <f>M26*E23</f>
        <v>72.672600339032059</v>
      </c>
      <c r="E23" s="100">
        <v>74.065603418714815</v>
      </c>
      <c r="F23" s="175">
        <f t="shared" si="3"/>
        <v>2.8296491308604652E-2</v>
      </c>
      <c r="G23" s="42"/>
      <c r="H23" s="40"/>
      <c r="I23" s="42"/>
      <c r="J23" s="62">
        <f t="shared" si="0"/>
        <v>75</v>
      </c>
      <c r="K23" s="204">
        <f t="shared" si="1"/>
        <v>50</v>
      </c>
      <c r="L23" s="43"/>
      <c r="M23" s="261">
        <v>1</v>
      </c>
      <c r="N23" s="50"/>
      <c r="O23" s="50"/>
      <c r="P23" s="62">
        <f t="shared" si="2"/>
        <v>75</v>
      </c>
      <c r="Q23" s="42">
        <v>50</v>
      </c>
      <c r="R23" s="73"/>
    </row>
    <row r="24" spans="2:18" x14ac:dyDescent="0.25">
      <c r="B24" s="484">
        <v>7</v>
      </c>
      <c r="C24" s="101">
        <v>2014</v>
      </c>
      <c r="D24" s="40">
        <f>M26*E24</f>
        <v>70.382553522686891</v>
      </c>
      <c r="E24" s="100">
        <v>71.731660522514176</v>
      </c>
      <c r="F24" s="175">
        <f t="shared" si="3"/>
        <v>-3.1511832598003262E-2</v>
      </c>
      <c r="G24" s="42"/>
      <c r="H24" s="40"/>
      <c r="I24" s="42"/>
      <c r="J24" s="62">
        <f t="shared" si="0"/>
        <v>75</v>
      </c>
      <c r="K24" s="204">
        <f t="shared" si="1"/>
        <v>50</v>
      </c>
      <c r="L24" s="43"/>
      <c r="M24" s="261">
        <v>1</v>
      </c>
      <c r="N24" s="175"/>
      <c r="O24" s="50"/>
      <c r="P24" s="62">
        <f t="shared" si="2"/>
        <v>75</v>
      </c>
      <c r="Q24" s="42">
        <v>50</v>
      </c>
      <c r="R24" s="73"/>
    </row>
    <row r="25" spans="2:18" x14ac:dyDescent="0.25">
      <c r="B25" s="484">
        <v>1</v>
      </c>
      <c r="C25" s="101">
        <v>2015</v>
      </c>
      <c r="D25" s="40">
        <f>M26*E25</f>
        <v>76.845207815720542</v>
      </c>
      <c r="E25" s="100">
        <v>78.318192278183304</v>
      </c>
      <c r="F25" s="175">
        <f t="shared" si="3"/>
        <v>9.182182188019801E-2</v>
      </c>
      <c r="G25" s="42"/>
      <c r="H25" s="40"/>
      <c r="I25" s="42"/>
      <c r="J25" s="62">
        <f t="shared" si="0"/>
        <v>75</v>
      </c>
      <c r="K25" s="204">
        <f t="shared" si="1"/>
        <v>50</v>
      </c>
      <c r="L25" s="43"/>
      <c r="M25" s="261">
        <v>1</v>
      </c>
      <c r="N25" s="311"/>
      <c r="O25" s="50"/>
      <c r="P25" s="62">
        <f t="shared" si="2"/>
        <v>75</v>
      </c>
      <c r="Q25" s="42">
        <v>50</v>
      </c>
      <c r="R25" s="73"/>
    </row>
    <row r="26" spans="2:18" x14ac:dyDescent="0.25">
      <c r="B26" s="196">
        <v>2</v>
      </c>
      <c r="C26" s="101">
        <v>2016</v>
      </c>
      <c r="D26" s="40">
        <v>68.64</v>
      </c>
      <c r="E26" s="62">
        <v>75.010000000000005</v>
      </c>
      <c r="F26" s="175">
        <f t="shared" si="3"/>
        <v>-4.2240406500097992E-2</v>
      </c>
      <c r="G26" s="258"/>
      <c r="H26" s="258"/>
      <c r="I26" s="258"/>
      <c r="J26" s="62">
        <f t="shared" si="0"/>
        <v>75</v>
      </c>
      <c r="K26" s="204">
        <f t="shared" si="1"/>
        <v>50</v>
      </c>
      <c r="L26" s="43"/>
      <c r="M26" s="261">
        <f>AVERAGE(M13:M25)</f>
        <v>0.9811923076923077</v>
      </c>
      <c r="N26" s="50"/>
      <c r="O26" s="390" t="e">
        <f>(H26-H25)/H25</f>
        <v>#DIV/0!</v>
      </c>
      <c r="P26" s="62">
        <f t="shared" si="2"/>
        <v>75</v>
      </c>
      <c r="Q26" s="42">
        <v>50</v>
      </c>
      <c r="R26" s="73"/>
    </row>
    <row r="27" spans="2:18" x14ac:dyDescent="0.25">
      <c r="B27" s="196"/>
      <c r="C27" s="101">
        <v>2017</v>
      </c>
      <c r="D27" s="40"/>
      <c r="E27" s="62">
        <v>100</v>
      </c>
      <c r="F27" s="175">
        <f t="shared" si="3"/>
        <v>0.33315557925609912</v>
      </c>
      <c r="G27" s="258"/>
      <c r="H27" s="258">
        <f>E27</f>
        <v>100</v>
      </c>
      <c r="I27" s="258">
        <f>E27</f>
        <v>100</v>
      </c>
      <c r="J27" s="62">
        <f t="shared" si="0"/>
        <v>75</v>
      </c>
      <c r="K27" s="204">
        <f t="shared" si="1"/>
        <v>50</v>
      </c>
      <c r="L27" s="43"/>
      <c r="M27" s="261"/>
      <c r="N27" s="383" t="e">
        <f>(G27-G26)/G26</f>
        <v>#DIV/0!</v>
      </c>
      <c r="O27" s="390" t="e">
        <f>(H27-H26)/H26</f>
        <v>#DIV/0!</v>
      </c>
      <c r="P27" s="62">
        <f t="shared" si="2"/>
        <v>75</v>
      </c>
      <c r="Q27" s="42">
        <v>50</v>
      </c>
      <c r="R27" s="73"/>
    </row>
    <row r="28" spans="2:18" x14ac:dyDescent="0.25">
      <c r="B28" s="197"/>
      <c r="C28" s="107">
        <v>2018</v>
      </c>
      <c r="D28" s="55"/>
      <c r="E28" s="109"/>
      <c r="F28" s="187"/>
      <c r="G28" s="374"/>
      <c r="H28" s="375"/>
      <c r="I28" s="393">
        <f t="shared" ref="I28:I37" si="4">1.045*I27</f>
        <v>104.5</v>
      </c>
      <c r="J28" s="62">
        <f t="shared" ref="J28:J37" si="5">2*55+1*25</f>
        <v>135</v>
      </c>
      <c r="K28" s="204">
        <f t="shared" ref="K28:K37" si="6">J28-55</f>
        <v>80</v>
      </c>
      <c r="L28" s="43"/>
      <c r="M28" s="261"/>
      <c r="N28" s="383" t="e">
        <f>(G28-G27)/G27</f>
        <v>#DIV/0!</v>
      </c>
      <c r="O28" s="390">
        <f>(H28-H27)/H27</f>
        <v>-1</v>
      </c>
      <c r="P28" s="62">
        <f t="shared" si="2"/>
        <v>75</v>
      </c>
      <c r="Q28" s="42">
        <v>50</v>
      </c>
      <c r="R28" s="73"/>
    </row>
    <row r="29" spans="2:18" x14ac:dyDescent="0.25">
      <c r="B29" s="197"/>
      <c r="C29" s="107">
        <v>2019</v>
      </c>
      <c r="D29" s="55"/>
      <c r="E29" s="109"/>
      <c r="F29" s="187"/>
      <c r="G29" s="374"/>
      <c r="H29" s="375"/>
      <c r="I29" s="393">
        <f t="shared" si="4"/>
        <v>109.20249999999999</v>
      </c>
      <c r="J29" s="62">
        <f t="shared" si="5"/>
        <v>135</v>
      </c>
      <c r="K29" s="204">
        <f t="shared" si="6"/>
        <v>80</v>
      </c>
      <c r="L29" s="43"/>
      <c r="M29" s="261"/>
      <c r="N29" s="383" t="e">
        <f t="shared" ref="N29:N35" si="7">(G29-G28)/G28</f>
        <v>#DIV/0!</v>
      </c>
      <c r="O29" s="390" t="e">
        <f>(H29-H28)/H28</f>
        <v>#DIV/0!</v>
      </c>
      <c r="P29" s="74"/>
      <c r="Q29" s="74"/>
      <c r="R29" s="73"/>
    </row>
    <row r="30" spans="2:18" x14ac:dyDescent="0.25">
      <c r="B30" s="197"/>
      <c r="C30" s="107">
        <v>2020</v>
      </c>
      <c r="D30" s="55"/>
      <c r="E30" s="109"/>
      <c r="F30" s="187"/>
      <c r="G30" s="374"/>
      <c r="H30" s="375"/>
      <c r="I30" s="393">
        <f t="shared" si="4"/>
        <v>114.11661249999997</v>
      </c>
      <c r="J30" s="62">
        <f t="shared" si="5"/>
        <v>135</v>
      </c>
      <c r="K30" s="204">
        <f t="shared" si="6"/>
        <v>80</v>
      </c>
      <c r="L30" s="43"/>
      <c r="M30" s="261"/>
      <c r="N30" s="383" t="e">
        <f t="shared" si="7"/>
        <v>#DIV/0!</v>
      </c>
      <c r="O30" s="390" t="e">
        <f>(H30-H29)/H29</f>
        <v>#DIV/0!</v>
      </c>
      <c r="P30" s="74"/>
      <c r="Q30" s="74"/>
      <c r="R30" s="73"/>
    </row>
    <row r="31" spans="2:18" x14ac:dyDescent="0.25">
      <c r="B31" s="197"/>
      <c r="C31" s="107">
        <v>2021</v>
      </c>
      <c r="D31" s="524"/>
      <c r="E31" s="107"/>
      <c r="F31" s="187"/>
      <c r="G31" s="374"/>
      <c r="H31" s="375"/>
      <c r="I31" s="393">
        <f t="shared" si="4"/>
        <v>119.25186006249996</v>
      </c>
      <c r="J31" s="62">
        <f t="shared" si="5"/>
        <v>135</v>
      </c>
      <c r="K31" s="204">
        <f t="shared" si="6"/>
        <v>80</v>
      </c>
      <c r="L31" s="43"/>
      <c r="M31" s="261"/>
      <c r="N31" s="383" t="e">
        <f t="shared" si="7"/>
        <v>#DIV/0!</v>
      </c>
      <c r="O31" s="390"/>
      <c r="P31" s="74"/>
      <c r="Q31" s="74"/>
      <c r="R31" s="73"/>
    </row>
    <row r="32" spans="2:18" x14ac:dyDescent="0.25">
      <c r="B32" s="197"/>
      <c r="C32" s="107">
        <v>2022</v>
      </c>
      <c r="D32" s="524"/>
      <c r="E32" s="107"/>
      <c r="F32" s="187"/>
      <c r="G32" s="374"/>
      <c r="H32" s="375"/>
      <c r="I32" s="393">
        <f t="shared" si="4"/>
        <v>124.61819376531244</v>
      </c>
      <c r="J32" s="62">
        <f t="shared" si="5"/>
        <v>135</v>
      </c>
      <c r="K32" s="204">
        <f t="shared" si="6"/>
        <v>80</v>
      </c>
      <c r="L32" s="73"/>
      <c r="M32" s="263"/>
      <c r="N32" s="383" t="e">
        <f t="shared" si="7"/>
        <v>#DIV/0!</v>
      </c>
      <c r="O32" s="390"/>
      <c r="P32" s="74"/>
      <c r="Q32" s="74"/>
      <c r="R32" s="73"/>
    </row>
    <row r="33" spans="2:18" x14ac:dyDescent="0.25">
      <c r="B33" s="197"/>
      <c r="C33" s="107">
        <v>2023</v>
      </c>
      <c r="D33" s="524"/>
      <c r="E33" s="107"/>
      <c r="F33" s="187"/>
      <c r="G33" s="374"/>
      <c r="H33" s="375"/>
      <c r="I33" s="393">
        <f t="shared" si="4"/>
        <v>130.22601248475149</v>
      </c>
      <c r="J33" s="62">
        <f t="shared" si="5"/>
        <v>135</v>
      </c>
      <c r="K33" s="204">
        <f t="shared" si="6"/>
        <v>80</v>
      </c>
      <c r="L33" s="73"/>
      <c r="M33" s="268"/>
      <c r="N33" s="383" t="e">
        <f t="shared" si="7"/>
        <v>#DIV/0!</v>
      </c>
      <c r="O33" s="390"/>
      <c r="P33" s="74"/>
      <c r="Q33" s="74"/>
      <c r="R33" s="73"/>
    </row>
    <row r="34" spans="2:18" x14ac:dyDescent="0.25">
      <c r="B34" s="197"/>
      <c r="C34" s="107">
        <v>2024</v>
      </c>
      <c r="D34" s="524"/>
      <c r="E34" s="107"/>
      <c r="F34" s="187"/>
      <c r="G34" s="374"/>
      <c r="H34" s="375"/>
      <c r="I34" s="393">
        <f t="shared" si="4"/>
        <v>136.08618304656531</v>
      </c>
      <c r="J34" s="62">
        <f t="shared" si="5"/>
        <v>135</v>
      </c>
      <c r="K34" s="204">
        <f t="shared" si="6"/>
        <v>80</v>
      </c>
      <c r="L34" s="73"/>
      <c r="M34" s="268"/>
      <c r="N34" s="383" t="e">
        <f t="shared" si="7"/>
        <v>#DIV/0!</v>
      </c>
      <c r="O34" s="390"/>
      <c r="P34" s="74"/>
      <c r="Q34" s="74"/>
      <c r="R34" s="73"/>
    </row>
    <row r="35" spans="2:18" x14ac:dyDescent="0.25">
      <c r="B35" s="197"/>
      <c r="C35" s="107">
        <v>2025</v>
      </c>
      <c r="D35" s="524"/>
      <c r="E35" s="107"/>
      <c r="F35" s="187"/>
      <c r="G35" s="374"/>
      <c r="H35" s="375"/>
      <c r="I35" s="393">
        <f t="shared" si="4"/>
        <v>142.21006128366074</v>
      </c>
      <c r="J35" s="62">
        <f t="shared" si="5"/>
        <v>135</v>
      </c>
      <c r="K35" s="204">
        <f t="shared" si="6"/>
        <v>80</v>
      </c>
      <c r="L35" s="73"/>
      <c r="M35" s="268"/>
      <c r="N35" s="383" t="e">
        <f t="shared" si="7"/>
        <v>#DIV/0!</v>
      </c>
      <c r="O35" s="390"/>
      <c r="P35" s="74"/>
      <c r="Q35" s="74"/>
      <c r="R35" s="73"/>
    </row>
    <row r="36" spans="2:18" x14ac:dyDescent="0.25">
      <c r="B36" s="506"/>
      <c r="C36" s="107">
        <v>2026</v>
      </c>
      <c r="D36" s="515"/>
      <c r="E36" s="514"/>
      <c r="F36" s="514"/>
      <c r="G36" s="374"/>
      <c r="H36" s="516"/>
      <c r="I36" s="393">
        <f t="shared" si="4"/>
        <v>148.60951404142546</v>
      </c>
      <c r="J36" s="62">
        <f t="shared" si="5"/>
        <v>135</v>
      </c>
      <c r="K36" s="204">
        <f t="shared" si="6"/>
        <v>80</v>
      </c>
      <c r="N36" s="364" t="e">
        <f>AVERAGE(N27:N35)</f>
        <v>#DIV/0!</v>
      </c>
      <c r="O36" s="397" t="e">
        <f>AVERAGE(O27:O30)</f>
        <v>#DIV/0!</v>
      </c>
    </row>
    <row r="37" spans="2:18" ht="15.75" thickBot="1" x14ac:dyDescent="0.3">
      <c r="B37" s="507"/>
      <c r="C37" s="207">
        <v>2027</v>
      </c>
      <c r="D37" s="518"/>
      <c r="E37" s="517"/>
      <c r="F37" s="517"/>
      <c r="G37" s="376"/>
      <c r="H37" s="520"/>
      <c r="I37" s="396">
        <f t="shared" si="4"/>
        <v>155.29694217328958</v>
      </c>
      <c r="J37" s="183">
        <f t="shared" si="5"/>
        <v>135</v>
      </c>
      <c r="K37" s="206">
        <f t="shared" si="6"/>
        <v>80</v>
      </c>
    </row>
    <row r="38" spans="2:18" x14ac:dyDescent="0.25">
      <c r="B38" s="10"/>
      <c r="C38" s="10"/>
      <c r="D38" s="10"/>
      <c r="E38" s="10"/>
      <c r="F38" s="398">
        <f>AVERAGE(F8:F27)</f>
        <v>4.0380656020564565E-2</v>
      </c>
      <c r="G38" s="10"/>
      <c r="H38" s="10"/>
      <c r="I38" s="10"/>
      <c r="K38" s="10"/>
    </row>
    <row r="39" spans="2:18" ht="15.75" thickBot="1" x14ac:dyDescent="0.3"/>
    <row r="40" spans="2:18" ht="20.100000000000001" customHeight="1" thickBot="1" x14ac:dyDescent="0.3">
      <c r="B40"/>
      <c r="C40" s="1037" t="s">
        <v>46</v>
      </c>
      <c r="D40" s="1038"/>
      <c r="E40" s="1038"/>
      <c r="F40" s="1038"/>
      <c r="G40" s="1038"/>
      <c r="H40" s="1038"/>
      <c r="I40" s="1038"/>
      <c r="J40" s="1038"/>
      <c r="K40" s="1039"/>
    </row>
    <row r="41" spans="2:18" ht="15.95" customHeight="1" thickBot="1" x14ac:dyDescent="0.3">
      <c r="B41"/>
      <c r="C41" s="1201" t="s">
        <v>326</v>
      </c>
      <c r="D41" s="1202"/>
      <c r="E41" s="1202"/>
      <c r="F41" s="1202"/>
      <c r="G41" s="1202"/>
      <c r="H41" s="1202"/>
      <c r="I41" s="1202"/>
      <c r="J41" s="1202"/>
      <c r="K41" s="1203"/>
      <c r="M41" s="342" t="s">
        <v>315</v>
      </c>
      <c r="N41" s="811"/>
      <c r="O41" s="811"/>
      <c r="P41" s="11" t="s">
        <v>319</v>
      </c>
    </row>
    <row r="42" spans="2:18" ht="15.95" customHeight="1" thickBot="1" x14ac:dyDescent="0.3">
      <c r="B42" s="1043" t="s">
        <v>26</v>
      </c>
      <c r="C42" s="1043" t="s">
        <v>35</v>
      </c>
      <c r="D42" s="1045" t="s">
        <v>110</v>
      </c>
      <c r="E42" s="1046"/>
      <c r="F42" s="1047"/>
      <c r="G42" s="1045" t="s">
        <v>74</v>
      </c>
      <c r="H42" s="1047"/>
      <c r="I42" s="1043" t="s">
        <v>180</v>
      </c>
      <c r="J42" s="1043" t="s">
        <v>268</v>
      </c>
      <c r="K42" s="1049" t="s">
        <v>269</v>
      </c>
      <c r="M42" s="342" t="s">
        <v>316</v>
      </c>
      <c r="N42" s="811"/>
      <c r="O42" s="811"/>
    </row>
    <row r="43" spans="2:18" ht="35.1" customHeight="1" thickBot="1" x14ac:dyDescent="0.3">
      <c r="B43" s="1044"/>
      <c r="C43" s="1044"/>
      <c r="D43" s="541" t="s">
        <v>174</v>
      </c>
      <c r="E43" s="541" t="s">
        <v>122</v>
      </c>
      <c r="F43" s="541" t="s">
        <v>343</v>
      </c>
      <c r="G43" s="737" t="s">
        <v>170</v>
      </c>
      <c r="H43" s="933" t="s">
        <v>270</v>
      </c>
      <c r="I43" s="1044"/>
      <c r="J43" s="1044"/>
      <c r="K43" s="1175"/>
      <c r="N43" s="992" t="s">
        <v>354</v>
      </c>
      <c r="O43" s="993" t="s">
        <v>355</v>
      </c>
      <c r="P43" s="991" t="s">
        <v>374</v>
      </c>
    </row>
    <row r="44" spans="2:18" ht="15" customHeight="1" x14ac:dyDescent="0.25">
      <c r="B44" s="674">
        <v>1997</v>
      </c>
      <c r="C44" s="782">
        <v>1997</v>
      </c>
      <c r="D44" s="648">
        <v>47.33</v>
      </c>
      <c r="E44" s="657">
        <v>48.237230998392846</v>
      </c>
      <c r="F44" s="731"/>
      <c r="G44" s="658">
        <f t="shared" ref="G44:G64" si="8">1.2303*B44-2406.9</f>
        <v>50.009099999999762</v>
      </c>
      <c r="H44" s="657"/>
      <c r="I44" s="579">
        <f>3*25</f>
        <v>75</v>
      </c>
      <c r="J44" s="579">
        <f>I44-25</f>
        <v>50</v>
      </c>
      <c r="K44" s="679">
        <f>E44/I44</f>
        <v>0.64316307997857125</v>
      </c>
      <c r="N44" s="957">
        <f>E44-G44</f>
        <v>-1.7718690016069161</v>
      </c>
      <c r="O44" s="994">
        <f>N44*N44</f>
        <v>3.1395197588554895</v>
      </c>
      <c r="P44" s="11">
        <f>B64-B44</f>
        <v>20</v>
      </c>
    </row>
    <row r="45" spans="2:18" ht="15" customHeight="1" x14ac:dyDescent="0.25">
      <c r="B45" s="675">
        <v>1998</v>
      </c>
      <c r="C45" s="783">
        <v>1998</v>
      </c>
      <c r="D45" s="650">
        <v>46.8</v>
      </c>
      <c r="E45" s="658">
        <v>47.697071851358231</v>
      </c>
      <c r="F45" s="729">
        <f t="shared" ref="F45:F64" si="9">(E45-E44)/E44</f>
        <v>-1.1197971688147099E-2</v>
      </c>
      <c r="G45" s="658">
        <f t="shared" si="8"/>
        <v>51.239399999999932</v>
      </c>
      <c r="H45" s="658"/>
      <c r="I45" s="581">
        <f t="shared" ref="I45:I64" si="10">3*25</f>
        <v>75</v>
      </c>
      <c r="J45" s="581">
        <f t="shared" ref="J45:J64" si="11">I45-25</f>
        <v>50</v>
      </c>
      <c r="K45" s="680">
        <f t="shared" ref="K45:K64" si="12">E45/I45</f>
        <v>0.6359609580181097</v>
      </c>
      <c r="N45" s="937">
        <f t="shared" ref="N45:N64" si="13">E45-G45</f>
        <v>-3.5423281486417011</v>
      </c>
      <c r="O45" s="938">
        <f t="shared" ref="O45:O64" si="14">N45*N45</f>
        <v>12.548088712659341</v>
      </c>
    </row>
    <row r="46" spans="2:18" ht="15" customHeight="1" x14ac:dyDescent="0.25">
      <c r="B46" s="675">
        <v>1999</v>
      </c>
      <c r="C46" s="783">
        <v>1999</v>
      </c>
      <c r="D46" s="650">
        <v>54.47</v>
      </c>
      <c r="E46" s="658">
        <v>55.514091960330838</v>
      </c>
      <c r="F46" s="729">
        <f t="shared" si="9"/>
        <v>0.16388888888888906</v>
      </c>
      <c r="G46" s="658">
        <f t="shared" si="8"/>
        <v>52.469699999999648</v>
      </c>
      <c r="H46" s="658"/>
      <c r="I46" s="581">
        <f t="shared" si="10"/>
        <v>75</v>
      </c>
      <c r="J46" s="581">
        <f t="shared" si="11"/>
        <v>50</v>
      </c>
      <c r="K46" s="680">
        <f t="shared" si="12"/>
        <v>0.74018789280441122</v>
      </c>
      <c r="N46" s="937">
        <f t="shared" si="13"/>
        <v>3.0443919603311898</v>
      </c>
      <c r="O46" s="938">
        <f t="shared" si="14"/>
        <v>9.2683224081291851</v>
      </c>
    </row>
    <row r="47" spans="2:18" ht="15" customHeight="1" x14ac:dyDescent="0.25">
      <c r="B47" s="675">
        <v>2000</v>
      </c>
      <c r="C47" s="783">
        <v>2000</v>
      </c>
      <c r="D47" s="650">
        <v>55.3</v>
      </c>
      <c r="E47" s="658">
        <v>56.360001567951073</v>
      </c>
      <c r="F47" s="729">
        <f t="shared" si="9"/>
        <v>1.5237745548007961E-2</v>
      </c>
      <c r="G47" s="658">
        <f t="shared" si="8"/>
        <v>53.699999999999818</v>
      </c>
      <c r="H47" s="658"/>
      <c r="I47" s="581">
        <f t="shared" si="10"/>
        <v>75</v>
      </c>
      <c r="J47" s="581">
        <f t="shared" si="11"/>
        <v>50</v>
      </c>
      <c r="K47" s="680">
        <f t="shared" si="12"/>
        <v>0.75146668757268098</v>
      </c>
      <c r="N47" s="937">
        <f t="shared" si="13"/>
        <v>2.6600015679512552</v>
      </c>
      <c r="O47" s="938">
        <f t="shared" si="14"/>
        <v>7.0756083415031359</v>
      </c>
    </row>
    <row r="48" spans="2:18" ht="15" customHeight="1" x14ac:dyDescent="0.25">
      <c r="B48" s="675">
        <v>2001</v>
      </c>
      <c r="C48" s="783">
        <v>2001</v>
      </c>
      <c r="D48" s="650">
        <v>54.4</v>
      </c>
      <c r="E48" s="658">
        <v>55.442750186194189</v>
      </c>
      <c r="F48" s="729">
        <f t="shared" si="9"/>
        <v>-1.627486437613011E-2</v>
      </c>
      <c r="G48" s="658">
        <f t="shared" si="8"/>
        <v>54.930299999999988</v>
      </c>
      <c r="H48" s="658"/>
      <c r="I48" s="581">
        <f t="shared" si="10"/>
        <v>75</v>
      </c>
      <c r="J48" s="581">
        <f t="shared" si="11"/>
        <v>50</v>
      </c>
      <c r="K48" s="680">
        <f t="shared" si="12"/>
        <v>0.7392366691492559</v>
      </c>
      <c r="N48" s="937">
        <f t="shared" si="13"/>
        <v>0.5124501861942008</v>
      </c>
      <c r="O48" s="938">
        <f t="shared" si="14"/>
        <v>0.26260519333047105</v>
      </c>
    </row>
    <row r="49" spans="2:17" ht="15" customHeight="1" x14ac:dyDescent="0.25">
      <c r="B49" s="675">
        <v>2002</v>
      </c>
      <c r="C49" s="783">
        <v>2002</v>
      </c>
      <c r="D49" s="650">
        <v>57.89</v>
      </c>
      <c r="E49" s="658">
        <v>58.999647211007016</v>
      </c>
      <c r="F49" s="729">
        <f t="shared" si="9"/>
        <v>6.4154411764705904E-2</v>
      </c>
      <c r="G49" s="658">
        <f t="shared" si="8"/>
        <v>56.160599999999704</v>
      </c>
      <c r="H49" s="658"/>
      <c r="I49" s="581">
        <f t="shared" si="10"/>
        <v>75</v>
      </c>
      <c r="J49" s="581">
        <f t="shared" si="11"/>
        <v>50</v>
      </c>
      <c r="K49" s="680">
        <f t="shared" si="12"/>
        <v>0.78666196281342693</v>
      </c>
      <c r="N49" s="937">
        <f t="shared" si="13"/>
        <v>2.8390472110073119</v>
      </c>
      <c r="O49" s="938">
        <f t="shared" si="14"/>
        <v>8.0601890663283964</v>
      </c>
    </row>
    <row r="50" spans="2:17" ht="15" customHeight="1" x14ac:dyDescent="0.25">
      <c r="B50" s="675">
        <v>2003</v>
      </c>
      <c r="C50" s="732">
        <v>37860.46875</v>
      </c>
      <c r="D50" s="650">
        <v>56.59</v>
      </c>
      <c r="E50" s="658">
        <v>58.9</v>
      </c>
      <c r="F50" s="729">
        <f t="shared" si="9"/>
        <v>-1.6889458787886951E-3</v>
      </c>
      <c r="G50" s="658">
        <f t="shared" si="8"/>
        <v>57.390899999999874</v>
      </c>
      <c r="H50" s="658"/>
      <c r="I50" s="581">
        <f t="shared" si="10"/>
        <v>75</v>
      </c>
      <c r="J50" s="581">
        <f t="shared" si="11"/>
        <v>50</v>
      </c>
      <c r="K50" s="680">
        <f t="shared" si="12"/>
        <v>0.78533333333333333</v>
      </c>
      <c r="N50" s="937">
        <f t="shared" si="13"/>
        <v>1.5091000000001245</v>
      </c>
      <c r="O50" s="938">
        <f t="shared" si="14"/>
        <v>2.2773828100003755</v>
      </c>
    </row>
    <row r="51" spans="2:17" ht="15" customHeight="1" x14ac:dyDescent="0.25">
      <c r="B51" s="675">
        <v>2004</v>
      </c>
      <c r="C51" s="732">
        <v>38218.447916666664</v>
      </c>
      <c r="D51" s="650">
        <v>55.15</v>
      </c>
      <c r="E51" s="658">
        <v>57.51</v>
      </c>
      <c r="F51" s="729">
        <f t="shared" si="9"/>
        <v>-2.3599320882852302E-2</v>
      </c>
      <c r="G51" s="658">
        <f t="shared" si="8"/>
        <v>58.62119999999959</v>
      </c>
      <c r="H51" s="658"/>
      <c r="I51" s="581">
        <f t="shared" si="10"/>
        <v>75</v>
      </c>
      <c r="J51" s="581">
        <f t="shared" si="11"/>
        <v>50</v>
      </c>
      <c r="K51" s="680">
        <f t="shared" si="12"/>
        <v>0.76679999999999993</v>
      </c>
      <c r="N51" s="937">
        <f t="shared" si="13"/>
        <v>-1.1111999999995916</v>
      </c>
      <c r="O51" s="938">
        <f t="shared" si="14"/>
        <v>1.2347654399990924</v>
      </c>
    </row>
    <row r="52" spans="2:17" ht="15" customHeight="1" x14ac:dyDescent="0.25">
      <c r="B52" s="675">
        <v>2005</v>
      </c>
      <c r="C52" s="732">
        <v>38518.458333333336</v>
      </c>
      <c r="D52" s="650">
        <v>55.4</v>
      </c>
      <c r="E52" s="658">
        <v>57.67</v>
      </c>
      <c r="F52" s="729">
        <f t="shared" si="9"/>
        <v>2.7821248478526119E-3</v>
      </c>
      <c r="G52" s="658">
        <f t="shared" si="8"/>
        <v>59.85149999999976</v>
      </c>
      <c r="H52" s="658"/>
      <c r="I52" s="581">
        <f t="shared" si="10"/>
        <v>75</v>
      </c>
      <c r="J52" s="581">
        <f t="shared" si="11"/>
        <v>50</v>
      </c>
      <c r="K52" s="680">
        <f t="shared" si="12"/>
        <v>0.76893333333333336</v>
      </c>
      <c r="N52" s="937">
        <f t="shared" si="13"/>
        <v>-2.1814999999997582</v>
      </c>
      <c r="O52" s="938">
        <f t="shared" si="14"/>
        <v>4.7589422499989453</v>
      </c>
    </row>
    <row r="53" spans="2:17" ht="15" customHeight="1" x14ac:dyDescent="0.25">
      <c r="B53" s="675">
        <v>2006</v>
      </c>
      <c r="C53" s="732">
        <v>38929.427083333336</v>
      </c>
      <c r="D53" s="650">
        <v>56.64</v>
      </c>
      <c r="E53" s="658">
        <v>58.73</v>
      </c>
      <c r="F53" s="729">
        <f t="shared" si="9"/>
        <v>1.8380440436968876E-2</v>
      </c>
      <c r="G53" s="658">
        <f t="shared" si="8"/>
        <v>61.08179999999993</v>
      </c>
      <c r="H53" s="658"/>
      <c r="I53" s="581">
        <f t="shared" si="10"/>
        <v>75</v>
      </c>
      <c r="J53" s="581">
        <f t="shared" si="11"/>
        <v>50</v>
      </c>
      <c r="K53" s="680">
        <f t="shared" si="12"/>
        <v>0.78306666666666658</v>
      </c>
      <c r="N53" s="937">
        <f t="shared" si="13"/>
        <v>-2.3517999999999333</v>
      </c>
      <c r="O53" s="938">
        <f t="shared" si="14"/>
        <v>5.5309632399996858</v>
      </c>
    </row>
    <row r="54" spans="2:17" ht="15" customHeight="1" x14ac:dyDescent="0.25">
      <c r="B54" s="675">
        <v>2007</v>
      </c>
      <c r="C54" s="732">
        <v>39296.520833333336</v>
      </c>
      <c r="D54" s="650">
        <v>61.29</v>
      </c>
      <c r="E54" s="658">
        <v>63.44</v>
      </c>
      <c r="F54" s="729">
        <f t="shared" si="9"/>
        <v>8.0197514047335286E-2</v>
      </c>
      <c r="G54" s="658">
        <f t="shared" si="8"/>
        <v>62.312099999999646</v>
      </c>
      <c r="H54" s="658"/>
      <c r="I54" s="581">
        <f t="shared" si="10"/>
        <v>75</v>
      </c>
      <c r="J54" s="581">
        <f t="shared" si="11"/>
        <v>50</v>
      </c>
      <c r="K54" s="680">
        <f t="shared" si="12"/>
        <v>0.84586666666666666</v>
      </c>
      <c r="N54" s="937">
        <f t="shared" si="13"/>
        <v>1.1279000000003521</v>
      </c>
      <c r="O54" s="938">
        <f t="shared" si="14"/>
        <v>1.2721584100007941</v>
      </c>
    </row>
    <row r="55" spans="2:17" ht="15" customHeight="1" x14ac:dyDescent="0.25">
      <c r="B55" s="675">
        <v>2008</v>
      </c>
      <c r="C55" s="732">
        <v>39598.854166666664</v>
      </c>
      <c r="D55" s="650">
        <v>59.69</v>
      </c>
      <c r="E55" s="658">
        <v>60.24</v>
      </c>
      <c r="F55" s="729">
        <f t="shared" si="9"/>
        <v>-5.044136191677169E-2</v>
      </c>
      <c r="G55" s="658">
        <f t="shared" si="8"/>
        <v>63.542399999999816</v>
      </c>
      <c r="H55" s="658"/>
      <c r="I55" s="581">
        <f t="shared" si="10"/>
        <v>75</v>
      </c>
      <c r="J55" s="581">
        <f t="shared" si="11"/>
        <v>50</v>
      </c>
      <c r="K55" s="680">
        <f t="shared" si="12"/>
        <v>0.80320000000000003</v>
      </c>
      <c r="N55" s="937">
        <f t="shared" si="13"/>
        <v>-3.3023999999998139</v>
      </c>
      <c r="O55" s="938">
        <f t="shared" si="14"/>
        <v>10.905845759998771</v>
      </c>
    </row>
    <row r="56" spans="2:17" ht="15" customHeight="1" x14ac:dyDescent="0.25">
      <c r="B56" s="675">
        <v>2009</v>
      </c>
      <c r="C56" s="732">
        <v>40016.625</v>
      </c>
      <c r="D56" s="650">
        <v>59.2</v>
      </c>
      <c r="E56" s="658">
        <v>60.22</v>
      </c>
      <c r="F56" s="729">
        <f t="shared" si="9"/>
        <v>-3.3200531208504527E-4</v>
      </c>
      <c r="G56" s="658">
        <f t="shared" si="8"/>
        <v>64.772699999999986</v>
      </c>
      <c r="H56" s="658"/>
      <c r="I56" s="581">
        <f t="shared" si="10"/>
        <v>75</v>
      </c>
      <c r="J56" s="581">
        <f t="shared" si="11"/>
        <v>50</v>
      </c>
      <c r="K56" s="680">
        <f t="shared" si="12"/>
        <v>0.80293333333333328</v>
      </c>
      <c r="N56" s="937">
        <f t="shared" si="13"/>
        <v>-4.5526999999999873</v>
      </c>
      <c r="O56" s="938">
        <f t="shared" si="14"/>
        <v>20.727077289999883</v>
      </c>
    </row>
    <row r="57" spans="2:17" ht="15" customHeight="1" x14ac:dyDescent="0.25">
      <c r="B57" s="675">
        <v>2010</v>
      </c>
      <c r="C57" s="732">
        <v>40394.864583333336</v>
      </c>
      <c r="D57" s="650">
        <v>66.400000000000006</v>
      </c>
      <c r="E57" s="658">
        <v>66.849999999999994</v>
      </c>
      <c r="F57" s="729">
        <f t="shared" si="9"/>
        <v>0.11009631351710387</v>
      </c>
      <c r="G57" s="658">
        <f t="shared" si="8"/>
        <v>66.002999999999702</v>
      </c>
      <c r="H57" s="658"/>
      <c r="I57" s="581">
        <f t="shared" si="10"/>
        <v>75</v>
      </c>
      <c r="J57" s="581">
        <f t="shared" si="11"/>
        <v>50</v>
      </c>
      <c r="K57" s="680">
        <f t="shared" si="12"/>
        <v>0.89133333333333331</v>
      </c>
      <c r="N57" s="937">
        <f t="shared" si="13"/>
        <v>0.84700000000029263</v>
      </c>
      <c r="O57" s="938">
        <f t="shared" si="14"/>
        <v>0.71740900000049568</v>
      </c>
    </row>
    <row r="58" spans="2:17" ht="15" customHeight="1" x14ac:dyDescent="0.25">
      <c r="B58" s="675">
        <v>2011</v>
      </c>
      <c r="C58" s="732">
        <v>40756.833333333336</v>
      </c>
      <c r="D58" s="650">
        <v>70.142181897825878</v>
      </c>
      <c r="E58" s="658">
        <v>71.486681405804276</v>
      </c>
      <c r="F58" s="729">
        <f t="shared" si="9"/>
        <v>6.9359482510161288E-2</v>
      </c>
      <c r="G58" s="658">
        <f t="shared" si="8"/>
        <v>67.233299999999872</v>
      </c>
      <c r="H58" s="658"/>
      <c r="I58" s="581">
        <f t="shared" si="10"/>
        <v>75</v>
      </c>
      <c r="J58" s="581">
        <f t="shared" si="11"/>
        <v>50</v>
      </c>
      <c r="K58" s="681">
        <f t="shared" si="12"/>
        <v>0.95315575207739034</v>
      </c>
      <c r="N58" s="937">
        <f t="shared" si="13"/>
        <v>4.2533814058044044</v>
      </c>
      <c r="O58" s="938">
        <f t="shared" si="14"/>
        <v>18.091253383242652</v>
      </c>
    </row>
    <row r="59" spans="2:17" ht="15" customHeight="1" x14ac:dyDescent="0.25">
      <c r="B59" s="675">
        <v>2012</v>
      </c>
      <c r="C59" s="732">
        <v>41120.885416666664</v>
      </c>
      <c r="D59" s="650">
        <v>70.672807846061303</v>
      </c>
      <c r="E59" s="658">
        <v>72.0274784993765</v>
      </c>
      <c r="F59" s="729">
        <f t="shared" si="9"/>
        <v>7.5650048783536608E-3</v>
      </c>
      <c r="G59" s="658">
        <f t="shared" si="8"/>
        <v>68.463599999999587</v>
      </c>
      <c r="H59" s="658"/>
      <c r="I59" s="581">
        <f t="shared" si="10"/>
        <v>75</v>
      </c>
      <c r="J59" s="581">
        <f t="shared" si="11"/>
        <v>50</v>
      </c>
      <c r="K59" s="681">
        <f t="shared" si="12"/>
        <v>0.96036637999168661</v>
      </c>
      <c r="N59" s="937">
        <f t="shared" si="13"/>
        <v>3.5638784993769121</v>
      </c>
      <c r="O59" s="938">
        <f t="shared" si="14"/>
        <v>12.701229958321031</v>
      </c>
    </row>
    <row r="60" spans="2:17" ht="15" customHeight="1" x14ac:dyDescent="0.25">
      <c r="B60" s="675">
        <v>2013</v>
      </c>
      <c r="C60" s="732">
        <v>41477.822916666664</v>
      </c>
      <c r="D60" s="650">
        <v>72.672600339032059</v>
      </c>
      <c r="E60" s="658">
        <v>74.065603418714815</v>
      </c>
      <c r="F60" s="729">
        <f t="shared" si="9"/>
        <v>2.8296491308604652E-2</v>
      </c>
      <c r="G60" s="658">
        <f t="shared" si="8"/>
        <v>69.693899999999758</v>
      </c>
      <c r="H60" s="658"/>
      <c r="I60" s="581">
        <f t="shared" si="10"/>
        <v>75</v>
      </c>
      <c r="J60" s="581">
        <f t="shared" si="11"/>
        <v>50</v>
      </c>
      <c r="K60" s="681">
        <f t="shared" si="12"/>
        <v>0.98754137891619753</v>
      </c>
      <c r="N60" s="937">
        <f t="shared" si="13"/>
        <v>4.3717034187150574</v>
      </c>
      <c r="O60" s="938">
        <f t="shared" si="14"/>
        <v>19.11179078120492</v>
      </c>
    </row>
    <row r="61" spans="2:17" ht="15" customHeight="1" x14ac:dyDescent="0.25">
      <c r="B61" s="675">
        <v>2014</v>
      </c>
      <c r="C61" s="580">
        <v>41844.90625</v>
      </c>
      <c r="D61" s="650">
        <v>69.45</v>
      </c>
      <c r="E61" s="658">
        <v>70.290000000000006</v>
      </c>
      <c r="F61" s="729">
        <f t="shared" si="9"/>
        <v>-5.0976475508748689E-2</v>
      </c>
      <c r="G61" s="658">
        <f t="shared" si="8"/>
        <v>70.924199999999928</v>
      </c>
      <c r="H61" s="658"/>
      <c r="I61" s="581">
        <f t="shared" si="10"/>
        <v>75</v>
      </c>
      <c r="J61" s="581">
        <f t="shared" si="11"/>
        <v>50</v>
      </c>
      <c r="K61" s="681">
        <f t="shared" si="12"/>
        <v>0.93720000000000003</v>
      </c>
      <c r="N61" s="937">
        <f t="shared" si="13"/>
        <v>-0.63419999999992172</v>
      </c>
      <c r="O61" s="938">
        <f t="shared" si="14"/>
        <v>0.40220963999990073</v>
      </c>
    </row>
    <row r="62" spans="2:17" ht="15" customHeight="1" thickBot="1" x14ac:dyDescent="0.3">
      <c r="B62" s="675">
        <v>2015</v>
      </c>
      <c r="C62" s="580">
        <v>42030.635416666664</v>
      </c>
      <c r="D62" s="650">
        <v>65.7</v>
      </c>
      <c r="E62" s="658">
        <v>70.02</v>
      </c>
      <c r="F62" s="729">
        <f t="shared" si="9"/>
        <v>-3.8412291933420145E-3</v>
      </c>
      <c r="G62" s="658">
        <f t="shared" si="8"/>
        <v>72.154499999999643</v>
      </c>
      <c r="H62" s="658"/>
      <c r="I62" s="581">
        <f t="shared" si="10"/>
        <v>75</v>
      </c>
      <c r="J62" s="581">
        <f t="shared" si="11"/>
        <v>50</v>
      </c>
      <c r="K62" s="681">
        <f t="shared" si="12"/>
        <v>0.93359999999999999</v>
      </c>
      <c r="N62" s="937">
        <f t="shared" si="13"/>
        <v>-2.1344999999996475</v>
      </c>
      <c r="O62" s="938">
        <f t="shared" si="14"/>
        <v>4.556090249998495</v>
      </c>
    </row>
    <row r="63" spans="2:17" ht="15" customHeight="1" thickBot="1" x14ac:dyDescent="0.3">
      <c r="B63" s="675">
        <v>2016</v>
      </c>
      <c r="C63" s="580">
        <v>42412.583333333336</v>
      </c>
      <c r="D63" s="650">
        <v>68.64</v>
      </c>
      <c r="E63" s="658">
        <v>75.010000000000005</v>
      </c>
      <c r="F63" s="729">
        <f t="shared" si="9"/>
        <v>7.1265352756355455E-2</v>
      </c>
      <c r="G63" s="658">
        <f t="shared" si="8"/>
        <v>73.384799999999814</v>
      </c>
      <c r="H63" s="658"/>
      <c r="I63" s="581">
        <f t="shared" si="10"/>
        <v>75</v>
      </c>
      <c r="J63" s="581">
        <f t="shared" si="11"/>
        <v>50</v>
      </c>
      <c r="K63" s="681">
        <f t="shared" si="12"/>
        <v>1.0001333333333333</v>
      </c>
      <c r="N63" s="937">
        <f t="shared" si="13"/>
        <v>1.6252000000001914</v>
      </c>
      <c r="O63" s="11">
        <f t="shared" si="14"/>
        <v>2.6412750400006222</v>
      </c>
      <c r="P63" s="1210" t="s">
        <v>362</v>
      </c>
      <c r="Q63" s="1211"/>
    </row>
    <row r="64" spans="2:17" ht="15" customHeight="1" thickBot="1" x14ac:dyDescent="0.3">
      <c r="B64" s="675">
        <v>2017</v>
      </c>
      <c r="C64" s="580">
        <v>42933.885416666664</v>
      </c>
      <c r="D64" s="650">
        <v>70.84</v>
      </c>
      <c r="E64" s="658">
        <v>70.849999999999994</v>
      </c>
      <c r="F64" s="729">
        <f t="shared" si="9"/>
        <v>-5.5459272097053869E-2</v>
      </c>
      <c r="G64" s="658">
        <f t="shared" si="8"/>
        <v>74.615099999999984</v>
      </c>
      <c r="H64" s="658">
        <f>E64</f>
        <v>70.849999999999994</v>
      </c>
      <c r="I64" s="581">
        <f t="shared" si="10"/>
        <v>75</v>
      </c>
      <c r="J64" s="581">
        <f t="shared" si="11"/>
        <v>50</v>
      </c>
      <c r="K64" s="681">
        <f t="shared" si="12"/>
        <v>0.94466666666666654</v>
      </c>
      <c r="M64" s="790">
        <v>75</v>
      </c>
      <c r="N64" s="939">
        <f t="shared" si="13"/>
        <v>-3.7650999999999897</v>
      </c>
      <c r="O64" s="995">
        <f t="shared" si="14"/>
        <v>14.175978009999922</v>
      </c>
      <c r="P64" s="993" t="s">
        <v>358</v>
      </c>
      <c r="Q64" s="993" t="s">
        <v>357</v>
      </c>
    </row>
    <row r="65" spans="2:17" ht="15" customHeight="1" x14ac:dyDescent="0.25">
      <c r="B65" s="676">
        <v>2018</v>
      </c>
      <c r="C65" s="720">
        <v>2018</v>
      </c>
      <c r="D65" s="652"/>
      <c r="E65" s="723"/>
      <c r="F65" s="730"/>
      <c r="G65" s="660">
        <f>1.2303*B65-2406.9</f>
        <v>75.8453999999997</v>
      </c>
      <c r="H65" s="661">
        <f>1.25+H64</f>
        <v>72.099999999999994</v>
      </c>
      <c r="I65" s="584">
        <f t="shared" ref="I65:I74" si="15">2*55+1*25</f>
        <v>135</v>
      </c>
      <c r="J65" s="584">
        <f t="shared" ref="J65:J74" si="16">I65-55</f>
        <v>80</v>
      </c>
      <c r="K65" s="684">
        <f>H65/I65</f>
        <v>0.53407407407407403</v>
      </c>
      <c r="M65" s="790">
        <v>75</v>
      </c>
      <c r="N65" s="11" t="s">
        <v>369</v>
      </c>
      <c r="O65" s="11">
        <f>SUM(O44:O64)</f>
        <v>159.45870474357164</v>
      </c>
      <c r="P65" s="996">
        <f>H65+5.95</f>
        <v>78.05</v>
      </c>
      <c r="Q65" s="997">
        <f>H65-5.95</f>
        <v>66.149999999999991</v>
      </c>
    </row>
    <row r="66" spans="2:17" ht="15" customHeight="1" x14ac:dyDescent="0.25">
      <c r="B66" s="676">
        <v>2019</v>
      </c>
      <c r="C66" s="720">
        <v>2019</v>
      </c>
      <c r="D66" s="652"/>
      <c r="E66" s="723"/>
      <c r="F66" s="730"/>
      <c r="G66" s="660">
        <f t="shared" ref="G66:G74" si="17">1.2303*B66-2406.9</f>
        <v>77.07569999999987</v>
      </c>
      <c r="H66" s="661">
        <f>1.25+H65</f>
        <v>73.349999999999994</v>
      </c>
      <c r="I66" s="584">
        <f t="shared" si="15"/>
        <v>135</v>
      </c>
      <c r="J66" s="584">
        <f t="shared" si="16"/>
        <v>80</v>
      </c>
      <c r="K66" s="684">
        <f>H66/I66</f>
        <v>0.54333333333333333</v>
      </c>
      <c r="M66" s="790">
        <v>75</v>
      </c>
      <c r="N66" s="11" t="s">
        <v>373</v>
      </c>
      <c r="O66" s="11">
        <f>O65/(P44-2)</f>
        <v>8.8588169301984241</v>
      </c>
      <c r="P66" s="996">
        <f t="shared" ref="P66:P74" si="18">H66+5.95</f>
        <v>79.3</v>
      </c>
      <c r="Q66" s="997">
        <f t="shared" ref="Q66:Q74" si="19">H66-5.95</f>
        <v>67.399999999999991</v>
      </c>
    </row>
    <row r="67" spans="2:17" ht="15" customHeight="1" x14ac:dyDescent="0.25">
      <c r="B67" s="676">
        <v>2020</v>
      </c>
      <c r="C67" s="720">
        <v>2020</v>
      </c>
      <c r="D67" s="652"/>
      <c r="E67" s="723"/>
      <c r="F67" s="730"/>
      <c r="G67" s="660">
        <f t="shared" si="17"/>
        <v>78.305999999999585</v>
      </c>
      <c r="H67" s="661">
        <f>1.25+H66-5</f>
        <v>69.599999999999994</v>
      </c>
      <c r="I67" s="584">
        <f t="shared" si="15"/>
        <v>135</v>
      </c>
      <c r="J67" s="584">
        <f t="shared" si="16"/>
        <v>80</v>
      </c>
      <c r="K67" s="684">
        <f t="shared" ref="K67:K74" si="20">H67/I67</f>
        <v>0.51555555555555554</v>
      </c>
      <c r="M67" s="790">
        <v>75</v>
      </c>
      <c r="N67" s="966" t="s">
        <v>371</v>
      </c>
      <c r="O67" s="966">
        <f>SQRT(O66)</f>
        <v>2.9763764765564225</v>
      </c>
      <c r="P67" s="996">
        <f t="shared" si="18"/>
        <v>75.55</v>
      </c>
      <c r="Q67" s="997">
        <f t="shared" si="19"/>
        <v>63.649999999999991</v>
      </c>
    </row>
    <row r="68" spans="2:17" ht="15" customHeight="1" x14ac:dyDescent="0.25">
      <c r="B68" s="676">
        <v>2021</v>
      </c>
      <c r="C68" s="720">
        <v>2021</v>
      </c>
      <c r="D68" s="652"/>
      <c r="E68" s="723"/>
      <c r="F68" s="730"/>
      <c r="G68" s="660">
        <f t="shared" si="17"/>
        <v>79.536299999999756</v>
      </c>
      <c r="H68" s="661">
        <f>1.25+H67</f>
        <v>70.849999999999994</v>
      </c>
      <c r="I68" s="584">
        <f t="shared" si="15"/>
        <v>135</v>
      </c>
      <c r="J68" s="584">
        <f t="shared" si="16"/>
        <v>80</v>
      </c>
      <c r="K68" s="684">
        <f t="shared" si="20"/>
        <v>0.52481481481481473</v>
      </c>
      <c r="M68" s="790">
        <v>75</v>
      </c>
      <c r="N68" s="966" t="s">
        <v>372</v>
      </c>
      <c r="O68" s="966">
        <f>2*O67</f>
        <v>5.9527529531128449</v>
      </c>
      <c r="P68" s="996">
        <f t="shared" si="18"/>
        <v>76.8</v>
      </c>
      <c r="Q68" s="997">
        <f t="shared" si="19"/>
        <v>64.899999999999991</v>
      </c>
    </row>
    <row r="69" spans="2:17" ht="15" customHeight="1" x14ac:dyDescent="0.25">
      <c r="B69" s="676">
        <v>2022</v>
      </c>
      <c r="C69" s="720">
        <v>2022</v>
      </c>
      <c r="D69" s="652"/>
      <c r="E69" s="723"/>
      <c r="F69" s="730"/>
      <c r="G69" s="660">
        <f t="shared" si="17"/>
        <v>80.766599999999926</v>
      </c>
      <c r="H69" s="661">
        <f t="shared" ref="H69:H74" si="21">1.25+H68</f>
        <v>72.099999999999994</v>
      </c>
      <c r="I69" s="584">
        <f t="shared" si="15"/>
        <v>135</v>
      </c>
      <c r="J69" s="584">
        <f t="shared" si="16"/>
        <v>80</v>
      </c>
      <c r="K69" s="684">
        <f t="shared" si="20"/>
        <v>0.53407407407407403</v>
      </c>
      <c r="M69" s="790">
        <v>75</v>
      </c>
      <c r="P69" s="996">
        <f t="shared" si="18"/>
        <v>78.05</v>
      </c>
      <c r="Q69" s="997">
        <f t="shared" si="19"/>
        <v>66.149999999999991</v>
      </c>
    </row>
    <row r="70" spans="2:17" ht="15" customHeight="1" x14ac:dyDescent="0.25">
      <c r="B70" s="676">
        <v>2023</v>
      </c>
      <c r="C70" s="720">
        <v>2023</v>
      </c>
      <c r="D70" s="652"/>
      <c r="E70" s="723"/>
      <c r="F70" s="730"/>
      <c r="G70" s="660">
        <f t="shared" si="17"/>
        <v>81.996899999999641</v>
      </c>
      <c r="H70" s="661">
        <f t="shared" si="21"/>
        <v>73.349999999999994</v>
      </c>
      <c r="I70" s="584">
        <f t="shared" si="15"/>
        <v>135</v>
      </c>
      <c r="J70" s="584">
        <f t="shared" si="16"/>
        <v>80</v>
      </c>
      <c r="K70" s="684">
        <f t="shared" si="20"/>
        <v>0.54333333333333333</v>
      </c>
      <c r="M70" s="790">
        <v>75</v>
      </c>
      <c r="P70" s="996">
        <f t="shared" si="18"/>
        <v>79.3</v>
      </c>
      <c r="Q70" s="997">
        <f t="shared" si="19"/>
        <v>67.399999999999991</v>
      </c>
    </row>
    <row r="71" spans="2:17" ht="15" customHeight="1" x14ac:dyDescent="0.25">
      <c r="B71" s="676">
        <v>2024</v>
      </c>
      <c r="C71" s="721">
        <v>2024</v>
      </c>
      <c r="D71" s="652"/>
      <c r="E71" s="723"/>
      <c r="F71" s="730"/>
      <c r="G71" s="660">
        <f t="shared" si="17"/>
        <v>83.227199999999812</v>
      </c>
      <c r="H71" s="661">
        <f t="shared" si="21"/>
        <v>74.599999999999994</v>
      </c>
      <c r="I71" s="584">
        <f t="shared" si="15"/>
        <v>135</v>
      </c>
      <c r="J71" s="584">
        <f t="shared" si="16"/>
        <v>80</v>
      </c>
      <c r="K71" s="684">
        <f t="shared" si="20"/>
        <v>0.55259259259259252</v>
      </c>
      <c r="M71" s="790">
        <v>75</v>
      </c>
      <c r="P71" s="996">
        <f t="shared" si="18"/>
        <v>80.55</v>
      </c>
      <c r="Q71" s="997">
        <f t="shared" si="19"/>
        <v>68.649999999999991</v>
      </c>
    </row>
    <row r="72" spans="2:17" ht="15" customHeight="1" x14ac:dyDescent="0.25">
      <c r="B72" s="676">
        <v>2025</v>
      </c>
      <c r="C72" s="721">
        <v>2025</v>
      </c>
      <c r="D72" s="652"/>
      <c r="E72" s="723"/>
      <c r="F72" s="730"/>
      <c r="G72" s="660">
        <f t="shared" si="17"/>
        <v>84.457499999999982</v>
      </c>
      <c r="H72" s="661">
        <f t="shared" si="21"/>
        <v>75.849999999999994</v>
      </c>
      <c r="I72" s="584">
        <f t="shared" si="15"/>
        <v>135</v>
      </c>
      <c r="J72" s="584">
        <f t="shared" si="16"/>
        <v>80</v>
      </c>
      <c r="K72" s="684">
        <f t="shared" si="20"/>
        <v>0.56185185185185182</v>
      </c>
      <c r="M72" s="790">
        <v>75</v>
      </c>
      <c r="P72" s="996">
        <f t="shared" si="18"/>
        <v>81.8</v>
      </c>
      <c r="Q72" s="997">
        <f t="shared" si="19"/>
        <v>69.899999999999991</v>
      </c>
    </row>
    <row r="73" spans="2:17" x14ac:dyDescent="0.25">
      <c r="B73" s="676">
        <v>2026</v>
      </c>
      <c r="C73" s="721">
        <v>2026</v>
      </c>
      <c r="D73" s="652"/>
      <c r="E73" s="723"/>
      <c r="F73" s="730"/>
      <c r="G73" s="660">
        <f t="shared" si="17"/>
        <v>85.687799999999697</v>
      </c>
      <c r="H73" s="661">
        <f t="shared" si="21"/>
        <v>77.099999999999994</v>
      </c>
      <c r="I73" s="584">
        <f t="shared" si="15"/>
        <v>135</v>
      </c>
      <c r="J73" s="584">
        <f t="shared" si="16"/>
        <v>80</v>
      </c>
      <c r="K73" s="684">
        <f t="shared" si="20"/>
        <v>0.57111111111111101</v>
      </c>
      <c r="M73" s="790">
        <v>75</v>
      </c>
      <c r="P73" s="996">
        <f t="shared" si="18"/>
        <v>83.05</v>
      </c>
      <c r="Q73" s="997">
        <f t="shared" si="19"/>
        <v>71.149999999999991</v>
      </c>
    </row>
    <row r="74" spans="2:17" ht="15.75" thickBot="1" x14ac:dyDescent="0.3">
      <c r="B74" s="677">
        <v>2027</v>
      </c>
      <c r="C74" s="722">
        <v>2027</v>
      </c>
      <c r="D74" s="656"/>
      <c r="E74" s="733"/>
      <c r="F74" s="734"/>
      <c r="G74" s="662">
        <f t="shared" si="17"/>
        <v>86.918099999999868</v>
      </c>
      <c r="H74" s="663">
        <f t="shared" si="21"/>
        <v>78.349999999999994</v>
      </c>
      <c r="I74" s="586">
        <f t="shared" si="15"/>
        <v>135</v>
      </c>
      <c r="J74" s="586">
        <f t="shared" si="16"/>
        <v>80</v>
      </c>
      <c r="K74" s="686">
        <f t="shared" si="20"/>
        <v>0.58037037037037031</v>
      </c>
      <c r="M74" s="790">
        <v>75</v>
      </c>
      <c r="P74" s="998">
        <f t="shared" si="18"/>
        <v>84.3</v>
      </c>
      <c r="Q74" s="999">
        <f t="shared" si="19"/>
        <v>72.399999999999991</v>
      </c>
    </row>
    <row r="75" spans="2:17" x14ac:dyDescent="0.25">
      <c r="E75" s="9">
        <f>E64-E54</f>
        <v>7.4099999999999966</v>
      </c>
      <c r="H75" s="661"/>
    </row>
    <row r="76" spans="2:17" x14ac:dyDescent="0.25">
      <c r="E76" s="12">
        <f>E75/E54</f>
        <v>0.11680327868852454</v>
      </c>
      <c r="H76" s="661"/>
    </row>
    <row r="77" spans="2:17" x14ac:dyDescent="0.25">
      <c r="E77" s="5">
        <f>E75/10</f>
        <v>0.74099999999999966</v>
      </c>
    </row>
    <row r="88" spans="17:19" x14ac:dyDescent="0.25">
      <c r="R88" s="11" t="s">
        <v>265</v>
      </c>
      <c r="S88" s="11" t="s">
        <v>264</v>
      </c>
    </row>
    <row r="89" spans="17:19" x14ac:dyDescent="0.25">
      <c r="Q89" s="438">
        <v>2018</v>
      </c>
      <c r="R89" s="40">
        <v>75</v>
      </c>
      <c r="S89" s="40">
        <v>50</v>
      </c>
    </row>
    <row r="90" spans="17:19" x14ac:dyDescent="0.25">
      <c r="Q90" s="438">
        <v>2018</v>
      </c>
      <c r="R90" s="40">
        <v>135</v>
      </c>
      <c r="S90" s="40">
        <v>80</v>
      </c>
    </row>
    <row r="96" spans="17:19" x14ac:dyDescent="0.25">
      <c r="Q96" s="467"/>
      <c r="R96" s="467"/>
    </row>
    <row r="97" spans="1:21" x14ac:dyDescent="0.25">
      <c r="Q97" s="467"/>
      <c r="R97" s="467"/>
    </row>
    <row r="98" spans="1:21" x14ac:dyDescent="0.25">
      <c r="Q98" s="123">
        <v>2017</v>
      </c>
      <c r="R98" s="467">
        <v>40</v>
      </c>
    </row>
    <row r="99" spans="1:21" x14ac:dyDescent="0.25">
      <c r="Q99" s="123">
        <v>2017</v>
      </c>
      <c r="R99" s="467">
        <v>50</v>
      </c>
    </row>
    <row r="100" spans="1:21" x14ac:dyDescent="0.25">
      <c r="Q100" s="123">
        <v>2017</v>
      </c>
      <c r="R100" s="467">
        <v>70</v>
      </c>
    </row>
    <row r="101" spans="1:21" x14ac:dyDescent="0.25">
      <c r="Q101" s="123">
        <v>2017</v>
      </c>
      <c r="R101" s="467">
        <v>80</v>
      </c>
    </row>
    <row r="102" spans="1:21" x14ac:dyDescent="0.25">
      <c r="Q102" s="123">
        <v>2017</v>
      </c>
      <c r="R102" s="467">
        <v>90</v>
      </c>
    </row>
    <row r="103" spans="1:21" x14ac:dyDescent="0.25">
      <c r="Q103" s="123">
        <v>2017</v>
      </c>
      <c r="R103" s="467">
        <v>100</v>
      </c>
    </row>
    <row r="104" spans="1:21" x14ac:dyDescent="0.25">
      <c r="Q104" s="301">
        <v>2017</v>
      </c>
      <c r="R104" s="467">
        <v>110</v>
      </c>
    </row>
    <row r="105" spans="1:21" x14ac:dyDescent="0.25">
      <c r="Q105" s="301">
        <v>2017</v>
      </c>
      <c r="R105" s="467">
        <v>120</v>
      </c>
    </row>
    <row r="111" spans="1:21" s="10" customFormat="1" ht="18" x14ac:dyDescent="0.25">
      <c r="A111" s="1093" t="s">
        <v>247</v>
      </c>
      <c r="B111" s="1093"/>
      <c r="C111" s="1093"/>
      <c r="D111" s="1093"/>
      <c r="E111" s="1093"/>
      <c r="F111" s="1093"/>
      <c r="G111" s="1093"/>
      <c r="H111" s="1093"/>
      <c r="I111" s="1093"/>
      <c r="J111" s="1093"/>
      <c r="K111" s="1093"/>
      <c r="L111" s="1093"/>
      <c r="M111" s="1093"/>
      <c r="N111" s="1093"/>
      <c r="O111" s="1093"/>
      <c r="P111" s="1093"/>
      <c r="Q111" s="1093"/>
      <c r="R111" s="1093"/>
      <c r="S111" s="1093"/>
      <c r="T111" s="1093"/>
      <c r="U111" s="451"/>
    </row>
    <row r="112" spans="1:21" s="10" customFormat="1" ht="18" x14ac:dyDescent="0.25">
      <c r="A112" s="1094" t="s">
        <v>248</v>
      </c>
      <c r="B112" s="1094"/>
      <c r="C112" s="1094"/>
      <c r="D112" s="1094"/>
      <c r="E112" s="1094"/>
      <c r="F112" s="1094"/>
      <c r="G112" s="1094"/>
      <c r="H112" s="1094"/>
      <c r="I112" s="1094"/>
      <c r="J112" s="1094"/>
      <c r="K112" s="1094"/>
      <c r="L112" s="1094"/>
      <c r="M112" s="1094"/>
      <c r="N112" s="1094"/>
      <c r="O112" s="1094"/>
      <c r="P112" s="1094"/>
      <c r="Q112" s="1094"/>
      <c r="R112" s="1094"/>
      <c r="S112" s="1094"/>
      <c r="T112" s="1094"/>
      <c r="U112" s="451"/>
    </row>
    <row r="113" spans="1:21" s="10" customFormat="1" ht="12.95" customHeight="1" thickBot="1" x14ac:dyDescent="0.3">
      <c r="A113" s="452"/>
      <c r="B113" s="452"/>
      <c r="C113" s="452"/>
      <c r="D113" s="452"/>
      <c r="E113" s="452"/>
      <c r="F113" s="452"/>
      <c r="G113" s="452"/>
      <c r="H113" s="453"/>
      <c r="I113" s="452"/>
      <c r="J113" s="454"/>
      <c r="K113" s="453"/>
      <c r="L113" s="452"/>
      <c r="M113" s="454"/>
      <c r="N113" s="453"/>
      <c r="O113" s="452"/>
      <c r="P113" s="454"/>
      <c r="Q113" s="453"/>
      <c r="R113" s="452"/>
      <c r="S113" s="449"/>
      <c r="T113" s="450"/>
      <c r="U113" s="451"/>
    </row>
    <row r="114" spans="1:21" s="10" customFormat="1" ht="15.75" customHeight="1" x14ac:dyDescent="0.25">
      <c r="A114" s="1095" t="s">
        <v>249</v>
      </c>
      <c r="B114" s="1098" t="s">
        <v>250</v>
      </c>
      <c r="C114" s="1101" t="s">
        <v>251</v>
      </c>
      <c r="D114" s="1063" t="s">
        <v>252</v>
      </c>
      <c r="E114" s="1065"/>
      <c r="F114" s="1066">
        <v>2017</v>
      </c>
      <c r="G114" s="1064"/>
      <c r="H114" s="1106"/>
      <c r="I114" s="1063">
        <f>+F114+1</f>
        <v>2018</v>
      </c>
      <c r="J114" s="1064"/>
      <c r="K114" s="1065"/>
      <c r="L114" s="1066">
        <f>+I114+1</f>
        <v>2019</v>
      </c>
      <c r="M114" s="1064"/>
      <c r="N114" s="1106"/>
      <c r="O114" s="1063">
        <f>+L114+1</f>
        <v>2020</v>
      </c>
      <c r="P114" s="1064"/>
      <c r="Q114" s="1065"/>
      <c r="R114" s="1066">
        <f>+O114+1</f>
        <v>2021</v>
      </c>
      <c r="S114" s="1064"/>
      <c r="T114" s="1065"/>
      <c r="U114" s="444"/>
    </row>
    <row r="115" spans="1:21" s="10" customFormat="1" ht="18" customHeight="1" x14ac:dyDescent="0.25">
      <c r="A115" s="1096"/>
      <c r="B115" s="1099"/>
      <c r="C115" s="1102"/>
      <c r="D115" s="1104"/>
      <c r="E115" s="1105"/>
      <c r="F115" s="455" t="s">
        <v>253</v>
      </c>
      <c r="G115" s="1067" t="s">
        <v>254</v>
      </c>
      <c r="H115" s="1068"/>
      <c r="I115" s="456" t="s">
        <v>253</v>
      </c>
      <c r="J115" s="1067" t="s">
        <v>254</v>
      </c>
      <c r="K115" s="1069"/>
      <c r="L115" s="455" t="s">
        <v>253</v>
      </c>
      <c r="M115" s="1067" t="s">
        <v>254</v>
      </c>
      <c r="N115" s="1068"/>
      <c r="O115" s="456" t="s">
        <v>253</v>
      </c>
      <c r="P115" s="1067" t="s">
        <v>254</v>
      </c>
      <c r="Q115" s="1069"/>
      <c r="R115" s="455" t="s">
        <v>253</v>
      </c>
      <c r="S115" s="1067" t="s">
        <v>254</v>
      </c>
      <c r="T115" s="1069"/>
      <c r="U115" s="444"/>
    </row>
    <row r="116" spans="1:21" s="10" customFormat="1" ht="19.5" customHeight="1" thickBot="1" x14ac:dyDescent="0.3">
      <c r="A116" s="1097"/>
      <c r="B116" s="1100"/>
      <c r="C116" s="1103"/>
      <c r="D116" s="1091" t="s">
        <v>255</v>
      </c>
      <c r="E116" s="1092"/>
      <c r="F116" s="457" t="s">
        <v>255</v>
      </c>
      <c r="G116" s="458" t="s">
        <v>255</v>
      </c>
      <c r="H116" s="459" t="s">
        <v>256</v>
      </c>
      <c r="I116" s="460" t="s">
        <v>255</v>
      </c>
      <c r="J116" s="461" t="s">
        <v>255</v>
      </c>
      <c r="K116" s="462" t="s">
        <v>256</v>
      </c>
      <c r="L116" s="457" t="s">
        <v>255</v>
      </c>
      <c r="M116" s="461" t="s">
        <v>255</v>
      </c>
      <c r="N116" s="459" t="s">
        <v>256</v>
      </c>
      <c r="O116" s="460" t="s">
        <v>255</v>
      </c>
      <c r="P116" s="461" t="s">
        <v>255</v>
      </c>
      <c r="Q116" s="462" t="s">
        <v>256</v>
      </c>
      <c r="R116" s="457" t="s">
        <v>255</v>
      </c>
      <c r="S116" s="461" t="s">
        <v>255</v>
      </c>
      <c r="T116" s="462" t="s">
        <v>256</v>
      </c>
      <c r="U116" s="444"/>
    </row>
    <row r="117" spans="1:21" x14ac:dyDescent="0.25">
      <c r="B117" s="1148" t="s">
        <v>5</v>
      </c>
      <c r="C117" s="666" t="s">
        <v>24</v>
      </c>
      <c r="D117" s="641">
        <v>55</v>
      </c>
      <c r="E117" s="1138">
        <v>135</v>
      </c>
      <c r="F117" s="1139">
        <v>135</v>
      </c>
      <c r="G117" s="1170">
        <v>78.571919641286584</v>
      </c>
      <c r="H117" s="1132">
        <v>0.58201421956508581</v>
      </c>
      <c r="I117" s="1139">
        <v>135</v>
      </c>
      <c r="J117" s="1170">
        <v>77.69594021239098</v>
      </c>
      <c r="K117" s="1132">
        <v>0.57552548305474804</v>
      </c>
      <c r="L117" s="1139">
        <v>135</v>
      </c>
      <c r="M117" s="1170">
        <v>81.036865641523789</v>
      </c>
      <c r="N117" s="1132">
        <v>0.60027307882610215</v>
      </c>
      <c r="O117" s="1139">
        <v>135</v>
      </c>
      <c r="P117" s="1170">
        <v>84.521450864109312</v>
      </c>
      <c r="Q117" s="1132">
        <v>0.62608482121562459</v>
      </c>
      <c r="R117" s="1135">
        <v>135</v>
      </c>
      <c r="S117" s="1170">
        <v>88.155873251266001</v>
      </c>
      <c r="T117" s="1132">
        <v>0.65300646852789634</v>
      </c>
    </row>
    <row r="118" spans="1:21" x14ac:dyDescent="0.25">
      <c r="B118" s="1148"/>
      <c r="C118" s="666" t="s">
        <v>24</v>
      </c>
      <c r="D118" s="641">
        <v>55</v>
      </c>
      <c r="E118" s="1138"/>
      <c r="F118" s="1140"/>
      <c r="G118" s="1171"/>
      <c r="H118" s="1133"/>
      <c r="I118" s="1140"/>
      <c r="J118" s="1171"/>
      <c r="K118" s="1133"/>
      <c r="L118" s="1140"/>
      <c r="M118" s="1171"/>
      <c r="N118" s="1133"/>
      <c r="O118" s="1140"/>
      <c r="P118" s="1171"/>
      <c r="Q118" s="1133"/>
      <c r="R118" s="1136"/>
      <c r="S118" s="1171"/>
      <c r="T118" s="1133"/>
    </row>
    <row r="119" spans="1:21" x14ac:dyDescent="0.25">
      <c r="B119" s="1148"/>
      <c r="C119" s="666" t="s">
        <v>24</v>
      </c>
      <c r="D119" s="641">
        <v>25</v>
      </c>
      <c r="E119" s="1138"/>
      <c r="F119" s="1141"/>
      <c r="G119" s="1172"/>
      <c r="H119" s="1134"/>
      <c r="I119" s="1141"/>
      <c r="J119" s="1172"/>
      <c r="K119" s="1134"/>
      <c r="L119" s="1141"/>
      <c r="M119" s="1172"/>
      <c r="N119" s="1134"/>
      <c r="O119" s="1141"/>
      <c r="P119" s="1172"/>
      <c r="Q119" s="1134"/>
      <c r="R119" s="1137"/>
      <c r="S119" s="1172"/>
      <c r="T119" s="1134"/>
    </row>
    <row r="120" spans="1:21" x14ac:dyDescent="0.25">
      <c r="J120" s="10">
        <f>1.043*G117</f>
        <v>81.950512185861896</v>
      </c>
      <c r="M120">
        <f>1.043*J117</f>
        <v>81.036865641523789</v>
      </c>
      <c r="N120"/>
      <c r="O120"/>
      <c r="P120">
        <f>1.043*M117</f>
        <v>84.521450864109312</v>
      </c>
      <c r="Q120"/>
      <c r="S120">
        <f>1.043*P117</f>
        <v>88.155873251266001</v>
      </c>
    </row>
    <row r="121" spans="1:21" x14ac:dyDescent="0.25">
      <c r="E121" s="10">
        <v>2016</v>
      </c>
      <c r="F121" s="10">
        <v>78.033215167756495</v>
      </c>
    </row>
    <row r="122" spans="1:21" x14ac:dyDescent="0.25">
      <c r="E122" s="10">
        <v>2017</v>
      </c>
      <c r="F122" s="7">
        <f>G117</f>
        <v>78.571919641286584</v>
      </c>
    </row>
    <row r="123" spans="1:21" x14ac:dyDescent="0.25">
      <c r="E123" s="10">
        <v>2018</v>
      </c>
      <c r="F123" s="7">
        <f>J117</f>
        <v>77.69594021239098</v>
      </c>
    </row>
    <row r="124" spans="1:21" x14ac:dyDescent="0.25">
      <c r="E124" s="10">
        <v>2019</v>
      </c>
      <c r="F124" s="7">
        <f>M117</f>
        <v>81.036865641523789</v>
      </c>
    </row>
    <row r="125" spans="1:21" x14ac:dyDescent="0.25">
      <c r="E125" s="10">
        <v>2020</v>
      </c>
      <c r="F125" s="7">
        <f>P117</f>
        <v>84.521450864109312</v>
      </c>
    </row>
    <row r="126" spans="1:21" x14ac:dyDescent="0.25">
      <c r="E126" s="10">
        <v>2021</v>
      </c>
      <c r="F126" s="7">
        <f>S117</f>
        <v>88.155873251266001</v>
      </c>
    </row>
    <row r="127" spans="1:21" x14ac:dyDescent="0.25">
      <c r="E127" s="10"/>
      <c r="F127" s="10"/>
    </row>
    <row r="128" spans="1:21" x14ac:dyDescent="0.25">
      <c r="B128" s="725"/>
      <c r="C128" s="724"/>
      <c r="D128" s="724"/>
      <c r="E128" s="725"/>
      <c r="F128" s="725"/>
      <c r="G128" s="726"/>
      <c r="H128" s="727"/>
      <c r="I128" s="725"/>
      <c r="J128" s="726"/>
      <c r="K128" s="727"/>
      <c r="L128" s="725"/>
      <c r="M128" s="726"/>
      <c r="N128" s="727"/>
      <c r="O128" s="725"/>
      <c r="P128" s="726"/>
      <c r="Q128" s="727"/>
      <c r="R128" s="728"/>
      <c r="S128" s="726"/>
      <c r="T128" s="727"/>
    </row>
    <row r="129" spans="2:20" x14ac:dyDescent="0.25">
      <c r="B129" s="725"/>
      <c r="C129" s="724"/>
      <c r="D129" s="724"/>
      <c r="E129" s="725"/>
      <c r="F129" s="725"/>
      <c r="G129" s="726"/>
      <c r="H129" s="727"/>
      <c r="I129" s="725"/>
      <c r="J129" s="726"/>
      <c r="K129" s="727"/>
      <c r="L129" s="725"/>
      <c r="M129" s="726"/>
      <c r="N129" s="727"/>
      <c r="O129" s="725"/>
      <c r="P129" s="726"/>
      <c r="Q129" s="727"/>
      <c r="R129" s="728"/>
      <c r="S129" s="726"/>
      <c r="T129" s="727"/>
    </row>
    <row r="130" spans="2:20" x14ac:dyDescent="0.25">
      <c r="B130" s="725"/>
      <c r="C130" s="724"/>
      <c r="D130" s="724"/>
      <c r="E130" s="725"/>
      <c r="F130" s="725"/>
      <c r="G130" s="726"/>
      <c r="H130" s="727"/>
      <c r="I130" s="725"/>
      <c r="J130" s="726"/>
      <c r="K130" s="727"/>
      <c r="L130" s="725"/>
      <c r="M130" s="726"/>
      <c r="N130" s="727"/>
      <c r="O130" s="725"/>
      <c r="P130" s="726"/>
      <c r="Q130" s="727"/>
      <c r="R130" s="728"/>
      <c r="S130" s="726"/>
      <c r="T130" s="727"/>
    </row>
  </sheetData>
  <mergeCells count="52">
    <mergeCell ref="B3:K3"/>
    <mergeCell ref="B4:K4"/>
    <mergeCell ref="B5:B6"/>
    <mergeCell ref="C5:C6"/>
    <mergeCell ref="D5:F5"/>
    <mergeCell ref="G5:I5"/>
    <mergeCell ref="J5:J6"/>
    <mergeCell ref="K5:K6"/>
    <mergeCell ref="B42:B43"/>
    <mergeCell ref="C42:C43"/>
    <mergeCell ref="D42:F42"/>
    <mergeCell ref="G42:H42"/>
    <mergeCell ref="I42:I43"/>
    <mergeCell ref="I117:I119"/>
    <mergeCell ref="J117:J119"/>
    <mergeCell ref="K117:K119"/>
    <mergeCell ref="C40:K40"/>
    <mergeCell ref="C41:K41"/>
    <mergeCell ref="J42:J43"/>
    <mergeCell ref="K42:K43"/>
    <mergeCell ref="P63:Q63"/>
    <mergeCell ref="O117:O119"/>
    <mergeCell ref="P117:P119"/>
    <mergeCell ref="Q117:Q119"/>
    <mergeCell ref="D116:E116"/>
    <mergeCell ref="E117:E119"/>
    <mergeCell ref="F117:F119"/>
    <mergeCell ref="G117:G119"/>
    <mergeCell ref="D114:E115"/>
    <mergeCell ref="H117:H119"/>
    <mergeCell ref="G115:H115"/>
    <mergeCell ref="J115:K115"/>
    <mergeCell ref="M115:N115"/>
    <mergeCell ref="P115:Q115"/>
    <mergeCell ref="F114:H114"/>
    <mergeCell ref="I114:K114"/>
    <mergeCell ref="R117:R119"/>
    <mergeCell ref="A111:T111"/>
    <mergeCell ref="A112:T112"/>
    <mergeCell ref="A114:A116"/>
    <mergeCell ref="L117:L119"/>
    <mergeCell ref="M117:M119"/>
    <mergeCell ref="N117:N119"/>
    <mergeCell ref="B117:B119"/>
    <mergeCell ref="B114:B116"/>
    <mergeCell ref="C114:C116"/>
    <mergeCell ref="R114:T114"/>
    <mergeCell ref="S115:T115"/>
    <mergeCell ref="L114:N114"/>
    <mergeCell ref="O114:Q114"/>
    <mergeCell ref="S117:S119"/>
    <mergeCell ref="T117:T119"/>
  </mergeCells>
  <conditionalFormatting sqref="H128:H130 T128:T130 Q128:Q130 N128:N130 K128:K130">
    <cfRule type="cellIs" dxfId="17" priority="2" operator="greaterThan">
      <formula>1</formula>
    </cfRule>
  </conditionalFormatting>
  <conditionalFormatting sqref="H117:H119 T117:T119 Q117:Q119 N117:N119 K117:K119">
    <cfRule type="cellIs" dxfId="16" priority="1" operator="greaterThan">
      <formula>1</formula>
    </cfRule>
  </conditionalFormatting>
  <printOptions horizontalCentered="1" verticalCentered="1" gridLines="1"/>
  <pageMargins left="0.11811023622047245" right="0.11811023622047245" top="0.35433070866141736" bottom="0.35433070866141736" header="0" footer="0"/>
  <pageSetup paperSize="9" scale="12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Rangos con nombre</vt:lpstr>
      </vt:variant>
      <vt:variant>
        <vt:i4>24</vt:i4>
      </vt:variant>
    </vt:vector>
  </HeadingPairs>
  <TitlesOfParts>
    <vt:vector size="60" baseType="lpstr">
      <vt:lpstr>Seguimiento</vt:lpstr>
      <vt:lpstr>Resumen</vt:lpstr>
      <vt:lpstr>Zona A</vt:lpstr>
      <vt:lpstr>NORTE</vt:lpstr>
      <vt:lpstr>NORTE (2)</vt:lpstr>
      <vt:lpstr>OESTE</vt:lpstr>
      <vt:lpstr>DBOSCO</vt:lpstr>
      <vt:lpstr>SUROES</vt:lpstr>
      <vt:lpstr>SUROES (2)</vt:lpstr>
      <vt:lpstr>SUR</vt:lpstr>
      <vt:lpstr>ESTE</vt:lpstr>
      <vt:lpstr>ESTE (2)</vt:lpstr>
      <vt:lpstr>JARDIN</vt:lpstr>
      <vt:lpstr>CENTRO</vt:lpstr>
      <vt:lpstr>RBUSTO</vt:lpstr>
      <vt:lpstr>MABAST</vt:lpstr>
      <vt:lpstr>GUINIA</vt:lpstr>
      <vt:lpstr>NVACBA</vt:lpstr>
      <vt:lpstr>TABLADA</vt:lpstr>
      <vt:lpstr>FIAT</vt:lpstr>
      <vt:lpstr>INTERFABRICAS</vt:lpstr>
      <vt:lpstr>MCRISTO</vt:lpstr>
      <vt:lpstr>MCRISTO NUEVA</vt:lpstr>
      <vt:lpstr>BOWER</vt:lpstr>
      <vt:lpstr>YOCSINA</vt:lpstr>
      <vt:lpstr>MALAGE</vt:lpstr>
      <vt:lpstr>FIAT AUTO</vt:lpstr>
      <vt:lpstr>CORCEMAR</vt:lpstr>
      <vt:lpstr>MINETTI</vt:lpstr>
      <vt:lpstr>CALASANZ</vt:lpstr>
      <vt:lpstr>SANTA ANA</vt:lpstr>
      <vt:lpstr>ARGUELLO</vt:lpstr>
      <vt:lpstr>modelo</vt:lpstr>
      <vt:lpstr>Demandas Max</vt:lpstr>
      <vt:lpstr>CURA BROCHERO</vt:lpstr>
      <vt:lpstr>Dominguez</vt:lpstr>
      <vt:lpstr>BOWER!Área_de_impresión</vt:lpstr>
      <vt:lpstr>CENTRO!Área_de_impresión</vt:lpstr>
      <vt:lpstr>CORCEMAR!Área_de_impresión</vt:lpstr>
      <vt:lpstr>'CURA BROCHERO'!Área_de_impresión</vt:lpstr>
      <vt:lpstr>DBOSCO!Área_de_impresión</vt:lpstr>
      <vt:lpstr>Dominguez!Área_de_impresión</vt:lpstr>
      <vt:lpstr>ESTE!Área_de_impresión</vt:lpstr>
      <vt:lpstr>'ESTE (2)'!Área_de_impresión</vt:lpstr>
      <vt:lpstr>FIAT!Área_de_impresión</vt:lpstr>
      <vt:lpstr>'FIAT AUTO'!Área_de_impresión</vt:lpstr>
      <vt:lpstr>GUINIA!Área_de_impresión</vt:lpstr>
      <vt:lpstr>JARDIN!Área_de_impresión</vt:lpstr>
      <vt:lpstr>MALAGE!Área_de_impresión</vt:lpstr>
      <vt:lpstr>MCRISTO!Área_de_impresión</vt:lpstr>
      <vt:lpstr>modelo!Área_de_impresión</vt:lpstr>
      <vt:lpstr>NORTE!Área_de_impresión</vt:lpstr>
      <vt:lpstr>'NORTE (2)'!Área_de_impresión</vt:lpstr>
      <vt:lpstr>OESTE!Área_de_impresión</vt:lpstr>
      <vt:lpstr>SUR!Área_de_impresión</vt:lpstr>
      <vt:lpstr>SUROES!Área_de_impresión</vt:lpstr>
      <vt:lpstr>'SUROES (2)'!Área_de_impresión</vt:lpstr>
      <vt:lpstr>TABLADA!Área_de_impresión</vt:lpstr>
      <vt:lpstr>YOCSINA!Área_de_impresión</vt:lpstr>
      <vt:lpstr>'Zona 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2022-09-14T15:43:42Z</dcterms:modified>
</cp:coreProperties>
</file>